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17.xml" ContentType="application/vnd.openxmlformats-officedocument.drawing+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showInkAnnotation="0" updateLinks="always" codeName="DieseArbeitsmappe" defaultThemeVersion="124226"/>
  <mc:AlternateContent xmlns:mc="http://schemas.openxmlformats.org/markup-compatibility/2006">
    <mc:Choice Requires="x15">
      <x15ac:absPath xmlns:x15ac="http://schemas.microsoft.com/office/spreadsheetml/2010/11/ac" url="E:\4 Entwicklung Werkzeuge_Vorlage\41 Variantenvergleich Energiesysteme\Aktuell\"/>
    </mc:Choice>
  </mc:AlternateContent>
  <xr:revisionPtr revIDLastSave="0" documentId="13_ncr:1_{EC2FF20E-714A-4245-8524-F500007E3138}" xr6:coauthVersionLast="47" xr6:coauthVersionMax="47" xr10:uidLastSave="{00000000-0000-0000-0000-000000000000}"/>
  <bookViews>
    <workbookView xWindow="28680" yWindow="-120" windowWidth="29040" windowHeight="17640" tabRatio="948" firstSheet="1" activeTab="1" xr2:uid="{00000000-000D-0000-FFFF-FFFF00000000}"/>
  </bookViews>
  <sheets>
    <sheet name="Versionsinfo" sheetId="38" state="hidden" r:id="rId1"/>
    <sheet name="INFO" sheetId="39" r:id="rId2"/>
    <sheet name="Projektdaten" sheetId="34" r:id="rId3"/>
    <sheet name="Grunddaten" sheetId="40" r:id="rId4"/>
    <sheet name="EV_Var1" sheetId="45" r:id="rId5"/>
    <sheet name="EV_Var2" sheetId="47" r:id="rId6"/>
    <sheet name="EV_Var3" sheetId="52" r:id="rId7"/>
    <sheet name="EV_Var4" sheetId="53" r:id="rId8"/>
    <sheet name="WR_Var1" sheetId="24" r:id="rId9"/>
    <sheet name="DK_Var1" sheetId="56" r:id="rId10"/>
    <sheet name="WR_Var2" sheetId="46" r:id="rId11"/>
    <sheet name="DK_Var2" sheetId="57" r:id="rId12"/>
    <sheet name="WR_Var3" sheetId="54" r:id="rId13"/>
    <sheet name="DK_Var3" sheetId="58" r:id="rId14"/>
    <sheet name="WR_Var4" sheetId="55" r:id="rId15"/>
    <sheet name="DK_Var4" sheetId="59" r:id="rId16"/>
    <sheet name="Ergebnisse" sheetId="1" r:id="rId17"/>
    <sheet name="Berechnungen" sheetId="7" r:id="rId18"/>
  </sheets>
  <definedNames>
    <definedName name="Biogas_Produkt">Grunddaten!$AQ$48</definedName>
    <definedName name="Brennstoffe">Berechnungen!$A$32:$A$37</definedName>
    <definedName name="_xlnm.Print_Area" localSheetId="17">Berechnungen!$A$1:$K$113</definedName>
    <definedName name="_xlnm.Print_Area" localSheetId="9">DK_Var1!$A$1:$M$404</definedName>
    <definedName name="_xlnm.Print_Area" localSheetId="11">DK_Var2!$A$1:$M$404</definedName>
    <definedName name="_xlnm.Print_Area" localSheetId="13">DK_Var3!$A$1:$M$404</definedName>
    <definedName name="_xlnm.Print_Area" localSheetId="15">DK_Var4!$A$1:$M$404</definedName>
    <definedName name="_xlnm.Print_Area" localSheetId="16">Ergebnisse!$A$1:$AC$243</definedName>
    <definedName name="_xlnm.Print_Area" localSheetId="4">EV_Var1!$A$1:$U$80</definedName>
    <definedName name="_xlnm.Print_Area" localSheetId="5">EV_Var2!$A$1:$U$80</definedName>
    <definedName name="_xlnm.Print_Area" localSheetId="6">EV_Var3!$A$1:$U$80</definedName>
    <definedName name="_xlnm.Print_Area" localSheetId="7">EV_Var4!$A$1:$U$80</definedName>
    <definedName name="_xlnm.Print_Area" localSheetId="3">Grunddaten!$A$1:$AF$131</definedName>
    <definedName name="_xlnm.Print_Area" localSheetId="1">INFO!$A:$J</definedName>
    <definedName name="_xlnm.Print_Area" localSheetId="2">Projektdaten!$A$1:$O$64</definedName>
    <definedName name="_xlnm.Print_Area" localSheetId="8">WR_Var1!$A$1:$N$120</definedName>
    <definedName name="_xlnm.Print_Area" localSheetId="10">WR_Var2!$A$1:$N$120</definedName>
    <definedName name="_xlnm.Print_Area" localSheetId="12">WR_Var3!$A$1:$N$120</definedName>
    <definedName name="_xlnm.Print_Area" localSheetId="14">WR_Var4!$A$1:$N$120</definedName>
    <definedName name="_xlnm.Print_Titles" localSheetId="17">Berechnungen!$1:$9</definedName>
    <definedName name="_xlnm.Print_Titles" localSheetId="9">DK_Var1!$1:$14</definedName>
    <definedName name="_xlnm.Print_Titles" localSheetId="11">DK_Var2!$1:$14</definedName>
    <definedName name="_xlnm.Print_Titles" localSheetId="13">DK_Var3!$1:$14</definedName>
    <definedName name="_xlnm.Print_Titles" localSheetId="15">DK_Var4!$1:$14</definedName>
    <definedName name="_xlnm.Print_Titles" localSheetId="16">Ergebnisse!$1:$6</definedName>
    <definedName name="_xlnm.Print_Titles" localSheetId="4">EV_Var1!$5:$7</definedName>
    <definedName name="_xlnm.Print_Titles" localSheetId="5">EV_Var2!$7:$7</definedName>
    <definedName name="_xlnm.Print_Titles" localSheetId="6">EV_Var3!$7:$7</definedName>
    <definedName name="_xlnm.Print_Titles" localSheetId="7">EV_Var4!$7:$7</definedName>
    <definedName name="_xlnm.Print_Titles" localSheetId="3">Grunddaten!$1:$5</definedName>
    <definedName name="_xlnm.Print_Titles" localSheetId="1">INFO!$1:$4</definedName>
    <definedName name="_xlnm.Print_Titles" localSheetId="8">WR_Var1!$1:$8</definedName>
    <definedName name="_xlnm.Print_Titles" localSheetId="10">WR_Var2!$1:$8</definedName>
    <definedName name="_xlnm.Print_Titles" localSheetId="12">WR_Var3!$1:$8</definedName>
    <definedName name="_xlnm.Print_Titles" localSheetId="14">WR_Var4!$1:$8</definedName>
    <definedName name="Eigener_Brennstoff">Grunddaten!$C$51</definedName>
    <definedName name="El_Produkt">Grunddaten!$AQ$44</definedName>
    <definedName name="FW_Produkt">Grunddaten!$AQ$54</definedName>
    <definedName name="Gasbrennstoffe">Berechnungen!$A$33:$A$34</definedName>
    <definedName name="Neu_in_Version">INFO!$A$84</definedName>
    <definedName name="Nutzungskategorien">Grunddaten!$A$108:$A$118</definedName>
    <definedName name="testrange" localSheetId="9">DK_Var1!$BP$7</definedName>
    <definedName name="testrange">WR_Var1!#REF!</definedName>
    <definedName name="Vorgaben_Jahresarbeitszahl_Kältemaschine">Grunddaten!$N$129:$Y$129</definedName>
    <definedName name="WR_Var1_PBreak1" localSheetId="9">DK_Var1!$A$102</definedName>
    <definedName name="WR_Var1_PBreak1" localSheetId="11">WR_Var1!#REF!</definedName>
    <definedName name="WR_Var1_PBreak1" localSheetId="13">WR_Var1!#REF!</definedName>
    <definedName name="WR_Var1_PBreak1" localSheetId="15">WR_Var1!#REF!</definedName>
    <definedName name="WR_Var1_PBreak1">WR_Var1!#REF!</definedName>
    <definedName name="WR_Var1_PBreak2" localSheetId="9">DK_Var1!$A$162</definedName>
    <definedName name="WR_Var1_PBreak2" localSheetId="11">WR_Var1!#REF!</definedName>
    <definedName name="WR_Var1_PBreak2" localSheetId="13">WR_Var1!#REF!</definedName>
    <definedName name="WR_Var1_PBreak2" localSheetId="15">WR_Var1!#REF!</definedName>
    <definedName name="WR_Var1_PBreak2">WR_Var1!#REF!</definedName>
    <definedName name="WR_Var1_PBreak3" localSheetId="9">DK_Var1!$A$222</definedName>
    <definedName name="WR_Var1_PBreak3" localSheetId="11">WR_Var1!#REF!</definedName>
    <definedName name="WR_Var1_PBreak3" localSheetId="13">WR_Var1!#REF!</definedName>
    <definedName name="WR_Var1_PBreak3" localSheetId="15">WR_Var1!#REF!</definedName>
    <definedName name="WR_Var1_PBreak3">WR_Var1!#REF!</definedName>
    <definedName name="WR_Var1_PBreak4" localSheetId="9">DK_Var1!$A$282</definedName>
    <definedName name="WR_Var1_PBreak4" localSheetId="11">WR_Var1!#REF!</definedName>
    <definedName name="WR_Var1_PBreak4" localSheetId="13">WR_Var1!#REF!</definedName>
    <definedName name="WR_Var1_PBreak4" localSheetId="15">WR_Var1!#REF!</definedName>
    <definedName name="WR_Var1_PBreak4">WR_Var1!#REF!</definedName>
    <definedName name="WR_Var1_PBreak5" localSheetId="9">DK_Var1!$A$341</definedName>
    <definedName name="WR_Var1_PBreak5" localSheetId="11">WR_Var1!#REF!</definedName>
    <definedName name="WR_Var1_PBreak5" localSheetId="13">WR_Var1!#REF!</definedName>
    <definedName name="WR_Var1_PBreak5" localSheetId="15">WR_Var1!#REF!</definedName>
    <definedName name="WR_Var1_PBreak5">WR_Var1!#REF!</definedName>
    <definedName name="WR_Var1_PBreakS1" localSheetId="9">DK_Var1!#REF!</definedName>
    <definedName name="WR_Var1_PBreakS1">WR_Var1!$A$81</definedName>
    <definedName name="WR_Var1_PrintArea_Invest" localSheetId="9">DK_Var1!$A$7:$M$404</definedName>
    <definedName name="WR_Var1_PrintArea_Invest">WR_Var1!$A$1:$N$39</definedName>
    <definedName name="WR_Var1_PrintArea_Summary" localSheetId="9">DK_Var1!$A$7:$M$404</definedName>
    <definedName name="WR_Var1_PrintArea_Summary">WR_Var1!$A$1:$N$120</definedName>
    <definedName name="WR_Var2_PBreak1" localSheetId="11">DK_Var2!$A$102</definedName>
    <definedName name="WR_Var2_PBreak1" localSheetId="13">WR_Var2!#REF!</definedName>
    <definedName name="WR_Var2_PBreak1" localSheetId="15">WR_Var2!#REF!</definedName>
    <definedName name="WR_Var2_PBreak1">WR_Var2!#REF!</definedName>
    <definedName name="WR_Var2_PBreak2" localSheetId="11">DK_Var2!$A$162</definedName>
    <definedName name="WR_Var2_PBreak2" localSheetId="13">WR_Var2!#REF!</definedName>
    <definedName name="WR_Var2_PBreak2" localSheetId="15">WR_Var2!#REF!</definedName>
    <definedName name="WR_Var2_PBreak2">WR_Var2!#REF!</definedName>
    <definedName name="WR_Var2_PBreak3" localSheetId="11">DK_Var2!$A$222</definedName>
    <definedName name="WR_Var2_PBreak3" localSheetId="13">WR_Var2!#REF!</definedName>
    <definedName name="WR_Var2_PBreak3" localSheetId="15">WR_Var2!#REF!</definedName>
    <definedName name="WR_Var2_PBreak3">WR_Var2!#REF!</definedName>
    <definedName name="WR_Var2_PBreak4" localSheetId="11">DK_Var2!$A$282</definedName>
    <definedName name="WR_Var2_PBreak4" localSheetId="13">WR_Var2!#REF!</definedName>
    <definedName name="WR_Var2_PBreak4" localSheetId="15">WR_Var2!#REF!</definedName>
    <definedName name="WR_Var2_PBreak4">WR_Var2!#REF!</definedName>
    <definedName name="WR_Var2_PBreak5" localSheetId="11">DK_Var2!$A$341</definedName>
    <definedName name="WR_Var2_PBreak5" localSheetId="13">WR_Var2!#REF!</definedName>
    <definedName name="WR_Var2_PBreak5" localSheetId="15">WR_Var2!#REF!</definedName>
    <definedName name="WR_Var2_PBreak5">WR_Var2!#REF!</definedName>
    <definedName name="WR_Var2_PBreakS1" localSheetId="11">DK_Var2!#REF!</definedName>
    <definedName name="WR_Var2_PBreakS1">WR_Var2!$A$81</definedName>
    <definedName name="WR_Var2_Printarea_Invest" localSheetId="11">DK_Var2!$A$1:$M$404</definedName>
    <definedName name="WR_Var2_Printarea_Invest">WR_Var2!$A$1:$N$39</definedName>
    <definedName name="WR_Var2_Printarea_Summary" localSheetId="11">DK_Var2!$A$1:$M$404</definedName>
    <definedName name="WR_Var2_Printarea_Summary">WR_Var2!$A$1:$N$120</definedName>
    <definedName name="WR_Var3_PBreak1" localSheetId="13">DK_Var3!$A$102</definedName>
    <definedName name="WR_Var3_PBreak1" localSheetId="15">WR_Var3!#REF!</definedName>
    <definedName name="WR_Var3_PBreak1">WR_Var3!#REF!</definedName>
    <definedName name="WR_Var3_PBreak2" localSheetId="13">DK_Var3!$A$162</definedName>
    <definedName name="WR_Var3_PBreak2" localSheetId="15">WR_Var3!#REF!</definedName>
    <definedName name="WR_Var3_PBreak2">WR_Var3!#REF!</definedName>
    <definedName name="WR_Var3_PBreak3" localSheetId="13">DK_Var3!$A$222</definedName>
    <definedName name="WR_Var3_PBreak3" localSheetId="15">WR_Var3!#REF!</definedName>
    <definedName name="WR_Var3_PBreak3">WR_Var3!#REF!</definedName>
    <definedName name="WR_Var3_PBreak4" localSheetId="13">DK_Var3!$A$282</definedName>
    <definedName name="WR_Var3_PBreak4" localSheetId="15">WR_Var3!#REF!</definedName>
    <definedName name="WR_Var3_PBreak4">WR_Var3!#REF!</definedName>
    <definedName name="WR_Var3_PBreak5" localSheetId="13">DK_Var3!$A$341</definedName>
    <definedName name="WR_Var3_PBreak5" localSheetId="15">WR_Var3!#REF!</definedName>
    <definedName name="WR_Var3_PBreak5">WR_Var3!#REF!</definedName>
    <definedName name="WR_Var3_PBreakS1" localSheetId="13">DK_Var3!#REF!</definedName>
    <definedName name="WR_Var3_PBreakS1">WR_Var3!$A$81</definedName>
    <definedName name="WR_Var3_Printarea_Invest" localSheetId="13">DK_Var3!$A$1:$M$404</definedName>
    <definedName name="WR_Var3_Printarea_Invest">WR_Var3!$A$1:$N$39</definedName>
    <definedName name="WR_Var3_Printarea_Summary" localSheetId="13">DK_Var3!$A$1:$M$404</definedName>
    <definedName name="WR_Var3_Printarea_Summary">WR_Var3!$A$1:$N$120</definedName>
    <definedName name="WR_Var4_PBreak1" localSheetId="15">DK_Var4!$A$102</definedName>
    <definedName name="WR_Var4_PBreak1">WR_Var4!#REF!</definedName>
    <definedName name="WR_Var4_PBreak2" localSheetId="15">DK_Var4!$A$162</definedName>
    <definedName name="WR_Var4_PBreak2">WR_Var4!#REF!</definedName>
    <definedName name="WR_Var4_PBreak3" localSheetId="15">DK_Var4!$A$222</definedName>
    <definedName name="WR_Var4_PBreak3">WR_Var4!#REF!</definedName>
    <definedName name="WR_Var4_PBreak4" localSheetId="15">DK_Var4!$A$282</definedName>
    <definedName name="WR_Var4_PBreak4">WR_Var4!#REF!</definedName>
    <definedName name="WR_Var4_PBreak5" localSheetId="15">DK_Var4!$A$341</definedName>
    <definedName name="WR_Var4_PBreak5">WR_Var4!#REF!</definedName>
    <definedName name="WR_Var4_PBreakS1" localSheetId="15">DK_Var4!#REF!</definedName>
    <definedName name="WR_Var4_PBreakS1">WR_Var4!$A$81</definedName>
    <definedName name="WR_Var4_Printarea_Invest" localSheetId="15">DK_Var4!$A$1:$M$404</definedName>
    <definedName name="WR_Var4_Printarea_Invest">WR_Var4!$A$1:$N$39</definedName>
    <definedName name="WR_Var4_Printarea_Summary" localSheetId="15">DK_Var4!$A$1:$M$404</definedName>
    <definedName name="WR_Var4_Printarea_Summary">WR_Var4!$A$1:$N$120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03" i="40" l="1"/>
  <c r="R103" i="40"/>
  <c r="R102" i="40"/>
  <c r="U101" i="40"/>
  <c r="R101" i="40"/>
  <c r="O101" i="40"/>
  <c r="U100" i="40" l="1"/>
  <c r="R100" i="40"/>
  <c r="O100" i="40"/>
  <c r="W53" i="40" l="1"/>
  <c r="U53" i="40"/>
  <c r="U50" i="40"/>
  <c r="U49" i="40"/>
  <c r="U47" i="40"/>
  <c r="U46" i="40"/>
  <c r="U45" i="40"/>
  <c r="K53" i="40"/>
  <c r="K46" i="40"/>
  <c r="K42" i="40"/>
  <c r="K41" i="40"/>
  <c r="K44" i="40"/>
  <c r="K43" i="40"/>
  <c r="K26" i="40"/>
  <c r="K25" i="40"/>
  <c r="K24" i="40"/>
  <c r="K23" i="40"/>
  <c r="K22" i="40"/>
  <c r="M26" i="40"/>
  <c r="M25" i="40"/>
  <c r="O26" i="40"/>
  <c r="O25" i="40"/>
  <c r="O24" i="40"/>
  <c r="O23" i="40"/>
  <c r="M24" i="40"/>
  <c r="M23" i="40"/>
  <c r="M22" i="40"/>
  <c r="O22" i="40"/>
  <c r="O21" i="40"/>
  <c r="M21" i="40"/>
  <c r="I21" i="40"/>
  <c r="K21" i="40"/>
  <c r="I23" i="40" l="1"/>
  <c r="I25" i="40" s="1"/>
  <c r="I27" i="40" s="1"/>
  <c r="U17" i="40"/>
  <c r="U103" i="40"/>
  <c r="U102" i="40"/>
  <c r="O102" i="40" l="1"/>
  <c r="F15" i="34"/>
  <c r="K48" i="40" l="1"/>
  <c r="AD66" i="40" l="1"/>
  <c r="K20" i="40" l="1"/>
  <c r="AC27" i="40"/>
  <c r="AA27" i="40"/>
  <c r="W27" i="40"/>
  <c r="Y27" i="40" l="1"/>
  <c r="K18" i="40"/>
  <c r="K19" i="40"/>
  <c r="E29" i="53" l="1"/>
  <c r="E24" i="53"/>
  <c r="X37" i="53"/>
  <c r="X36" i="53"/>
  <c r="D24" i="53" s="1"/>
  <c r="X35" i="53"/>
  <c r="X34" i="53"/>
  <c r="E29" i="52"/>
  <c r="E24" i="52"/>
  <c r="X37" i="52"/>
  <c r="X36" i="52"/>
  <c r="D24" i="52" s="1"/>
  <c r="X35" i="52"/>
  <c r="X34" i="52"/>
  <c r="E60" i="45"/>
  <c r="X37" i="47"/>
  <c r="X36" i="47"/>
  <c r="A25" i="47" s="1"/>
  <c r="X35" i="47"/>
  <c r="X34" i="47"/>
  <c r="X37" i="45"/>
  <c r="X36" i="45"/>
  <c r="A29" i="45" s="1"/>
  <c r="X35" i="45"/>
  <c r="X34" i="45"/>
  <c r="A25" i="53" l="1"/>
  <c r="A25" i="52"/>
  <c r="E25" i="53"/>
  <c r="E25" i="52"/>
  <c r="A21" i="45"/>
  <c r="A29" i="53"/>
  <c r="E30" i="53" s="1"/>
  <c r="E27" i="53" s="1"/>
  <c r="D20" i="45"/>
  <c r="A29" i="52"/>
  <c r="E30" i="52" s="1"/>
  <c r="E27" i="52" s="1"/>
  <c r="D24" i="45"/>
  <c r="D20" i="47"/>
  <c r="D60" i="45"/>
  <c r="D20" i="52"/>
  <c r="D20" i="53"/>
  <c r="D60" i="53"/>
  <c r="A29" i="47"/>
  <c r="D29" i="47" s="1"/>
  <c r="E61" i="45"/>
  <c r="A61" i="45"/>
  <c r="A25" i="45"/>
  <c r="A21" i="47"/>
  <c r="D60" i="47"/>
  <c r="A21" i="52"/>
  <c r="D60" i="52"/>
  <c r="A21" i="53"/>
  <c r="A61" i="53"/>
  <c r="D24" i="47"/>
  <c r="A61" i="47"/>
  <c r="E21" i="52"/>
  <c r="A61" i="52"/>
  <c r="D29" i="45"/>
  <c r="A30" i="45"/>
  <c r="B72" i="34"/>
  <c r="B75" i="34"/>
  <c r="B74" i="34"/>
  <c r="A30" i="53" l="1"/>
  <c r="D29" i="52"/>
  <c r="A30" i="52"/>
  <c r="D29" i="53"/>
  <c r="A30" i="47"/>
  <c r="M28" i="40" l="1"/>
  <c r="M27" i="40"/>
  <c r="S46" i="40" l="1"/>
  <c r="J8" i="7" l="1"/>
  <c r="H8" i="7"/>
  <c r="F8" i="7"/>
  <c r="G4" i="7"/>
  <c r="G3" i="7"/>
  <c r="A2" i="7"/>
  <c r="U5" i="1"/>
  <c r="U4" i="1"/>
  <c r="U3" i="1"/>
  <c r="H5" i="59"/>
  <c r="H4" i="59"/>
  <c r="H3" i="59"/>
  <c r="H5" i="58"/>
  <c r="H4" i="58"/>
  <c r="H3" i="58"/>
  <c r="H5" i="57"/>
  <c r="H4" i="57"/>
  <c r="H3" i="57"/>
  <c r="H5" i="56"/>
  <c r="H4" i="56"/>
  <c r="H3" i="56"/>
  <c r="I5" i="55"/>
  <c r="I4" i="55"/>
  <c r="I3" i="55"/>
  <c r="I5" i="54"/>
  <c r="I4" i="54"/>
  <c r="I3" i="54"/>
  <c r="I5" i="46"/>
  <c r="I4" i="46"/>
  <c r="I3" i="46"/>
  <c r="I5" i="24"/>
  <c r="I4" i="24"/>
  <c r="I3" i="24"/>
  <c r="N5" i="53"/>
  <c r="N4" i="53"/>
  <c r="N3" i="53"/>
  <c r="N5" i="52"/>
  <c r="N4" i="52"/>
  <c r="N3" i="52"/>
  <c r="N5" i="47"/>
  <c r="N4" i="47"/>
  <c r="N3" i="47"/>
  <c r="N5" i="45"/>
  <c r="N4" i="45"/>
  <c r="N3" i="45"/>
  <c r="Z5" i="40"/>
  <c r="Z4" i="40"/>
  <c r="Z3" i="40"/>
  <c r="A2" i="1"/>
  <c r="Z7" i="1"/>
  <c r="S7" i="1"/>
  <c r="L7" i="1"/>
  <c r="F7" i="59" l="1"/>
  <c r="B7" i="59"/>
  <c r="A2" i="59"/>
  <c r="F7" i="58"/>
  <c r="B7" i="58"/>
  <c r="A2" i="58"/>
  <c r="B7" i="57"/>
  <c r="F7" i="57"/>
  <c r="A2" i="57"/>
  <c r="F7" i="56"/>
  <c r="B7" i="56"/>
  <c r="A2" i="56"/>
  <c r="F7" i="55"/>
  <c r="B7" i="55"/>
  <c r="A2" i="55"/>
  <c r="F7" i="54"/>
  <c r="B7" i="54"/>
  <c r="A2" i="54"/>
  <c r="B7" i="46"/>
  <c r="F7" i="46" l="1"/>
  <c r="A2" i="46"/>
  <c r="F7" i="24"/>
  <c r="B7" i="24"/>
  <c r="A2" i="24"/>
  <c r="A2" i="53"/>
  <c r="A2" i="52"/>
  <c r="A2" i="47"/>
  <c r="K27" i="40" l="1"/>
  <c r="K28" i="40"/>
  <c r="O27" i="40"/>
  <c r="O28" i="40"/>
  <c r="D69" i="40"/>
  <c r="D68" i="40"/>
  <c r="D67" i="40"/>
  <c r="AH40" i="40" l="1"/>
  <c r="S40" i="40"/>
  <c r="CQ40" i="40" s="1"/>
  <c r="AH39" i="40"/>
  <c r="S39" i="40"/>
  <c r="CN39" i="40" s="1"/>
  <c r="AH38" i="40"/>
  <c r="S38" i="40"/>
  <c r="CK38" i="40" s="1"/>
  <c r="AI37" i="40"/>
  <c r="AH37" i="40"/>
  <c r="S37" i="40"/>
  <c r="CP37" i="40" s="1"/>
  <c r="AH36" i="40"/>
  <c r="S36" i="40"/>
  <c r="CQ36" i="40" s="1"/>
  <c r="AH35" i="40"/>
  <c r="S35" i="40"/>
  <c r="CN35" i="40" s="1"/>
  <c r="AH34" i="40"/>
  <c r="S34" i="40"/>
  <c r="CK34" i="40" s="1"/>
  <c r="AI33" i="40"/>
  <c r="AH33" i="40"/>
  <c r="S33" i="40"/>
  <c r="CP33" i="40" s="1"/>
  <c r="AI27" i="40"/>
  <c r="A2" i="40"/>
  <c r="BO37" i="40" l="1"/>
  <c r="CD33" i="40"/>
  <c r="AX33" i="40"/>
  <c r="CD35" i="40"/>
  <c r="BD37" i="40"/>
  <c r="CM37" i="40"/>
  <c r="BD33" i="40"/>
  <c r="CG35" i="40"/>
  <c r="BK37" i="40"/>
  <c r="AW33" i="40"/>
  <c r="AJ37" i="40"/>
  <c r="AL37" i="40" s="1"/>
  <c r="BV33" i="40"/>
  <c r="BN37" i="40"/>
  <c r="AS35" i="40"/>
  <c r="CB37" i="40"/>
  <c r="AX38" i="40"/>
  <c r="CK33" i="40"/>
  <c r="BA35" i="40"/>
  <c r="CI37" i="40"/>
  <c r="CQ35" i="40"/>
  <c r="AT35" i="40"/>
  <c r="CQ33" i="40"/>
  <c r="BF35" i="40"/>
  <c r="CL37" i="40"/>
  <c r="CJ36" i="40"/>
  <c r="BE37" i="40"/>
  <c r="CC37" i="40"/>
  <c r="BK33" i="40"/>
  <c r="BL35" i="40"/>
  <c r="AW36" i="40"/>
  <c r="AS37" i="40"/>
  <c r="BQ37" i="40"/>
  <c r="CQ37" i="40"/>
  <c r="AX40" i="40"/>
  <c r="BS33" i="40"/>
  <c r="BF34" i="40"/>
  <c r="BS35" i="40"/>
  <c r="BD36" i="40"/>
  <c r="AW37" i="40"/>
  <c r="BV37" i="40"/>
  <c r="BF40" i="40"/>
  <c r="BU33" i="40"/>
  <c r="BZ35" i="40"/>
  <c r="BM36" i="40"/>
  <c r="BC37" i="40"/>
  <c r="CA37" i="40"/>
  <c r="BU40" i="40"/>
  <c r="BD39" i="40"/>
  <c r="CK39" i="40"/>
  <c r="AJ33" i="40"/>
  <c r="AL33" i="40" s="1"/>
  <c r="BL33" i="40"/>
  <c r="CI33" i="40"/>
  <c r="CL34" i="40"/>
  <c r="AY37" i="40"/>
  <c r="BL37" i="40"/>
  <c r="BW37" i="40"/>
  <c r="CJ37" i="40"/>
  <c r="BF38" i="40"/>
  <c r="BE39" i="40"/>
  <c r="CQ39" i="40"/>
  <c r="AV33" i="40"/>
  <c r="BP33" i="40"/>
  <c r="CJ33" i="40"/>
  <c r="BR35" i="40"/>
  <c r="BA37" i="40"/>
  <c r="BM37" i="40"/>
  <c r="BY37" i="40"/>
  <c r="CK37" i="40"/>
  <c r="CL38" i="40"/>
  <c r="BL39" i="40"/>
  <c r="BS39" i="40"/>
  <c r="BZ39" i="40"/>
  <c r="BT36" i="40"/>
  <c r="AU37" i="40"/>
  <c r="BF37" i="40"/>
  <c r="BS37" i="40"/>
  <c r="CE37" i="40"/>
  <c r="AT39" i="40"/>
  <c r="CC39" i="40"/>
  <c r="BR39" i="40"/>
  <c r="AS39" i="40"/>
  <c r="BE33" i="40"/>
  <c r="BX33" i="40"/>
  <c r="BH33" i="40"/>
  <c r="CC33" i="40"/>
  <c r="AX34" i="40"/>
  <c r="BD35" i="40"/>
  <c r="CL35" i="40"/>
  <c r="CC36" i="40"/>
  <c r="AV37" i="40"/>
  <c r="BG37" i="40"/>
  <c r="BU37" i="40"/>
  <c r="CG37" i="40"/>
  <c r="BA39" i="40"/>
  <c r="CG39" i="40"/>
  <c r="CC40" i="40"/>
  <c r="BB35" i="40"/>
  <c r="BN35" i="40"/>
  <c r="CA35" i="40"/>
  <c r="CO35" i="40"/>
  <c r="AX36" i="40"/>
  <c r="BN36" i="40"/>
  <c r="CD36" i="40"/>
  <c r="BB39" i="40"/>
  <c r="BM39" i="40"/>
  <c r="CA39" i="40"/>
  <c r="CO39" i="40"/>
  <c r="BD40" i="40"/>
  <c r="BV40" i="40"/>
  <c r="AU33" i="40"/>
  <c r="BF33" i="40"/>
  <c r="BT33" i="40"/>
  <c r="CF33" i="40"/>
  <c r="BC35" i="40"/>
  <c r="BQ35" i="40"/>
  <c r="CB35" i="40"/>
  <c r="CP35" i="40"/>
  <c r="BA36" i="40"/>
  <c r="BQ36" i="40"/>
  <c r="CG36" i="40"/>
  <c r="BC39" i="40"/>
  <c r="BQ39" i="40"/>
  <c r="CB39" i="40"/>
  <c r="CP39" i="40"/>
  <c r="BE40" i="40"/>
  <c r="CB40" i="40"/>
  <c r="BE36" i="40"/>
  <c r="CK36" i="40"/>
  <c r="CD40" i="40"/>
  <c r="BN34" i="40"/>
  <c r="AU35" i="40"/>
  <c r="BI35" i="40"/>
  <c r="BT35" i="40"/>
  <c r="BF36" i="40"/>
  <c r="BV36" i="40"/>
  <c r="CL36" i="40"/>
  <c r="BN38" i="40"/>
  <c r="AU39" i="40"/>
  <c r="BI39" i="40"/>
  <c r="BT39" i="40"/>
  <c r="CH39" i="40"/>
  <c r="BM40" i="40"/>
  <c r="CJ40" i="40"/>
  <c r="AZ33" i="40"/>
  <c r="BM33" i="40"/>
  <c r="CA33" i="40"/>
  <c r="CL33" i="40"/>
  <c r="BV34" i="40"/>
  <c r="AV35" i="40"/>
  <c r="BJ35" i="40"/>
  <c r="BV35" i="40"/>
  <c r="CI35" i="40"/>
  <c r="AS36" i="40"/>
  <c r="BI36" i="40"/>
  <c r="BY36" i="40"/>
  <c r="CO36" i="40"/>
  <c r="BV38" i="40"/>
  <c r="AV39" i="40"/>
  <c r="BJ39" i="40"/>
  <c r="BU39" i="40"/>
  <c r="CI39" i="40"/>
  <c r="AV40" i="40"/>
  <c r="BN40" i="40"/>
  <c r="CK40" i="40"/>
  <c r="BU36" i="40"/>
  <c r="BL40" i="40"/>
  <c r="CH35" i="40"/>
  <c r="BC33" i="40"/>
  <c r="BN33" i="40"/>
  <c r="CB33" i="40"/>
  <c r="CN33" i="40"/>
  <c r="CD34" i="40"/>
  <c r="AX35" i="40"/>
  <c r="BK35" i="40"/>
  <c r="BY35" i="40"/>
  <c r="CJ35" i="40"/>
  <c r="AV36" i="40"/>
  <c r="BL36" i="40"/>
  <c r="CB36" i="40"/>
  <c r="AX37" i="40"/>
  <c r="BI37" i="40"/>
  <c r="BT37" i="40"/>
  <c r="CD37" i="40"/>
  <c r="CO37" i="40"/>
  <c r="CD38" i="40"/>
  <c r="AW39" i="40"/>
  <c r="BK39" i="40"/>
  <c r="BY39" i="40"/>
  <c r="CJ39" i="40"/>
  <c r="AW40" i="40"/>
  <c r="BT40" i="40"/>
  <c r="CL40" i="40"/>
  <c r="AY38" i="40"/>
  <c r="BP38" i="40"/>
  <c r="CN38" i="40"/>
  <c r="BQ38" i="40"/>
  <c r="CG38" i="40"/>
  <c r="AY40" i="40"/>
  <c r="BO40" i="40"/>
  <c r="BW40" i="40"/>
  <c r="AT38" i="40"/>
  <c r="BB38" i="40"/>
  <c r="BJ38" i="40"/>
  <c r="BR38" i="40"/>
  <c r="BZ38" i="40"/>
  <c r="CH38" i="40"/>
  <c r="CP38" i="40"/>
  <c r="AZ40" i="40"/>
  <c r="BH40" i="40"/>
  <c r="BP40" i="40"/>
  <c r="BX40" i="40"/>
  <c r="CF40" i="40"/>
  <c r="CN40" i="40"/>
  <c r="AZ37" i="40"/>
  <c r="BH37" i="40"/>
  <c r="BP37" i="40"/>
  <c r="BX37" i="40"/>
  <c r="CF37" i="40"/>
  <c r="CN37" i="40"/>
  <c r="AU38" i="40"/>
  <c r="BC38" i="40"/>
  <c r="BK38" i="40"/>
  <c r="BS38" i="40"/>
  <c r="CA38" i="40"/>
  <c r="CI38" i="40"/>
  <c r="CQ38" i="40"/>
  <c r="AX39" i="40"/>
  <c r="BF39" i="40"/>
  <c r="BN39" i="40"/>
  <c r="BV39" i="40"/>
  <c r="CD39" i="40"/>
  <c r="CL39" i="40"/>
  <c r="AS40" i="40"/>
  <c r="BA40" i="40"/>
  <c r="BI40" i="40"/>
  <c r="BQ40" i="40"/>
  <c r="BY40" i="40"/>
  <c r="CG40" i="40"/>
  <c r="CO40" i="40"/>
  <c r="BO38" i="40"/>
  <c r="CE38" i="40"/>
  <c r="BA38" i="40"/>
  <c r="CO38" i="40"/>
  <c r="CE40" i="40"/>
  <c r="AV38" i="40"/>
  <c r="BD38" i="40"/>
  <c r="BL38" i="40"/>
  <c r="BT38" i="40"/>
  <c r="CB38" i="40"/>
  <c r="CJ38" i="40"/>
  <c r="AY39" i="40"/>
  <c r="BG39" i="40"/>
  <c r="BO39" i="40"/>
  <c r="BW39" i="40"/>
  <c r="CE39" i="40"/>
  <c r="CM39" i="40"/>
  <c r="AT40" i="40"/>
  <c r="BB40" i="40"/>
  <c r="BJ40" i="40"/>
  <c r="BR40" i="40"/>
  <c r="BZ40" i="40"/>
  <c r="CH40" i="40"/>
  <c r="CP40" i="40"/>
  <c r="BG38" i="40"/>
  <c r="BW38" i="40"/>
  <c r="CM38" i="40"/>
  <c r="AZ38" i="40"/>
  <c r="BH38" i="40"/>
  <c r="BX38" i="40"/>
  <c r="CF38" i="40"/>
  <c r="AK37" i="40"/>
  <c r="AM37" i="40" s="1"/>
  <c r="AS38" i="40"/>
  <c r="BI38" i="40"/>
  <c r="BY38" i="40"/>
  <c r="BG40" i="40"/>
  <c r="CM40" i="40"/>
  <c r="AT37" i="40"/>
  <c r="BB37" i="40"/>
  <c r="BJ37" i="40"/>
  <c r="BR37" i="40"/>
  <c r="BZ37" i="40"/>
  <c r="CH37" i="40"/>
  <c r="AW38" i="40"/>
  <c r="BE38" i="40"/>
  <c r="BM38" i="40"/>
  <c r="BU38" i="40"/>
  <c r="CC38" i="40"/>
  <c r="AZ39" i="40"/>
  <c r="BH39" i="40"/>
  <c r="BP39" i="40"/>
  <c r="BX39" i="40"/>
  <c r="CF39" i="40"/>
  <c r="AU40" i="40"/>
  <c r="BC40" i="40"/>
  <c r="BK40" i="40"/>
  <c r="BS40" i="40"/>
  <c r="CA40" i="40"/>
  <c r="CI40" i="40"/>
  <c r="AY34" i="40"/>
  <c r="BO34" i="40"/>
  <c r="CE34" i="40"/>
  <c r="CM34" i="40"/>
  <c r="BP34" i="40"/>
  <c r="CF34" i="40"/>
  <c r="AK33" i="40"/>
  <c r="AM33" i="40" s="1"/>
  <c r="AS34" i="40"/>
  <c r="BA34" i="40"/>
  <c r="BI34" i="40"/>
  <c r="BQ34" i="40"/>
  <c r="BY34" i="40"/>
  <c r="CG34" i="40"/>
  <c r="CO34" i="40"/>
  <c r="AY36" i="40"/>
  <c r="BG36" i="40"/>
  <c r="BO36" i="40"/>
  <c r="BW36" i="40"/>
  <c r="CE36" i="40"/>
  <c r="CM36" i="40"/>
  <c r="AY33" i="40"/>
  <c r="BG33" i="40"/>
  <c r="BO33" i="40"/>
  <c r="BW33" i="40"/>
  <c r="CE33" i="40"/>
  <c r="CM33" i="40"/>
  <c r="AT34" i="40"/>
  <c r="BB34" i="40"/>
  <c r="BJ34" i="40"/>
  <c r="BR34" i="40"/>
  <c r="BZ34" i="40"/>
  <c r="CH34" i="40"/>
  <c r="CP34" i="40"/>
  <c r="AW35" i="40"/>
  <c r="BE35" i="40"/>
  <c r="BM35" i="40"/>
  <c r="BU35" i="40"/>
  <c r="CC35" i="40"/>
  <c r="CK35" i="40"/>
  <c r="AZ36" i="40"/>
  <c r="BH36" i="40"/>
  <c r="BP36" i="40"/>
  <c r="BX36" i="40"/>
  <c r="CF36" i="40"/>
  <c r="CN36" i="40"/>
  <c r="BG34" i="40"/>
  <c r="AZ34" i="40"/>
  <c r="AU34" i="40"/>
  <c r="BK34" i="40"/>
  <c r="CI34" i="40"/>
  <c r="AS33" i="40"/>
  <c r="BA33" i="40"/>
  <c r="BI33" i="40"/>
  <c r="BQ33" i="40"/>
  <c r="BY33" i="40"/>
  <c r="CG33" i="40"/>
  <c r="CO33" i="40"/>
  <c r="AV34" i="40"/>
  <c r="BD34" i="40"/>
  <c r="BL34" i="40"/>
  <c r="BT34" i="40"/>
  <c r="CB34" i="40"/>
  <c r="CJ34" i="40"/>
  <c r="AY35" i="40"/>
  <c r="BG35" i="40"/>
  <c r="BO35" i="40"/>
  <c r="BW35" i="40"/>
  <c r="CE35" i="40"/>
  <c r="CM35" i="40"/>
  <c r="AT36" i="40"/>
  <c r="BB36" i="40"/>
  <c r="BJ36" i="40"/>
  <c r="BR36" i="40"/>
  <c r="BZ36" i="40"/>
  <c r="CH36" i="40"/>
  <c r="CP36" i="40"/>
  <c r="BW34" i="40"/>
  <c r="BH34" i="40"/>
  <c r="BX34" i="40"/>
  <c r="CN34" i="40"/>
  <c r="BC34" i="40"/>
  <c r="BS34" i="40"/>
  <c r="CA34" i="40"/>
  <c r="CQ34" i="40"/>
  <c r="AT33" i="40"/>
  <c r="BB33" i="40"/>
  <c r="BJ33" i="40"/>
  <c r="BR33" i="40"/>
  <c r="BZ33" i="40"/>
  <c r="CH33" i="40"/>
  <c r="AW34" i="40"/>
  <c r="BE34" i="40"/>
  <c r="BM34" i="40"/>
  <c r="BU34" i="40"/>
  <c r="CC34" i="40"/>
  <c r="AZ35" i="40"/>
  <c r="BH35" i="40"/>
  <c r="BP35" i="40"/>
  <c r="BX35" i="40"/>
  <c r="CF35" i="40"/>
  <c r="AU36" i="40"/>
  <c r="BC36" i="40"/>
  <c r="BK36" i="40"/>
  <c r="BS36" i="40"/>
  <c r="CA36" i="40"/>
  <c r="CI36" i="40"/>
  <c r="S28" i="40"/>
  <c r="AK27" i="40" s="1"/>
  <c r="S27" i="40"/>
  <c r="A2" i="34"/>
  <c r="AJ27" i="40" l="1"/>
  <c r="AL27" i="40"/>
  <c r="AM27" i="40"/>
  <c r="A2" i="39"/>
  <c r="L5" i="59" l="1"/>
  <c r="L5" i="57" l="1"/>
  <c r="L5" i="58"/>
  <c r="M5" i="54"/>
  <c r="M5" i="55"/>
  <c r="S5" i="53"/>
  <c r="M5" i="46"/>
  <c r="S5" i="47"/>
  <c r="S5" i="52"/>
  <c r="L5" i="56"/>
  <c r="N106" i="7" l="1"/>
  <c r="R69" i="34"/>
  <c r="Q69" i="34"/>
  <c r="K35" i="34"/>
  <c r="A74" i="55" l="1"/>
  <c r="A73" i="55"/>
  <c r="B72" i="55"/>
  <c r="B101" i="55" s="1"/>
  <c r="A72" i="55"/>
  <c r="A71" i="55"/>
  <c r="A70" i="55"/>
  <c r="A74" i="54"/>
  <c r="A73" i="54"/>
  <c r="B72" i="54"/>
  <c r="B101" i="54" s="1"/>
  <c r="A72" i="54"/>
  <c r="A71" i="54"/>
  <c r="A70" i="54"/>
  <c r="A74" i="46"/>
  <c r="A73" i="46"/>
  <c r="B72" i="46"/>
  <c r="B101" i="46" s="1"/>
  <c r="A72" i="46"/>
  <c r="A71" i="46"/>
  <c r="A70" i="46"/>
  <c r="B72" i="24"/>
  <c r="B101" i="24" s="1"/>
  <c r="A75" i="24"/>
  <c r="A74" i="24"/>
  <c r="A73" i="24"/>
  <c r="A72" i="24"/>
  <c r="A71" i="24"/>
  <c r="A70" i="24"/>
  <c r="G5" i="7" l="1"/>
  <c r="D5" i="1" l="1"/>
  <c r="A113" i="7" l="1"/>
  <c r="H14" i="7"/>
  <c r="D8" i="7"/>
  <c r="F14" i="7" l="1"/>
  <c r="H15" i="7"/>
  <c r="F15" i="7"/>
  <c r="J13" i="7"/>
  <c r="H13" i="7"/>
  <c r="J14" i="7"/>
  <c r="F13" i="7"/>
  <c r="J15" i="7"/>
  <c r="D13" i="7"/>
  <c r="D14" i="7"/>
  <c r="D15" i="7"/>
  <c r="W121" i="40" l="1"/>
  <c r="T121" i="40"/>
  <c r="Q121" i="40"/>
  <c r="N121" i="40"/>
  <c r="K121" i="40"/>
  <c r="B76" i="55" l="1"/>
  <c r="B105" i="55" s="1"/>
  <c r="B61" i="55"/>
  <c r="B76" i="54"/>
  <c r="B105" i="54" s="1"/>
  <c r="B61" i="54"/>
  <c r="B76" i="46"/>
  <c r="B105" i="46" s="1"/>
  <c r="B61" i="46"/>
  <c r="B76" i="24"/>
  <c r="B105" i="24" s="1"/>
  <c r="B61" i="24"/>
  <c r="G69" i="34"/>
  <c r="G68" i="34"/>
  <c r="AQ48" i="40"/>
  <c r="S32" i="40" l="1"/>
  <c r="S31" i="40"/>
  <c r="S30" i="40" l="1"/>
  <c r="S29" i="40"/>
  <c r="D88" i="55"/>
  <c r="D88" i="54"/>
  <c r="D88" i="46"/>
  <c r="D88" i="24"/>
  <c r="A216" i="1"/>
  <c r="A71" i="1"/>
  <c r="D85" i="40"/>
  <c r="D89" i="40"/>
  <c r="D87" i="40"/>
  <c r="AN10" i="40" l="1"/>
  <c r="AH10" i="40"/>
  <c r="R109" i="54" l="1"/>
  <c r="R109" i="55"/>
  <c r="R109" i="46"/>
  <c r="R109" i="24"/>
  <c r="C109" i="24" s="1"/>
  <c r="AH20" i="40"/>
  <c r="S20" i="40"/>
  <c r="AH19" i="40"/>
  <c r="S19" i="40"/>
  <c r="C109" i="46" l="1"/>
  <c r="C56" i="46"/>
  <c r="C56" i="55"/>
  <c r="C109" i="55"/>
  <c r="C56" i="54"/>
  <c r="C109" i="54"/>
  <c r="C56" i="24"/>
  <c r="B73" i="34"/>
  <c r="B71" i="34"/>
  <c r="B70" i="34"/>
  <c r="B69" i="34"/>
  <c r="AH32" i="40"/>
  <c r="AH31" i="40"/>
  <c r="AH30" i="40"/>
  <c r="AH29" i="40"/>
  <c r="AI29" i="40"/>
  <c r="AI25" i="40"/>
  <c r="AI23" i="40"/>
  <c r="S22" i="40"/>
  <c r="AI21" i="40"/>
  <c r="AK21" i="40" l="1"/>
  <c r="AM21" i="40"/>
  <c r="AJ29" i="40"/>
  <c r="S25" i="40"/>
  <c r="U25" i="40" s="1"/>
  <c r="S24" i="40"/>
  <c r="S21" i="40"/>
  <c r="U21" i="40" s="1"/>
  <c r="S26" i="40"/>
  <c r="AM25" i="40" s="1"/>
  <c r="S23" i="40"/>
  <c r="U23" i="40" s="1"/>
  <c r="B32" i="56"/>
  <c r="B16" i="56"/>
  <c r="B31" i="56"/>
  <c r="B24" i="56"/>
  <c r="B32" i="57"/>
  <c r="A32" i="56"/>
  <c r="B17" i="56"/>
  <c r="U27" i="40" l="1"/>
  <c r="AH27" i="40" s="1"/>
  <c r="AH21" i="40"/>
  <c r="AH22" i="40"/>
  <c r="AL23" i="40"/>
  <c r="AH26" i="40"/>
  <c r="AH25" i="40"/>
  <c r="AJ25" i="40"/>
  <c r="AL25" i="40"/>
  <c r="AK23" i="40"/>
  <c r="AM23" i="40"/>
  <c r="AJ21" i="40"/>
  <c r="AL21" i="40"/>
  <c r="AL29" i="40"/>
  <c r="AK29" i="40"/>
  <c r="AM29" i="40" s="1"/>
  <c r="AK25" i="40"/>
  <c r="AJ23" i="40"/>
  <c r="AA5" i="1"/>
  <c r="AH28" i="40" l="1"/>
  <c r="AH24" i="40"/>
  <c r="AH23" i="40"/>
  <c r="J5" i="7"/>
  <c r="AD5" i="40"/>
  <c r="M5" i="24"/>
  <c r="S5" i="45"/>
  <c r="G74" i="34" l="1"/>
  <c r="G73" i="34"/>
  <c r="S48" i="40" l="1"/>
  <c r="AI48" i="40"/>
  <c r="O96" i="59" l="1"/>
  <c r="M96" i="59"/>
  <c r="O95" i="59"/>
  <c r="M95" i="59"/>
  <c r="O96" i="58"/>
  <c r="M96" i="58"/>
  <c r="O95" i="58"/>
  <c r="M95" i="58"/>
  <c r="O98" i="57"/>
  <c r="M98" i="57"/>
  <c r="O97" i="57"/>
  <c r="M97" i="57"/>
  <c r="O93" i="56" l="1"/>
  <c r="M93" i="56"/>
  <c r="O92" i="56"/>
  <c r="M92" i="56"/>
  <c r="O90" i="56"/>
  <c r="M90" i="56"/>
  <c r="C117" i="46" l="1"/>
  <c r="C117" i="54"/>
  <c r="C117" i="55"/>
  <c r="C117" i="24"/>
  <c r="A78" i="55"/>
  <c r="A77" i="55"/>
  <c r="A107" i="55" l="1"/>
  <c r="A78" i="54"/>
  <c r="A77" i="54"/>
  <c r="A78" i="46"/>
  <c r="E56" i="53"/>
  <c r="A56" i="53"/>
  <c r="E56" i="52"/>
  <c r="A56" i="52"/>
  <c r="E56" i="47"/>
  <c r="A56" i="47"/>
  <c r="A104" i="7"/>
  <c r="A41" i="7"/>
  <c r="A107" i="54" l="1"/>
  <c r="A107" i="46"/>
  <c r="A78" i="24"/>
  <c r="A77" i="24"/>
  <c r="A106" i="24" s="1"/>
  <c r="A56" i="45" l="1"/>
  <c r="AI56" i="40"/>
  <c r="AH56" i="40"/>
  <c r="S56" i="40"/>
  <c r="E56" i="45"/>
  <c r="E78" i="55" l="1"/>
  <c r="E78" i="24"/>
  <c r="E78" i="54"/>
  <c r="E78" i="46"/>
  <c r="D77" i="40" l="1"/>
  <c r="N15" i="46" l="1"/>
  <c r="D75" i="7"/>
  <c r="D74" i="7"/>
  <c r="D64" i="7"/>
  <c r="D52" i="7"/>
  <c r="D43" i="7"/>
  <c r="D45" i="7" s="1"/>
  <c r="A103" i="7"/>
  <c r="X26" i="47"/>
  <c r="X25" i="47"/>
  <c r="X24" i="47"/>
  <c r="X26" i="52"/>
  <c r="X25" i="52"/>
  <c r="X24" i="52"/>
  <c r="X26" i="53"/>
  <c r="X25" i="53"/>
  <c r="X24" i="53"/>
  <c r="E13" i="53"/>
  <c r="A13" i="53"/>
  <c r="E13" i="52"/>
  <c r="A13" i="52"/>
  <c r="A13" i="47"/>
  <c r="E13" i="47"/>
  <c r="X26" i="45"/>
  <c r="X25" i="45"/>
  <c r="X24" i="45"/>
  <c r="A13" i="45"/>
  <c r="E13" i="45"/>
  <c r="N37" i="55"/>
  <c r="N36" i="55"/>
  <c r="N35" i="55"/>
  <c r="N34" i="55"/>
  <c r="N33" i="55"/>
  <c r="N32" i="55"/>
  <c r="N31" i="55"/>
  <c r="N30" i="55"/>
  <c r="N29" i="55"/>
  <c r="N28" i="55"/>
  <c r="N27" i="55"/>
  <c r="N26" i="55"/>
  <c r="N25" i="55"/>
  <c r="N24" i="55"/>
  <c r="N23" i="55"/>
  <c r="N22" i="55"/>
  <c r="N21" i="55"/>
  <c r="N20" i="55"/>
  <c r="N19" i="55"/>
  <c r="N18" i="55"/>
  <c r="N17" i="55"/>
  <c r="N16" i="55"/>
  <c r="N15" i="55"/>
  <c r="N37" i="54"/>
  <c r="N36" i="54"/>
  <c r="N35" i="54"/>
  <c r="N34" i="54"/>
  <c r="N33" i="54"/>
  <c r="N32" i="54"/>
  <c r="N31" i="54"/>
  <c r="N30" i="54"/>
  <c r="N29" i="54"/>
  <c r="N28" i="54"/>
  <c r="N27" i="54"/>
  <c r="N26" i="54"/>
  <c r="N25" i="54"/>
  <c r="N24" i="54"/>
  <c r="N23" i="54"/>
  <c r="N22" i="54"/>
  <c r="N21" i="54"/>
  <c r="N20" i="54"/>
  <c r="N19" i="54"/>
  <c r="N18" i="54"/>
  <c r="N17" i="54"/>
  <c r="N16" i="54"/>
  <c r="N15" i="54"/>
  <c r="N37" i="46"/>
  <c r="N36" i="46"/>
  <c r="N35" i="46"/>
  <c r="N34" i="46"/>
  <c r="N33" i="46"/>
  <c r="N32" i="46"/>
  <c r="N31" i="46"/>
  <c r="N30" i="46"/>
  <c r="N29" i="46"/>
  <c r="N28" i="46"/>
  <c r="N27" i="46"/>
  <c r="N26" i="46"/>
  <c r="N25" i="46"/>
  <c r="N24" i="46"/>
  <c r="N23" i="46"/>
  <c r="N22" i="46"/>
  <c r="N21" i="46"/>
  <c r="N20" i="46"/>
  <c r="N19" i="46"/>
  <c r="N18" i="46"/>
  <c r="N17" i="46"/>
  <c r="N16" i="46"/>
  <c r="N37" i="24"/>
  <c r="N36" i="24"/>
  <c r="N35" i="24"/>
  <c r="N34" i="24"/>
  <c r="N33" i="24"/>
  <c r="N32" i="24"/>
  <c r="N31" i="24"/>
  <c r="N30" i="24"/>
  <c r="N29" i="24"/>
  <c r="N28" i="24"/>
  <c r="N27" i="24"/>
  <c r="N26" i="24"/>
  <c r="N25" i="24"/>
  <c r="N24" i="24"/>
  <c r="N23" i="24"/>
  <c r="N22" i="24"/>
  <c r="N21" i="24"/>
  <c r="N20" i="24"/>
  <c r="N19" i="24"/>
  <c r="N18" i="24"/>
  <c r="N17" i="24"/>
  <c r="N16" i="24"/>
  <c r="N15" i="24"/>
  <c r="D46" i="7" l="1"/>
  <c r="N38" i="55"/>
  <c r="N38" i="54"/>
  <c r="N38" i="46"/>
  <c r="I9" i="59"/>
  <c r="I9" i="58"/>
  <c r="I9" i="57"/>
  <c r="I95" i="59" l="1"/>
  <c r="J95" i="59" s="1"/>
  <c r="I96" i="59"/>
  <c r="J96" i="59" s="1"/>
  <c r="I95" i="58"/>
  <c r="J95" i="58" s="1"/>
  <c r="I96" i="58"/>
  <c r="J96" i="58" s="1"/>
  <c r="I97" i="57"/>
  <c r="J97" i="57" s="1"/>
  <c r="I98" i="57"/>
  <c r="J98" i="57" s="1"/>
  <c r="N38" i="24"/>
  <c r="A98" i="55"/>
  <c r="A97" i="55"/>
  <c r="A96" i="55"/>
  <c r="A95" i="55"/>
  <c r="C69" i="55"/>
  <c r="A98" i="54"/>
  <c r="A97" i="54"/>
  <c r="A96" i="54"/>
  <c r="A95" i="54"/>
  <c r="C69" i="54"/>
  <c r="A98" i="46"/>
  <c r="A97" i="46"/>
  <c r="A96" i="46"/>
  <c r="A95" i="46"/>
  <c r="C69" i="46"/>
  <c r="A98" i="24"/>
  <c r="A97" i="24"/>
  <c r="A96" i="24"/>
  <c r="A95" i="24"/>
  <c r="C69" i="24"/>
  <c r="F43" i="7"/>
  <c r="F45" i="7" s="1"/>
  <c r="A40" i="7"/>
  <c r="A37" i="7"/>
  <c r="X38" i="45" l="1"/>
  <c r="X38" i="52"/>
  <c r="X38" i="53"/>
  <c r="X38" i="47"/>
  <c r="F46" i="7"/>
  <c r="AH55" i="40"/>
  <c r="AH51" i="40"/>
  <c r="AH44" i="40"/>
  <c r="AH43" i="40"/>
  <c r="AH42" i="40"/>
  <c r="AH41" i="40"/>
  <c r="AH18" i="40"/>
  <c r="AH17" i="40"/>
  <c r="I29" i="47"/>
  <c r="E29" i="47" l="1"/>
  <c r="E30" i="47"/>
  <c r="AI55" i="40"/>
  <c r="AI51" i="40"/>
  <c r="S55" i="40"/>
  <c r="S54" i="40"/>
  <c r="S53" i="40"/>
  <c r="S52" i="40"/>
  <c r="U52" i="40" s="1"/>
  <c r="S51" i="40"/>
  <c r="S50" i="40"/>
  <c r="S49" i="40"/>
  <c r="G70" i="34"/>
  <c r="B68" i="34"/>
  <c r="E27" i="47" l="1"/>
  <c r="AA30" i="45"/>
  <c r="J37" i="59"/>
  <c r="E37" i="59"/>
  <c r="K37" i="59" s="1"/>
  <c r="B37" i="59"/>
  <c r="A37" i="59"/>
  <c r="B36" i="59"/>
  <c r="A36" i="59"/>
  <c r="B35" i="59"/>
  <c r="A35" i="59"/>
  <c r="B34" i="59"/>
  <c r="A34" i="59"/>
  <c r="B33" i="59"/>
  <c r="A33" i="59"/>
  <c r="B32" i="59"/>
  <c r="A32" i="59"/>
  <c r="B31" i="59"/>
  <c r="A31" i="59"/>
  <c r="B30" i="59"/>
  <c r="A30" i="59"/>
  <c r="B29" i="59"/>
  <c r="A29" i="59"/>
  <c r="B28" i="59"/>
  <c r="A28" i="59"/>
  <c r="B27" i="59"/>
  <c r="A27" i="59"/>
  <c r="B26" i="59"/>
  <c r="A26" i="59"/>
  <c r="B25" i="59"/>
  <c r="A25" i="59"/>
  <c r="B24" i="59"/>
  <c r="A24" i="59"/>
  <c r="B23" i="59"/>
  <c r="A23" i="59"/>
  <c r="B22" i="59"/>
  <c r="A22" i="59"/>
  <c r="B21" i="59"/>
  <c r="A21" i="59"/>
  <c r="B20" i="59"/>
  <c r="A20" i="59"/>
  <c r="B19" i="59"/>
  <c r="A19" i="59"/>
  <c r="B18" i="59"/>
  <c r="A18" i="59"/>
  <c r="B17" i="59"/>
  <c r="A17" i="59"/>
  <c r="D16" i="59"/>
  <c r="C16" i="59"/>
  <c r="B16" i="59"/>
  <c r="A16" i="59"/>
  <c r="J37" i="58" l="1"/>
  <c r="E37" i="58"/>
  <c r="K37" i="58" s="1"/>
  <c r="B37" i="58"/>
  <c r="A37" i="58"/>
  <c r="B36" i="58"/>
  <c r="A36" i="58"/>
  <c r="B35" i="58"/>
  <c r="A35" i="58"/>
  <c r="B34" i="58"/>
  <c r="A34" i="58"/>
  <c r="B33" i="58"/>
  <c r="A33" i="58"/>
  <c r="B32" i="58"/>
  <c r="A32" i="58"/>
  <c r="B31" i="58"/>
  <c r="A31" i="58"/>
  <c r="B30" i="58"/>
  <c r="A30" i="58"/>
  <c r="B29" i="58"/>
  <c r="A29" i="58"/>
  <c r="B28" i="58"/>
  <c r="A28" i="58"/>
  <c r="B27" i="58"/>
  <c r="A27" i="58"/>
  <c r="B26" i="58"/>
  <c r="A26" i="58"/>
  <c r="B25" i="58"/>
  <c r="A25" i="58"/>
  <c r="B24" i="58"/>
  <c r="A24" i="58"/>
  <c r="B23" i="58"/>
  <c r="A23" i="58"/>
  <c r="B22" i="58"/>
  <c r="A22" i="58"/>
  <c r="B21" i="58"/>
  <c r="A21" i="58"/>
  <c r="B20" i="58"/>
  <c r="A20" i="58"/>
  <c r="B19" i="58"/>
  <c r="A19" i="58"/>
  <c r="B18" i="58"/>
  <c r="A18" i="58"/>
  <c r="B17" i="58"/>
  <c r="A17" i="58"/>
  <c r="D16" i="58"/>
  <c r="C16" i="58"/>
  <c r="B16" i="58"/>
  <c r="A16" i="58"/>
  <c r="M354" i="57"/>
  <c r="M353" i="57"/>
  <c r="M352" i="57"/>
  <c r="M351" i="57"/>
  <c r="M350" i="57"/>
  <c r="M349" i="57"/>
  <c r="M348" i="57"/>
  <c r="M347" i="57"/>
  <c r="M346" i="57"/>
  <c r="M340" i="57"/>
  <c r="M339" i="57"/>
  <c r="M338" i="57"/>
  <c r="M337" i="57"/>
  <c r="M336" i="57"/>
  <c r="M335" i="57"/>
  <c r="M333" i="57"/>
  <c r="M332" i="57"/>
  <c r="M331" i="57"/>
  <c r="M330" i="57"/>
  <c r="M329" i="57"/>
  <c r="M326" i="57"/>
  <c r="M325" i="57"/>
  <c r="M324" i="57"/>
  <c r="M323" i="57"/>
  <c r="M322" i="57"/>
  <c r="M321" i="57"/>
  <c r="M320" i="57"/>
  <c r="M319" i="57"/>
  <c r="M318" i="57"/>
  <c r="M317" i="57"/>
  <c r="M316" i="57"/>
  <c r="M315" i="57"/>
  <c r="M314" i="57"/>
  <c r="M313" i="57"/>
  <c r="M311" i="57"/>
  <c r="M310" i="57"/>
  <c r="M309" i="57"/>
  <c r="M308" i="57"/>
  <c r="M307" i="57"/>
  <c r="M306" i="57"/>
  <c r="M305" i="57"/>
  <c r="M304" i="57"/>
  <c r="M303" i="57"/>
  <c r="M302" i="57"/>
  <c r="M301" i="57"/>
  <c r="M300" i="57"/>
  <c r="M299" i="57"/>
  <c r="M298" i="57"/>
  <c r="M296" i="57"/>
  <c r="M295" i="57"/>
  <c r="M294" i="57"/>
  <c r="M293" i="57"/>
  <c r="M292" i="57"/>
  <c r="M291" i="57"/>
  <c r="M290" i="57"/>
  <c r="M289" i="57"/>
  <c r="M288" i="57"/>
  <c r="M287" i="57"/>
  <c r="M286" i="57"/>
  <c r="M285" i="57"/>
  <c r="M284" i="57"/>
  <c r="M283" i="57"/>
  <c r="M281" i="57"/>
  <c r="M280" i="57"/>
  <c r="M279" i="57"/>
  <c r="M278" i="57"/>
  <c r="M277" i="57"/>
  <c r="M276" i="57"/>
  <c r="M275" i="57"/>
  <c r="M274" i="57"/>
  <c r="M273" i="57"/>
  <c r="M272" i="57"/>
  <c r="M271" i="57"/>
  <c r="M270" i="57"/>
  <c r="M269" i="57"/>
  <c r="M268" i="57"/>
  <c r="M266" i="57"/>
  <c r="M265" i="57"/>
  <c r="M264" i="57"/>
  <c r="M263" i="57"/>
  <c r="M262" i="57"/>
  <c r="M261" i="57"/>
  <c r="M260" i="57"/>
  <c r="M259" i="57"/>
  <c r="M258" i="57"/>
  <c r="M257" i="57"/>
  <c r="M256" i="57"/>
  <c r="M255" i="57"/>
  <c r="M254" i="57"/>
  <c r="M253" i="57"/>
  <c r="M251" i="57"/>
  <c r="M250" i="57"/>
  <c r="M249" i="57"/>
  <c r="M248" i="57"/>
  <c r="M247" i="57"/>
  <c r="M246" i="57"/>
  <c r="M245" i="57"/>
  <c r="M244" i="57"/>
  <c r="M243" i="57"/>
  <c r="M242" i="57"/>
  <c r="M241" i="57"/>
  <c r="M240" i="57"/>
  <c r="M239" i="57"/>
  <c r="M238" i="57"/>
  <c r="M236" i="57"/>
  <c r="M235" i="57"/>
  <c r="M234" i="57"/>
  <c r="M233" i="57"/>
  <c r="M232" i="57"/>
  <c r="M231" i="57"/>
  <c r="M230" i="57"/>
  <c r="M229" i="57"/>
  <c r="M228" i="57"/>
  <c r="M227" i="57"/>
  <c r="M226" i="57"/>
  <c r="M225" i="57"/>
  <c r="M224" i="57"/>
  <c r="M223" i="57"/>
  <c r="M221" i="57"/>
  <c r="M220" i="57"/>
  <c r="M219" i="57"/>
  <c r="M218" i="57"/>
  <c r="M217" i="57"/>
  <c r="M216" i="57"/>
  <c r="M215" i="57"/>
  <c r="M214" i="57"/>
  <c r="M213" i="57"/>
  <c r="M212" i="57"/>
  <c r="M211" i="57"/>
  <c r="M210" i="57"/>
  <c r="M209" i="57"/>
  <c r="M208" i="57"/>
  <c r="M206" i="57"/>
  <c r="M205" i="57"/>
  <c r="M204" i="57"/>
  <c r="M203" i="57"/>
  <c r="M202" i="57"/>
  <c r="M201" i="57"/>
  <c r="M200" i="57"/>
  <c r="M199" i="57"/>
  <c r="M198" i="57"/>
  <c r="M197" i="57"/>
  <c r="M196" i="57"/>
  <c r="M195" i="57"/>
  <c r="M194" i="57"/>
  <c r="M193" i="57"/>
  <c r="M191" i="57"/>
  <c r="M190" i="57"/>
  <c r="M189" i="57"/>
  <c r="M188" i="57"/>
  <c r="M187" i="57"/>
  <c r="M186" i="57"/>
  <c r="M185" i="57"/>
  <c r="M184" i="57"/>
  <c r="M183" i="57"/>
  <c r="M182" i="57"/>
  <c r="M181" i="57"/>
  <c r="M180" i="57"/>
  <c r="M179" i="57"/>
  <c r="M178" i="57"/>
  <c r="M176" i="57"/>
  <c r="M175" i="57"/>
  <c r="M174" i="57"/>
  <c r="M173" i="57"/>
  <c r="M172" i="57"/>
  <c r="M171" i="57"/>
  <c r="M170" i="57"/>
  <c r="M169" i="57"/>
  <c r="M168" i="57"/>
  <c r="M167" i="57"/>
  <c r="M166" i="57"/>
  <c r="M165" i="57"/>
  <c r="M164" i="57"/>
  <c r="M163" i="57"/>
  <c r="M161" i="57"/>
  <c r="M160" i="57"/>
  <c r="M159" i="57"/>
  <c r="M158" i="57"/>
  <c r="M157" i="57"/>
  <c r="M156" i="57"/>
  <c r="M155" i="57"/>
  <c r="M154" i="57"/>
  <c r="M153" i="57"/>
  <c r="M152" i="57"/>
  <c r="M151" i="57"/>
  <c r="M150" i="57"/>
  <c r="M149" i="57"/>
  <c r="M148" i="57"/>
  <c r="M146" i="57"/>
  <c r="M145" i="57"/>
  <c r="M144" i="57"/>
  <c r="M143" i="57"/>
  <c r="M142" i="57"/>
  <c r="M141" i="57"/>
  <c r="M140" i="57"/>
  <c r="M139" i="57"/>
  <c r="M138" i="57"/>
  <c r="M137" i="57"/>
  <c r="M136" i="57"/>
  <c r="M135" i="57"/>
  <c r="M134" i="57"/>
  <c r="M133" i="57"/>
  <c r="M131" i="57"/>
  <c r="M130" i="57"/>
  <c r="M129" i="57"/>
  <c r="M128" i="57"/>
  <c r="M127" i="57"/>
  <c r="M126" i="57"/>
  <c r="M125" i="57"/>
  <c r="M124" i="57"/>
  <c r="M123" i="57"/>
  <c r="M122" i="57"/>
  <c r="M121" i="57"/>
  <c r="M120" i="57"/>
  <c r="M119" i="57"/>
  <c r="M118" i="57"/>
  <c r="M116" i="57"/>
  <c r="M115" i="57"/>
  <c r="M114" i="57"/>
  <c r="M113" i="57"/>
  <c r="M112" i="57"/>
  <c r="M111" i="57"/>
  <c r="M110" i="57"/>
  <c r="M109" i="57"/>
  <c r="M108" i="57"/>
  <c r="M107" i="57"/>
  <c r="M106" i="57"/>
  <c r="M105" i="57"/>
  <c r="M104" i="57"/>
  <c r="M103" i="57"/>
  <c r="M101" i="57"/>
  <c r="M100" i="57"/>
  <c r="M99" i="57"/>
  <c r="M96" i="57"/>
  <c r="M95" i="57"/>
  <c r="M94" i="57"/>
  <c r="M93" i="57"/>
  <c r="M92" i="57"/>
  <c r="M91" i="57"/>
  <c r="M90" i="57"/>
  <c r="M89" i="57"/>
  <c r="M88" i="57"/>
  <c r="M87" i="57"/>
  <c r="M86" i="57"/>
  <c r="M84" i="57"/>
  <c r="M83" i="57"/>
  <c r="M82" i="57"/>
  <c r="M81" i="57"/>
  <c r="M80" i="57"/>
  <c r="M79" i="57"/>
  <c r="M78" i="57"/>
  <c r="M77" i="57"/>
  <c r="M76" i="57"/>
  <c r="M75" i="57"/>
  <c r="M74" i="57"/>
  <c r="M73" i="57"/>
  <c r="M72" i="57"/>
  <c r="M71" i="57"/>
  <c r="M69" i="57"/>
  <c r="M68" i="57"/>
  <c r="M67" i="57"/>
  <c r="M66" i="57"/>
  <c r="M65" i="57"/>
  <c r="M64" i="57"/>
  <c r="M63" i="57"/>
  <c r="M62" i="57"/>
  <c r="M61" i="57"/>
  <c r="M60" i="57"/>
  <c r="M59" i="57"/>
  <c r="M58" i="57"/>
  <c r="M57" i="57"/>
  <c r="M56" i="57"/>
  <c r="M54" i="57"/>
  <c r="M53" i="57"/>
  <c r="M52" i="57"/>
  <c r="M51" i="57"/>
  <c r="M50" i="57"/>
  <c r="M49" i="57"/>
  <c r="M48" i="57"/>
  <c r="M47" i="57"/>
  <c r="M46" i="57"/>
  <c r="M45" i="57"/>
  <c r="M44" i="57"/>
  <c r="M43" i="57"/>
  <c r="M42" i="57"/>
  <c r="M41" i="57"/>
  <c r="M354" i="58"/>
  <c r="M353" i="58"/>
  <c r="M352" i="58"/>
  <c r="M351" i="58"/>
  <c r="M350" i="58"/>
  <c r="M349" i="58"/>
  <c r="M348" i="58"/>
  <c r="M347" i="58"/>
  <c r="M346" i="58"/>
  <c r="M340" i="58"/>
  <c r="M339" i="58"/>
  <c r="M338" i="58"/>
  <c r="M337" i="58"/>
  <c r="M336" i="58"/>
  <c r="M335" i="58"/>
  <c r="M333" i="58"/>
  <c r="M332" i="58"/>
  <c r="M331" i="58"/>
  <c r="M330" i="58"/>
  <c r="M329" i="58"/>
  <c r="M326" i="58"/>
  <c r="M325" i="58"/>
  <c r="M324" i="58"/>
  <c r="M323" i="58"/>
  <c r="M322" i="58"/>
  <c r="M321" i="58"/>
  <c r="M320" i="58"/>
  <c r="M319" i="58"/>
  <c r="M318" i="58"/>
  <c r="M317" i="58"/>
  <c r="M316" i="58"/>
  <c r="M315" i="58"/>
  <c r="M314" i="58"/>
  <c r="M313" i="58"/>
  <c r="M311" i="58"/>
  <c r="M310" i="58"/>
  <c r="M309" i="58"/>
  <c r="M308" i="58"/>
  <c r="M307" i="58"/>
  <c r="M306" i="58"/>
  <c r="M305" i="58"/>
  <c r="M304" i="58"/>
  <c r="M303" i="58"/>
  <c r="M302" i="58"/>
  <c r="M301" i="58"/>
  <c r="M300" i="58"/>
  <c r="M299" i="58"/>
  <c r="M298" i="58"/>
  <c r="M296" i="58"/>
  <c r="M295" i="58"/>
  <c r="M294" i="58"/>
  <c r="M293" i="58"/>
  <c r="M292" i="58"/>
  <c r="M291" i="58"/>
  <c r="M290" i="58"/>
  <c r="M289" i="58"/>
  <c r="M288" i="58"/>
  <c r="M287" i="58"/>
  <c r="M286" i="58"/>
  <c r="M285" i="58"/>
  <c r="M284" i="58"/>
  <c r="M283" i="58"/>
  <c r="M281" i="58"/>
  <c r="M280" i="58"/>
  <c r="M279" i="58"/>
  <c r="M278" i="58"/>
  <c r="M277" i="58"/>
  <c r="M276" i="58"/>
  <c r="M275" i="58"/>
  <c r="M274" i="58"/>
  <c r="M273" i="58"/>
  <c r="M272" i="58"/>
  <c r="M271" i="58"/>
  <c r="M270" i="58"/>
  <c r="M269" i="58"/>
  <c r="M268" i="58"/>
  <c r="M266" i="58"/>
  <c r="M265" i="58"/>
  <c r="M264" i="58"/>
  <c r="M263" i="58"/>
  <c r="M262" i="58"/>
  <c r="M261" i="58"/>
  <c r="M260" i="58"/>
  <c r="M259" i="58"/>
  <c r="M258" i="58"/>
  <c r="M257" i="58"/>
  <c r="M256" i="58"/>
  <c r="M255" i="58"/>
  <c r="M254" i="58"/>
  <c r="M253" i="58"/>
  <c r="M251" i="58"/>
  <c r="M250" i="58"/>
  <c r="M249" i="58"/>
  <c r="M248" i="58"/>
  <c r="M247" i="58"/>
  <c r="M246" i="58"/>
  <c r="M245" i="58"/>
  <c r="M244" i="58"/>
  <c r="M243" i="58"/>
  <c r="M242" i="58"/>
  <c r="M241" i="58"/>
  <c r="M240" i="58"/>
  <c r="M239" i="58"/>
  <c r="M238" i="58"/>
  <c r="M236" i="58"/>
  <c r="M235" i="58"/>
  <c r="M234" i="58"/>
  <c r="M233" i="58"/>
  <c r="M232" i="58"/>
  <c r="M231" i="58"/>
  <c r="M230" i="58"/>
  <c r="M229" i="58"/>
  <c r="M228" i="58"/>
  <c r="M227" i="58"/>
  <c r="M226" i="58"/>
  <c r="M225" i="58"/>
  <c r="M224" i="58"/>
  <c r="M223" i="58"/>
  <c r="M221" i="58"/>
  <c r="M220" i="58"/>
  <c r="M219" i="58"/>
  <c r="M218" i="58"/>
  <c r="M217" i="58"/>
  <c r="M216" i="58"/>
  <c r="M215" i="58"/>
  <c r="M214" i="58"/>
  <c r="M213" i="58"/>
  <c r="M212" i="58"/>
  <c r="M211" i="58"/>
  <c r="M210" i="58"/>
  <c r="M209" i="58"/>
  <c r="M208" i="58"/>
  <c r="M206" i="58"/>
  <c r="M205" i="58"/>
  <c r="M204" i="58"/>
  <c r="M203" i="58"/>
  <c r="M202" i="58"/>
  <c r="M201" i="58"/>
  <c r="M200" i="58"/>
  <c r="M199" i="58"/>
  <c r="M198" i="58"/>
  <c r="M197" i="58"/>
  <c r="M196" i="58"/>
  <c r="M195" i="58"/>
  <c r="M194" i="58"/>
  <c r="M193" i="58"/>
  <c r="M191" i="58"/>
  <c r="M190" i="58"/>
  <c r="M189" i="58"/>
  <c r="M188" i="58"/>
  <c r="M187" i="58"/>
  <c r="M186" i="58"/>
  <c r="M185" i="58"/>
  <c r="M184" i="58"/>
  <c r="M183" i="58"/>
  <c r="M182" i="58"/>
  <c r="M181" i="58"/>
  <c r="M180" i="58"/>
  <c r="M179" i="58"/>
  <c r="M178" i="58"/>
  <c r="M176" i="58"/>
  <c r="M175" i="58"/>
  <c r="M174" i="58"/>
  <c r="M173" i="58"/>
  <c r="M172" i="58"/>
  <c r="M171" i="58"/>
  <c r="M170" i="58"/>
  <c r="M169" i="58"/>
  <c r="M168" i="58"/>
  <c r="M167" i="58"/>
  <c r="M166" i="58"/>
  <c r="M165" i="58"/>
  <c r="M164" i="58"/>
  <c r="M163" i="58"/>
  <c r="M161" i="58"/>
  <c r="M160" i="58"/>
  <c r="M159" i="58"/>
  <c r="M158" i="58"/>
  <c r="M157" i="58"/>
  <c r="M156" i="58"/>
  <c r="M155" i="58"/>
  <c r="M154" i="58"/>
  <c r="M153" i="58"/>
  <c r="M152" i="58"/>
  <c r="M151" i="58"/>
  <c r="M150" i="58"/>
  <c r="M149" i="58"/>
  <c r="M148" i="58"/>
  <c r="M146" i="58"/>
  <c r="M145" i="58"/>
  <c r="M144" i="58"/>
  <c r="M143" i="58"/>
  <c r="M142" i="58"/>
  <c r="M141" i="58"/>
  <c r="M140" i="58"/>
  <c r="M139" i="58"/>
  <c r="M138" i="58"/>
  <c r="M137" i="58"/>
  <c r="M136" i="58"/>
  <c r="M135" i="58"/>
  <c r="M134" i="58"/>
  <c r="M133" i="58"/>
  <c r="M131" i="58"/>
  <c r="M130" i="58"/>
  <c r="M129" i="58"/>
  <c r="M128" i="58"/>
  <c r="M127" i="58"/>
  <c r="M126" i="58"/>
  <c r="M125" i="58"/>
  <c r="M124" i="58"/>
  <c r="M123" i="58"/>
  <c r="M122" i="58"/>
  <c r="M121" i="58"/>
  <c r="M120" i="58"/>
  <c r="M119" i="58"/>
  <c r="M118" i="58"/>
  <c r="M116" i="58"/>
  <c r="M115" i="58"/>
  <c r="M114" i="58"/>
  <c r="M113" i="58"/>
  <c r="M112" i="58"/>
  <c r="M111" i="58"/>
  <c r="M110" i="58"/>
  <c r="M109" i="58"/>
  <c r="M108" i="58"/>
  <c r="M107" i="58"/>
  <c r="M106" i="58"/>
  <c r="M105" i="58"/>
  <c r="M104" i="58"/>
  <c r="M103" i="58"/>
  <c r="M101" i="58"/>
  <c r="M100" i="58"/>
  <c r="M99" i="58"/>
  <c r="M98" i="58"/>
  <c r="M97" i="58"/>
  <c r="M94" i="58"/>
  <c r="M93" i="58"/>
  <c r="M92" i="58"/>
  <c r="M91" i="58"/>
  <c r="M90" i="58"/>
  <c r="M89" i="58"/>
  <c r="M88" i="58"/>
  <c r="M87" i="58"/>
  <c r="M86" i="58"/>
  <c r="M84" i="58"/>
  <c r="M83" i="58"/>
  <c r="M82" i="58"/>
  <c r="M81" i="58"/>
  <c r="M80" i="58"/>
  <c r="M79" i="58"/>
  <c r="M78" i="58"/>
  <c r="M77" i="58"/>
  <c r="M76" i="58"/>
  <c r="M75" i="58"/>
  <c r="M74" i="58"/>
  <c r="M73" i="58"/>
  <c r="M72" i="58"/>
  <c r="M71" i="58"/>
  <c r="M69" i="58"/>
  <c r="M68" i="58"/>
  <c r="M67" i="58"/>
  <c r="M66" i="58"/>
  <c r="M65" i="58"/>
  <c r="M64" i="58"/>
  <c r="M63" i="58"/>
  <c r="M62" i="58"/>
  <c r="M61" i="58"/>
  <c r="M60" i="58"/>
  <c r="M59" i="58"/>
  <c r="M58" i="58"/>
  <c r="M57" i="58"/>
  <c r="M56" i="58"/>
  <c r="M54" i="58"/>
  <c r="M53" i="58"/>
  <c r="M52" i="58"/>
  <c r="M51" i="58"/>
  <c r="M50" i="58"/>
  <c r="M49" i="58"/>
  <c r="M48" i="58"/>
  <c r="M47" i="58"/>
  <c r="M46" i="58"/>
  <c r="M45" i="58"/>
  <c r="M44" i="58"/>
  <c r="M43" i="58"/>
  <c r="M42" i="58"/>
  <c r="M41" i="58"/>
  <c r="M354" i="59"/>
  <c r="M353" i="59"/>
  <c r="M352" i="59"/>
  <c r="M351" i="59"/>
  <c r="M350" i="59"/>
  <c r="M349" i="59"/>
  <c r="M348" i="59"/>
  <c r="M347" i="59"/>
  <c r="M346" i="59"/>
  <c r="M340" i="59"/>
  <c r="M339" i="59"/>
  <c r="M338" i="59"/>
  <c r="M337" i="59"/>
  <c r="M336" i="59"/>
  <c r="M335" i="59"/>
  <c r="M333" i="59"/>
  <c r="M332" i="59"/>
  <c r="M331" i="59"/>
  <c r="M330" i="59"/>
  <c r="M329" i="59"/>
  <c r="M326" i="59"/>
  <c r="M325" i="59"/>
  <c r="M324" i="59"/>
  <c r="M323" i="59"/>
  <c r="M322" i="59"/>
  <c r="M321" i="59"/>
  <c r="M320" i="59"/>
  <c r="M319" i="59"/>
  <c r="M318" i="59"/>
  <c r="M317" i="59"/>
  <c r="M316" i="59"/>
  <c r="M315" i="59"/>
  <c r="M314" i="59"/>
  <c r="M313" i="59"/>
  <c r="M311" i="59"/>
  <c r="M310" i="59"/>
  <c r="M309" i="59"/>
  <c r="M308" i="59"/>
  <c r="M307" i="59"/>
  <c r="M306" i="59"/>
  <c r="M305" i="59"/>
  <c r="M304" i="59"/>
  <c r="M303" i="59"/>
  <c r="M302" i="59"/>
  <c r="M301" i="59"/>
  <c r="M300" i="59"/>
  <c r="M299" i="59"/>
  <c r="M298" i="59"/>
  <c r="M296" i="59"/>
  <c r="M295" i="59"/>
  <c r="M294" i="59"/>
  <c r="M293" i="59"/>
  <c r="M292" i="59"/>
  <c r="M291" i="59"/>
  <c r="M290" i="59"/>
  <c r="M289" i="59"/>
  <c r="M288" i="59"/>
  <c r="M287" i="59"/>
  <c r="M286" i="59"/>
  <c r="M285" i="59"/>
  <c r="M284" i="59"/>
  <c r="M283" i="59"/>
  <c r="M281" i="59"/>
  <c r="M280" i="59"/>
  <c r="M279" i="59"/>
  <c r="M278" i="59"/>
  <c r="M277" i="59"/>
  <c r="M276" i="59"/>
  <c r="M275" i="59"/>
  <c r="M274" i="59"/>
  <c r="M273" i="59"/>
  <c r="M272" i="59"/>
  <c r="M271" i="59"/>
  <c r="M270" i="59"/>
  <c r="M269" i="59"/>
  <c r="M268" i="59"/>
  <c r="M266" i="59"/>
  <c r="M265" i="59"/>
  <c r="M264" i="59"/>
  <c r="M263" i="59"/>
  <c r="M262" i="59"/>
  <c r="M261" i="59"/>
  <c r="M260" i="59"/>
  <c r="M259" i="59"/>
  <c r="M258" i="59"/>
  <c r="M257" i="59"/>
  <c r="M256" i="59"/>
  <c r="M255" i="59"/>
  <c r="M254" i="59"/>
  <c r="M253" i="59"/>
  <c r="M251" i="59"/>
  <c r="M250" i="59"/>
  <c r="M249" i="59"/>
  <c r="M248" i="59"/>
  <c r="M247" i="59"/>
  <c r="M246" i="59"/>
  <c r="M245" i="59"/>
  <c r="M244" i="59"/>
  <c r="M243" i="59"/>
  <c r="M242" i="59"/>
  <c r="M241" i="59"/>
  <c r="M240" i="59"/>
  <c r="M239" i="59"/>
  <c r="M238" i="59"/>
  <c r="M236" i="59"/>
  <c r="M235" i="59"/>
  <c r="M234" i="59"/>
  <c r="M233" i="59"/>
  <c r="M232" i="59"/>
  <c r="M231" i="59"/>
  <c r="M230" i="59"/>
  <c r="M229" i="59"/>
  <c r="M228" i="59"/>
  <c r="M227" i="59"/>
  <c r="M226" i="59"/>
  <c r="M225" i="59"/>
  <c r="M224" i="59"/>
  <c r="M223" i="59"/>
  <c r="M221" i="59"/>
  <c r="M220" i="59"/>
  <c r="M219" i="59"/>
  <c r="M218" i="59"/>
  <c r="M217" i="59"/>
  <c r="M216" i="59"/>
  <c r="M215" i="59"/>
  <c r="M214" i="59"/>
  <c r="M213" i="59"/>
  <c r="M212" i="59"/>
  <c r="M211" i="59"/>
  <c r="M210" i="59"/>
  <c r="M209" i="59"/>
  <c r="M208" i="59"/>
  <c r="M206" i="59"/>
  <c r="M205" i="59"/>
  <c r="M204" i="59"/>
  <c r="M203" i="59"/>
  <c r="M202" i="59"/>
  <c r="M201" i="59"/>
  <c r="M200" i="59"/>
  <c r="M199" i="59"/>
  <c r="M198" i="59"/>
  <c r="M197" i="59"/>
  <c r="M196" i="59"/>
  <c r="M195" i="59"/>
  <c r="M194" i="59"/>
  <c r="M193" i="59"/>
  <c r="M191" i="59"/>
  <c r="M190" i="59"/>
  <c r="M189" i="59"/>
  <c r="M188" i="59"/>
  <c r="M187" i="59"/>
  <c r="M186" i="59"/>
  <c r="M185" i="59"/>
  <c r="M184" i="59"/>
  <c r="M183" i="59"/>
  <c r="M182" i="59"/>
  <c r="M181" i="59"/>
  <c r="M180" i="59"/>
  <c r="M179" i="59"/>
  <c r="M178" i="59"/>
  <c r="M176" i="59"/>
  <c r="M175" i="59"/>
  <c r="M174" i="59"/>
  <c r="M173" i="59"/>
  <c r="M172" i="59"/>
  <c r="M171" i="59"/>
  <c r="M170" i="59"/>
  <c r="M169" i="59"/>
  <c r="M168" i="59"/>
  <c r="M167" i="59"/>
  <c r="M166" i="59"/>
  <c r="M165" i="59"/>
  <c r="M164" i="59"/>
  <c r="M163" i="59"/>
  <c r="M161" i="59"/>
  <c r="M160" i="59"/>
  <c r="M159" i="59"/>
  <c r="M158" i="59"/>
  <c r="M157" i="59"/>
  <c r="M156" i="59"/>
  <c r="M155" i="59"/>
  <c r="M154" i="59"/>
  <c r="M153" i="59"/>
  <c r="M152" i="59"/>
  <c r="M151" i="59"/>
  <c r="M150" i="59"/>
  <c r="M149" i="59"/>
  <c r="M148" i="59"/>
  <c r="M146" i="59"/>
  <c r="M145" i="59"/>
  <c r="M144" i="59"/>
  <c r="M143" i="59"/>
  <c r="M142" i="59"/>
  <c r="M141" i="59"/>
  <c r="M140" i="59"/>
  <c r="M139" i="59"/>
  <c r="M138" i="59"/>
  <c r="M137" i="59"/>
  <c r="M136" i="59"/>
  <c r="M135" i="59"/>
  <c r="M134" i="59"/>
  <c r="M133" i="59"/>
  <c r="M131" i="59"/>
  <c r="M130" i="59"/>
  <c r="M129" i="59"/>
  <c r="M128" i="59"/>
  <c r="M127" i="59"/>
  <c r="M126" i="59"/>
  <c r="M125" i="59"/>
  <c r="M124" i="59"/>
  <c r="M123" i="59"/>
  <c r="M122" i="59"/>
  <c r="M121" i="59"/>
  <c r="M120" i="59"/>
  <c r="M119" i="59"/>
  <c r="M118" i="59"/>
  <c r="M116" i="59"/>
  <c r="M115" i="59"/>
  <c r="M114" i="59"/>
  <c r="M113" i="59"/>
  <c r="M112" i="59"/>
  <c r="M111" i="59"/>
  <c r="M110" i="59"/>
  <c r="M109" i="59"/>
  <c r="M108" i="59"/>
  <c r="M107" i="59"/>
  <c r="M106" i="59"/>
  <c r="M105" i="59"/>
  <c r="M104" i="59"/>
  <c r="M103" i="59"/>
  <c r="M101" i="59"/>
  <c r="M100" i="59"/>
  <c r="M99" i="59"/>
  <c r="M98" i="59"/>
  <c r="M97" i="59"/>
  <c r="M94" i="59"/>
  <c r="M93" i="59"/>
  <c r="M92" i="59"/>
  <c r="M91" i="59"/>
  <c r="M90" i="59"/>
  <c r="M89" i="59"/>
  <c r="M88" i="59"/>
  <c r="M87" i="59"/>
  <c r="M86" i="59"/>
  <c r="M84" i="59"/>
  <c r="M83" i="59"/>
  <c r="M82" i="59"/>
  <c r="M81" i="59"/>
  <c r="M80" i="59"/>
  <c r="M79" i="59"/>
  <c r="M78" i="59"/>
  <c r="M77" i="59"/>
  <c r="M76" i="59"/>
  <c r="M75" i="59"/>
  <c r="M74" i="59"/>
  <c r="M73" i="59"/>
  <c r="M72" i="59"/>
  <c r="M71" i="59"/>
  <c r="M69" i="59"/>
  <c r="M68" i="59"/>
  <c r="M67" i="59"/>
  <c r="M66" i="59"/>
  <c r="M65" i="59"/>
  <c r="M64" i="59"/>
  <c r="M63" i="59"/>
  <c r="M62" i="59"/>
  <c r="M61" i="59"/>
  <c r="M60" i="59"/>
  <c r="M59" i="59"/>
  <c r="M58" i="59"/>
  <c r="M57" i="59"/>
  <c r="M56" i="59"/>
  <c r="M54" i="59"/>
  <c r="M53" i="59"/>
  <c r="M52" i="59"/>
  <c r="M51" i="59"/>
  <c r="M50" i="59"/>
  <c r="M49" i="59"/>
  <c r="M48" i="59"/>
  <c r="M47" i="59"/>
  <c r="M46" i="59"/>
  <c r="M45" i="59"/>
  <c r="M44" i="59"/>
  <c r="M43" i="59"/>
  <c r="M42" i="59"/>
  <c r="M41" i="59"/>
  <c r="J37" i="57"/>
  <c r="E37" i="57"/>
  <c r="K37" i="57" s="1"/>
  <c r="B37" i="57"/>
  <c r="A37" i="57"/>
  <c r="B36" i="57"/>
  <c r="A36" i="57"/>
  <c r="B35" i="57"/>
  <c r="A35" i="57"/>
  <c r="B34" i="57"/>
  <c r="A34" i="57"/>
  <c r="B33" i="57"/>
  <c r="A33" i="57"/>
  <c r="A32" i="57"/>
  <c r="B31" i="57"/>
  <c r="A31" i="57"/>
  <c r="B30" i="57"/>
  <c r="A30" i="57"/>
  <c r="B29" i="57"/>
  <c r="A29" i="57"/>
  <c r="B28" i="57"/>
  <c r="A28" i="57"/>
  <c r="B27" i="57"/>
  <c r="A27" i="57"/>
  <c r="B26" i="57"/>
  <c r="A26" i="57"/>
  <c r="B25" i="57"/>
  <c r="A25" i="57"/>
  <c r="B24" i="57"/>
  <c r="A24" i="57"/>
  <c r="B23" i="57"/>
  <c r="A23" i="57"/>
  <c r="B22" i="57"/>
  <c r="A22" i="57"/>
  <c r="B21" i="57"/>
  <c r="A21" i="57"/>
  <c r="B20" i="57"/>
  <c r="A20" i="57"/>
  <c r="B19" i="57"/>
  <c r="A19" i="57"/>
  <c r="B18" i="57"/>
  <c r="A18" i="57"/>
  <c r="B17" i="57"/>
  <c r="A17" i="57"/>
  <c r="D16" i="57"/>
  <c r="C16" i="57"/>
  <c r="B16" i="57"/>
  <c r="A16" i="57"/>
  <c r="M354" i="56"/>
  <c r="M353" i="56"/>
  <c r="M352" i="56"/>
  <c r="M351" i="56"/>
  <c r="M350" i="56"/>
  <c r="M349" i="56"/>
  <c r="M348" i="56"/>
  <c r="M347" i="56"/>
  <c r="M346" i="56"/>
  <c r="M340" i="56"/>
  <c r="M339" i="56"/>
  <c r="M338" i="56"/>
  <c r="M337" i="56"/>
  <c r="M336" i="56"/>
  <c r="M335" i="56"/>
  <c r="M333" i="56"/>
  <c r="M332" i="56"/>
  <c r="M331" i="56"/>
  <c r="M330" i="56"/>
  <c r="M329" i="56"/>
  <c r="M326" i="56"/>
  <c r="M325" i="56"/>
  <c r="M324" i="56"/>
  <c r="M323" i="56"/>
  <c r="M322" i="56"/>
  <c r="M321" i="56"/>
  <c r="M320" i="56"/>
  <c r="M319" i="56"/>
  <c r="M318" i="56"/>
  <c r="M317" i="56"/>
  <c r="M316" i="56"/>
  <c r="M315" i="56"/>
  <c r="M314" i="56"/>
  <c r="M313" i="56"/>
  <c r="M311" i="56"/>
  <c r="M310" i="56"/>
  <c r="M309" i="56"/>
  <c r="M308" i="56"/>
  <c r="M307" i="56"/>
  <c r="M306" i="56"/>
  <c r="M305" i="56"/>
  <c r="M304" i="56"/>
  <c r="M303" i="56"/>
  <c r="M302" i="56"/>
  <c r="M301" i="56"/>
  <c r="M300" i="56"/>
  <c r="M299" i="56"/>
  <c r="M298" i="56"/>
  <c r="M296" i="56"/>
  <c r="M295" i="56"/>
  <c r="M294" i="56"/>
  <c r="M293" i="56"/>
  <c r="M292" i="56"/>
  <c r="M291" i="56"/>
  <c r="M290" i="56"/>
  <c r="M289" i="56"/>
  <c r="M288" i="56"/>
  <c r="M287" i="56"/>
  <c r="M286" i="56"/>
  <c r="M285" i="56"/>
  <c r="M284" i="56"/>
  <c r="M283" i="56"/>
  <c r="M281" i="56"/>
  <c r="M280" i="56"/>
  <c r="M279" i="56"/>
  <c r="M278" i="56"/>
  <c r="M277" i="56"/>
  <c r="M276" i="56"/>
  <c r="M275" i="56"/>
  <c r="M274" i="56"/>
  <c r="M273" i="56"/>
  <c r="M272" i="56"/>
  <c r="M271" i="56"/>
  <c r="M270" i="56"/>
  <c r="M269" i="56"/>
  <c r="M268" i="56"/>
  <c r="M266" i="56"/>
  <c r="M265" i="56"/>
  <c r="M264" i="56"/>
  <c r="M263" i="56"/>
  <c r="M262" i="56"/>
  <c r="M261" i="56"/>
  <c r="M260" i="56"/>
  <c r="M259" i="56"/>
  <c r="M258" i="56"/>
  <c r="M257" i="56"/>
  <c r="M256" i="56"/>
  <c r="M255" i="56"/>
  <c r="M254" i="56"/>
  <c r="M253" i="56"/>
  <c r="M251" i="56"/>
  <c r="M250" i="56"/>
  <c r="M249" i="56"/>
  <c r="M248" i="56"/>
  <c r="M247" i="56"/>
  <c r="M246" i="56"/>
  <c r="M245" i="56"/>
  <c r="M244" i="56"/>
  <c r="M243" i="56"/>
  <c r="M242" i="56"/>
  <c r="M241" i="56"/>
  <c r="M240" i="56"/>
  <c r="M239" i="56"/>
  <c r="M238" i="56"/>
  <c r="M236" i="56"/>
  <c r="M235" i="56"/>
  <c r="M234" i="56"/>
  <c r="M233" i="56"/>
  <c r="M232" i="56"/>
  <c r="M231" i="56"/>
  <c r="M230" i="56"/>
  <c r="M229" i="56"/>
  <c r="M228" i="56"/>
  <c r="M227" i="56"/>
  <c r="M226" i="56"/>
  <c r="M225" i="56"/>
  <c r="M224" i="56"/>
  <c r="M223" i="56"/>
  <c r="M221" i="56"/>
  <c r="M220" i="56"/>
  <c r="M219" i="56"/>
  <c r="M218" i="56"/>
  <c r="M217" i="56"/>
  <c r="M216" i="56"/>
  <c r="M215" i="56"/>
  <c r="M214" i="56"/>
  <c r="M213" i="56"/>
  <c r="M212" i="56"/>
  <c r="M211" i="56"/>
  <c r="M210" i="56"/>
  <c r="M209" i="56"/>
  <c r="M208" i="56"/>
  <c r="M206" i="56"/>
  <c r="M205" i="56"/>
  <c r="M204" i="56"/>
  <c r="M203" i="56"/>
  <c r="M202" i="56"/>
  <c r="M201" i="56"/>
  <c r="M200" i="56"/>
  <c r="M199" i="56"/>
  <c r="M198" i="56"/>
  <c r="M197" i="56"/>
  <c r="M196" i="56"/>
  <c r="M195" i="56"/>
  <c r="M194" i="56"/>
  <c r="M193" i="56"/>
  <c r="M191" i="56"/>
  <c r="M190" i="56"/>
  <c r="M189" i="56"/>
  <c r="M188" i="56"/>
  <c r="M187" i="56"/>
  <c r="M186" i="56"/>
  <c r="M185" i="56"/>
  <c r="M184" i="56"/>
  <c r="M183" i="56"/>
  <c r="M182" i="56"/>
  <c r="M181" i="56"/>
  <c r="M180" i="56"/>
  <c r="M179" i="56"/>
  <c r="M178" i="56"/>
  <c r="M176" i="56"/>
  <c r="M175" i="56"/>
  <c r="M174" i="56"/>
  <c r="M173" i="56"/>
  <c r="M172" i="56"/>
  <c r="M171" i="56"/>
  <c r="M170" i="56"/>
  <c r="M169" i="56"/>
  <c r="M168" i="56"/>
  <c r="M167" i="56"/>
  <c r="M166" i="56"/>
  <c r="M165" i="56"/>
  <c r="M164" i="56"/>
  <c r="M163" i="56"/>
  <c r="M161" i="56"/>
  <c r="M160" i="56"/>
  <c r="M159" i="56"/>
  <c r="M158" i="56"/>
  <c r="M157" i="56"/>
  <c r="M156" i="56"/>
  <c r="M155" i="56"/>
  <c r="M154" i="56"/>
  <c r="M153" i="56"/>
  <c r="M152" i="56"/>
  <c r="M151" i="56"/>
  <c r="M150" i="56"/>
  <c r="M149" i="56"/>
  <c r="M148" i="56"/>
  <c r="M146" i="56"/>
  <c r="M145" i="56"/>
  <c r="M144" i="56"/>
  <c r="M143" i="56"/>
  <c r="M142" i="56"/>
  <c r="M141" i="56"/>
  <c r="M140" i="56"/>
  <c r="M139" i="56"/>
  <c r="M138" i="56"/>
  <c r="M137" i="56"/>
  <c r="M136" i="56"/>
  <c r="M135" i="56"/>
  <c r="M134" i="56"/>
  <c r="M133" i="56"/>
  <c r="M131" i="56"/>
  <c r="M130" i="56"/>
  <c r="M129" i="56"/>
  <c r="M128" i="56"/>
  <c r="M127" i="56"/>
  <c r="M126" i="56"/>
  <c r="M125" i="56"/>
  <c r="M124" i="56"/>
  <c r="M123" i="56"/>
  <c r="M122" i="56"/>
  <c r="M121" i="56"/>
  <c r="M120" i="56"/>
  <c r="M119" i="56"/>
  <c r="M118" i="56"/>
  <c r="M116" i="56"/>
  <c r="M115" i="56"/>
  <c r="M114" i="56"/>
  <c r="M113" i="56"/>
  <c r="M112" i="56"/>
  <c r="M111" i="56"/>
  <c r="M110" i="56"/>
  <c r="M109" i="56"/>
  <c r="M108" i="56"/>
  <c r="M107" i="56"/>
  <c r="M106" i="56"/>
  <c r="M105" i="56"/>
  <c r="M104" i="56"/>
  <c r="M103" i="56"/>
  <c r="M101" i="56"/>
  <c r="M100" i="56"/>
  <c r="M99" i="56"/>
  <c r="M98" i="56"/>
  <c r="M97" i="56"/>
  <c r="M96" i="56"/>
  <c r="M95" i="56"/>
  <c r="M94" i="56"/>
  <c r="M91" i="56"/>
  <c r="M89" i="56"/>
  <c r="M88" i="56"/>
  <c r="M87" i="56"/>
  <c r="M86" i="56"/>
  <c r="M84" i="56"/>
  <c r="M83" i="56"/>
  <c r="M82" i="56"/>
  <c r="M81" i="56"/>
  <c r="M80" i="56"/>
  <c r="M79" i="56"/>
  <c r="M78" i="56"/>
  <c r="M77" i="56"/>
  <c r="M76" i="56"/>
  <c r="M75" i="56"/>
  <c r="M74" i="56"/>
  <c r="M73" i="56"/>
  <c r="M72" i="56"/>
  <c r="M71" i="56"/>
  <c r="M69" i="56"/>
  <c r="M68" i="56"/>
  <c r="M67" i="56"/>
  <c r="M66" i="56"/>
  <c r="M65" i="56"/>
  <c r="M64" i="56"/>
  <c r="M63" i="56"/>
  <c r="M62" i="56"/>
  <c r="M61" i="56"/>
  <c r="M60" i="56"/>
  <c r="M59" i="56"/>
  <c r="M58" i="56"/>
  <c r="M57" i="56"/>
  <c r="M56" i="56"/>
  <c r="M54" i="56"/>
  <c r="M53" i="56"/>
  <c r="M52" i="56"/>
  <c r="M51" i="56"/>
  <c r="M50" i="56"/>
  <c r="M49" i="56"/>
  <c r="M48" i="56"/>
  <c r="M47" i="56"/>
  <c r="M46" i="56"/>
  <c r="M45" i="56"/>
  <c r="M44" i="56"/>
  <c r="M43" i="56"/>
  <c r="M42" i="56"/>
  <c r="M41" i="56"/>
  <c r="J37" i="56"/>
  <c r="E37" i="56"/>
  <c r="K37" i="56" s="1"/>
  <c r="B37" i="56"/>
  <c r="B36" i="56"/>
  <c r="B35" i="56"/>
  <c r="B34" i="56"/>
  <c r="B33" i="56"/>
  <c r="B30" i="56"/>
  <c r="B29" i="56"/>
  <c r="B28" i="56"/>
  <c r="B27" i="56"/>
  <c r="B26" i="56"/>
  <c r="B25" i="56"/>
  <c r="B23" i="56"/>
  <c r="B22" i="56"/>
  <c r="B21" i="56"/>
  <c r="B20" i="56"/>
  <c r="B19" i="56"/>
  <c r="B18" i="56"/>
  <c r="A36" i="56"/>
  <c r="A28" i="56"/>
  <c r="A24" i="56"/>
  <c r="A20" i="56"/>
  <c r="A37" i="56"/>
  <c r="A35" i="56"/>
  <c r="A34" i="56"/>
  <c r="A33" i="56"/>
  <c r="A31" i="56"/>
  <c r="A30" i="56"/>
  <c r="A29" i="56"/>
  <c r="A27" i="56"/>
  <c r="A26" i="56"/>
  <c r="A25" i="56"/>
  <c r="A23" i="56"/>
  <c r="A22" i="56"/>
  <c r="A21" i="56"/>
  <c r="A19" i="56"/>
  <c r="A18" i="56"/>
  <c r="A17" i="56"/>
  <c r="A16" i="56"/>
  <c r="AA29" i="45" l="1"/>
  <c r="X17" i="45"/>
  <c r="AA30" i="47"/>
  <c r="AA29" i="47"/>
  <c r="X17" i="47"/>
  <c r="AA30" i="52"/>
  <c r="AA29" i="52"/>
  <c r="X17" i="52"/>
  <c r="AA29" i="53"/>
  <c r="AL55" i="40"/>
  <c r="AA31" i="52" l="1"/>
  <c r="AA31" i="47"/>
  <c r="H35" i="54"/>
  <c r="J35" i="54" s="1"/>
  <c r="H25" i="55"/>
  <c r="J25" i="55" s="1"/>
  <c r="H29" i="55"/>
  <c r="J29" i="55" s="1"/>
  <c r="H30" i="55"/>
  <c r="J30" i="55" s="1"/>
  <c r="H34" i="55"/>
  <c r="J34" i="55" s="1"/>
  <c r="H35" i="55"/>
  <c r="J35" i="55" s="1"/>
  <c r="X12" i="55" l="1"/>
  <c r="X11" i="55"/>
  <c r="X12" i="54"/>
  <c r="X11" i="54"/>
  <c r="X12" i="46"/>
  <c r="X11" i="46"/>
  <c r="X11" i="24" l="1"/>
  <c r="X12" i="24"/>
  <c r="E89" i="24"/>
  <c r="I38" i="53"/>
  <c r="I29" i="53"/>
  <c r="I29" i="52"/>
  <c r="X17" i="53"/>
  <c r="A77" i="46"/>
  <c r="E77" i="54" l="1"/>
  <c r="A106" i="55"/>
  <c r="E77" i="46"/>
  <c r="A106" i="54"/>
  <c r="A106" i="46"/>
  <c r="W126" i="40"/>
  <c r="A107" i="24" l="1"/>
  <c r="J74" i="7"/>
  <c r="H74" i="7"/>
  <c r="J52" i="7"/>
  <c r="H52" i="7"/>
  <c r="J9" i="55" l="1"/>
  <c r="I403" i="59"/>
  <c r="M403" i="59"/>
  <c r="I402" i="59"/>
  <c r="J402" i="59" s="1"/>
  <c r="I401" i="59"/>
  <c r="J401" i="59" s="1"/>
  <c r="I400" i="59"/>
  <c r="J400" i="59" s="1"/>
  <c r="I397" i="59"/>
  <c r="M397" i="59"/>
  <c r="E396" i="59"/>
  <c r="E345" i="59" s="1"/>
  <c r="M345" i="59" s="1"/>
  <c r="O354" i="59"/>
  <c r="O353" i="59"/>
  <c r="I353" i="59" s="1"/>
  <c r="J353" i="59" s="1"/>
  <c r="O352" i="59"/>
  <c r="I352" i="59" s="1"/>
  <c r="O351" i="59"/>
  <c r="I351" i="59" s="1"/>
  <c r="O350" i="59"/>
  <c r="I350" i="59" s="1"/>
  <c r="O349" i="59"/>
  <c r="I349" i="59" s="1"/>
  <c r="O348" i="59"/>
  <c r="I348" i="59" s="1"/>
  <c r="O347" i="59"/>
  <c r="I347" i="59" s="1"/>
  <c r="O346" i="59"/>
  <c r="I346" i="59" s="1"/>
  <c r="O345" i="59"/>
  <c r="I345" i="59" s="1"/>
  <c r="O344" i="59"/>
  <c r="I344" i="59" s="1"/>
  <c r="O343" i="59"/>
  <c r="I343" i="59" s="1"/>
  <c r="F343" i="59"/>
  <c r="O342" i="59"/>
  <c r="I342" i="59" s="1"/>
  <c r="F342" i="59"/>
  <c r="O341" i="59"/>
  <c r="O340" i="59"/>
  <c r="I340" i="59" s="1"/>
  <c r="O339" i="59"/>
  <c r="I339" i="59" s="1"/>
  <c r="J339" i="59" s="1"/>
  <c r="O338" i="59"/>
  <c r="O337" i="59"/>
  <c r="O336" i="59"/>
  <c r="O335" i="59"/>
  <c r="O334" i="59"/>
  <c r="I334" i="59" s="1"/>
  <c r="O333" i="59"/>
  <c r="O332" i="59"/>
  <c r="O331" i="59"/>
  <c r="O330" i="59"/>
  <c r="O329" i="59"/>
  <c r="O328" i="59"/>
  <c r="I328" i="59" s="1"/>
  <c r="O327" i="59"/>
  <c r="O326" i="59"/>
  <c r="I326" i="59" s="1"/>
  <c r="O325" i="59"/>
  <c r="O324" i="59"/>
  <c r="O323" i="59"/>
  <c r="O322" i="59"/>
  <c r="O321" i="59"/>
  <c r="O320" i="59"/>
  <c r="O319" i="59"/>
  <c r="O318" i="59"/>
  <c r="O317" i="59"/>
  <c r="O316" i="59"/>
  <c r="I316" i="59" s="1"/>
  <c r="O315" i="59"/>
  <c r="I315" i="59" s="1"/>
  <c r="O314" i="59"/>
  <c r="I314" i="59" s="1"/>
  <c r="O313" i="59"/>
  <c r="I313" i="59" s="1"/>
  <c r="M312" i="59"/>
  <c r="M34" i="59" s="1"/>
  <c r="O312" i="59"/>
  <c r="E312" i="59"/>
  <c r="O311" i="59"/>
  <c r="I311" i="59" s="1"/>
  <c r="O310" i="59"/>
  <c r="O309" i="59"/>
  <c r="O308" i="59"/>
  <c r="O307" i="59"/>
  <c r="O306" i="59"/>
  <c r="O305" i="59"/>
  <c r="O304" i="59"/>
  <c r="I304" i="59" s="1"/>
  <c r="O303" i="59"/>
  <c r="I303" i="59" s="1"/>
  <c r="O302" i="59"/>
  <c r="I302" i="59" s="1"/>
  <c r="O301" i="59"/>
  <c r="I301" i="59" s="1"/>
  <c r="O300" i="59"/>
  <c r="I300" i="59" s="1"/>
  <c r="O299" i="59"/>
  <c r="I299" i="59" s="1"/>
  <c r="O298" i="59"/>
  <c r="I298" i="59" s="1"/>
  <c r="O297" i="59"/>
  <c r="E297" i="59"/>
  <c r="O296" i="59"/>
  <c r="I296" i="59" s="1"/>
  <c r="O295" i="59"/>
  <c r="O294" i="59"/>
  <c r="O293" i="59"/>
  <c r="O292" i="59"/>
  <c r="O291" i="59"/>
  <c r="I291" i="59" s="1"/>
  <c r="O290" i="59"/>
  <c r="I290" i="59" s="1"/>
  <c r="O289" i="59"/>
  <c r="I289" i="59" s="1"/>
  <c r="O288" i="59"/>
  <c r="I288" i="59" s="1"/>
  <c r="O287" i="59"/>
  <c r="I287" i="59" s="1"/>
  <c r="O286" i="59"/>
  <c r="I286" i="59" s="1"/>
  <c r="O285" i="59"/>
  <c r="I285" i="59" s="1"/>
  <c r="O284" i="59"/>
  <c r="I284" i="59" s="1"/>
  <c r="O283" i="59"/>
  <c r="I283" i="59" s="1"/>
  <c r="O282" i="59"/>
  <c r="M282" i="59"/>
  <c r="M32" i="59" s="1"/>
  <c r="E282" i="59"/>
  <c r="O281" i="59"/>
  <c r="I281" i="59" s="1"/>
  <c r="O280" i="59"/>
  <c r="O279" i="59"/>
  <c r="O278" i="59"/>
  <c r="O277" i="59"/>
  <c r="I277" i="59" s="1"/>
  <c r="O276" i="59"/>
  <c r="I276" i="59" s="1"/>
  <c r="O275" i="59"/>
  <c r="I275" i="59" s="1"/>
  <c r="O274" i="59"/>
  <c r="I274" i="59" s="1"/>
  <c r="O273" i="59"/>
  <c r="I273" i="59" s="1"/>
  <c r="O272" i="59"/>
  <c r="I272" i="59" s="1"/>
  <c r="O271" i="59"/>
  <c r="I271" i="59" s="1"/>
  <c r="O270" i="59"/>
  <c r="I270" i="59" s="1"/>
  <c r="O269" i="59"/>
  <c r="I269" i="59" s="1"/>
  <c r="O268" i="59"/>
  <c r="I268" i="59" s="1"/>
  <c r="O267" i="59"/>
  <c r="E267" i="59"/>
  <c r="O266" i="59"/>
  <c r="I266" i="59" s="1"/>
  <c r="O265" i="59"/>
  <c r="O264" i="59"/>
  <c r="O263" i="59"/>
  <c r="O262" i="59"/>
  <c r="O261" i="59"/>
  <c r="O260" i="59"/>
  <c r="O259" i="59"/>
  <c r="O258" i="59"/>
  <c r="O257" i="59"/>
  <c r="I257" i="59" s="1"/>
  <c r="O256" i="59"/>
  <c r="I256" i="59" s="1"/>
  <c r="O255" i="59"/>
  <c r="I255" i="59" s="1"/>
  <c r="O254" i="59"/>
  <c r="I254" i="59" s="1"/>
  <c r="O253" i="59"/>
  <c r="I253" i="59" s="1"/>
  <c r="O252" i="59"/>
  <c r="M252" i="59"/>
  <c r="M30" i="59" s="1"/>
  <c r="E252" i="59"/>
  <c r="O251" i="59"/>
  <c r="I251" i="59" s="1"/>
  <c r="O250" i="59"/>
  <c r="O249" i="59"/>
  <c r="O248" i="59"/>
  <c r="O247" i="59"/>
  <c r="O246" i="59"/>
  <c r="O245" i="59"/>
  <c r="I245" i="59" s="1"/>
  <c r="O244" i="59"/>
  <c r="I244" i="59" s="1"/>
  <c r="O243" i="59"/>
  <c r="I243" i="59" s="1"/>
  <c r="O242" i="59"/>
  <c r="I242" i="59" s="1"/>
  <c r="O241" i="59"/>
  <c r="I241" i="59" s="1"/>
  <c r="O240" i="59"/>
  <c r="I240" i="59" s="1"/>
  <c r="O239" i="59"/>
  <c r="I239" i="59" s="1"/>
  <c r="O238" i="59"/>
  <c r="I238" i="59" s="1"/>
  <c r="M237" i="59"/>
  <c r="M29" i="59" s="1"/>
  <c r="O237" i="59"/>
  <c r="E237" i="59"/>
  <c r="O236" i="59"/>
  <c r="I236" i="59" s="1"/>
  <c r="O235" i="59"/>
  <c r="O234" i="59"/>
  <c r="O233" i="59"/>
  <c r="O232" i="59"/>
  <c r="O231" i="59"/>
  <c r="O230" i="59"/>
  <c r="O229" i="59"/>
  <c r="O228" i="59"/>
  <c r="O227" i="59"/>
  <c r="O226" i="59"/>
  <c r="I226" i="59" s="1"/>
  <c r="O225" i="59"/>
  <c r="I225" i="59" s="1"/>
  <c r="O224" i="59"/>
  <c r="I224" i="59" s="1"/>
  <c r="O223" i="59"/>
  <c r="I223" i="59" s="1"/>
  <c r="M222" i="59"/>
  <c r="M28" i="59" s="1"/>
  <c r="O222" i="59"/>
  <c r="E222" i="59"/>
  <c r="O221" i="59"/>
  <c r="I221" i="59" s="1"/>
  <c r="O220" i="59"/>
  <c r="I220" i="59" s="1"/>
  <c r="J220" i="59" s="1"/>
  <c r="O219" i="59"/>
  <c r="O218" i="59"/>
  <c r="O217" i="59"/>
  <c r="I217" i="59" s="1"/>
  <c r="J217" i="59" s="1"/>
  <c r="O216" i="59"/>
  <c r="O215" i="59"/>
  <c r="O214" i="59"/>
  <c r="O213" i="59"/>
  <c r="O212" i="59"/>
  <c r="I212" i="59" s="1"/>
  <c r="O211" i="59"/>
  <c r="I211" i="59" s="1"/>
  <c r="O210" i="59"/>
  <c r="I210" i="59" s="1"/>
  <c r="O209" i="59"/>
  <c r="I209" i="59" s="1"/>
  <c r="O208" i="59"/>
  <c r="I208" i="59" s="1"/>
  <c r="M207" i="59"/>
  <c r="M27" i="59" s="1"/>
  <c r="O207" i="59"/>
  <c r="E207" i="59"/>
  <c r="O206" i="59"/>
  <c r="I206" i="59" s="1"/>
  <c r="O205" i="59"/>
  <c r="O204" i="59"/>
  <c r="O203" i="59"/>
  <c r="O202" i="59"/>
  <c r="O201" i="59"/>
  <c r="O200" i="59"/>
  <c r="O199" i="59"/>
  <c r="O198" i="59"/>
  <c r="I198" i="59" s="1"/>
  <c r="O197" i="59"/>
  <c r="I197" i="59" s="1"/>
  <c r="O196" i="59"/>
  <c r="I196" i="59" s="1"/>
  <c r="O195" i="59"/>
  <c r="I195" i="59" s="1"/>
  <c r="O194" i="59"/>
  <c r="I194" i="59" s="1"/>
  <c r="O193" i="59"/>
  <c r="I193" i="59" s="1"/>
  <c r="M192" i="59"/>
  <c r="M26" i="59" s="1"/>
  <c r="O192" i="59"/>
  <c r="E192" i="59"/>
  <c r="O191" i="59"/>
  <c r="I191" i="59" s="1"/>
  <c r="O190" i="59"/>
  <c r="I190" i="59" s="1"/>
  <c r="J190" i="59" s="1"/>
  <c r="O189" i="59"/>
  <c r="O188" i="59"/>
  <c r="O187" i="59"/>
  <c r="I187" i="59" s="1"/>
  <c r="J187" i="59" s="1"/>
  <c r="O186" i="59"/>
  <c r="O185" i="59"/>
  <c r="O184" i="59"/>
  <c r="O183" i="59"/>
  <c r="O182" i="59"/>
  <c r="I182" i="59" s="1"/>
  <c r="O181" i="59"/>
  <c r="I181" i="59" s="1"/>
  <c r="O180" i="59"/>
  <c r="I180" i="59" s="1"/>
  <c r="O179" i="59"/>
  <c r="I179" i="59" s="1"/>
  <c r="O178" i="59"/>
  <c r="I178" i="59" s="1"/>
  <c r="M177" i="59"/>
  <c r="M25" i="59" s="1"/>
  <c r="O177" i="59"/>
  <c r="E177" i="59"/>
  <c r="O176" i="59"/>
  <c r="I176" i="59" s="1"/>
  <c r="O175" i="59"/>
  <c r="O174" i="59"/>
  <c r="O173" i="59"/>
  <c r="O172" i="59"/>
  <c r="O171" i="59"/>
  <c r="I171" i="59" s="1"/>
  <c r="O170" i="59"/>
  <c r="I170" i="59" s="1"/>
  <c r="O169" i="59"/>
  <c r="I169" i="59" s="1"/>
  <c r="O168" i="59"/>
  <c r="I168" i="59" s="1"/>
  <c r="O167" i="59"/>
  <c r="I167" i="59" s="1"/>
  <c r="O166" i="59"/>
  <c r="I166" i="59" s="1"/>
  <c r="O165" i="59"/>
  <c r="I165" i="59" s="1"/>
  <c r="O164" i="59"/>
  <c r="I164" i="59" s="1"/>
  <c r="O163" i="59"/>
  <c r="I163" i="59" s="1"/>
  <c r="O162" i="59"/>
  <c r="E162" i="59"/>
  <c r="O161" i="59"/>
  <c r="I161" i="59" s="1"/>
  <c r="O160" i="59"/>
  <c r="O159" i="59"/>
  <c r="O158" i="59"/>
  <c r="I158" i="59" s="1"/>
  <c r="J158" i="59" s="1"/>
  <c r="O157" i="59"/>
  <c r="O156" i="59"/>
  <c r="O155" i="59"/>
  <c r="I155" i="59" s="1"/>
  <c r="J155" i="59" s="1"/>
  <c r="O154" i="59"/>
  <c r="O153" i="59"/>
  <c r="O152" i="59"/>
  <c r="O151" i="59"/>
  <c r="I151" i="59" s="1"/>
  <c r="O150" i="59"/>
  <c r="I150" i="59" s="1"/>
  <c r="O149" i="59"/>
  <c r="I149" i="59" s="1"/>
  <c r="O148" i="59"/>
  <c r="I148" i="59" s="1"/>
  <c r="O147" i="59"/>
  <c r="E147" i="59"/>
  <c r="O146" i="59"/>
  <c r="I146" i="59" s="1"/>
  <c r="O145" i="59"/>
  <c r="O144" i="59"/>
  <c r="O143" i="59"/>
  <c r="O142" i="59"/>
  <c r="O141" i="59"/>
  <c r="I141" i="59" s="1"/>
  <c r="O140" i="59"/>
  <c r="I140" i="59" s="1"/>
  <c r="O139" i="59"/>
  <c r="I139" i="59" s="1"/>
  <c r="O138" i="59"/>
  <c r="I138" i="59" s="1"/>
  <c r="O137" i="59"/>
  <c r="I137" i="59" s="1"/>
  <c r="O136" i="59"/>
  <c r="I136" i="59" s="1"/>
  <c r="O135" i="59"/>
  <c r="I135" i="59" s="1"/>
  <c r="O134" i="59"/>
  <c r="I134" i="59" s="1"/>
  <c r="O133" i="59"/>
  <c r="I133" i="59" s="1"/>
  <c r="O132" i="59"/>
  <c r="E132" i="59"/>
  <c r="O131" i="59"/>
  <c r="I131" i="59" s="1"/>
  <c r="O130" i="59"/>
  <c r="O129" i="59"/>
  <c r="O128" i="59"/>
  <c r="I128" i="59" s="1"/>
  <c r="O127" i="59"/>
  <c r="I127" i="59" s="1"/>
  <c r="O126" i="59"/>
  <c r="I126" i="59" s="1"/>
  <c r="O125" i="59"/>
  <c r="I125" i="59" s="1"/>
  <c r="O124" i="59"/>
  <c r="I124" i="59" s="1"/>
  <c r="O123" i="59"/>
  <c r="I123" i="59" s="1"/>
  <c r="O122" i="59"/>
  <c r="I122" i="59" s="1"/>
  <c r="O121" i="59"/>
  <c r="I121" i="59" s="1"/>
  <c r="O120" i="59"/>
  <c r="I120" i="59" s="1"/>
  <c r="O119" i="59"/>
  <c r="I119" i="59" s="1"/>
  <c r="O118" i="59"/>
  <c r="I118" i="59" s="1"/>
  <c r="O117" i="59"/>
  <c r="E117" i="59"/>
  <c r="E21" i="59" s="1"/>
  <c r="K21" i="59" s="1"/>
  <c r="O116" i="59"/>
  <c r="I116" i="59" s="1"/>
  <c r="O115" i="59"/>
  <c r="O114" i="59"/>
  <c r="O113" i="59"/>
  <c r="O112" i="59"/>
  <c r="O111" i="59"/>
  <c r="O110" i="59"/>
  <c r="O109" i="59"/>
  <c r="O108" i="59"/>
  <c r="O107" i="59"/>
  <c r="O106" i="59"/>
  <c r="I106" i="59" s="1"/>
  <c r="O105" i="59"/>
  <c r="I105" i="59" s="1"/>
  <c r="O104" i="59"/>
  <c r="I104" i="59" s="1"/>
  <c r="O103" i="59"/>
  <c r="I103" i="59" s="1"/>
  <c r="O102" i="59"/>
  <c r="E102" i="59"/>
  <c r="O101" i="59"/>
  <c r="I101" i="59" s="1"/>
  <c r="O100" i="59"/>
  <c r="O99" i="59"/>
  <c r="O98" i="59"/>
  <c r="I98" i="59" s="1"/>
  <c r="O97" i="59"/>
  <c r="I97" i="59" s="1"/>
  <c r="O94" i="59"/>
  <c r="I94" i="59" s="1"/>
  <c r="O93" i="59"/>
  <c r="I93" i="59" s="1"/>
  <c r="O92" i="59"/>
  <c r="I92" i="59" s="1"/>
  <c r="O91" i="59"/>
  <c r="I91" i="59" s="1"/>
  <c r="O90" i="59"/>
  <c r="I90" i="59" s="1"/>
  <c r="O89" i="59"/>
  <c r="I89" i="59" s="1"/>
  <c r="O88" i="59"/>
  <c r="I88" i="59" s="1"/>
  <c r="O87" i="59"/>
  <c r="I87" i="59" s="1"/>
  <c r="O86" i="59"/>
  <c r="I86" i="59" s="1"/>
  <c r="O85" i="59"/>
  <c r="E85" i="59"/>
  <c r="E19" i="59" s="1"/>
  <c r="K19" i="59" s="1"/>
  <c r="O84" i="59"/>
  <c r="I84" i="59" s="1"/>
  <c r="O83" i="59"/>
  <c r="O82" i="59"/>
  <c r="O81" i="59"/>
  <c r="O80" i="59"/>
  <c r="O79" i="59"/>
  <c r="O78" i="59"/>
  <c r="O77" i="59"/>
  <c r="I77" i="59" s="1"/>
  <c r="O76" i="59"/>
  <c r="I76" i="59" s="1"/>
  <c r="O75" i="59"/>
  <c r="I75" i="59" s="1"/>
  <c r="O74" i="59"/>
  <c r="I74" i="59" s="1"/>
  <c r="O73" i="59"/>
  <c r="I73" i="59" s="1"/>
  <c r="O72" i="59"/>
  <c r="I72" i="59" s="1"/>
  <c r="O71" i="59"/>
  <c r="I71" i="59" s="1"/>
  <c r="O70" i="59"/>
  <c r="E70" i="59"/>
  <c r="O69" i="59"/>
  <c r="I69" i="59" s="1"/>
  <c r="O68" i="59"/>
  <c r="O67" i="59"/>
  <c r="O66" i="59"/>
  <c r="I66" i="59" s="1"/>
  <c r="O65" i="59"/>
  <c r="I65" i="59" s="1"/>
  <c r="O64" i="59"/>
  <c r="I64" i="59" s="1"/>
  <c r="O63" i="59"/>
  <c r="I63" i="59" s="1"/>
  <c r="O62" i="59"/>
  <c r="I62" i="59" s="1"/>
  <c r="O61" i="59"/>
  <c r="I61" i="59" s="1"/>
  <c r="O60" i="59"/>
  <c r="I60" i="59" s="1"/>
  <c r="O59" i="59"/>
  <c r="I59" i="59" s="1"/>
  <c r="O58" i="59"/>
  <c r="I58" i="59" s="1"/>
  <c r="O57" i="59"/>
  <c r="I57" i="59" s="1"/>
  <c r="O56" i="59"/>
  <c r="I56" i="59" s="1"/>
  <c r="O55" i="59"/>
  <c r="E55" i="59"/>
  <c r="O54" i="59"/>
  <c r="I54" i="59" s="1"/>
  <c r="O53" i="59"/>
  <c r="O52" i="59"/>
  <c r="O51" i="59"/>
  <c r="O50" i="59"/>
  <c r="O49" i="59"/>
  <c r="O48" i="59"/>
  <c r="O47" i="59"/>
  <c r="I47" i="59" s="1"/>
  <c r="O46" i="59"/>
  <c r="I46" i="59" s="1"/>
  <c r="O45" i="59"/>
  <c r="I45" i="59" s="1"/>
  <c r="O44" i="59"/>
  <c r="I44" i="59" s="1"/>
  <c r="O43" i="59"/>
  <c r="I43" i="59" s="1"/>
  <c r="O42" i="59"/>
  <c r="I42" i="59" s="1"/>
  <c r="O41" i="59"/>
  <c r="I41" i="59" s="1"/>
  <c r="O40" i="59"/>
  <c r="E40" i="59"/>
  <c r="J9" i="54"/>
  <c r="I403" i="58"/>
  <c r="M403" i="58"/>
  <c r="I402" i="58"/>
  <c r="J402" i="58" s="1"/>
  <c r="I401" i="58"/>
  <c r="J401" i="58" s="1"/>
  <c r="I400" i="58"/>
  <c r="J400" i="58" s="1"/>
  <c r="I397" i="58"/>
  <c r="M397" i="58"/>
  <c r="E396" i="58"/>
  <c r="E345" i="58" s="1"/>
  <c r="M345" i="58" s="1"/>
  <c r="E389" i="58"/>
  <c r="E344" i="58" s="1"/>
  <c r="M344" i="58" s="1"/>
  <c r="O354" i="58"/>
  <c r="O353" i="58"/>
  <c r="O352" i="58"/>
  <c r="I352" i="58" s="1"/>
  <c r="O351" i="58"/>
  <c r="I351" i="58" s="1"/>
  <c r="O350" i="58"/>
  <c r="I350" i="58" s="1"/>
  <c r="O349" i="58"/>
  <c r="I349" i="58" s="1"/>
  <c r="O348" i="58"/>
  <c r="I348" i="58" s="1"/>
  <c r="O347" i="58"/>
  <c r="I347" i="58" s="1"/>
  <c r="O346" i="58"/>
  <c r="I346" i="58" s="1"/>
  <c r="O345" i="58"/>
  <c r="I345" i="58" s="1"/>
  <c r="O344" i="58"/>
  <c r="I344" i="58" s="1"/>
  <c r="O343" i="58"/>
  <c r="I343" i="58" s="1"/>
  <c r="F343" i="58"/>
  <c r="O342" i="58"/>
  <c r="I342" i="58" s="1"/>
  <c r="F342" i="58"/>
  <c r="O340" i="58"/>
  <c r="I340" i="58" s="1"/>
  <c r="O339" i="58"/>
  <c r="O338" i="58"/>
  <c r="O337" i="58"/>
  <c r="O336" i="58"/>
  <c r="O335" i="58"/>
  <c r="O334" i="58"/>
  <c r="I334" i="58" s="1"/>
  <c r="O333" i="58"/>
  <c r="O332" i="58"/>
  <c r="O331" i="58"/>
  <c r="O330" i="58"/>
  <c r="O329" i="58"/>
  <c r="O328" i="58"/>
  <c r="I328" i="58" s="1"/>
  <c r="O326" i="58"/>
  <c r="I326" i="58" s="1"/>
  <c r="O325" i="58"/>
  <c r="O324" i="58"/>
  <c r="O323" i="58"/>
  <c r="O322" i="58"/>
  <c r="O321" i="58"/>
  <c r="O320" i="58"/>
  <c r="O319" i="58"/>
  <c r="O318" i="58"/>
  <c r="O317" i="58"/>
  <c r="O316" i="58"/>
  <c r="I316" i="58" s="1"/>
  <c r="O315" i="58"/>
  <c r="I315" i="58" s="1"/>
  <c r="O314" i="58"/>
  <c r="I314" i="58" s="1"/>
  <c r="O313" i="58"/>
  <c r="I313" i="58" s="1"/>
  <c r="O312" i="58"/>
  <c r="E312" i="58"/>
  <c r="O311" i="58"/>
  <c r="I311" i="58" s="1"/>
  <c r="O310" i="58"/>
  <c r="O309" i="58"/>
  <c r="O308" i="58"/>
  <c r="O307" i="58"/>
  <c r="O306" i="58"/>
  <c r="O305" i="58"/>
  <c r="O304" i="58"/>
  <c r="I304" i="58" s="1"/>
  <c r="O303" i="58"/>
  <c r="I303" i="58" s="1"/>
  <c r="O302" i="58"/>
  <c r="I302" i="58" s="1"/>
  <c r="O301" i="58"/>
  <c r="I301" i="58" s="1"/>
  <c r="O300" i="58"/>
  <c r="I300" i="58" s="1"/>
  <c r="O299" i="58"/>
  <c r="I299" i="58" s="1"/>
  <c r="O298" i="58"/>
  <c r="I298" i="58" s="1"/>
  <c r="M297" i="58"/>
  <c r="M33" i="58" s="1"/>
  <c r="O297" i="58"/>
  <c r="E297" i="58"/>
  <c r="O296" i="58"/>
  <c r="I296" i="58" s="1"/>
  <c r="O295" i="58"/>
  <c r="O294" i="58"/>
  <c r="O293" i="58"/>
  <c r="O292" i="58"/>
  <c r="O291" i="58"/>
  <c r="I291" i="58" s="1"/>
  <c r="O290" i="58"/>
  <c r="I290" i="58" s="1"/>
  <c r="O289" i="58"/>
  <c r="I289" i="58" s="1"/>
  <c r="O288" i="58"/>
  <c r="I288" i="58" s="1"/>
  <c r="O287" i="58"/>
  <c r="I287" i="58" s="1"/>
  <c r="O286" i="58"/>
  <c r="I286" i="58" s="1"/>
  <c r="O285" i="58"/>
  <c r="I285" i="58" s="1"/>
  <c r="O284" i="58"/>
  <c r="I284" i="58" s="1"/>
  <c r="O283" i="58"/>
  <c r="I283" i="58" s="1"/>
  <c r="O282" i="58"/>
  <c r="E282" i="58"/>
  <c r="E32" i="58" s="1"/>
  <c r="K32" i="58" s="1"/>
  <c r="O281" i="58"/>
  <c r="I281" i="58" s="1"/>
  <c r="O280" i="58"/>
  <c r="O279" i="58"/>
  <c r="O278" i="58"/>
  <c r="O277" i="58"/>
  <c r="I277" i="58" s="1"/>
  <c r="O276" i="58"/>
  <c r="I276" i="58" s="1"/>
  <c r="O275" i="58"/>
  <c r="I275" i="58" s="1"/>
  <c r="O274" i="58"/>
  <c r="I274" i="58" s="1"/>
  <c r="O273" i="58"/>
  <c r="I273" i="58" s="1"/>
  <c r="O272" i="58"/>
  <c r="I272" i="58" s="1"/>
  <c r="O271" i="58"/>
  <c r="I271" i="58" s="1"/>
  <c r="O270" i="58"/>
  <c r="I270" i="58" s="1"/>
  <c r="O269" i="58"/>
  <c r="I269" i="58" s="1"/>
  <c r="O268" i="58"/>
  <c r="I268" i="58" s="1"/>
  <c r="O267" i="58"/>
  <c r="E267" i="58"/>
  <c r="O266" i="58"/>
  <c r="I266" i="58" s="1"/>
  <c r="O265" i="58"/>
  <c r="O264" i="58"/>
  <c r="O263" i="58"/>
  <c r="O262" i="58"/>
  <c r="O261" i="58"/>
  <c r="O260" i="58"/>
  <c r="O259" i="58"/>
  <c r="O258" i="58"/>
  <c r="O257" i="58"/>
  <c r="I257" i="58" s="1"/>
  <c r="O256" i="58"/>
  <c r="I256" i="58" s="1"/>
  <c r="O255" i="58"/>
  <c r="I255" i="58" s="1"/>
  <c r="O254" i="58"/>
  <c r="I254" i="58" s="1"/>
  <c r="O253" i="58"/>
  <c r="I253" i="58" s="1"/>
  <c r="O252" i="58"/>
  <c r="E252" i="58"/>
  <c r="E30" i="58" s="1"/>
  <c r="K30" i="58" s="1"/>
  <c r="O251" i="58"/>
  <c r="I251" i="58" s="1"/>
  <c r="O250" i="58"/>
  <c r="O249" i="58"/>
  <c r="O248" i="58"/>
  <c r="O247" i="58"/>
  <c r="O246" i="58"/>
  <c r="O245" i="58"/>
  <c r="I245" i="58" s="1"/>
  <c r="O244" i="58"/>
  <c r="I244" i="58" s="1"/>
  <c r="O243" i="58"/>
  <c r="I243" i="58" s="1"/>
  <c r="O242" i="58"/>
  <c r="I242" i="58" s="1"/>
  <c r="O241" i="58"/>
  <c r="I241" i="58" s="1"/>
  <c r="O240" i="58"/>
  <c r="I240" i="58" s="1"/>
  <c r="O239" i="58"/>
  <c r="I239" i="58" s="1"/>
  <c r="O238" i="58"/>
  <c r="I238" i="58" s="1"/>
  <c r="M237" i="58"/>
  <c r="M29" i="58" s="1"/>
  <c r="O237" i="58"/>
  <c r="E237" i="58"/>
  <c r="O236" i="58"/>
  <c r="I236" i="58" s="1"/>
  <c r="O235" i="58"/>
  <c r="O234" i="58"/>
  <c r="O233" i="58"/>
  <c r="O232" i="58"/>
  <c r="O231" i="58"/>
  <c r="O230" i="58"/>
  <c r="O229" i="58"/>
  <c r="O228" i="58"/>
  <c r="O227" i="58"/>
  <c r="O226" i="58"/>
  <c r="I226" i="58" s="1"/>
  <c r="O225" i="58"/>
  <c r="I225" i="58" s="1"/>
  <c r="O224" i="58"/>
  <c r="I224" i="58" s="1"/>
  <c r="O223" i="58"/>
  <c r="I223" i="58" s="1"/>
  <c r="O222" i="58"/>
  <c r="E222" i="58"/>
  <c r="O221" i="58"/>
  <c r="I221" i="58" s="1"/>
  <c r="O220" i="58"/>
  <c r="O219" i="58"/>
  <c r="O218" i="58"/>
  <c r="O217" i="58"/>
  <c r="O216" i="58"/>
  <c r="O215" i="58"/>
  <c r="O214" i="58"/>
  <c r="O213" i="58"/>
  <c r="O212" i="58"/>
  <c r="I212" i="58" s="1"/>
  <c r="O211" i="58"/>
  <c r="I211" i="58" s="1"/>
  <c r="O210" i="58"/>
  <c r="I210" i="58" s="1"/>
  <c r="O209" i="58"/>
  <c r="I209" i="58" s="1"/>
  <c r="O208" i="58"/>
  <c r="I208" i="58" s="1"/>
  <c r="M207" i="58"/>
  <c r="M27" i="58" s="1"/>
  <c r="O207" i="58"/>
  <c r="E207" i="58"/>
  <c r="O206" i="58"/>
  <c r="I206" i="58" s="1"/>
  <c r="O205" i="58"/>
  <c r="O204" i="58"/>
  <c r="O203" i="58"/>
  <c r="O202" i="58"/>
  <c r="O201" i="58"/>
  <c r="M192" i="58"/>
  <c r="M26" i="58" s="1"/>
  <c r="O200" i="58"/>
  <c r="O199" i="58"/>
  <c r="O198" i="58"/>
  <c r="I198" i="58" s="1"/>
  <c r="O197" i="58"/>
  <c r="I197" i="58" s="1"/>
  <c r="O196" i="58"/>
  <c r="I196" i="58" s="1"/>
  <c r="O195" i="58"/>
  <c r="I195" i="58" s="1"/>
  <c r="O194" i="58"/>
  <c r="I194" i="58" s="1"/>
  <c r="O193" i="58"/>
  <c r="I193" i="58" s="1"/>
  <c r="O192" i="58"/>
  <c r="E192" i="58"/>
  <c r="O191" i="58"/>
  <c r="I191" i="58" s="1"/>
  <c r="O190" i="58"/>
  <c r="O189" i="58"/>
  <c r="O188" i="58"/>
  <c r="O187" i="58"/>
  <c r="O186" i="58"/>
  <c r="O185" i="58"/>
  <c r="O184" i="58"/>
  <c r="O183" i="58"/>
  <c r="O182" i="58"/>
  <c r="I182" i="58" s="1"/>
  <c r="O181" i="58"/>
  <c r="I181" i="58" s="1"/>
  <c r="O180" i="58"/>
  <c r="I180" i="58" s="1"/>
  <c r="O179" i="58"/>
  <c r="I179" i="58" s="1"/>
  <c r="O178" i="58"/>
  <c r="I178" i="58" s="1"/>
  <c r="O177" i="58"/>
  <c r="M177" i="58"/>
  <c r="M25" i="58" s="1"/>
  <c r="E177" i="58"/>
  <c r="O176" i="58"/>
  <c r="I176" i="58" s="1"/>
  <c r="O175" i="58"/>
  <c r="O174" i="58"/>
  <c r="O173" i="58"/>
  <c r="O172" i="58"/>
  <c r="O171" i="58"/>
  <c r="I171" i="58" s="1"/>
  <c r="O170" i="58"/>
  <c r="I170" i="58" s="1"/>
  <c r="O169" i="58"/>
  <c r="I169" i="58" s="1"/>
  <c r="O168" i="58"/>
  <c r="I168" i="58" s="1"/>
  <c r="O167" i="58"/>
  <c r="I167" i="58" s="1"/>
  <c r="O166" i="58"/>
  <c r="I166" i="58" s="1"/>
  <c r="O165" i="58"/>
  <c r="I165" i="58" s="1"/>
  <c r="O164" i="58"/>
  <c r="I164" i="58" s="1"/>
  <c r="O163" i="58"/>
  <c r="I163" i="58" s="1"/>
  <c r="O162" i="58"/>
  <c r="E162" i="58"/>
  <c r="O161" i="58"/>
  <c r="I161" i="58" s="1"/>
  <c r="O160" i="58"/>
  <c r="O159" i="58"/>
  <c r="O158" i="58"/>
  <c r="O157" i="58"/>
  <c r="O156" i="58"/>
  <c r="O155" i="58"/>
  <c r="O154" i="58"/>
  <c r="O153" i="58"/>
  <c r="O152" i="58"/>
  <c r="O151" i="58"/>
  <c r="I151" i="58" s="1"/>
  <c r="O150" i="58"/>
  <c r="I150" i="58" s="1"/>
  <c r="O149" i="58"/>
  <c r="I149" i="58" s="1"/>
  <c r="O148" i="58"/>
  <c r="I148" i="58" s="1"/>
  <c r="M147" i="58"/>
  <c r="M23" i="58" s="1"/>
  <c r="O147" i="58"/>
  <c r="E147" i="58"/>
  <c r="O146" i="58"/>
  <c r="I146" i="58" s="1"/>
  <c r="O145" i="58"/>
  <c r="O144" i="58"/>
  <c r="O143" i="58"/>
  <c r="I143" i="58" s="1"/>
  <c r="J143" i="58" s="1"/>
  <c r="O142" i="58"/>
  <c r="O141" i="58"/>
  <c r="I141" i="58" s="1"/>
  <c r="O140" i="58"/>
  <c r="I140" i="58" s="1"/>
  <c r="O139" i="58"/>
  <c r="I139" i="58" s="1"/>
  <c r="O138" i="58"/>
  <c r="I138" i="58" s="1"/>
  <c r="O137" i="58"/>
  <c r="I137" i="58" s="1"/>
  <c r="O136" i="58"/>
  <c r="I136" i="58" s="1"/>
  <c r="O135" i="58"/>
  <c r="I135" i="58" s="1"/>
  <c r="O134" i="58"/>
  <c r="I134" i="58" s="1"/>
  <c r="O133" i="58"/>
  <c r="I133" i="58" s="1"/>
  <c r="O132" i="58"/>
  <c r="M132" i="58"/>
  <c r="M22" i="58" s="1"/>
  <c r="E132" i="58"/>
  <c r="O131" i="58"/>
  <c r="I131" i="58" s="1"/>
  <c r="O130" i="58"/>
  <c r="O129" i="58"/>
  <c r="O128" i="58"/>
  <c r="I128" i="58" s="1"/>
  <c r="O127" i="58"/>
  <c r="I127" i="58" s="1"/>
  <c r="O126" i="58"/>
  <c r="I126" i="58" s="1"/>
  <c r="O125" i="58"/>
  <c r="I125" i="58" s="1"/>
  <c r="O124" i="58"/>
  <c r="I124" i="58" s="1"/>
  <c r="O123" i="58"/>
  <c r="I123" i="58" s="1"/>
  <c r="O122" i="58"/>
  <c r="I122" i="58" s="1"/>
  <c r="O121" i="58"/>
  <c r="I121" i="58" s="1"/>
  <c r="O120" i="58"/>
  <c r="I120" i="58" s="1"/>
  <c r="O119" i="58"/>
  <c r="I119" i="58" s="1"/>
  <c r="O118" i="58"/>
  <c r="I118" i="58" s="1"/>
  <c r="O117" i="58"/>
  <c r="M117" i="58"/>
  <c r="M21" i="58" s="1"/>
  <c r="E117" i="58"/>
  <c r="O116" i="58"/>
  <c r="I116" i="58" s="1"/>
  <c r="O115" i="58"/>
  <c r="O114" i="58"/>
  <c r="O113" i="58"/>
  <c r="O112" i="58"/>
  <c r="O111" i="58"/>
  <c r="O110" i="58"/>
  <c r="O109" i="58"/>
  <c r="O108" i="58"/>
  <c r="O107" i="58"/>
  <c r="O106" i="58"/>
  <c r="I106" i="58" s="1"/>
  <c r="O105" i="58"/>
  <c r="I105" i="58" s="1"/>
  <c r="O104" i="58"/>
  <c r="I104" i="58" s="1"/>
  <c r="O103" i="58"/>
  <c r="I103" i="58" s="1"/>
  <c r="O102" i="58"/>
  <c r="M102" i="58"/>
  <c r="M20" i="58" s="1"/>
  <c r="E102" i="58"/>
  <c r="E20" i="58" s="1"/>
  <c r="K20" i="58" s="1"/>
  <c r="O101" i="58"/>
  <c r="I101" i="58" s="1"/>
  <c r="O100" i="58"/>
  <c r="O99" i="58"/>
  <c r="O98" i="58"/>
  <c r="I98" i="58" s="1"/>
  <c r="O97" i="58"/>
  <c r="I97" i="58" s="1"/>
  <c r="O94" i="58"/>
  <c r="I94" i="58" s="1"/>
  <c r="O93" i="58"/>
  <c r="I93" i="58" s="1"/>
  <c r="O92" i="58"/>
  <c r="I92" i="58" s="1"/>
  <c r="O91" i="58"/>
  <c r="I91" i="58" s="1"/>
  <c r="O90" i="58"/>
  <c r="I90" i="58" s="1"/>
  <c r="O89" i="58"/>
  <c r="I89" i="58" s="1"/>
  <c r="O88" i="58"/>
  <c r="I88" i="58" s="1"/>
  <c r="O87" i="58"/>
  <c r="I87" i="58" s="1"/>
  <c r="O86" i="58"/>
  <c r="I86" i="58" s="1"/>
  <c r="O85" i="58"/>
  <c r="E85" i="58"/>
  <c r="E19" i="58" s="1"/>
  <c r="K19" i="58" s="1"/>
  <c r="O84" i="58"/>
  <c r="I84" i="58" s="1"/>
  <c r="O83" i="58"/>
  <c r="O82" i="58"/>
  <c r="O81" i="58"/>
  <c r="O80" i="58"/>
  <c r="O79" i="58"/>
  <c r="O78" i="58"/>
  <c r="O77" i="58"/>
  <c r="I77" i="58" s="1"/>
  <c r="O76" i="58"/>
  <c r="I76" i="58" s="1"/>
  <c r="O75" i="58"/>
  <c r="I75" i="58" s="1"/>
  <c r="O74" i="58"/>
  <c r="I74" i="58" s="1"/>
  <c r="O73" i="58"/>
  <c r="I73" i="58" s="1"/>
  <c r="O72" i="58"/>
  <c r="I72" i="58" s="1"/>
  <c r="O71" i="58"/>
  <c r="I71" i="58" s="1"/>
  <c r="O70" i="58"/>
  <c r="E70" i="58"/>
  <c r="O69" i="58"/>
  <c r="I69" i="58" s="1"/>
  <c r="O68" i="58"/>
  <c r="O67" i="58"/>
  <c r="O66" i="58"/>
  <c r="I66" i="58" s="1"/>
  <c r="O65" i="58"/>
  <c r="I65" i="58" s="1"/>
  <c r="O64" i="58"/>
  <c r="I64" i="58" s="1"/>
  <c r="O63" i="58"/>
  <c r="I63" i="58" s="1"/>
  <c r="O62" i="58"/>
  <c r="I62" i="58" s="1"/>
  <c r="O61" i="58"/>
  <c r="I61" i="58" s="1"/>
  <c r="O60" i="58"/>
  <c r="I60" i="58" s="1"/>
  <c r="O59" i="58"/>
  <c r="I59" i="58" s="1"/>
  <c r="O58" i="58"/>
  <c r="I58" i="58" s="1"/>
  <c r="O57" i="58"/>
  <c r="I57" i="58" s="1"/>
  <c r="O56" i="58"/>
  <c r="I56" i="58" s="1"/>
  <c r="M55" i="58"/>
  <c r="M17" i="58" s="1"/>
  <c r="O55" i="58"/>
  <c r="E55" i="58"/>
  <c r="O54" i="58"/>
  <c r="I54" i="58" s="1"/>
  <c r="O53" i="58"/>
  <c r="O52" i="58"/>
  <c r="O51" i="58"/>
  <c r="O50" i="58"/>
  <c r="O49" i="58"/>
  <c r="O48" i="58"/>
  <c r="O47" i="58"/>
  <c r="I47" i="58" s="1"/>
  <c r="O46" i="58"/>
  <c r="I46" i="58" s="1"/>
  <c r="O45" i="58"/>
  <c r="I45" i="58" s="1"/>
  <c r="O44" i="58"/>
  <c r="I44" i="58" s="1"/>
  <c r="O43" i="58"/>
  <c r="I43" i="58" s="1"/>
  <c r="O42" i="58"/>
  <c r="I42" i="58" s="1"/>
  <c r="O41" i="58"/>
  <c r="I41" i="58" s="1"/>
  <c r="O40" i="58"/>
  <c r="E40" i="58"/>
  <c r="I403" i="57"/>
  <c r="M403" i="57"/>
  <c r="I397" i="57"/>
  <c r="M397" i="57"/>
  <c r="E396" i="57"/>
  <c r="E345" i="57" s="1"/>
  <c r="M345" i="57" s="1"/>
  <c r="E389" i="57"/>
  <c r="E344" i="57" s="1"/>
  <c r="M344" i="57" s="1"/>
  <c r="O354" i="57"/>
  <c r="O353" i="57"/>
  <c r="O352" i="57"/>
  <c r="I352" i="57" s="1"/>
  <c r="O351" i="57"/>
  <c r="I351" i="57" s="1"/>
  <c r="O350" i="57"/>
  <c r="I350" i="57" s="1"/>
  <c r="O349" i="57"/>
  <c r="I349" i="57" s="1"/>
  <c r="O348" i="57"/>
  <c r="I348" i="57" s="1"/>
  <c r="O347" i="57"/>
  <c r="I347" i="57" s="1"/>
  <c r="O346" i="57"/>
  <c r="I346" i="57" s="1"/>
  <c r="O345" i="57"/>
  <c r="I345" i="57" s="1"/>
  <c r="O344" i="57"/>
  <c r="I344" i="57" s="1"/>
  <c r="O343" i="57"/>
  <c r="I343" i="57" s="1"/>
  <c r="F343" i="57"/>
  <c r="O342" i="57"/>
  <c r="I342" i="57" s="1"/>
  <c r="F342" i="57"/>
  <c r="O341" i="57"/>
  <c r="O340" i="57"/>
  <c r="I340" i="57" s="1"/>
  <c r="O339" i="57"/>
  <c r="O338" i="57"/>
  <c r="O337" i="57"/>
  <c r="O336" i="57"/>
  <c r="O335" i="57"/>
  <c r="O334" i="57"/>
  <c r="I334" i="57" s="1"/>
  <c r="O333" i="57"/>
  <c r="O332" i="57"/>
  <c r="O331" i="57"/>
  <c r="O330" i="57"/>
  <c r="O329" i="57"/>
  <c r="O328" i="57"/>
  <c r="I328" i="57" s="1"/>
  <c r="O327" i="57"/>
  <c r="O326" i="57"/>
  <c r="I326" i="57" s="1"/>
  <c r="O325" i="57"/>
  <c r="O324" i="57"/>
  <c r="O323" i="57"/>
  <c r="O322" i="57"/>
  <c r="O321" i="57"/>
  <c r="O320" i="57"/>
  <c r="O319" i="57"/>
  <c r="O318" i="57"/>
  <c r="O317" i="57"/>
  <c r="O316" i="57"/>
  <c r="I316" i="57" s="1"/>
  <c r="O315" i="57"/>
  <c r="I315" i="57" s="1"/>
  <c r="O314" i="57"/>
  <c r="I314" i="57" s="1"/>
  <c r="O313" i="57"/>
  <c r="I313" i="57" s="1"/>
  <c r="O312" i="57"/>
  <c r="E312" i="57"/>
  <c r="E34" i="57" s="1"/>
  <c r="O311" i="57"/>
  <c r="I311" i="57" s="1"/>
  <c r="O310" i="57"/>
  <c r="O309" i="57"/>
  <c r="O308" i="57"/>
  <c r="O307" i="57"/>
  <c r="O306" i="57"/>
  <c r="O305" i="57"/>
  <c r="O304" i="57"/>
  <c r="I304" i="57" s="1"/>
  <c r="O303" i="57"/>
  <c r="I303" i="57" s="1"/>
  <c r="O302" i="57"/>
  <c r="I302" i="57" s="1"/>
  <c r="O301" i="57"/>
  <c r="I301" i="57" s="1"/>
  <c r="O300" i="57"/>
  <c r="I300" i="57" s="1"/>
  <c r="O299" i="57"/>
  <c r="I299" i="57" s="1"/>
  <c r="O298" i="57"/>
  <c r="I298" i="57" s="1"/>
  <c r="O297" i="57"/>
  <c r="E297" i="57"/>
  <c r="O296" i="57"/>
  <c r="I296" i="57" s="1"/>
  <c r="O295" i="57"/>
  <c r="O294" i="57"/>
  <c r="O293" i="57"/>
  <c r="O292" i="57"/>
  <c r="O291" i="57"/>
  <c r="I291" i="57" s="1"/>
  <c r="O290" i="57"/>
  <c r="I290" i="57" s="1"/>
  <c r="O289" i="57"/>
  <c r="I289" i="57" s="1"/>
  <c r="O288" i="57"/>
  <c r="I288" i="57" s="1"/>
  <c r="O287" i="57"/>
  <c r="I287" i="57" s="1"/>
  <c r="O286" i="57"/>
  <c r="I286" i="57" s="1"/>
  <c r="O285" i="57"/>
  <c r="I285" i="57" s="1"/>
  <c r="O284" i="57"/>
  <c r="I284" i="57" s="1"/>
  <c r="O283" i="57"/>
  <c r="I283" i="57" s="1"/>
  <c r="O282" i="57"/>
  <c r="E282" i="57"/>
  <c r="E32" i="57" s="1"/>
  <c r="O281" i="57"/>
  <c r="I281" i="57" s="1"/>
  <c r="O280" i="57"/>
  <c r="O279" i="57"/>
  <c r="O278" i="57"/>
  <c r="O277" i="57"/>
  <c r="I277" i="57" s="1"/>
  <c r="O276" i="57"/>
  <c r="I276" i="57" s="1"/>
  <c r="O275" i="57"/>
  <c r="I275" i="57" s="1"/>
  <c r="O274" i="57"/>
  <c r="I274" i="57" s="1"/>
  <c r="O273" i="57"/>
  <c r="I273" i="57" s="1"/>
  <c r="O272" i="57"/>
  <c r="I272" i="57" s="1"/>
  <c r="O271" i="57"/>
  <c r="I271" i="57" s="1"/>
  <c r="O270" i="57"/>
  <c r="I270" i="57" s="1"/>
  <c r="O269" i="57"/>
  <c r="I269" i="57" s="1"/>
  <c r="O268" i="57"/>
  <c r="I268" i="57" s="1"/>
  <c r="O267" i="57"/>
  <c r="E267" i="57"/>
  <c r="E31" i="57" s="1"/>
  <c r="O266" i="57"/>
  <c r="I266" i="57" s="1"/>
  <c r="O265" i="57"/>
  <c r="O264" i="57"/>
  <c r="O263" i="57"/>
  <c r="O262" i="57"/>
  <c r="O261" i="57"/>
  <c r="O260" i="57"/>
  <c r="O259" i="57"/>
  <c r="O258" i="57"/>
  <c r="O257" i="57"/>
  <c r="I257" i="57" s="1"/>
  <c r="O256" i="57"/>
  <c r="I256" i="57" s="1"/>
  <c r="O255" i="57"/>
  <c r="I255" i="57" s="1"/>
  <c r="O254" i="57"/>
  <c r="I254" i="57" s="1"/>
  <c r="O253" i="57"/>
  <c r="I253" i="57" s="1"/>
  <c r="O252" i="57"/>
  <c r="E252" i="57"/>
  <c r="E30" i="57" s="1"/>
  <c r="O251" i="57"/>
  <c r="I251" i="57" s="1"/>
  <c r="O250" i="57"/>
  <c r="O249" i="57"/>
  <c r="O248" i="57"/>
  <c r="O247" i="57"/>
  <c r="O246" i="57"/>
  <c r="O245" i="57"/>
  <c r="I245" i="57" s="1"/>
  <c r="O244" i="57"/>
  <c r="I244" i="57" s="1"/>
  <c r="O243" i="57"/>
  <c r="I243" i="57" s="1"/>
  <c r="O242" i="57"/>
  <c r="I242" i="57" s="1"/>
  <c r="O241" i="57"/>
  <c r="I241" i="57" s="1"/>
  <c r="O240" i="57"/>
  <c r="I240" i="57" s="1"/>
  <c r="O239" i="57"/>
  <c r="I239" i="57" s="1"/>
  <c r="O238" i="57"/>
  <c r="I238" i="57" s="1"/>
  <c r="O237" i="57"/>
  <c r="E237" i="57"/>
  <c r="O236" i="57"/>
  <c r="I236" i="57" s="1"/>
  <c r="O235" i="57"/>
  <c r="O234" i="57"/>
  <c r="O233" i="57"/>
  <c r="O232" i="57"/>
  <c r="O231" i="57"/>
  <c r="O230" i="57"/>
  <c r="O229" i="57"/>
  <c r="O228" i="57"/>
  <c r="O227" i="57"/>
  <c r="O226" i="57"/>
  <c r="I226" i="57" s="1"/>
  <c r="O225" i="57"/>
  <c r="I225" i="57" s="1"/>
  <c r="O224" i="57"/>
  <c r="I224" i="57" s="1"/>
  <c r="O223" i="57"/>
  <c r="I223" i="57" s="1"/>
  <c r="O222" i="57"/>
  <c r="E222" i="57"/>
  <c r="O221" i="57"/>
  <c r="I221" i="57" s="1"/>
  <c r="O220" i="57"/>
  <c r="O219" i="57"/>
  <c r="O218" i="57"/>
  <c r="O217" i="57"/>
  <c r="O216" i="57"/>
  <c r="O215" i="57"/>
  <c r="O214" i="57"/>
  <c r="O213" i="57"/>
  <c r="O212" i="57"/>
  <c r="I212" i="57" s="1"/>
  <c r="O211" i="57"/>
  <c r="I211" i="57" s="1"/>
  <c r="O210" i="57"/>
  <c r="I210" i="57" s="1"/>
  <c r="O209" i="57"/>
  <c r="I209" i="57" s="1"/>
  <c r="O208" i="57"/>
  <c r="I208" i="57" s="1"/>
  <c r="O207" i="57"/>
  <c r="E207" i="57"/>
  <c r="O206" i="57"/>
  <c r="I206" i="57" s="1"/>
  <c r="O205" i="57"/>
  <c r="O204" i="57"/>
  <c r="O203" i="57"/>
  <c r="O202" i="57"/>
  <c r="O201" i="57"/>
  <c r="O200" i="57"/>
  <c r="O199" i="57"/>
  <c r="O198" i="57"/>
  <c r="I198" i="57" s="1"/>
  <c r="O197" i="57"/>
  <c r="I197" i="57" s="1"/>
  <c r="O196" i="57"/>
  <c r="I196" i="57" s="1"/>
  <c r="O195" i="57"/>
  <c r="I195" i="57" s="1"/>
  <c r="O194" i="57"/>
  <c r="I194" i="57" s="1"/>
  <c r="O193" i="57"/>
  <c r="I193" i="57" s="1"/>
  <c r="O192" i="57"/>
  <c r="E192" i="57"/>
  <c r="O191" i="57"/>
  <c r="I191" i="57" s="1"/>
  <c r="O190" i="57"/>
  <c r="O189" i="57"/>
  <c r="O188" i="57"/>
  <c r="O187" i="57"/>
  <c r="O186" i="57"/>
  <c r="O185" i="57"/>
  <c r="O184" i="57"/>
  <c r="O183" i="57"/>
  <c r="O182" i="57"/>
  <c r="I182" i="57" s="1"/>
  <c r="O181" i="57"/>
  <c r="I181" i="57" s="1"/>
  <c r="O180" i="57"/>
  <c r="I180" i="57" s="1"/>
  <c r="O179" i="57"/>
  <c r="I179" i="57" s="1"/>
  <c r="O178" i="57"/>
  <c r="I178" i="57" s="1"/>
  <c r="O177" i="57"/>
  <c r="E177" i="57"/>
  <c r="O176" i="57"/>
  <c r="I176" i="57" s="1"/>
  <c r="O175" i="57"/>
  <c r="O174" i="57"/>
  <c r="O173" i="57"/>
  <c r="O172" i="57"/>
  <c r="O171" i="57"/>
  <c r="I171" i="57" s="1"/>
  <c r="O170" i="57"/>
  <c r="I170" i="57" s="1"/>
  <c r="O169" i="57"/>
  <c r="I169" i="57" s="1"/>
  <c r="O168" i="57"/>
  <c r="I168" i="57" s="1"/>
  <c r="O167" i="57"/>
  <c r="I167" i="57" s="1"/>
  <c r="O166" i="57"/>
  <c r="I166" i="57" s="1"/>
  <c r="O165" i="57"/>
  <c r="I165" i="57" s="1"/>
  <c r="O164" i="57"/>
  <c r="I164" i="57" s="1"/>
  <c r="O163" i="57"/>
  <c r="I163" i="57" s="1"/>
  <c r="O162" i="57"/>
  <c r="E162" i="57"/>
  <c r="O161" i="57"/>
  <c r="I161" i="57" s="1"/>
  <c r="O160" i="57"/>
  <c r="O159" i="57"/>
  <c r="O158" i="57"/>
  <c r="O157" i="57"/>
  <c r="O156" i="57"/>
  <c r="O155" i="57"/>
  <c r="O154" i="57"/>
  <c r="O153" i="57"/>
  <c r="O152" i="57"/>
  <c r="O151" i="57"/>
  <c r="I151" i="57" s="1"/>
  <c r="O150" i="57"/>
  <c r="I150" i="57" s="1"/>
  <c r="O149" i="57"/>
  <c r="I149" i="57" s="1"/>
  <c r="O148" i="57"/>
  <c r="I148" i="57" s="1"/>
  <c r="O147" i="57"/>
  <c r="E147" i="57"/>
  <c r="O146" i="57"/>
  <c r="I146" i="57" s="1"/>
  <c r="O145" i="57"/>
  <c r="O144" i="57"/>
  <c r="O143" i="57"/>
  <c r="O142" i="57"/>
  <c r="O141" i="57"/>
  <c r="I141" i="57" s="1"/>
  <c r="O140" i="57"/>
  <c r="I140" i="57" s="1"/>
  <c r="O139" i="57"/>
  <c r="I139" i="57" s="1"/>
  <c r="O138" i="57"/>
  <c r="I138" i="57" s="1"/>
  <c r="O137" i="57"/>
  <c r="I137" i="57" s="1"/>
  <c r="O136" i="57"/>
  <c r="I136" i="57" s="1"/>
  <c r="O135" i="57"/>
  <c r="I135" i="57" s="1"/>
  <c r="O134" i="57"/>
  <c r="I134" i="57" s="1"/>
  <c r="O133" i="57"/>
  <c r="I133" i="57" s="1"/>
  <c r="O132" i="57"/>
  <c r="E132" i="57"/>
  <c r="O131" i="57"/>
  <c r="I131" i="57" s="1"/>
  <c r="O130" i="57"/>
  <c r="O129" i="57"/>
  <c r="O128" i="57"/>
  <c r="I128" i="57" s="1"/>
  <c r="O127" i="57"/>
  <c r="I127" i="57" s="1"/>
  <c r="O126" i="57"/>
  <c r="I126" i="57" s="1"/>
  <c r="O125" i="57"/>
  <c r="I125" i="57" s="1"/>
  <c r="O124" i="57"/>
  <c r="I124" i="57" s="1"/>
  <c r="O123" i="57"/>
  <c r="I123" i="57" s="1"/>
  <c r="O122" i="57"/>
  <c r="I122" i="57" s="1"/>
  <c r="O121" i="57"/>
  <c r="I121" i="57" s="1"/>
  <c r="O120" i="57"/>
  <c r="I120" i="57" s="1"/>
  <c r="O119" i="57"/>
  <c r="I119" i="57" s="1"/>
  <c r="O118" i="57"/>
  <c r="I118" i="57" s="1"/>
  <c r="O117" i="57"/>
  <c r="E117" i="57"/>
  <c r="E21" i="57" s="1"/>
  <c r="O116" i="57"/>
  <c r="I116" i="57" s="1"/>
  <c r="O115" i="57"/>
  <c r="O114" i="57"/>
  <c r="O113" i="57"/>
  <c r="O112" i="57"/>
  <c r="O111" i="57"/>
  <c r="O110" i="57"/>
  <c r="O109" i="57"/>
  <c r="O108" i="57"/>
  <c r="O107" i="57"/>
  <c r="O106" i="57"/>
  <c r="I106" i="57" s="1"/>
  <c r="O105" i="57"/>
  <c r="I105" i="57" s="1"/>
  <c r="O104" i="57"/>
  <c r="I104" i="57" s="1"/>
  <c r="O103" i="57"/>
  <c r="I103" i="57" s="1"/>
  <c r="O102" i="57"/>
  <c r="E102" i="57"/>
  <c r="E20" i="57" s="1"/>
  <c r="O101" i="57"/>
  <c r="I101" i="57" s="1"/>
  <c r="O100" i="57"/>
  <c r="O99" i="57"/>
  <c r="O96" i="57"/>
  <c r="I96" i="57" s="1"/>
  <c r="O95" i="57"/>
  <c r="I95" i="57" s="1"/>
  <c r="O94" i="57"/>
  <c r="I94" i="57" s="1"/>
  <c r="O93" i="57"/>
  <c r="I93" i="57" s="1"/>
  <c r="O92" i="57"/>
  <c r="I92" i="57" s="1"/>
  <c r="O91" i="57"/>
  <c r="I91" i="57" s="1"/>
  <c r="O90" i="57"/>
  <c r="I90" i="57" s="1"/>
  <c r="O89" i="57"/>
  <c r="I89" i="57" s="1"/>
  <c r="O88" i="57"/>
  <c r="I88" i="57" s="1"/>
  <c r="O87" i="57"/>
  <c r="I87" i="57" s="1"/>
  <c r="O86" i="57"/>
  <c r="I86" i="57" s="1"/>
  <c r="O85" i="57"/>
  <c r="E85" i="57"/>
  <c r="E19" i="57" s="1"/>
  <c r="O84" i="57"/>
  <c r="I84" i="57" s="1"/>
  <c r="O83" i="57"/>
  <c r="O82" i="57"/>
  <c r="O81" i="57"/>
  <c r="O80" i="57"/>
  <c r="O79" i="57"/>
  <c r="O78" i="57"/>
  <c r="O77" i="57"/>
  <c r="I77" i="57" s="1"/>
  <c r="O76" i="57"/>
  <c r="I76" i="57" s="1"/>
  <c r="O75" i="57"/>
  <c r="I75" i="57" s="1"/>
  <c r="O74" i="57"/>
  <c r="I74" i="57" s="1"/>
  <c r="O73" i="57"/>
  <c r="I73" i="57" s="1"/>
  <c r="O72" i="57"/>
  <c r="I72" i="57" s="1"/>
  <c r="O71" i="57"/>
  <c r="I71" i="57" s="1"/>
  <c r="O70" i="57"/>
  <c r="E70" i="57"/>
  <c r="O69" i="57"/>
  <c r="I69" i="57" s="1"/>
  <c r="O68" i="57"/>
  <c r="O67" i="57"/>
  <c r="O66" i="57"/>
  <c r="I66" i="57" s="1"/>
  <c r="O65" i="57"/>
  <c r="I65" i="57" s="1"/>
  <c r="O64" i="57"/>
  <c r="I64" i="57" s="1"/>
  <c r="O63" i="57"/>
  <c r="I63" i="57" s="1"/>
  <c r="O62" i="57"/>
  <c r="I62" i="57" s="1"/>
  <c r="O61" i="57"/>
  <c r="I61" i="57" s="1"/>
  <c r="O60" i="57"/>
  <c r="I60" i="57" s="1"/>
  <c r="O59" i="57"/>
  <c r="I59" i="57" s="1"/>
  <c r="O58" i="57"/>
  <c r="I58" i="57" s="1"/>
  <c r="O57" i="57"/>
  <c r="I57" i="57" s="1"/>
  <c r="O56" i="57"/>
  <c r="I56" i="57" s="1"/>
  <c r="O55" i="57"/>
  <c r="E55" i="57"/>
  <c r="O54" i="57"/>
  <c r="I54" i="57" s="1"/>
  <c r="O53" i="57"/>
  <c r="O52" i="57"/>
  <c r="O51" i="57"/>
  <c r="O50" i="57"/>
  <c r="O49" i="57"/>
  <c r="O48" i="57"/>
  <c r="O47" i="57"/>
  <c r="I47" i="57" s="1"/>
  <c r="O46" i="57"/>
  <c r="I46" i="57" s="1"/>
  <c r="O45" i="57"/>
  <c r="I45" i="57" s="1"/>
  <c r="O44" i="57"/>
  <c r="I44" i="57" s="1"/>
  <c r="O43" i="57"/>
  <c r="I43" i="57" s="1"/>
  <c r="O42" i="57"/>
  <c r="I42" i="57" s="1"/>
  <c r="O41" i="57"/>
  <c r="I41" i="57" s="1"/>
  <c r="O40" i="57"/>
  <c r="E40" i="57"/>
  <c r="H31" i="24"/>
  <c r="J31" i="24" s="1"/>
  <c r="H25" i="24"/>
  <c r="J25" i="24" s="1"/>
  <c r="H19" i="24"/>
  <c r="J19" i="24" s="1"/>
  <c r="O403" i="56"/>
  <c r="I403" i="56" s="1"/>
  <c r="M403" i="56"/>
  <c r="O402" i="56"/>
  <c r="I402" i="56" s="1"/>
  <c r="J402" i="56" s="1"/>
  <c r="O401" i="56"/>
  <c r="I401" i="56" s="1"/>
  <c r="J401" i="56" s="1"/>
  <c r="O400" i="56"/>
  <c r="I400" i="56" s="1"/>
  <c r="J400" i="56" s="1"/>
  <c r="O399" i="56"/>
  <c r="O397" i="56"/>
  <c r="I397" i="56" s="1"/>
  <c r="M397" i="56"/>
  <c r="E396" i="56"/>
  <c r="E345" i="56" s="1"/>
  <c r="M345" i="56" s="1"/>
  <c r="O354" i="56"/>
  <c r="I354" i="56" s="1"/>
  <c r="J354" i="56" s="1"/>
  <c r="O353" i="56"/>
  <c r="I353" i="56" s="1"/>
  <c r="J353" i="56" s="1"/>
  <c r="O352" i="56"/>
  <c r="O351" i="56"/>
  <c r="O350" i="56"/>
  <c r="O349" i="56"/>
  <c r="O348" i="56"/>
  <c r="O347" i="56"/>
  <c r="O346" i="56"/>
  <c r="O345" i="56"/>
  <c r="O344" i="56"/>
  <c r="O343" i="56"/>
  <c r="F343" i="56"/>
  <c r="O342" i="56"/>
  <c r="F342" i="56"/>
  <c r="O341" i="56"/>
  <c r="O340" i="56"/>
  <c r="I340" i="56" s="1"/>
  <c r="O339" i="56"/>
  <c r="I339" i="56" s="1"/>
  <c r="J339" i="56" s="1"/>
  <c r="O338" i="56"/>
  <c r="I338" i="56" s="1"/>
  <c r="J338" i="56" s="1"/>
  <c r="O337" i="56"/>
  <c r="I337" i="56" s="1"/>
  <c r="J337" i="56" s="1"/>
  <c r="O336" i="56"/>
  <c r="I336" i="56" s="1"/>
  <c r="J336" i="56" s="1"/>
  <c r="O335" i="56"/>
  <c r="I335" i="56" s="1"/>
  <c r="J335" i="56" s="1"/>
  <c r="O334" i="56"/>
  <c r="O333" i="56"/>
  <c r="I333" i="56" s="1"/>
  <c r="J333" i="56" s="1"/>
  <c r="O332" i="56"/>
  <c r="I332" i="56" s="1"/>
  <c r="J332" i="56" s="1"/>
  <c r="O331" i="56"/>
  <c r="I331" i="56" s="1"/>
  <c r="J331" i="56" s="1"/>
  <c r="O330" i="56"/>
  <c r="I330" i="56" s="1"/>
  <c r="J330" i="56" s="1"/>
  <c r="O329" i="56"/>
  <c r="I329" i="56" s="1"/>
  <c r="J329" i="56" s="1"/>
  <c r="O328" i="56"/>
  <c r="O327" i="56"/>
  <c r="O326" i="56"/>
  <c r="I326" i="56" s="1"/>
  <c r="O325" i="56"/>
  <c r="I325" i="56" s="1"/>
  <c r="J325" i="56" s="1"/>
  <c r="O324" i="56"/>
  <c r="I324" i="56" s="1"/>
  <c r="J324" i="56" s="1"/>
  <c r="O323" i="56"/>
  <c r="I323" i="56" s="1"/>
  <c r="J323" i="56" s="1"/>
  <c r="O322" i="56"/>
  <c r="I322" i="56" s="1"/>
  <c r="J322" i="56" s="1"/>
  <c r="O321" i="56"/>
  <c r="I321" i="56" s="1"/>
  <c r="J321" i="56" s="1"/>
  <c r="O320" i="56"/>
  <c r="I320" i="56" s="1"/>
  <c r="J320" i="56" s="1"/>
  <c r="O319" i="56"/>
  <c r="I319" i="56" s="1"/>
  <c r="J319" i="56" s="1"/>
  <c r="O318" i="56"/>
  <c r="I318" i="56" s="1"/>
  <c r="J318" i="56" s="1"/>
  <c r="O317" i="56"/>
  <c r="I317" i="56" s="1"/>
  <c r="J317" i="56" s="1"/>
  <c r="O316" i="56"/>
  <c r="O315" i="56"/>
  <c r="O314" i="56"/>
  <c r="O313" i="56"/>
  <c r="O312" i="56"/>
  <c r="E312" i="56"/>
  <c r="O311" i="56"/>
  <c r="I311" i="56" s="1"/>
  <c r="O310" i="56"/>
  <c r="I310" i="56" s="1"/>
  <c r="J310" i="56" s="1"/>
  <c r="O309" i="56"/>
  <c r="I309" i="56" s="1"/>
  <c r="J309" i="56" s="1"/>
  <c r="O308" i="56"/>
  <c r="I308" i="56" s="1"/>
  <c r="J308" i="56" s="1"/>
  <c r="O307" i="56"/>
  <c r="I307" i="56" s="1"/>
  <c r="J307" i="56" s="1"/>
  <c r="O306" i="56"/>
  <c r="I306" i="56" s="1"/>
  <c r="J306" i="56" s="1"/>
  <c r="O305" i="56"/>
  <c r="I305" i="56" s="1"/>
  <c r="J305" i="56" s="1"/>
  <c r="O304" i="56"/>
  <c r="O303" i="56"/>
  <c r="O302" i="56"/>
  <c r="O301" i="56"/>
  <c r="O300" i="56"/>
  <c r="O299" i="56"/>
  <c r="O298" i="56"/>
  <c r="O297" i="56"/>
  <c r="E297" i="56"/>
  <c r="O296" i="56"/>
  <c r="I296" i="56" s="1"/>
  <c r="O295" i="56"/>
  <c r="I295" i="56" s="1"/>
  <c r="J295" i="56" s="1"/>
  <c r="O294" i="56"/>
  <c r="I294" i="56" s="1"/>
  <c r="J294" i="56" s="1"/>
  <c r="O293" i="56"/>
  <c r="I293" i="56" s="1"/>
  <c r="J293" i="56" s="1"/>
  <c r="O292" i="56"/>
  <c r="I292" i="56" s="1"/>
  <c r="J292" i="56" s="1"/>
  <c r="O291" i="56"/>
  <c r="O290" i="56"/>
  <c r="O289" i="56"/>
  <c r="O288" i="56"/>
  <c r="O287" i="56"/>
  <c r="O286" i="56"/>
  <c r="O285" i="56"/>
  <c r="O284" i="56"/>
  <c r="O283" i="56"/>
  <c r="O282" i="56"/>
  <c r="E282" i="56"/>
  <c r="E32" i="56" s="1"/>
  <c r="O281" i="56"/>
  <c r="I281" i="56" s="1"/>
  <c r="O280" i="56"/>
  <c r="I280" i="56" s="1"/>
  <c r="J280" i="56" s="1"/>
  <c r="O279" i="56"/>
  <c r="I279" i="56" s="1"/>
  <c r="J279" i="56" s="1"/>
  <c r="O278" i="56"/>
  <c r="I278" i="56" s="1"/>
  <c r="J278" i="56" s="1"/>
  <c r="O277" i="56"/>
  <c r="O276" i="56"/>
  <c r="O275" i="56"/>
  <c r="O274" i="56"/>
  <c r="O273" i="56"/>
  <c r="O272" i="56"/>
  <c r="O271" i="56"/>
  <c r="O270" i="56"/>
  <c r="O269" i="56"/>
  <c r="O268" i="56"/>
  <c r="O267" i="56"/>
  <c r="E267" i="56"/>
  <c r="E31" i="56" s="1"/>
  <c r="O266" i="56"/>
  <c r="I266" i="56" s="1"/>
  <c r="O265" i="56"/>
  <c r="I265" i="56" s="1"/>
  <c r="J265" i="56" s="1"/>
  <c r="O264" i="56"/>
  <c r="I264" i="56" s="1"/>
  <c r="J264" i="56" s="1"/>
  <c r="O263" i="56"/>
  <c r="I263" i="56" s="1"/>
  <c r="J263" i="56" s="1"/>
  <c r="O262" i="56"/>
  <c r="I262" i="56" s="1"/>
  <c r="J262" i="56" s="1"/>
  <c r="O261" i="56"/>
  <c r="I261" i="56" s="1"/>
  <c r="J261" i="56" s="1"/>
  <c r="O260" i="56"/>
  <c r="I260" i="56" s="1"/>
  <c r="J260" i="56" s="1"/>
  <c r="O259" i="56"/>
  <c r="I259" i="56" s="1"/>
  <c r="J259" i="56" s="1"/>
  <c r="O258" i="56"/>
  <c r="I258" i="56" s="1"/>
  <c r="J258" i="56" s="1"/>
  <c r="O257" i="56"/>
  <c r="O256" i="56"/>
  <c r="O255" i="56"/>
  <c r="O254" i="56"/>
  <c r="O253" i="56"/>
  <c r="O252" i="56"/>
  <c r="E252" i="56"/>
  <c r="E30" i="56" s="1"/>
  <c r="O251" i="56"/>
  <c r="I251" i="56" s="1"/>
  <c r="O250" i="56"/>
  <c r="I250" i="56" s="1"/>
  <c r="J250" i="56" s="1"/>
  <c r="O249" i="56"/>
  <c r="I249" i="56" s="1"/>
  <c r="J249" i="56" s="1"/>
  <c r="O248" i="56"/>
  <c r="I248" i="56" s="1"/>
  <c r="J248" i="56" s="1"/>
  <c r="O247" i="56"/>
  <c r="I247" i="56" s="1"/>
  <c r="J247" i="56" s="1"/>
  <c r="O246" i="56"/>
  <c r="I246" i="56" s="1"/>
  <c r="J246" i="56" s="1"/>
  <c r="O245" i="56"/>
  <c r="O244" i="56"/>
  <c r="O243" i="56"/>
  <c r="O242" i="56"/>
  <c r="O241" i="56"/>
  <c r="O240" i="56"/>
  <c r="O239" i="56"/>
  <c r="O238" i="56"/>
  <c r="O237" i="56"/>
  <c r="E237" i="56"/>
  <c r="O236" i="56"/>
  <c r="I236" i="56" s="1"/>
  <c r="O235" i="56"/>
  <c r="I235" i="56" s="1"/>
  <c r="J235" i="56" s="1"/>
  <c r="O234" i="56"/>
  <c r="I234" i="56" s="1"/>
  <c r="J234" i="56" s="1"/>
  <c r="O233" i="56"/>
  <c r="I233" i="56" s="1"/>
  <c r="J233" i="56" s="1"/>
  <c r="O232" i="56"/>
  <c r="I232" i="56" s="1"/>
  <c r="J232" i="56" s="1"/>
  <c r="O231" i="56"/>
  <c r="I231" i="56" s="1"/>
  <c r="J231" i="56" s="1"/>
  <c r="O230" i="56"/>
  <c r="I230" i="56" s="1"/>
  <c r="J230" i="56" s="1"/>
  <c r="O229" i="56"/>
  <c r="I229" i="56" s="1"/>
  <c r="J229" i="56" s="1"/>
  <c r="O228" i="56"/>
  <c r="I228" i="56" s="1"/>
  <c r="J228" i="56" s="1"/>
  <c r="O227" i="56"/>
  <c r="I227" i="56" s="1"/>
  <c r="J227" i="56" s="1"/>
  <c r="O226" i="56"/>
  <c r="O225" i="56"/>
  <c r="O224" i="56"/>
  <c r="O223" i="56"/>
  <c r="O222" i="56"/>
  <c r="E222" i="56"/>
  <c r="O221" i="56"/>
  <c r="I221" i="56" s="1"/>
  <c r="O220" i="56"/>
  <c r="I220" i="56" s="1"/>
  <c r="J220" i="56" s="1"/>
  <c r="O219" i="56"/>
  <c r="I219" i="56" s="1"/>
  <c r="J219" i="56" s="1"/>
  <c r="O218" i="56"/>
  <c r="I218" i="56" s="1"/>
  <c r="J218" i="56" s="1"/>
  <c r="O217" i="56"/>
  <c r="I217" i="56" s="1"/>
  <c r="J217" i="56" s="1"/>
  <c r="O216" i="56"/>
  <c r="I216" i="56" s="1"/>
  <c r="J216" i="56" s="1"/>
  <c r="O215" i="56"/>
  <c r="I215" i="56" s="1"/>
  <c r="J215" i="56" s="1"/>
  <c r="O214" i="56"/>
  <c r="I214" i="56" s="1"/>
  <c r="J214" i="56" s="1"/>
  <c r="O213" i="56"/>
  <c r="I213" i="56" s="1"/>
  <c r="J213" i="56" s="1"/>
  <c r="O212" i="56"/>
  <c r="O211" i="56"/>
  <c r="O210" i="56"/>
  <c r="O209" i="56"/>
  <c r="O208" i="56"/>
  <c r="M207" i="56"/>
  <c r="M27" i="56" s="1"/>
  <c r="O207" i="56"/>
  <c r="E207" i="56"/>
  <c r="O206" i="56"/>
  <c r="I206" i="56" s="1"/>
  <c r="O205" i="56"/>
  <c r="I205" i="56" s="1"/>
  <c r="J205" i="56" s="1"/>
  <c r="O204" i="56"/>
  <c r="I204" i="56" s="1"/>
  <c r="J204" i="56" s="1"/>
  <c r="O203" i="56"/>
  <c r="I203" i="56" s="1"/>
  <c r="J203" i="56" s="1"/>
  <c r="O202" i="56"/>
  <c r="I202" i="56" s="1"/>
  <c r="J202" i="56" s="1"/>
  <c r="O201" i="56"/>
  <c r="I201" i="56" s="1"/>
  <c r="J201" i="56" s="1"/>
  <c r="O200" i="56"/>
  <c r="I200" i="56" s="1"/>
  <c r="J200" i="56" s="1"/>
  <c r="O199" i="56"/>
  <c r="I199" i="56" s="1"/>
  <c r="J199" i="56" s="1"/>
  <c r="O198" i="56"/>
  <c r="O197" i="56"/>
  <c r="O196" i="56"/>
  <c r="O195" i="56"/>
  <c r="O194" i="56"/>
  <c r="O193" i="56"/>
  <c r="O192" i="56"/>
  <c r="E192" i="56"/>
  <c r="O191" i="56"/>
  <c r="I191" i="56" s="1"/>
  <c r="O190" i="56"/>
  <c r="I190" i="56" s="1"/>
  <c r="J190" i="56" s="1"/>
  <c r="O189" i="56"/>
  <c r="I189" i="56" s="1"/>
  <c r="J189" i="56" s="1"/>
  <c r="O188" i="56"/>
  <c r="I188" i="56" s="1"/>
  <c r="J188" i="56" s="1"/>
  <c r="O187" i="56"/>
  <c r="I187" i="56" s="1"/>
  <c r="J187" i="56" s="1"/>
  <c r="O186" i="56"/>
  <c r="I186" i="56" s="1"/>
  <c r="J186" i="56" s="1"/>
  <c r="O185" i="56"/>
  <c r="I185" i="56" s="1"/>
  <c r="J185" i="56" s="1"/>
  <c r="O184" i="56"/>
  <c r="I184" i="56" s="1"/>
  <c r="J184" i="56" s="1"/>
  <c r="O183" i="56"/>
  <c r="I183" i="56" s="1"/>
  <c r="J183" i="56" s="1"/>
  <c r="O182" i="56"/>
  <c r="O181" i="56"/>
  <c r="O180" i="56"/>
  <c r="O179" i="56"/>
  <c r="O178" i="56"/>
  <c r="O177" i="56"/>
  <c r="E177" i="56"/>
  <c r="O176" i="56"/>
  <c r="I176" i="56" s="1"/>
  <c r="O175" i="56"/>
  <c r="I175" i="56" s="1"/>
  <c r="J175" i="56" s="1"/>
  <c r="O174" i="56"/>
  <c r="I174" i="56" s="1"/>
  <c r="J174" i="56" s="1"/>
  <c r="O173" i="56"/>
  <c r="I173" i="56" s="1"/>
  <c r="J173" i="56" s="1"/>
  <c r="O172" i="56"/>
  <c r="I172" i="56" s="1"/>
  <c r="J172" i="56" s="1"/>
  <c r="O171" i="56"/>
  <c r="O170" i="56"/>
  <c r="O169" i="56"/>
  <c r="O168" i="56"/>
  <c r="O167" i="56"/>
  <c r="O166" i="56"/>
  <c r="O165" i="56"/>
  <c r="O164" i="56"/>
  <c r="O163" i="56"/>
  <c r="O162" i="56"/>
  <c r="E162" i="56"/>
  <c r="O161" i="56"/>
  <c r="I161" i="56" s="1"/>
  <c r="O160" i="56"/>
  <c r="I160" i="56" s="1"/>
  <c r="J160" i="56" s="1"/>
  <c r="O159" i="56"/>
  <c r="I159" i="56" s="1"/>
  <c r="J159" i="56" s="1"/>
  <c r="O158" i="56"/>
  <c r="I158" i="56" s="1"/>
  <c r="J158" i="56" s="1"/>
  <c r="O157" i="56"/>
  <c r="I157" i="56" s="1"/>
  <c r="J157" i="56" s="1"/>
  <c r="O156" i="56"/>
  <c r="I156" i="56" s="1"/>
  <c r="J156" i="56" s="1"/>
  <c r="O155" i="56"/>
  <c r="I155" i="56" s="1"/>
  <c r="J155" i="56" s="1"/>
  <c r="O154" i="56"/>
  <c r="I154" i="56" s="1"/>
  <c r="J154" i="56" s="1"/>
  <c r="O153" i="56"/>
  <c r="I153" i="56" s="1"/>
  <c r="J153" i="56" s="1"/>
  <c r="O152" i="56"/>
  <c r="O151" i="56"/>
  <c r="O150" i="56"/>
  <c r="O149" i="56"/>
  <c r="O148" i="56"/>
  <c r="O147" i="56"/>
  <c r="E147" i="56"/>
  <c r="E23" i="56" s="1"/>
  <c r="O146" i="56"/>
  <c r="I146" i="56" s="1"/>
  <c r="O145" i="56"/>
  <c r="I145" i="56" s="1"/>
  <c r="J145" i="56" s="1"/>
  <c r="O144" i="56"/>
  <c r="I144" i="56" s="1"/>
  <c r="J144" i="56" s="1"/>
  <c r="O143" i="56"/>
  <c r="I143" i="56" s="1"/>
  <c r="J143" i="56" s="1"/>
  <c r="O142" i="56"/>
  <c r="O141" i="56"/>
  <c r="O140" i="56"/>
  <c r="O139" i="56"/>
  <c r="O138" i="56"/>
  <c r="O137" i="56"/>
  <c r="O136" i="56"/>
  <c r="O135" i="56"/>
  <c r="O134" i="56"/>
  <c r="O133" i="56"/>
  <c r="O132" i="56"/>
  <c r="E132" i="56"/>
  <c r="E22" i="56" s="1"/>
  <c r="O131" i="56"/>
  <c r="I131" i="56" s="1"/>
  <c r="O130" i="56"/>
  <c r="I130" i="56" s="1"/>
  <c r="J130" i="56" s="1"/>
  <c r="O129" i="56"/>
  <c r="I129" i="56" s="1"/>
  <c r="J129" i="56" s="1"/>
  <c r="O128" i="56"/>
  <c r="O127" i="56"/>
  <c r="O126" i="56"/>
  <c r="O125" i="56"/>
  <c r="O124" i="56"/>
  <c r="O123" i="56"/>
  <c r="O122" i="56"/>
  <c r="O121" i="56"/>
  <c r="O120" i="56"/>
  <c r="O119" i="56"/>
  <c r="O118" i="56"/>
  <c r="O117" i="56"/>
  <c r="E117" i="56"/>
  <c r="E21" i="56" s="1"/>
  <c r="O116" i="56"/>
  <c r="I116" i="56" s="1"/>
  <c r="O115" i="56"/>
  <c r="I115" i="56" s="1"/>
  <c r="J115" i="56" s="1"/>
  <c r="O114" i="56"/>
  <c r="I114" i="56" s="1"/>
  <c r="J114" i="56" s="1"/>
  <c r="O113" i="56"/>
  <c r="I113" i="56" s="1"/>
  <c r="J113" i="56" s="1"/>
  <c r="O112" i="56"/>
  <c r="I112" i="56" s="1"/>
  <c r="J112" i="56" s="1"/>
  <c r="O111" i="56"/>
  <c r="I111" i="56" s="1"/>
  <c r="J111" i="56" s="1"/>
  <c r="O110" i="56"/>
  <c r="I110" i="56" s="1"/>
  <c r="J110" i="56" s="1"/>
  <c r="O109" i="56"/>
  <c r="I109" i="56" s="1"/>
  <c r="J109" i="56" s="1"/>
  <c r="O108" i="56"/>
  <c r="I108" i="56" s="1"/>
  <c r="J108" i="56" s="1"/>
  <c r="O107" i="56"/>
  <c r="O106" i="56"/>
  <c r="O105" i="56"/>
  <c r="O104" i="56"/>
  <c r="O103" i="56"/>
  <c r="O102" i="56"/>
  <c r="E102" i="56"/>
  <c r="E20" i="56" s="1"/>
  <c r="O101" i="56"/>
  <c r="I101" i="56" s="1"/>
  <c r="O100" i="56"/>
  <c r="I100" i="56" s="1"/>
  <c r="J100" i="56" s="1"/>
  <c r="O99" i="56"/>
  <c r="O98" i="56"/>
  <c r="O97" i="56"/>
  <c r="O96" i="56"/>
  <c r="O95" i="56"/>
  <c r="O94" i="56"/>
  <c r="O91" i="56"/>
  <c r="O89" i="56"/>
  <c r="O88" i="56"/>
  <c r="O87" i="56"/>
  <c r="O86" i="56"/>
  <c r="O85" i="56"/>
  <c r="E85" i="56"/>
  <c r="E19" i="56" s="1"/>
  <c r="O84" i="56"/>
  <c r="I84" i="56" s="1"/>
  <c r="O83" i="56"/>
  <c r="I83" i="56" s="1"/>
  <c r="J83" i="56" s="1"/>
  <c r="O82" i="56"/>
  <c r="I82" i="56" s="1"/>
  <c r="J82" i="56" s="1"/>
  <c r="O81" i="56"/>
  <c r="I81" i="56" s="1"/>
  <c r="J81" i="56" s="1"/>
  <c r="O80" i="56"/>
  <c r="I80" i="56" s="1"/>
  <c r="J80" i="56" s="1"/>
  <c r="O79" i="56"/>
  <c r="I79" i="56" s="1"/>
  <c r="J79" i="56" s="1"/>
  <c r="O78" i="56"/>
  <c r="O77" i="56"/>
  <c r="O76" i="56"/>
  <c r="O75" i="56"/>
  <c r="O74" i="56"/>
  <c r="O73" i="56"/>
  <c r="O72" i="56"/>
  <c r="O71" i="56"/>
  <c r="O70" i="56"/>
  <c r="E70" i="56"/>
  <c r="E18" i="56" s="1"/>
  <c r="O69" i="56"/>
  <c r="I69" i="56" s="1"/>
  <c r="O68" i="56"/>
  <c r="I68" i="56" s="1"/>
  <c r="J68" i="56" s="1"/>
  <c r="O67" i="56"/>
  <c r="O66" i="56"/>
  <c r="O65" i="56"/>
  <c r="O64" i="56"/>
  <c r="O63" i="56"/>
  <c r="O62" i="56"/>
  <c r="O61" i="56"/>
  <c r="O60" i="56"/>
  <c r="O59" i="56"/>
  <c r="O58" i="56"/>
  <c r="O57" i="56"/>
  <c r="O56" i="56"/>
  <c r="O55" i="56"/>
  <c r="E55" i="56"/>
  <c r="O54" i="56"/>
  <c r="I54" i="56" s="1"/>
  <c r="O53" i="56"/>
  <c r="I53" i="56" s="1"/>
  <c r="J53" i="56" s="1"/>
  <c r="O52" i="56"/>
  <c r="I52" i="56" s="1"/>
  <c r="J52" i="56" s="1"/>
  <c r="O51" i="56"/>
  <c r="I51" i="56" s="1"/>
  <c r="J51" i="56" s="1"/>
  <c r="O50" i="56"/>
  <c r="I50" i="56" s="1"/>
  <c r="J50" i="56" s="1"/>
  <c r="O49" i="56"/>
  <c r="I49" i="56" s="1"/>
  <c r="J49" i="56" s="1"/>
  <c r="O48" i="56"/>
  <c r="O47" i="56"/>
  <c r="O46" i="56"/>
  <c r="O45" i="56"/>
  <c r="O44" i="56"/>
  <c r="O43" i="56"/>
  <c r="O42" i="56"/>
  <c r="O41" i="56"/>
  <c r="O40" i="56"/>
  <c r="E40" i="56"/>
  <c r="E16" i="56" s="1"/>
  <c r="I9" i="56"/>
  <c r="J44" i="7"/>
  <c r="J47" i="7" s="1"/>
  <c r="H44" i="7"/>
  <c r="H47" i="7" s="1"/>
  <c r="F44" i="7"/>
  <c r="F47" i="7" s="1"/>
  <c r="E74" i="47"/>
  <c r="E74" i="45"/>
  <c r="D44" i="7"/>
  <c r="E16" i="58" l="1"/>
  <c r="E328" i="58"/>
  <c r="E358" i="58" s="1"/>
  <c r="E358" i="59"/>
  <c r="E328" i="59"/>
  <c r="M328" i="59" s="1"/>
  <c r="E17" i="56"/>
  <c r="E328" i="56"/>
  <c r="E16" i="57"/>
  <c r="E358" i="57"/>
  <c r="E328" i="57"/>
  <c r="H31" i="54"/>
  <c r="J31" i="54" s="1"/>
  <c r="H25" i="54"/>
  <c r="J25" i="54" s="1"/>
  <c r="H28" i="54"/>
  <c r="J28" i="54" s="1"/>
  <c r="H29" i="54"/>
  <c r="J29" i="54" s="1"/>
  <c r="H24" i="54"/>
  <c r="J24" i="54" s="1"/>
  <c r="H32" i="54"/>
  <c r="J32" i="54" s="1"/>
  <c r="H33" i="54"/>
  <c r="J33" i="54" s="1"/>
  <c r="H36" i="54"/>
  <c r="J36" i="54" s="1"/>
  <c r="H37" i="54"/>
  <c r="J37" i="54" s="1"/>
  <c r="H30" i="54"/>
  <c r="J30" i="54" s="1"/>
  <c r="H26" i="54"/>
  <c r="J26" i="54" s="1"/>
  <c r="H34" i="54"/>
  <c r="J34" i="54" s="1"/>
  <c r="H27" i="54"/>
  <c r="J27" i="54" s="1"/>
  <c r="H33" i="55"/>
  <c r="J33" i="55" s="1"/>
  <c r="H27" i="55"/>
  <c r="J27" i="55" s="1"/>
  <c r="H26" i="55"/>
  <c r="J26" i="55" s="1"/>
  <c r="H37" i="55"/>
  <c r="J37" i="55" s="1"/>
  <c r="H24" i="55"/>
  <c r="J24" i="55" s="1"/>
  <c r="H28" i="55"/>
  <c r="J28" i="55" s="1"/>
  <c r="H36" i="55"/>
  <c r="J36" i="55" s="1"/>
  <c r="H31" i="55"/>
  <c r="J31" i="55" s="1"/>
  <c r="H32" i="55"/>
  <c r="J32" i="55" s="1"/>
  <c r="I92" i="56"/>
  <c r="J92" i="56" s="1"/>
  <c r="I93" i="56"/>
  <c r="J93" i="56" s="1"/>
  <c r="I90" i="56"/>
  <c r="J90" i="56" s="1"/>
  <c r="I160" i="57"/>
  <c r="J160" i="57" s="1"/>
  <c r="I250" i="57"/>
  <c r="J250" i="57" s="1"/>
  <c r="I265" i="57"/>
  <c r="J265" i="57" s="1"/>
  <c r="I280" i="57"/>
  <c r="J280" i="57" s="1"/>
  <c r="I295" i="57"/>
  <c r="J295" i="57" s="1"/>
  <c r="I317" i="57"/>
  <c r="J317" i="57" s="1"/>
  <c r="I333" i="57"/>
  <c r="J333" i="57" s="1"/>
  <c r="I354" i="57"/>
  <c r="J354" i="57" s="1"/>
  <c r="I48" i="58"/>
  <c r="J48" i="58" s="1"/>
  <c r="I214" i="58"/>
  <c r="J214" i="58" s="1"/>
  <c r="I258" i="58"/>
  <c r="J258" i="58" s="1"/>
  <c r="I153" i="57"/>
  <c r="J153" i="57" s="1"/>
  <c r="I183" i="57"/>
  <c r="J183" i="57" s="1"/>
  <c r="I213" i="57"/>
  <c r="J213" i="57" s="1"/>
  <c r="I228" i="57"/>
  <c r="J228" i="57" s="1"/>
  <c r="I78" i="58"/>
  <c r="J78" i="58" s="1"/>
  <c r="I158" i="58"/>
  <c r="J158" i="58" s="1"/>
  <c r="I173" i="58"/>
  <c r="J173" i="58" s="1"/>
  <c r="I187" i="58"/>
  <c r="J187" i="58" s="1"/>
  <c r="I201" i="58"/>
  <c r="J201" i="58" s="1"/>
  <c r="I318" i="58"/>
  <c r="J318" i="58" s="1"/>
  <c r="I229" i="57"/>
  <c r="J229" i="57" s="1"/>
  <c r="I216" i="58"/>
  <c r="J216" i="58" s="1"/>
  <c r="I231" i="58"/>
  <c r="J231" i="58" s="1"/>
  <c r="I319" i="58"/>
  <c r="J319" i="58" s="1"/>
  <c r="I78" i="57"/>
  <c r="J78" i="57" s="1"/>
  <c r="I155" i="57"/>
  <c r="J155" i="57" s="1"/>
  <c r="I185" i="57"/>
  <c r="J185" i="57" s="1"/>
  <c r="I200" i="57"/>
  <c r="J200" i="57" s="1"/>
  <c r="I320" i="57"/>
  <c r="J320" i="57" s="1"/>
  <c r="I152" i="58"/>
  <c r="J152" i="58" s="1"/>
  <c r="I261" i="58"/>
  <c r="J261" i="58" s="1"/>
  <c r="I49" i="57"/>
  <c r="J49" i="57" s="1"/>
  <c r="I79" i="57"/>
  <c r="J79" i="57" s="1"/>
  <c r="I111" i="57"/>
  <c r="J111" i="57" s="1"/>
  <c r="I156" i="57"/>
  <c r="J156" i="57" s="1"/>
  <c r="I186" i="57"/>
  <c r="J186" i="57" s="1"/>
  <c r="I201" i="57"/>
  <c r="J201" i="57" s="1"/>
  <c r="I216" i="57"/>
  <c r="J216" i="57" s="1"/>
  <c r="I231" i="57"/>
  <c r="J231" i="57" s="1"/>
  <c r="I246" i="57"/>
  <c r="J246" i="57" s="1"/>
  <c r="I261" i="57"/>
  <c r="J261" i="57" s="1"/>
  <c r="I306" i="57"/>
  <c r="J306" i="57" s="1"/>
  <c r="I321" i="57"/>
  <c r="J321" i="57" s="1"/>
  <c r="I329" i="57"/>
  <c r="J329" i="57" s="1"/>
  <c r="I336" i="57"/>
  <c r="J336" i="57" s="1"/>
  <c r="I52" i="58"/>
  <c r="J52" i="58" s="1"/>
  <c r="I81" i="58"/>
  <c r="J81" i="58" s="1"/>
  <c r="I112" i="58"/>
  <c r="J112" i="58" s="1"/>
  <c r="I153" i="58"/>
  <c r="J153" i="58" s="1"/>
  <c r="I190" i="58"/>
  <c r="J190" i="58" s="1"/>
  <c r="I204" i="58"/>
  <c r="J204" i="58" s="1"/>
  <c r="I218" i="58"/>
  <c r="J218" i="58" s="1"/>
  <c r="I233" i="58"/>
  <c r="J233" i="58" s="1"/>
  <c r="I247" i="58"/>
  <c r="J247" i="58" s="1"/>
  <c r="I262" i="58"/>
  <c r="J262" i="58" s="1"/>
  <c r="I292" i="58"/>
  <c r="J292" i="58" s="1"/>
  <c r="I306" i="58"/>
  <c r="J306" i="58" s="1"/>
  <c r="I321" i="58"/>
  <c r="J321" i="58" s="1"/>
  <c r="I329" i="58"/>
  <c r="J329" i="58" s="1"/>
  <c r="I336" i="58"/>
  <c r="J336" i="58" s="1"/>
  <c r="I145" i="57"/>
  <c r="J145" i="57" s="1"/>
  <c r="I205" i="57"/>
  <c r="J205" i="57" s="1"/>
  <c r="I235" i="57"/>
  <c r="J235" i="57" s="1"/>
  <c r="I317" i="58"/>
  <c r="J317" i="58" s="1"/>
  <c r="I333" i="58"/>
  <c r="J333" i="58" s="1"/>
  <c r="I318" i="57"/>
  <c r="J318" i="57" s="1"/>
  <c r="I402" i="57"/>
  <c r="J402" i="57" s="1"/>
  <c r="I49" i="58"/>
  <c r="J49" i="58" s="1"/>
  <c r="I144" i="58"/>
  <c r="J144" i="58" s="1"/>
  <c r="I319" i="57"/>
  <c r="J319" i="57" s="1"/>
  <c r="I79" i="58"/>
  <c r="J79" i="58" s="1"/>
  <c r="I174" i="58"/>
  <c r="J174" i="58" s="1"/>
  <c r="I260" i="58"/>
  <c r="J260" i="58" s="1"/>
  <c r="I48" i="57"/>
  <c r="J48" i="57" s="1"/>
  <c r="I110" i="57"/>
  <c r="J110" i="57" s="1"/>
  <c r="I230" i="57"/>
  <c r="J230" i="57" s="1"/>
  <c r="I305" i="57"/>
  <c r="J305" i="57" s="1"/>
  <c r="I51" i="58"/>
  <c r="J51" i="58" s="1"/>
  <c r="I50" i="57"/>
  <c r="J50" i="57" s="1"/>
  <c r="I80" i="57"/>
  <c r="J80" i="57" s="1"/>
  <c r="I112" i="57"/>
  <c r="J112" i="57" s="1"/>
  <c r="I142" i="57"/>
  <c r="J142" i="57" s="1"/>
  <c r="I157" i="57"/>
  <c r="J157" i="57" s="1"/>
  <c r="I172" i="57"/>
  <c r="J172" i="57" s="1"/>
  <c r="I187" i="57"/>
  <c r="J187" i="57" s="1"/>
  <c r="I202" i="57"/>
  <c r="J202" i="57" s="1"/>
  <c r="I217" i="57"/>
  <c r="J217" i="57" s="1"/>
  <c r="I232" i="57"/>
  <c r="J232" i="57" s="1"/>
  <c r="I247" i="57"/>
  <c r="J247" i="57" s="1"/>
  <c r="I262" i="57"/>
  <c r="J262" i="57" s="1"/>
  <c r="I292" i="57"/>
  <c r="J292" i="57" s="1"/>
  <c r="I307" i="57"/>
  <c r="J307" i="57" s="1"/>
  <c r="I322" i="57"/>
  <c r="J322" i="57" s="1"/>
  <c r="I330" i="57"/>
  <c r="J330" i="57" s="1"/>
  <c r="I337" i="57"/>
  <c r="J337" i="57" s="1"/>
  <c r="I53" i="58"/>
  <c r="J53" i="58" s="1"/>
  <c r="I67" i="58"/>
  <c r="J67" i="58" s="1"/>
  <c r="I82" i="58"/>
  <c r="J82" i="58" s="1"/>
  <c r="I99" i="58"/>
  <c r="J99" i="58" s="1"/>
  <c r="I113" i="58"/>
  <c r="J113" i="58" s="1"/>
  <c r="I154" i="58"/>
  <c r="J154" i="58" s="1"/>
  <c r="I183" i="58"/>
  <c r="J183" i="58" s="1"/>
  <c r="I205" i="58"/>
  <c r="J205" i="58" s="1"/>
  <c r="I219" i="58"/>
  <c r="J219" i="58" s="1"/>
  <c r="I234" i="58"/>
  <c r="J234" i="58" s="1"/>
  <c r="I248" i="58"/>
  <c r="J248" i="58" s="1"/>
  <c r="I263" i="58"/>
  <c r="J263" i="58" s="1"/>
  <c r="I278" i="58"/>
  <c r="J278" i="58" s="1"/>
  <c r="I293" i="58"/>
  <c r="J293" i="58" s="1"/>
  <c r="I307" i="58"/>
  <c r="J307" i="58" s="1"/>
  <c r="I322" i="58"/>
  <c r="J322" i="58" s="1"/>
  <c r="I330" i="58"/>
  <c r="J330" i="58" s="1"/>
  <c r="I337" i="58"/>
  <c r="J337" i="58" s="1"/>
  <c r="I83" i="57"/>
  <c r="J83" i="57" s="1"/>
  <c r="I100" i="57"/>
  <c r="J100" i="57" s="1"/>
  <c r="I107" i="57"/>
  <c r="J107" i="57" s="1"/>
  <c r="I130" i="57"/>
  <c r="J130" i="57" s="1"/>
  <c r="I152" i="57"/>
  <c r="J152" i="57" s="1"/>
  <c r="I175" i="57"/>
  <c r="J175" i="57" s="1"/>
  <c r="I227" i="57"/>
  <c r="J227" i="57" s="1"/>
  <c r="I325" i="57"/>
  <c r="J325" i="57" s="1"/>
  <c r="I401" i="57"/>
  <c r="J401" i="57" s="1"/>
  <c r="I108" i="58"/>
  <c r="J108" i="58" s="1"/>
  <c r="I130" i="58"/>
  <c r="J130" i="58" s="1"/>
  <c r="I157" i="58"/>
  <c r="J157" i="58" s="1"/>
  <c r="I172" i="58"/>
  <c r="J172" i="58" s="1"/>
  <c r="I186" i="58"/>
  <c r="J186" i="58" s="1"/>
  <c r="I108" i="57"/>
  <c r="J108" i="57" s="1"/>
  <c r="I258" i="57"/>
  <c r="J258" i="57" s="1"/>
  <c r="I109" i="58"/>
  <c r="J109" i="58" s="1"/>
  <c r="I215" i="58"/>
  <c r="J215" i="58" s="1"/>
  <c r="I230" i="58"/>
  <c r="J230" i="58" s="1"/>
  <c r="I259" i="58"/>
  <c r="J259" i="58" s="1"/>
  <c r="E17" i="57"/>
  <c r="I109" i="57"/>
  <c r="J109" i="57" s="1"/>
  <c r="I154" i="57"/>
  <c r="J154" i="57" s="1"/>
  <c r="I199" i="57"/>
  <c r="J199" i="57" s="1"/>
  <c r="I145" i="58"/>
  <c r="J145" i="58" s="1"/>
  <c r="I202" i="58"/>
  <c r="J202" i="58" s="1"/>
  <c r="I175" i="58"/>
  <c r="J175" i="58" s="1"/>
  <c r="I189" i="58"/>
  <c r="J189" i="58" s="1"/>
  <c r="I203" i="58"/>
  <c r="J203" i="58" s="1"/>
  <c r="I217" i="58"/>
  <c r="J217" i="58" s="1"/>
  <c r="I232" i="58"/>
  <c r="J232" i="58" s="1"/>
  <c r="I246" i="58"/>
  <c r="J246" i="58" s="1"/>
  <c r="I335" i="58"/>
  <c r="J335" i="58" s="1"/>
  <c r="I51" i="57"/>
  <c r="J51" i="57" s="1"/>
  <c r="I81" i="57"/>
  <c r="J81" i="57" s="1"/>
  <c r="I113" i="57"/>
  <c r="J113" i="57" s="1"/>
  <c r="I143" i="57"/>
  <c r="J143" i="57" s="1"/>
  <c r="I158" i="57"/>
  <c r="J158" i="57" s="1"/>
  <c r="I173" i="57"/>
  <c r="J173" i="57" s="1"/>
  <c r="I188" i="57"/>
  <c r="J188" i="57" s="1"/>
  <c r="I203" i="57"/>
  <c r="J203" i="57" s="1"/>
  <c r="I218" i="57"/>
  <c r="J218" i="57" s="1"/>
  <c r="I233" i="57"/>
  <c r="J233" i="57" s="1"/>
  <c r="I248" i="57"/>
  <c r="J248" i="57" s="1"/>
  <c r="I263" i="57"/>
  <c r="J263" i="57" s="1"/>
  <c r="I278" i="57"/>
  <c r="J278" i="57" s="1"/>
  <c r="I293" i="57"/>
  <c r="J293" i="57" s="1"/>
  <c r="I308" i="57"/>
  <c r="J308" i="57" s="1"/>
  <c r="I323" i="57"/>
  <c r="J323" i="57" s="1"/>
  <c r="I331" i="57"/>
  <c r="J331" i="57" s="1"/>
  <c r="I338" i="57"/>
  <c r="J338" i="57" s="1"/>
  <c r="I68" i="58"/>
  <c r="J68" i="58" s="1"/>
  <c r="I83" i="58"/>
  <c r="J83" i="58" s="1"/>
  <c r="I100" i="58"/>
  <c r="J100" i="58" s="1"/>
  <c r="I114" i="58"/>
  <c r="J114" i="58" s="1"/>
  <c r="I142" i="58"/>
  <c r="J142" i="58" s="1"/>
  <c r="I155" i="58"/>
  <c r="J155" i="58" s="1"/>
  <c r="I184" i="58"/>
  <c r="J184" i="58" s="1"/>
  <c r="I199" i="58"/>
  <c r="J199" i="58" s="1"/>
  <c r="I220" i="58"/>
  <c r="J220" i="58" s="1"/>
  <c r="I227" i="58"/>
  <c r="J227" i="58" s="1"/>
  <c r="I235" i="58"/>
  <c r="J235" i="58" s="1"/>
  <c r="I249" i="58"/>
  <c r="J249" i="58" s="1"/>
  <c r="I264" i="58"/>
  <c r="J264" i="58" s="1"/>
  <c r="I279" i="58"/>
  <c r="J279" i="58" s="1"/>
  <c r="I294" i="58"/>
  <c r="J294" i="58" s="1"/>
  <c r="I308" i="58"/>
  <c r="J308" i="58" s="1"/>
  <c r="I323" i="58"/>
  <c r="J323" i="58" s="1"/>
  <c r="I331" i="58"/>
  <c r="J331" i="58" s="1"/>
  <c r="I338" i="58"/>
  <c r="J338" i="58" s="1"/>
  <c r="I53" i="57"/>
  <c r="J53" i="57" s="1"/>
  <c r="I68" i="57"/>
  <c r="J68" i="57" s="1"/>
  <c r="I115" i="57"/>
  <c r="J115" i="57" s="1"/>
  <c r="I190" i="57"/>
  <c r="J190" i="57" s="1"/>
  <c r="I220" i="57"/>
  <c r="J220" i="57" s="1"/>
  <c r="I310" i="57"/>
  <c r="J310" i="57" s="1"/>
  <c r="I229" i="58"/>
  <c r="J229" i="58" s="1"/>
  <c r="I310" i="58"/>
  <c r="J310" i="58" s="1"/>
  <c r="I325" i="58"/>
  <c r="J325" i="58" s="1"/>
  <c r="I354" i="58"/>
  <c r="J354" i="58" s="1"/>
  <c r="I184" i="57"/>
  <c r="J184" i="57" s="1"/>
  <c r="I214" i="57"/>
  <c r="J214" i="57" s="1"/>
  <c r="I259" i="57"/>
  <c r="J259" i="57" s="1"/>
  <c r="I110" i="58"/>
  <c r="J110" i="58" s="1"/>
  <c r="I159" i="58"/>
  <c r="J159" i="58" s="1"/>
  <c r="I188" i="58"/>
  <c r="J188" i="58" s="1"/>
  <c r="I215" i="57"/>
  <c r="J215" i="57" s="1"/>
  <c r="I260" i="57"/>
  <c r="J260" i="57" s="1"/>
  <c r="I335" i="57"/>
  <c r="J335" i="57" s="1"/>
  <c r="I80" i="58"/>
  <c r="J80" i="58" s="1"/>
  <c r="I111" i="58"/>
  <c r="J111" i="58" s="1"/>
  <c r="I160" i="58"/>
  <c r="J160" i="58" s="1"/>
  <c r="I305" i="58"/>
  <c r="J305" i="58" s="1"/>
  <c r="I320" i="58"/>
  <c r="J320" i="58" s="1"/>
  <c r="I52" i="57"/>
  <c r="J52" i="57" s="1"/>
  <c r="I67" i="57"/>
  <c r="J67" i="57" s="1"/>
  <c r="I82" i="57"/>
  <c r="J82" i="57" s="1"/>
  <c r="I99" i="57"/>
  <c r="J99" i="57" s="1"/>
  <c r="I114" i="57"/>
  <c r="J114" i="57" s="1"/>
  <c r="I129" i="57"/>
  <c r="J129" i="57" s="1"/>
  <c r="I144" i="57"/>
  <c r="J144" i="57" s="1"/>
  <c r="I159" i="57"/>
  <c r="J159" i="57" s="1"/>
  <c r="I174" i="57"/>
  <c r="J174" i="57" s="1"/>
  <c r="I189" i="57"/>
  <c r="J189" i="57" s="1"/>
  <c r="I204" i="57"/>
  <c r="J204" i="57" s="1"/>
  <c r="I219" i="57"/>
  <c r="J219" i="57" s="1"/>
  <c r="I234" i="57"/>
  <c r="J234" i="57" s="1"/>
  <c r="I249" i="57"/>
  <c r="J249" i="57" s="1"/>
  <c r="I264" i="57"/>
  <c r="J264" i="57" s="1"/>
  <c r="I279" i="57"/>
  <c r="J279" i="57" s="1"/>
  <c r="I294" i="57"/>
  <c r="J294" i="57" s="1"/>
  <c r="I309" i="57"/>
  <c r="J309" i="57" s="1"/>
  <c r="I324" i="57"/>
  <c r="J324" i="57" s="1"/>
  <c r="I332" i="57"/>
  <c r="J332" i="57" s="1"/>
  <c r="I339" i="57"/>
  <c r="J339" i="57" s="1"/>
  <c r="I353" i="57"/>
  <c r="J353" i="57" s="1"/>
  <c r="I400" i="57"/>
  <c r="J400" i="57" s="1"/>
  <c r="E17" i="58"/>
  <c r="K17" i="58" s="1"/>
  <c r="I107" i="58"/>
  <c r="J107" i="58" s="1"/>
  <c r="I115" i="58"/>
  <c r="J115" i="58" s="1"/>
  <c r="I129" i="58"/>
  <c r="J129" i="58" s="1"/>
  <c r="I156" i="58"/>
  <c r="J156" i="58" s="1"/>
  <c r="I185" i="58"/>
  <c r="J185" i="58" s="1"/>
  <c r="I200" i="58"/>
  <c r="J200" i="58" s="1"/>
  <c r="I213" i="58"/>
  <c r="J213" i="58" s="1"/>
  <c r="I228" i="58"/>
  <c r="J228" i="58" s="1"/>
  <c r="I250" i="58"/>
  <c r="J250" i="58" s="1"/>
  <c r="I265" i="58"/>
  <c r="J265" i="58" s="1"/>
  <c r="I280" i="58"/>
  <c r="J280" i="58" s="1"/>
  <c r="I295" i="58"/>
  <c r="J295" i="58" s="1"/>
  <c r="I309" i="58"/>
  <c r="J309" i="58" s="1"/>
  <c r="I324" i="58"/>
  <c r="J324" i="58" s="1"/>
  <c r="I332" i="58"/>
  <c r="J332" i="58" s="1"/>
  <c r="I339" i="58"/>
  <c r="J339" i="58" s="1"/>
  <c r="I353" i="58"/>
  <c r="J353" i="58" s="1"/>
  <c r="I50" i="58"/>
  <c r="J50" i="58" s="1"/>
  <c r="I48" i="59"/>
  <c r="J48" i="59" s="1"/>
  <c r="I50" i="59"/>
  <c r="J50" i="59" s="1"/>
  <c r="I52" i="59"/>
  <c r="J52" i="59" s="1"/>
  <c r="I67" i="59"/>
  <c r="J67" i="59" s="1"/>
  <c r="I78" i="59"/>
  <c r="J78" i="59" s="1"/>
  <c r="I80" i="59"/>
  <c r="J80" i="59" s="1"/>
  <c r="I82" i="59"/>
  <c r="J82" i="59" s="1"/>
  <c r="I99" i="59"/>
  <c r="J99" i="59" s="1"/>
  <c r="I108" i="59"/>
  <c r="J108" i="59" s="1"/>
  <c r="I110" i="59"/>
  <c r="J110" i="59" s="1"/>
  <c r="I112" i="59"/>
  <c r="J112" i="59" s="1"/>
  <c r="I114" i="59"/>
  <c r="J114" i="59" s="1"/>
  <c r="I129" i="59"/>
  <c r="J129" i="59" s="1"/>
  <c r="I142" i="59"/>
  <c r="J142" i="59" s="1"/>
  <c r="I144" i="59"/>
  <c r="J144" i="59" s="1"/>
  <c r="I153" i="59"/>
  <c r="J153" i="59" s="1"/>
  <c r="I156" i="59"/>
  <c r="J156" i="59" s="1"/>
  <c r="I159" i="59"/>
  <c r="J159" i="59" s="1"/>
  <c r="I172" i="59"/>
  <c r="J172" i="59" s="1"/>
  <c r="I174" i="59"/>
  <c r="J174" i="59" s="1"/>
  <c r="I184" i="59"/>
  <c r="J184" i="59" s="1"/>
  <c r="I186" i="59"/>
  <c r="J186" i="59" s="1"/>
  <c r="I189" i="59"/>
  <c r="J189" i="59" s="1"/>
  <c r="I200" i="59"/>
  <c r="J200" i="59" s="1"/>
  <c r="I202" i="59"/>
  <c r="J202" i="59" s="1"/>
  <c r="I204" i="59"/>
  <c r="J204" i="59" s="1"/>
  <c r="I214" i="59"/>
  <c r="J214" i="59" s="1"/>
  <c r="I216" i="59"/>
  <c r="J216" i="59" s="1"/>
  <c r="I219" i="59"/>
  <c r="J219" i="59" s="1"/>
  <c r="I228" i="59"/>
  <c r="J228" i="59" s="1"/>
  <c r="I230" i="59"/>
  <c r="J230" i="59" s="1"/>
  <c r="I232" i="59"/>
  <c r="J232" i="59" s="1"/>
  <c r="I234" i="59"/>
  <c r="J234" i="59" s="1"/>
  <c r="I246" i="59"/>
  <c r="J246" i="59" s="1"/>
  <c r="I248" i="59"/>
  <c r="J248" i="59" s="1"/>
  <c r="I250" i="59"/>
  <c r="J250" i="59" s="1"/>
  <c r="I258" i="59"/>
  <c r="J258" i="59" s="1"/>
  <c r="I260" i="59"/>
  <c r="J260" i="59" s="1"/>
  <c r="I262" i="59"/>
  <c r="J262" i="59" s="1"/>
  <c r="I264" i="59"/>
  <c r="J264" i="59" s="1"/>
  <c r="I279" i="59"/>
  <c r="J279" i="59" s="1"/>
  <c r="I293" i="59"/>
  <c r="J293" i="59" s="1"/>
  <c r="I295" i="59"/>
  <c r="J295" i="59" s="1"/>
  <c r="I306" i="59"/>
  <c r="J306" i="59" s="1"/>
  <c r="I308" i="59"/>
  <c r="J308" i="59" s="1"/>
  <c r="I310" i="59"/>
  <c r="J310" i="59" s="1"/>
  <c r="I318" i="59"/>
  <c r="J318" i="59" s="1"/>
  <c r="I320" i="59"/>
  <c r="J320" i="59" s="1"/>
  <c r="I322" i="59"/>
  <c r="J322" i="59" s="1"/>
  <c r="I324" i="59"/>
  <c r="J324" i="59" s="1"/>
  <c r="I330" i="59"/>
  <c r="J330" i="59" s="1"/>
  <c r="I332" i="59"/>
  <c r="J332" i="59" s="1"/>
  <c r="I335" i="59"/>
  <c r="J335" i="59" s="1"/>
  <c r="I337" i="59"/>
  <c r="J337" i="59" s="1"/>
  <c r="I49" i="59"/>
  <c r="J49" i="59" s="1"/>
  <c r="I51" i="59"/>
  <c r="J51" i="59" s="1"/>
  <c r="I53" i="59"/>
  <c r="J53" i="59" s="1"/>
  <c r="I68" i="59"/>
  <c r="J68" i="59" s="1"/>
  <c r="I79" i="59"/>
  <c r="J79" i="59" s="1"/>
  <c r="I81" i="59"/>
  <c r="J81" i="59" s="1"/>
  <c r="I83" i="59"/>
  <c r="J83" i="59" s="1"/>
  <c r="I100" i="59"/>
  <c r="J100" i="59" s="1"/>
  <c r="I107" i="59"/>
  <c r="J107" i="59" s="1"/>
  <c r="I109" i="59"/>
  <c r="J109" i="59" s="1"/>
  <c r="I111" i="59"/>
  <c r="J111" i="59" s="1"/>
  <c r="I113" i="59"/>
  <c r="J113" i="59" s="1"/>
  <c r="I115" i="59"/>
  <c r="J115" i="59" s="1"/>
  <c r="I130" i="59"/>
  <c r="J130" i="59" s="1"/>
  <c r="I143" i="59"/>
  <c r="J143" i="59" s="1"/>
  <c r="I145" i="59"/>
  <c r="J145" i="59" s="1"/>
  <c r="I152" i="59"/>
  <c r="J152" i="59" s="1"/>
  <c r="I154" i="59"/>
  <c r="J154" i="59" s="1"/>
  <c r="I157" i="59"/>
  <c r="J157" i="59" s="1"/>
  <c r="I160" i="59"/>
  <c r="J160" i="59" s="1"/>
  <c r="I173" i="59"/>
  <c r="J173" i="59" s="1"/>
  <c r="I175" i="59"/>
  <c r="J175" i="59" s="1"/>
  <c r="I183" i="59"/>
  <c r="J183" i="59" s="1"/>
  <c r="I185" i="59"/>
  <c r="J185" i="59" s="1"/>
  <c r="I188" i="59"/>
  <c r="J188" i="59" s="1"/>
  <c r="I199" i="59"/>
  <c r="J199" i="59" s="1"/>
  <c r="I201" i="59"/>
  <c r="J201" i="59" s="1"/>
  <c r="I203" i="59"/>
  <c r="J203" i="59" s="1"/>
  <c r="I205" i="59"/>
  <c r="J205" i="59" s="1"/>
  <c r="I213" i="59"/>
  <c r="J213" i="59" s="1"/>
  <c r="I215" i="59"/>
  <c r="J215" i="59" s="1"/>
  <c r="I218" i="59"/>
  <c r="J218" i="59" s="1"/>
  <c r="I227" i="59"/>
  <c r="J227" i="59" s="1"/>
  <c r="I229" i="59"/>
  <c r="J229" i="59" s="1"/>
  <c r="I231" i="59"/>
  <c r="J231" i="59" s="1"/>
  <c r="I233" i="59"/>
  <c r="J233" i="59" s="1"/>
  <c r="I235" i="59"/>
  <c r="J235" i="59" s="1"/>
  <c r="I247" i="59"/>
  <c r="J247" i="59" s="1"/>
  <c r="I249" i="59"/>
  <c r="J249" i="59" s="1"/>
  <c r="I259" i="59"/>
  <c r="J259" i="59" s="1"/>
  <c r="I261" i="59"/>
  <c r="J261" i="59" s="1"/>
  <c r="I263" i="59"/>
  <c r="J263" i="59" s="1"/>
  <c r="I265" i="59"/>
  <c r="J265" i="59" s="1"/>
  <c r="I278" i="59"/>
  <c r="J278" i="59" s="1"/>
  <c r="I280" i="59"/>
  <c r="J280" i="59" s="1"/>
  <c r="I292" i="59"/>
  <c r="J292" i="59" s="1"/>
  <c r="I294" i="59"/>
  <c r="J294" i="59" s="1"/>
  <c r="I305" i="59"/>
  <c r="J305" i="59" s="1"/>
  <c r="I307" i="59"/>
  <c r="J307" i="59" s="1"/>
  <c r="I309" i="59"/>
  <c r="J309" i="59" s="1"/>
  <c r="I317" i="59"/>
  <c r="J317" i="59" s="1"/>
  <c r="I319" i="59"/>
  <c r="J319" i="59" s="1"/>
  <c r="I321" i="59"/>
  <c r="J321" i="59" s="1"/>
  <c r="I323" i="59"/>
  <c r="J323" i="59" s="1"/>
  <c r="I325" i="59"/>
  <c r="J325" i="59" s="1"/>
  <c r="I329" i="59"/>
  <c r="J329" i="59" s="1"/>
  <c r="I331" i="59"/>
  <c r="J331" i="59" s="1"/>
  <c r="I333" i="59"/>
  <c r="J333" i="59" s="1"/>
  <c r="I336" i="59"/>
  <c r="J336" i="59" s="1"/>
  <c r="I338" i="59"/>
  <c r="J338" i="59" s="1"/>
  <c r="I354" i="59"/>
  <c r="J354" i="59" s="1"/>
  <c r="E17" i="59"/>
  <c r="K102" i="59"/>
  <c r="E20" i="59"/>
  <c r="K20" i="59" s="1"/>
  <c r="K132" i="59"/>
  <c r="E22" i="59"/>
  <c r="K22" i="59" s="1"/>
  <c r="K177" i="59"/>
  <c r="E25" i="59"/>
  <c r="K25" i="59" s="1"/>
  <c r="K207" i="59"/>
  <c r="E27" i="59"/>
  <c r="K27" i="59" s="1"/>
  <c r="K237" i="59"/>
  <c r="E29" i="59"/>
  <c r="K29" i="59" s="1"/>
  <c r="K252" i="59"/>
  <c r="E30" i="59"/>
  <c r="K30" i="59" s="1"/>
  <c r="K267" i="59"/>
  <c r="E31" i="59"/>
  <c r="K31" i="59" s="1"/>
  <c r="K70" i="59"/>
  <c r="E18" i="59"/>
  <c r="K18" i="59" s="1"/>
  <c r="K147" i="59"/>
  <c r="E23" i="59"/>
  <c r="K23" i="59" s="1"/>
  <c r="K162" i="59"/>
  <c r="E24" i="59"/>
  <c r="K24" i="59" s="1"/>
  <c r="K192" i="59"/>
  <c r="E26" i="59"/>
  <c r="K26" i="59" s="1"/>
  <c r="K222" i="59"/>
  <c r="E28" i="59"/>
  <c r="K28" i="59" s="1"/>
  <c r="K282" i="59"/>
  <c r="E32" i="59"/>
  <c r="K32" i="59" s="1"/>
  <c r="E33" i="59"/>
  <c r="K312" i="59"/>
  <c r="E34" i="59"/>
  <c r="K34" i="59" s="1"/>
  <c r="K117" i="58"/>
  <c r="E21" i="58"/>
  <c r="K21" i="58" s="1"/>
  <c r="K132" i="58"/>
  <c r="E22" i="58"/>
  <c r="K22" i="58" s="1"/>
  <c r="K147" i="58"/>
  <c r="E23" i="58"/>
  <c r="K23" i="58" s="1"/>
  <c r="K192" i="58"/>
  <c r="E26" i="58"/>
  <c r="K26" i="58" s="1"/>
  <c r="K222" i="58"/>
  <c r="E28" i="58"/>
  <c r="K28" i="58" s="1"/>
  <c r="K237" i="58"/>
  <c r="E29" i="58"/>
  <c r="K29" i="58" s="1"/>
  <c r="K312" i="58"/>
  <c r="E34" i="58"/>
  <c r="K34" i="58" s="1"/>
  <c r="K70" i="58"/>
  <c r="E18" i="58"/>
  <c r="K18" i="58" s="1"/>
  <c r="K162" i="58"/>
  <c r="E24" i="58"/>
  <c r="K24" i="58" s="1"/>
  <c r="K177" i="58"/>
  <c r="E25" i="58"/>
  <c r="K25" i="58" s="1"/>
  <c r="I207" i="58"/>
  <c r="E27" i="58"/>
  <c r="K27" i="58" s="1"/>
  <c r="K267" i="58"/>
  <c r="E31" i="58"/>
  <c r="K31" i="58" s="1"/>
  <c r="I297" i="58"/>
  <c r="E33" i="58"/>
  <c r="K33" i="58" s="1"/>
  <c r="D47" i="7"/>
  <c r="D48" i="7" s="1"/>
  <c r="G66" i="24" s="1"/>
  <c r="G69" i="55"/>
  <c r="G68" i="55"/>
  <c r="G68" i="54"/>
  <c r="G69" i="54"/>
  <c r="G68" i="46"/>
  <c r="F48" i="7"/>
  <c r="G69" i="46"/>
  <c r="H16" i="54"/>
  <c r="J16" i="54" s="1"/>
  <c r="H17" i="54"/>
  <c r="J17" i="54" s="1"/>
  <c r="H19" i="54"/>
  <c r="J19" i="54" s="1"/>
  <c r="H21" i="54"/>
  <c r="J21" i="54" s="1"/>
  <c r="H23" i="54"/>
  <c r="J23" i="54" s="1"/>
  <c r="H38" i="54"/>
  <c r="J38" i="54" s="1"/>
  <c r="H15" i="54"/>
  <c r="J15" i="54" s="1"/>
  <c r="H18" i="54"/>
  <c r="J18" i="54" s="1"/>
  <c r="H20" i="54"/>
  <c r="J20" i="54" s="1"/>
  <c r="H22" i="54"/>
  <c r="J22" i="54" s="1"/>
  <c r="H16" i="55"/>
  <c r="J16" i="55" s="1"/>
  <c r="H17" i="55"/>
  <c r="J17" i="55" s="1"/>
  <c r="H19" i="55"/>
  <c r="J19" i="55" s="1"/>
  <c r="H21" i="55"/>
  <c r="J21" i="55" s="1"/>
  <c r="H23" i="55"/>
  <c r="J23" i="55" s="1"/>
  <c r="H38" i="55"/>
  <c r="J38" i="55" s="1"/>
  <c r="H15" i="55"/>
  <c r="J15" i="55" s="1"/>
  <c r="H18" i="55"/>
  <c r="J18" i="55" s="1"/>
  <c r="H20" i="55"/>
  <c r="J20" i="55" s="1"/>
  <c r="H22" i="55"/>
  <c r="J22" i="55" s="1"/>
  <c r="E16" i="59"/>
  <c r="E18" i="57"/>
  <c r="K18" i="57" s="1"/>
  <c r="K132" i="57"/>
  <c r="E22" i="57"/>
  <c r="K22" i="57" s="1"/>
  <c r="E26" i="57"/>
  <c r="K222" i="57"/>
  <c r="E28" i="57"/>
  <c r="K21" i="57"/>
  <c r="E24" i="57"/>
  <c r="K30" i="57"/>
  <c r="K147" i="57"/>
  <c r="E23" i="57"/>
  <c r="K23" i="57" s="1"/>
  <c r="K177" i="57"/>
  <c r="E25" i="57"/>
  <c r="K207" i="57"/>
  <c r="E27" i="57"/>
  <c r="K27" i="57" s="1"/>
  <c r="E29" i="57"/>
  <c r="E33" i="57"/>
  <c r="M207" i="57"/>
  <c r="M27" i="57" s="1"/>
  <c r="M237" i="57"/>
  <c r="M29" i="57" s="1"/>
  <c r="M297" i="57"/>
  <c r="M33" i="57" s="1"/>
  <c r="E33" i="56"/>
  <c r="E29" i="56"/>
  <c r="E34" i="56"/>
  <c r="E24" i="56"/>
  <c r="E25" i="56"/>
  <c r="E26" i="56"/>
  <c r="K207" i="56"/>
  <c r="E27" i="56"/>
  <c r="K27" i="56" s="1"/>
  <c r="K222" i="56"/>
  <c r="E28" i="56"/>
  <c r="M267" i="56"/>
  <c r="M31" i="56" s="1"/>
  <c r="K31" i="56" s="1"/>
  <c r="M312" i="56"/>
  <c r="M34" i="56" s="1"/>
  <c r="M237" i="56"/>
  <c r="M29" i="56" s="1"/>
  <c r="M177" i="56"/>
  <c r="M25" i="56" s="1"/>
  <c r="I344" i="56"/>
  <c r="M282" i="56"/>
  <c r="M297" i="56"/>
  <c r="M33" i="56" s="1"/>
  <c r="M117" i="57"/>
  <c r="M21" i="57" s="1"/>
  <c r="M267" i="57"/>
  <c r="M31" i="57" s="1"/>
  <c r="K31" i="57" s="1"/>
  <c r="M85" i="59"/>
  <c r="M19" i="59" s="1"/>
  <c r="M222" i="56"/>
  <c r="M28" i="56" s="1"/>
  <c r="M162" i="58"/>
  <c r="M24" i="58" s="1"/>
  <c r="M70" i="58"/>
  <c r="M18" i="58" s="1"/>
  <c r="M70" i="59"/>
  <c r="M18" i="59" s="1"/>
  <c r="M132" i="59"/>
  <c r="M22" i="59" s="1"/>
  <c r="J344" i="58"/>
  <c r="M85" i="58"/>
  <c r="M19" i="58" s="1"/>
  <c r="M267" i="58"/>
  <c r="M31" i="58" s="1"/>
  <c r="M297" i="59"/>
  <c r="M33" i="59" s="1"/>
  <c r="AA24" i="53"/>
  <c r="M40" i="59"/>
  <c r="I48" i="56"/>
  <c r="J48" i="56" s="1"/>
  <c r="I67" i="56"/>
  <c r="J67" i="56" s="1"/>
  <c r="I142" i="56"/>
  <c r="J142" i="56" s="1"/>
  <c r="I78" i="56"/>
  <c r="J78" i="56" s="1"/>
  <c r="I99" i="56"/>
  <c r="J99" i="56" s="1"/>
  <c r="I107" i="56"/>
  <c r="J107" i="56" s="1"/>
  <c r="I152" i="56"/>
  <c r="J152" i="56" s="1"/>
  <c r="M85" i="56"/>
  <c r="M19" i="56" s="1"/>
  <c r="K19" i="56" s="1"/>
  <c r="M55" i="56"/>
  <c r="M17" i="56" s="1"/>
  <c r="M147" i="56"/>
  <c r="M23" i="56" s="1"/>
  <c r="K23" i="56" s="1"/>
  <c r="M117" i="56"/>
  <c r="M70" i="56"/>
  <c r="M312" i="57"/>
  <c r="M34" i="57" s="1"/>
  <c r="K34" i="57" s="1"/>
  <c r="M162" i="59"/>
  <c r="M24" i="59" s="1"/>
  <c r="M40" i="58"/>
  <c r="M55" i="59"/>
  <c r="M17" i="59" s="1"/>
  <c r="M102" i="59"/>
  <c r="M20" i="59" s="1"/>
  <c r="M117" i="59"/>
  <c r="M21" i="59" s="1"/>
  <c r="M147" i="59"/>
  <c r="M23" i="59" s="1"/>
  <c r="M267" i="59"/>
  <c r="M31" i="59" s="1"/>
  <c r="J344" i="57"/>
  <c r="K312" i="57"/>
  <c r="M132" i="57"/>
  <c r="M22" i="57" s="1"/>
  <c r="M40" i="57"/>
  <c r="M16" i="57" s="1"/>
  <c r="K16" i="57" s="1"/>
  <c r="M102" i="57"/>
  <c r="M20" i="57" s="1"/>
  <c r="K20" i="57" s="1"/>
  <c r="M85" i="57"/>
  <c r="K85" i="59"/>
  <c r="K117" i="59"/>
  <c r="I192" i="59"/>
  <c r="I222" i="59"/>
  <c r="J193" i="59"/>
  <c r="J194" i="59"/>
  <c r="J195" i="59"/>
  <c r="J196" i="59"/>
  <c r="J197" i="59"/>
  <c r="J198" i="59"/>
  <c r="J223" i="59"/>
  <c r="J224" i="59"/>
  <c r="J225" i="59"/>
  <c r="J226" i="59"/>
  <c r="J253" i="59"/>
  <c r="J254" i="59"/>
  <c r="J255" i="59"/>
  <c r="J256" i="59"/>
  <c r="J257" i="59"/>
  <c r="J283" i="59"/>
  <c r="J284" i="59"/>
  <c r="J285" i="59"/>
  <c r="J286" i="59"/>
  <c r="J287" i="59"/>
  <c r="J288" i="59"/>
  <c r="J289" i="59"/>
  <c r="J290" i="59"/>
  <c r="J291" i="59"/>
  <c r="J313" i="59"/>
  <c r="J314" i="59"/>
  <c r="J315" i="59"/>
  <c r="J316" i="59"/>
  <c r="E389" i="59"/>
  <c r="E344" i="59" s="1"/>
  <c r="M344" i="59" s="1"/>
  <c r="J56" i="59"/>
  <c r="J57" i="59"/>
  <c r="J58" i="59"/>
  <c r="J59" i="59"/>
  <c r="J60" i="59"/>
  <c r="J61" i="59"/>
  <c r="J62" i="59"/>
  <c r="J63" i="59"/>
  <c r="J64" i="59"/>
  <c r="J65" i="59"/>
  <c r="J66" i="59"/>
  <c r="I70" i="59"/>
  <c r="J86" i="59"/>
  <c r="J87" i="59"/>
  <c r="J88" i="59"/>
  <c r="J89" i="59"/>
  <c r="J90" i="59"/>
  <c r="J91" i="59"/>
  <c r="J92" i="59"/>
  <c r="J93" i="59"/>
  <c r="J94" i="59"/>
  <c r="J97" i="59"/>
  <c r="J98" i="59"/>
  <c r="J118" i="59"/>
  <c r="J119" i="59"/>
  <c r="J120" i="59"/>
  <c r="J121" i="59"/>
  <c r="J122" i="59"/>
  <c r="J123" i="59"/>
  <c r="J124" i="59"/>
  <c r="J125" i="59"/>
  <c r="J126" i="59"/>
  <c r="J127" i="59"/>
  <c r="J128" i="59"/>
  <c r="I132" i="59"/>
  <c r="J148" i="59"/>
  <c r="J149" i="59"/>
  <c r="J150" i="59"/>
  <c r="J151" i="59"/>
  <c r="I162" i="59"/>
  <c r="J178" i="59"/>
  <c r="J179" i="59"/>
  <c r="J180" i="59"/>
  <c r="J181" i="59"/>
  <c r="J182" i="59"/>
  <c r="J208" i="59"/>
  <c r="J209" i="59"/>
  <c r="J210" i="59"/>
  <c r="J211" i="59"/>
  <c r="J212" i="59"/>
  <c r="J238" i="59"/>
  <c r="J239" i="59"/>
  <c r="J240" i="59"/>
  <c r="J241" i="59"/>
  <c r="J242" i="59"/>
  <c r="J243" i="59"/>
  <c r="J244" i="59"/>
  <c r="J245" i="59"/>
  <c r="J268" i="59"/>
  <c r="J269" i="59"/>
  <c r="J270" i="59"/>
  <c r="J271" i="59"/>
  <c r="J272" i="59"/>
  <c r="J273" i="59"/>
  <c r="J274" i="59"/>
  <c r="J275" i="59"/>
  <c r="J276" i="59"/>
  <c r="J277" i="59"/>
  <c r="J298" i="59"/>
  <c r="J299" i="59"/>
  <c r="J300" i="59"/>
  <c r="J301" i="59"/>
  <c r="J302" i="59"/>
  <c r="J303" i="59"/>
  <c r="J304" i="59"/>
  <c r="J345" i="59"/>
  <c r="J346" i="59"/>
  <c r="J347" i="59"/>
  <c r="J348" i="59"/>
  <c r="J349" i="59"/>
  <c r="J350" i="59"/>
  <c r="J351" i="59"/>
  <c r="J352" i="59"/>
  <c r="J41" i="59"/>
  <c r="J42" i="59"/>
  <c r="J43" i="59"/>
  <c r="J44" i="59"/>
  <c r="J45" i="59"/>
  <c r="J46" i="59"/>
  <c r="J47" i="59"/>
  <c r="J71" i="59"/>
  <c r="J72" i="59"/>
  <c r="J73" i="59"/>
  <c r="J74" i="59"/>
  <c r="J75" i="59"/>
  <c r="J76" i="59"/>
  <c r="J77" i="59"/>
  <c r="J103" i="59"/>
  <c r="J104" i="59"/>
  <c r="J105" i="59"/>
  <c r="J106" i="59"/>
  <c r="J133" i="59"/>
  <c r="J134" i="59"/>
  <c r="J135" i="59"/>
  <c r="J136" i="59"/>
  <c r="J137" i="59"/>
  <c r="J138" i="59"/>
  <c r="J139" i="59"/>
  <c r="J140" i="59"/>
  <c r="J141" i="59"/>
  <c r="I147" i="59"/>
  <c r="J163" i="59"/>
  <c r="J164" i="59"/>
  <c r="J165" i="59"/>
  <c r="J166" i="59"/>
  <c r="J167" i="59"/>
  <c r="J168" i="59"/>
  <c r="J169" i="59"/>
  <c r="J170" i="59"/>
  <c r="J171" i="59"/>
  <c r="I177" i="59"/>
  <c r="I207" i="59"/>
  <c r="I237" i="59"/>
  <c r="E334" i="59"/>
  <c r="M334" i="59" s="1"/>
  <c r="M70" i="57"/>
  <c r="M18" i="57" s="1"/>
  <c r="J208" i="58"/>
  <c r="J209" i="58"/>
  <c r="J210" i="58"/>
  <c r="J211" i="58"/>
  <c r="J212" i="58"/>
  <c r="M252" i="58"/>
  <c r="M30" i="58" s="1"/>
  <c r="J268" i="58"/>
  <c r="J269" i="58"/>
  <c r="J270" i="58"/>
  <c r="J271" i="58"/>
  <c r="J272" i="58"/>
  <c r="J273" i="58"/>
  <c r="J274" i="58"/>
  <c r="J275" i="58"/>
  <c r="J276" i="58"/>
  <c r="J277" i="58"/>
  <c r="J118" i="58"/>
  <c r="J119" i="58"/>
  <c r="J120" i="58"/>
  <c r="J121" i="58"/>
  <c r="J122" i="58"/>
  <c r="J123" i="58"/>
  <c r="J124" i="58"/>
  <c r="J125" i="58"/>
  <c r="J126" i="58"/>
  <c r="J127" i="58"/>
  <c r="J128" i="58"/>
  <c r="J148" i="58"/>
  <c r="J149" i="58"/>
  <c r="J150" i="58"/>
  <c r="J151" i="58"/>
  <c r="J178" i="58"/>
  <c r="J179" i="58"/>
  <c r="J180" i="58"/>
  <c r="J181" i="58"/>
  <c r="J182" i="58"/>
  <c r="M222" i="58"/>
  <c r="M28" i="58" s="1"/>
  <c r="I237" i="58"/>
  <c r="J238" i="58"/>
  <c r="J239" i="58"/>
  <c r="J240" i="58"/>
  <c r="J241" i="58"/>
  <c r="J242" i="58"/>
  <c r="J243" i="58"/>
  <c r="J244" i="58"/>
  <c r="J245" i="58"/>
  <c r="M282" i="58"/>
  <c r="M32" i="58" s="1"/>
  <c r="J298" i="58"/>
  <c r="J299" i="58"/>
  <c r="J300" i="58"/>
  <c r="J301" i="58"/>
  <c r="J302" i="58"/>
  <c r="J303" i="58"/>
  <c r="J304" i="58"/>
  <c r="J345" i="58"/>
  <c r="J346" i="58"/>
  <c r="J347" i="58"/>
  <c r="J348" i="58"/>
  <c r="J349" i="58"/>
  <c r="J350" i="58"/>
  <c r="J351" i="58"/>
  <c r="J352" i="58"/>
  <c r="M312" i="58"/>
  <c r="M34" i="58" s="1"/>
  <c r="K55" i="58"/>
  <c r="K85" i="58"/>
  <c r="K102" i="58"/>
  <c r="I147" i="58"/>
  <c r="I177" i="58"/>
  <c r="K207" i="58"/>
  <c r="K282" i="58"/>
  <c r="K297" i="58"/>
  <c r="K252" i="58"/>
  <c r="J41" i="58"/>
  <c r="J42" i="58"/>
  <c r="J43" i="58"/>
  <c r="J44" i="58"/>
  <c r="J45" i="58"/>
  <c r="J46" i="58"/>
  <c r="J47" i="58"/>
  <c r="J71" i="58"/>
  <c r="J72" i="58"/>
  <c r="J73" i="58"/>
  <c r="J74" i="58"/>
  <c r="J75" i="58"/>
  <c r="J76" i="58"/>
  <c r="J77" i="58"/>
  <c r="J103" i="58"/>
  <c r="J104" i="58"/>
  <c r="J105" i="58"/>
  <c r="J106" i="58"/>
  <c r="J133" i="58"/>
  <c r="J134" i="58"/>
  <c r="J135" i="58"/>
  <c r="J136" i="58"/>
  <c r="J137" i="58"/>
  <c r="J138" i="58"/>
  <c r="J139" i="58"/>
  <c r="J140" i="58"/>
  <c r="J141" i="58"/>
  <c r="J163" i="58"/>
  <c r="J164" i="58"/>
  <c r="J165" i="58"/>
  <c r="J166" i="58"/>
  <c r="J167" i="58"/>
  <c r="J168" i="58"/>
  <c r="J169" i="58"/>
  <c r="J170" i="58"/>
  <c r="J171" i="58"/>
  <c r="J193" i="58"/>
  <c r="J194" i="58"/>
  <c r="J195" i="58"/>
  <c r="J196" i="58"/>
  <c r="J197" i="58"/>
  <c r="J198" i="58"/>
  <c r="J223" i="58"/>
  <c r="J224" i="58"/>
  <c r="J225" i="58"/>
  <c r="J226" i="58"/>
  <c r="J253" i="58"/>
  <c r="J254" i="58"/>
  <c r="J255" i="58"/>
  <c r="J256" i="58"/>
  <c r="J257" i="58"/>
  <c r="J283" i="58"/>
  <c r="J284" i="58"/>
  <c r="J285" i="58"/>
  <c r="J286" i="58"/>
  <c r="J287" i="58"/>
  <c r="J288" i="58"/>
  <c r="J289" i="58"/>
  <c r="J290" i="58"/>
  <c r="J291" i="58"/>
  <c r="J313" i="58"/>
  <c r="J314" i="58"/>
  <c r="J315" i="58"/>
  <c r="J316" i="58"/>
  <c r="E334" i="58"/>
  <c r="M334" i="58" s="1"/>
  <c r="J56" i="58"/>
  <c r="J57" i="58"/>
  <c r="J58" i="58"/>
  <c r="J59" i="58"/>
  <c r="J60" i="58"/>
  <c r="J61" i="58"/>
  <c r="J62" i="58"/>
  <c r="J63" i="58"/>
  <c r="J64" i="58"/>
  <c r="J65" i="58"/>
  <c r="J66" i="58"/>
  <c r="I70" i="58"/>
  <c r="J86" i="58"/>
  <c r="J87" i="58"/>
  <c r="J88" i="58"/>
  <c r="J89" i="58"/>
  <c r="J90" i="58"/>
  <c r="J91" i="58"/>
  <c r="J92" i="58"/>
  <c r="J93" i="58"/>
  <c r="J94" i="58"/>
  <c r="J97" i="58"/>
  <c r="J98" i="58"/>
  <c r="I132" i="58"/>
  <c r="I162" i="58"/>
  <c r="I192" i="58"/>
  <c r="I222" i="58"/>
  <c r="I312" i="58"/>
  <c r="M328" i="58"/>
  <c r="M177" i="57"/>
  <c r="M25" i="57" s="1"/>
  <c r="M162" i="57"/>
  <c r="M24" i="57" s="1"/>
  <c r="M192" i="57"/>
  <c r="M26" i="57" s="1"/>
  <c r="M222" i="57"/>
  <c r="M28" i="57" s="1"/>
  <c r="M252" i="57"/>
  <c r="M30" i="57" s="1"/>
  <c r="J268" i="57"/>
  <c r="J269" i="57"/>
  <c r="J270" i="57"/>
  <c r="J271" i="57"/>
  <c r="J272" i="57"/>
  <c r="J273" i="57"/>
  <c r="J274" i="57"/>
  <c r="J275" i="57"/>
  <c r="J276" i="57"/>
  <c r="J277" i="57"/>
  <c r="M55" i="57"/>
  <c r="M17" i="57" s="1"/>
  <c r="J128" i="57"/>
  <c r="M147" i="57"/>
  <c r="M23" i="57" s="1"/>
  <c r="J208" i="57"/>
  <c r="J209" i="57"/>
  <c r="J210" i="57"/>
  <c r="J211" i="57"/>
  <c r="J212" i="57"/>
  <c r="J238" i="57"/>
  <c r="J239" i="57"/>
  <c r="J240" i="57"/>
  <c r="J241" i="57"/>
  <c r="J242" i="57"/>
  <c r="J243" i="57"/>
  <c r="J244" i="57"/>
  <c r="J245" i="57"/>
  <c r="M282" i="57"/>
  <c r="M32" i="57" s="1"/>
  <c r="K32" i="57" s="1"/>
  <c r="J298" i="57"/>
  <c r="J299" i="57"/>
  <c r="J300" i="57"/>
  <c r="J301" i="57"/>
  <c r="J302" i="57"/>
  <c r="J303" i="57"/>
  <c r="J304" i="57"/>
  <c r="J345" i="57"/>
  <c r="J346" i="57"/>
  <c r="J347" i="57"/>
  <c r="J348" i="57"/>
  <c r="J349" i="57"/>
  <c r="J350" i="57"/>
  <c r="J351" i="57"/>
  <c r="J352" i="57"/>
  <c r="K117" i="57"/>
  <c r="K237" i="57"/>
  <c r="K252" i="57"/>
  <c r="J41" i="57"/>
  <c r="J42" i="57"/>
  <c r="J43" i="57"/>
  <c r="J44" i="57"/>
  <c r="J45" i="57"/>
  <c r="J46" i="57"/>
  <c r="J47" i="57"/>
  <c r="J71" i="57"/>
  <c r="J72" i="57"/>
  <c r="J73" i="57"/>
  <c r="J74" i="57"/>
  <c r="J75" i="57"/>
  <c r="J76" i="57"/>
  <c r="J77" i="57"/>
  <c r="J103" i="57"/>
  <c r="J104" i="57"/>
  <c r="J105" i="57"/>
  <c r="J106" i="57"/>
  <c r="J133" i="57"/>
  <c r="J134" i="57"/>
  <c r="J135" i="57"/>
  <c r="J136" i="57"/>
  <c r="J137" i="57"/>
  <c r="J138" i="57"/>
  <c r="J139" i="57"/>
  <c r="J140" i="57"/>
  <c r="J141" i="57"/>
  <c r="J163" i="57"/>
  <c r="J164" i="57"/>
  <c r="J165" i="57"/>
  <c r="J166" i="57"/>
  <c r="J167" i="57"/>
  <c r="J168" i="57"/>
  <c r="J169" i="57"/>
  <c r="J170" i="57"/>
  <c r="J171" i="57"/>
  <c r="J193" i="57"/>
  <c r="J194" i="57"/>
  <c r="J195" i="57"/>
  <c r="J196" i="57"/>
  <c r="J197" i="57"/>
  <c r="J198" i="57"/>
  <c r="J223" i="57"/>
  <c r="J224" i="57"/>
  <c r="J225" i="57"/>
  <c r="J226" i="57"/>
  <c r="J253" i="57"/>
  <c r="J254" i="57"/>
  <c r="J255" i="57"/>
  <c r="J256" i="57"/>
  <c r="J257" i="57"/>
  <c r="J283" i="57"/>
  <c r="J284" i="57"/>
  <c r="J285" i="57"/>
  <c r="J286" i="57"/>
  <c r="J287" i="57"/>
  <c r="J288" i="57"/>
  <c r="J289" i="57"/>
  <c r="J290" i="57"/>
  <c r="J291" i="57"/>
  <c r="J313" i="57"/>
  <c r="J314" i="57"/>
  <c r="J315" i="57"/>
  <c r="J316" i="57"/>
  <c r="E334" i="57"/>
  <c r="E370" i="57" s="1"/>
  <c r="J56" i="57"/>
  <c r="J57" i="57"/>
  <c r="J58" i="57"/>
  <c r="J59" i="57"/>
  <c r="J60" i="57"/>
  <c r="J61" i="57"/>
  <c r="J62" i="57"/>
  <c r="J63" i="57"/>
  <c r="J64" i="57"/>
  <c r="J65" i="57"/>
  <c r="J66" i="57"/>
  <c r="J86" i="57"/>
  <c r="J87" i="57"/>
  <c r="J88" i="57"/>
  <c r="J89" i="57"/>
  <c r="J90" i="57"/>
  <c r="J91" i="57"/>
  <c r="J92" i="57"/>
  <c r="J93" i="57"/>
  <c r="J94" i="57"/>
  <c r="J95" i="57"/>
  <c r="J96" i="57"/>
  <c r="J118" i="57"/>
  <c r="J119" i="57"/>
  <c r="J120" i="57"/>
  <c r="J121" i="57"/>
  <c r="J122" i="57"/>
  <c r="J123" i="57"/>
  <c r="J124" i="57"/>
  <c r="J125" i="57"/>
  <c r="J126" i="57"/>
  <c r="J127" i="57"/>
  <c r="J148" i="57"/>
  <c r="J149" i="57"/>
  <c r="J150" i="57"/>
  <c r="J151" i="57"/>
  <c r="J178" i="57"/>
  <c r="J179" i="57"/>
  <c r="J180" i="57"/>
  <c r="J181" i="57"/>
  <c r="J182" i="57"/>
  <c r="M102" i="56"/>
  <c r="I118" i="56"/>
  <c r="J118" i="56" s="1"/>
  <c r="I119" i="56"/>
  <c r="J119" i="56" s="1"/>
  <c r="I120" i="56"/>
  <c r="J120" i="56" s="1"/>
  <c r="I121" i="56"/>
  <c r="J121" i="56" s="1"/>
  <c r="I122" i="56"/>
  <c r="J122" i="56" s="1"/>
  <c r="I123" i="56"/>
  <c r="J123" i="56" s="1"/>
  <c r="I124" i="56"/>
  <c r="J124" i="56" s="1"/>
  <c r="I125" i="56"/>
  <c r="J125" i="56" s="1"/>
  <c r="I126" i="56"/>
  <c r="J126" i="56" s="1"/>
  <c r="I127" i="56"/>
  <c r="J127" i="56" s="1"/>
  <c r="I128" i="56"/>
  <c r="J128" i="56" s="1"/>
  <c r="M162" i="56"/>
  <c r="M24" i="56" s="1"/>
  <c r="I178" i="56"/>
  <c r="J178" i="56" s="1"/>
  <c r="I179" i="56"/>
  <c r="J179" i="56" s="1"/>
  <c r="I180" i="56"/>
  <c r="J180" i="56" s="1"/>
  <c r="I181" i="56"/>
  <c r="J181" i="56" s="1"/>
  <c r="I182" i="56"/>
  <c r="J182" i="56" s="1"/>
  <c r="I238" i="56"/>
  <c r="J238" i="56" s="1"/>
  <c r="I239" i="56"/>
  <c r="J239" i="56" s="1"/>
  <c r="I240" i="56"/>
  <c r="J240" i="56" s="1"/>
  <c r="I241" i="56"/>
  <c r="J241" i="56" s="1"/>
  <c r="I242" i="56"/>
  <c r="J242" i="56" s="1"/>
  <c r="I243" i="56"/>
  <c r="J243" i="56" s="1"/>
  <c r="I244" i="56"/>
  <c r="J244" i="56" s="1"/>
  <c r="I245" i="56"/>
  <c r="J245" i="56" s="1"/>
  <c r="E389" i="56"/>
  <c r="E344" i="56" s="1"/>
  <c r="M344" i="56" s="1"/>
  <c r="M40" i="56"/>
  <c r="M16" i="56" s="1"/>
  <c r="K16" i="56" s="1"/>
  <c r="M132" i="56"/>
  <c r="I148" i="56"/>
  <c r="J148" i="56" s="1"/>
  <c r="I149" i="56"/>
  <c r="J149" i="56" s="1"/>
  <c r="I150" i="56"/>
  <c r="J150" i="56" s="1"/>
  <c r="I151" i="56"/>
  <c r="J151" i="56" s="1"/>
  <c r="M192" i="56"/>
  <c r="M26" i="56" s="1"/>
  <c r="M252" i="56"/>
  <c r="M30" i="56" s="1"/>
  <c r="K30" i="56" s="1"/>
  <c r="I334" i="56"/>
  <c r="I342" i="56"/>
  <c r="I343" i="56"/>
  <c r="K147" i="56"/>
  <c r="K177" i="56"/>
  <c r="K252" i="56"/>
  <c r="K55" i="56"/>
  <c r="I208" i="56"/>
  <c r="J208" i="56" s="1"/>
  <c r="I209" i="56"/>
  <c r="J209" i="56" s="1"/>
  <c r="I210" i="56"/>
  <c r="J210" i="56" s="1"/>
  <c r="I211" i="56"/>
  <c r="J211" i="56" s="1"/>
  <c r="I212" i="56"/>
  <c r="J212" i="56" s="1"/>
  <c r="I268" i="56"/>
  <c r="J268" i="56" s="1"/>
  <c r="I269" i="56"/>
  <c r="J269" i="56" s="1"/>
  <c r="I270" i="56"/>
  <c r="J270" i="56" s="1"/>
  <c r="I271" i="56"/>
  <c r="J271" i="56" s="1"/>
  <c r="I272" i="56"/>
  <c r="J272" i="56" s="1"/>
  <c r="I273" i="56"/>
  <c r="J273" i="56" s="1"/>
  <c r="I274" i="56"/>
  <c r="J274" i="56" s="1"/>
  <c r="I275" i="56"/>
  <c r="J275" i="56" s="1"/>
  <c r="I276" i="56"/>
  <c r="J276" i="56" s="1"/>
  <c r="I277" i="56"/>
  <c r="J277" i="56" s="1"/>
  <c r="I298" i="56"/>
  <c r="J298" i="56" s="1"/>
  <c r="I299" i="56"/>
  <c r="J299" i="56" s="1"/>
  <c r="I300" i="56"/>
  <c r="J300" i="56" s="1"/>
  <c r="I301" i="56"/>
  <c r="J301" i="56" s="1"/>
  <c r="I302" i="56"/>
  <c r="J302" i="56" s="1"/>
  <c r="I303" i="56"/>
  <c r="J303" i="56" s="1"/>
  <c r="I304" i="56"/>
  <c r="J304" i="56" s="1"/>
  <c r="I345" i="56"/>
  <c r="J345" i="56" s="1"/>
  <c r="I346" i="56"/>
  <c r="J346" i="56" s="1"/>
  <c r="I347" i="56"/>
  <c r="J347" i="56" s="1"/>
  <c r="I348" i="56"/>
  <c r="J348" i="56" s="1"/>
  <c r="I349" i="56"/>
  <c r="J349" i="56" s="1"/>
  <c r="I350" i="56"/>
  <c r="J350" i="56" s="1"/>
  <c r="I351" i="56"/>
  <c r="J351" i="56" s="1"/>
  <c r="I352" i="56"/>
  <c r="J352" i="56" s="1"/>
  <c r="I41" i="56"/>
  <c r="J41" i="56" s="1"/>
  <c r="I42" i="56"/>
  <c r="J42" i="56" s="1"/>
  <c r="I43" i="56"/>
  <c r="J43" i="56" s="1"/>
  <c r="I44" i="56"/>
  <c r="J44" i="56" s="1"/>
  <c r="I45" i="56"/>
  <c r="J45" i="56" s="1"/>
  <c r="I46" i="56"/>
  <c r="J46" i="56" s="1"/>
  <c r="I47" i="56"/>
  <c r="J47" i="56" s="1"/>
  <c r="I71" i="56"/>
  <c r="J71" i="56" s="1"/>
  <c r="I72" i="56"/>
  <c r="J72" i="56" s="1"/>
  <c r="I73" i="56"/>
  <c r="J73" i="56" s="1"/>
  <c r="I74" i="56"/>
  <c r="J74" i="56" s="1"/>
  <c r="I75" i="56"/>
  <c r="J75" i="56" s="1"/>
  <c r="I76" i="56"/>
  <c r="J76" i="56" s="1"/>
  <c r="I77" i="56"/>
  <c r="J77" i="56" s="1"/>
  <c r="I103" i="56"/>
  <c r="J103" i="56" s="1"/>
  <c r="I104" i="56"/>
  <c r="J104" i="56" s="1"/>
  <c r="I105" i="56"/>
  <c r="J105" i="56" s="1"/>
  <c r="I106" i="56"/>
  <c r="J106" i="56" s="1"/>
  <c r="I133" i="56"/>
  <c r="J133" i="56" s="1"/>
  <c r="I134" i="56"/>
  <c r="J134" i="56" s="1"/>
  <c r="I135" i="56"/>
  <c r="J135" i="56" s="1"/>
  <c r="I136" i="56"/>
  <c r="J136" i="56" s="1"/>
  <c r="I137" i="56"/>
  <c r="J137" i="56" s="1"/>
  <c r="I138" i="56"/>
  <c r="J138" i="56" s="1"/>
  <c r="I139" i="56"/>
  <c r="J139" i="56" s="1"/>
  <c r="I140" i="56"/>
  <c r="J140" i="56" s="1"/>
  <c r="I141" i="56"/>
  <c r="J141" i="56" s="1"/>
  <c r="I163" i="56"/>
  <c r="J163" i="56" s="1"/>
  <c r="I164" i="56"/>
  <c r="J164" i="56" s="1"/>
  <c r="I165" i="56"/>
  <c r="J165" i="56" s="1"/>
  <c r="I166" i="56"/>
  <c r="J166" i="56" s="1"/>
  <c r="I167" i="56"/>
  <c r="J167" i="56" s="1"/>
  <c r="I168" i="56"/>
  <c r="J168" i="56" s="1"/>
  <c r="I169" i="56"/>
  <c r="J169" i="56" s="1"/>
  <c r="I170" i="56"/>
  <c r="J170" i="56" s="1"/>
  <c r="I171" i="56"/>
  <c r="J171" i="56" s="1"/>
  <c r="I193" i="56"/>
  <c r="J193" i="56" s="1"/>
  <c r="I194" i="56"/>
  <c r="J194" i="56" s="1"/>
  <c r="I195" i="56"/>
  <c r="J195" i="56" s="1"/>
  <c r="I196" i="56"/>
  <c r="J196" i="56" s="1"/>
  <c r="I197" i="56"/>
  <c r="J197" i="56" s="1"/>
  <c r="I198" i="56"/>
  <c r="J198" i="56" s="1"/>
  <c r="I223" i="56"/>
  <c r="J223" i="56" s="1"/>
  <c r="I224" i="56"/>
  <c r="J224" i="56" s="1"/>
  <c r="I225" i="56"/>
  <c r="J225" i="56" s="1"/>
  <c r="I226" i="56"/>
  <c r="J226" i="56" s="1"/>
  <c r="I253" i="56"/>
  <c r="J253" i="56" s="1"/>
  <c r="I254" i="56"/>
  <c r="J254" i="56" s="1"/>
  <c r="I255" i="56"/>
  <c r="J255" i="56" s="1"/>
  <c r="I256" i="56"/>
  <c r="J256" i="56" s="1"/>
  <c r="I257" i="56"/>
  <c r="J257" i="56" s="1"/>
  <c r="I283" i="56"/>
  <c r="J283" i="56" s="1"/>
  <c r="I284" i="56"/>
  <c r="J284" i="56" s="1"/>
  <c r="I285" i="56"/>
  <c r="J285" i="56" s="1"/>
  <c r="I286" i="56"/>
  <c r="J286" i="56" s="1"/>
  <c r="I287" i="56"/>
  <c r="J287" i="56" s="1"/>
  <c r="I288" i="56"/>
  <c r="J288" i="56" s="1"/>
  <c r="I289" i="56"/>
  <c r="J289" i="56" s="1"/>
  <c r="I290" i="56"/>
  <c r="J290" i="56" s="1"/>
  <c r="I291" i="56"/>
  <c r="J291" i="56" s="1"/>
  <c r="I313" i="56"/>
  <c r="J313" i="56" s="1"/>
  <c r="I314" i="56"/>
  <c r="J314" i="56" s="1"/>
  <c r="I315" i="56"/>
  <c r="J315" i="56" s="1"/>
  <c r="I316" i="56"/>
  <c r="J316" i="56" s="1"/>
  <c r="I328" i="56"/>
  <c r="E334" i="56"/>
  <c r="E370" i="56" s="1"/>
  <c r="I56" i="56"/>
  <c r="J56" i="56" s="1"/>
  <c r="I57" i="56"/>
  <c r="J57" i="56" s="1"/>
  <c r="I58" i="56"/>
  <c r="J58" i="56" s="1"/>
  <c r="I59" i="56"/>
  <c r="J59" i="56" s="1"/>
  <c r="I60" i="56"/>
  <c r="J60" i="56" s="1"/>
  <c r="I61" i="56"/>
  <c r="J61" i="56" s="1"/>
  <c r="I62" i="56"/>
  <c r="J62" i="56" s="1"/>
  <c r="I63" i="56"/>
  <c r="J63" i="56" s="1"/>
  <c r="I64" i="56"/>
  <c r="J64" i="56" s="1"/>
  <c r="I65" i="56"/>
  <c r="J65" i="56" s="1"/>
  <c r="I66" i="56"/>
  <c r="J66" i="56" s="1"/>
  <c r="I86" i="56"/>
  <c r="J86" i="56" s="1"/>
  <c r="I87" i="56"/>
  <c r="J87" i="56" s="1"/>
  <c r="I88" i="56"/>
  <c r="J88" i="56" s="1"/>
  <c r="I89" i="56"/>
  <c r="J89" i="56" s="1"/>
  <c r="I91" i="56"/>
  <c r="J91" i="56" s="1"/>
  <c r="I94" i="56"/>
  <c r="J94" i="56" s="1"/>
  <c r="I95" i="56"/>
  <c r="J95" i="56" s="1"/>
  <c r="I96" i="56"/>
  <c r="J96" i="56" s="1"/>
  <c r="I97" i="56"/>
  <c r="J97" i="56" s="1"/>
  <c r="I98" i="56"/>
  <c r="J98" i="56" s="1"/>
  <c r="K17" i="56" l="1"/>
  <c r="E370" i="59"/>
  <c r="E371" i="59" s="1"/>
  <c r="E380" i="59" s="1"/>
  <c r="E343" i="59" s="1"/>
  <c r="M343" i="59" s="1"/>
  <c r="E370" i="58"/>
  <c r="K17" i="57"/>
  <c r="K267" i="56"/>
  <c r="K33" i="59"/>
  <c r="K297" i="59"/>
  <c r="K32" i="56"/>
  <c r="M32" i="56"/>
  <c r="J85" i="56"/>
  <c r="G68" i="24"/>
  <c r="J328" i="56"/>
  <c r="E358" i="56"/>
  <c r="E359" i="56" s="1"/>
  <c r="E368" i="56" s="1"/>
  <c r="E342" i="56" s="1"/>
  <c r="J344" i="59"/>
  <c r="K55" i="59"/>
  <c r="K17" i="59"/>
  <c r="J344" i="56"/>
  <c r="J334" i="56"/>
  <c r="G69" i="24"/>
  <c r="G66" i="46"/>
  <c r="M334" i="57"/>
  <c r="J334" i="57"/>
  <c r="M328" i="57"/>
  <c r="J328" i="57"/>
  <c r="J334" i="58"/>
  <c r="K40" i="58"/>
  <c r="M16" i="58"/>
  <c r="K16" i="58" s="1"/>
  <c r="J328" i="58"/>
  <c r="J328" i="59"/>
  <c r="J334" i="59"/>
  <c r="K40" i="59"/>
  <c r="M16" i="59"/>
  <c r="J343" i="59"/>
  <c r="K16" i="59"/>
  <c r="K297" i="57"/>
  <c r="K282" i="57"/>
  <c r="K267" i="57"/>
  <c r="K24" i="57"/>
  <c r="K26" i="57"/>
  <c r="K40" i="57"/>
  <c r="K55" i="57"/>
  <c r="K102" i="57"/>
  <c r="K29" i="57"/>
  <c r="K25" i="57"/>
  <c r="K162" i="57"/>
  <c r="K192" i="57"/>
  <c r="K70" i="57"/>
  <c r="K85" i="57"/>
  <c r="M19" i="57"/>
  <c r="K19" i="57" s="1"/>
  <c r="K33" i="57"/>
  <c r="K28" i="57"/>
  <c r="K312" i="56"/>
  <c r="K34" i="56"/>
  <c r="K33" i="56"/>
  <c r="K297" i="56"/>
  <c r="K282" i="56"/>
  <c r="K29" i="56"/>
  <c r="K237" i="56"/>
  <c r="K28" i="56"/>
  <c r="K26" i="56"/>
  <c r="K192" i="56"/>
  <c r="K25" i="56"/>
  <c r="K24" i="56"/>
  <c r="K162" i="56"/>
  <c r="K85" i="56"/>
  <c r="M328" i="56"/>
  <c r="E371" i="56"/>
  <c r="E380" i="56" s="1"/>
  <c r="E343" i="56" s="1"/>
  <c r="J343" i="56" s="1"/>
  <c r="M334" i="56"/>
  <c r="K70" i="56"/>
  <c r="M18" i="56"/>
  <c r="K18" i="56" s="1"/>
  <c r="K102" i="56"/>
  <c r="M20" i="56"/>
  <c r="K20" i="56" s="1"/>
  <c r="K132" i="56"/>
  <c r="M22" i="56"/>
  <c r="K22" i="56" s="1"/>
  <c r="K117" i="56"/>
  <c r="M21" i="56"/>
  <c r="K21" i="56" s="1"/>
  <c r="K40" i="56"/>
  <c r="AA24" i="52"/>
  <c r="J282" i="59"/>
  <c r="J312" i="59"/>
  <c r="J252" i="59"/>
  <c r="J222" i="59"/>
  <c r="J28" i="59" s="1"/>
  <c r="J192" i="59"/>
  <c r="J26" i="59" s="1"/>
  <c r="J162" i="59"/>
  <c r="J24" i="59" s="1"/>
  <c r="J132" i="59"/>
  <c r="J22" i="59" s="1"/>
  <c r="J297" i="59"/>
  <c r="J267" i="59"/>
  <c r="J237" i="59"/>
  <c r="J29" i="59" s="1"/>
  <c r="J177" i="59"/>
  <c r="J25" i="59" s="1"/>
  <c r="E359" i="59"/>
  <c r="E368" i="59" s="1"/>
  <c r="E342" i="59" s="1"/>
  <c r="M342" i="59" s="1"/>
  <c r="E327" i="59"/>
  <c r="E35" i="59" s="1"/>
  <c r="J102" i="59"/>
  <c r="J70" i="59"/>
  <c r="J18" i="59" s="1"/>
  <c r="J40" i="59"/>
  <c r="J16" i="59" s="1"/>
  <c r="J207" i="59"/>
  <c r="J27" i="59" s="1"/>
  <c r="J147" i="59"/>
  <c r="J23" i="59" s="1"/>
  <c r="J117" i="59"/>
  <c r="J85" i="59"/>
  <c r="J55" i="59"/>
  <c r="J237" i="58"/>
  <c r="J29" i="58" s="1"/>
  <c r="J117" i="58"/>
  <c r="J267" i="58"/>
  <c r="J207" i="58"/>
  <c r="J27" i="58" s="1"/>
  <c r="J297" i="58"/>
  <c r="J33" i="58" s="1"/>
  <c r="J177" i="58"/>
  <c r="J25" i="58" s="1"/>
  <c r="J147" i="58"/>
  <c r="J23" i="58" s="1"/>
  <c r="E359" i="58"/>
  <c r="E368" i="58" s="1"/>
  <c r="E342" i="58" s="1"/>
  <c r="M342" i="58" s="1"/>
  <c r="E327" i="58"/>
  <c r="E371" i="58"/>
  <c r="E380" i="58" s="1"/>
  <c r="E343" i="58" s="1"/>
  <c r="M343" i="58" s="1"/>
  <c r="J282" i="58"/>
  <c r="J162" i="58"/>
  <c r="J24" i="58" s="1"/>
  <c r="J85" i="58"/>
  <c r="J55" i="58"/>
  <c r="J312" i="58"/>
  <c r="J34" i="58" s="1"/>
  <c r="J252" i="58"/>
  <c r="J222" i="58"/>
  <c r="J28" i="58" s="1"/>
  <c r="J192" i="58"/>
  <c r="J26" i="58" s="1"/>
  <c r="J132" i="58"/>
  <c r="J22" i="58" s="1"/>
  <c r="J102" i="58"/>
  <c r="J70" i="58"/>
  <c r="J18" i="58" s="1"/>
  <c r="J40" i="58"/>
  <c r="J16" i="58" s="1"/>
  <c r="J297" i="57"/>
  <c r="J207" i="57"/>
  <c r="J267" i="57"/>
  <c r="J237" i="57"/>
  <c r="E371" i="57"/>
  <c r="E380" i="57" s="1"/>
  <c r="E343" i="57" s="1"/>
  <c r="J147" i="57"/>
  <c r="J282" i="57"/>
  <c r="J102" i="57"/>
  <c r="J70" i="57"/>
  <c r="J40" i="57"/>
  <c r="E359" i="57"/>
  <c r="E368" i="57" s="1"/>
  <c r="E342" i="57" s="1"/>
  <c r="E327" i="57"/>
  <c r="E35" i="57" s="1"/>
  <c r="J177" i="57"/>
  <c r="J117" i="57"/>
  <c r="J85" i="57"/>
  <c r="J55" i="57"/>
  <c r="J312" i="57"/>
  <c r="J252" i="57"/>
  <c r="J222" i="57"/>
  <c r="J192" i="57"/>
  <c r="J162" i="57"/>
  <c r="J132" i="57"/>
  <c r="J147" i="56"/>
  <c r="J237" i="56"/>
  <c r="J177" i="56"/>
  <c r="J117" i="56"/>
  <c r="J297" i="56"/>
  <c r="J207" i="56"/>
  <c r="J267" i="56"/>
  <c r="J55" i="56"/>
  <c r="J312" i="56"/>
  <c r="J252" i="56"/>
  <c r="J222" i="56"/>
  <c r="J192" i="56"/>
  <c r="J132" i="56"/>
  <c r="J102" i="56"/>
  <c r="J70" i="56"/>
  <c r="J40" i="56"/>
  <c r="J16" i="56" s="1"/>
  <c r="E327" i="56"/>
  <c r="E35" i="56" s="1"/>
  <c r="J282" i="56"/>
  <c r="J32" i="56" s="1"/>
  <c r="J162" i="56"/>
  <c r="A102" i="7"/>
  <c r="E35" i="58" l="1"/>
  <c r="K35" i="58" s="1"/>
  <c r="J33" i="59"/>
  <c r="I297" i="59"/>
  <c r="J34" i="59"/>
  <c r="I312" i="59"/>
  <c r="I85" i="58"/>
  <c r="J19" i="58"/>
  <c r="I282" i="58"/>
  <c r="J32" i="58"/>
  <c r="I267" i="58"/>
  <c r="J31" i="58"/>
  <c r="I85" i="59"/>
  <c r="J19" i="59"/>
  <c r="I102" i="59"/>
  <c r="J20" i="59"/>
  <c r="I102" i="58"/>
  <c r="J20" i="58"/>
  <c r="I252" i="58"/>
  <c r="J30" i="58"/>
  <c r="I55" i="58"/>
  <c r="J17" i="58"/>
  <c r="I117" i="58"/>
  <c r="J21" i="58"/>
  <c r="I55" i="59"/>
  <c r="J17" i="59"/>
  <c r="I117" i="59"/>
  <c r="J21" i="59"/>
  <c r="I267" i="59"/>
  <c r="J31" i="59"/>
  <c r="I252" i="59"/>
  <c r="J30" i="59"/>
  <c r="I282" i="59"/>
  <c r="J32" i="59"/>
  <c r="J343" i="57"/>
  <c r="M343" i="57"/>
  <c r="M342" i="57"/>
  <c r="J342" i="57"/>
  <c r="J342" i="59"/>
  <c r="J341" i="59" s="1"/>
  <c r="J36" i="59" s="1"/>
  <c r="J343" i="58"/>
  <c r="J342" i="58"/>
  <c r="E341" i="58"/>
  <c r="M342" i="56"/>
  <c r="J342" i="56"/>
  <c r="J341" i="56" s="1"/>
  <c r="J36" i="56" s="1"/>
  <c r="I252" i="57"/>
  <c r="J30" i="57"/>
  <c r="I102" i="57"/>
  <c r="J20" i="57"/>
  <c r="J27" i="57"/>
  <c r="I207" i="57"/>
  <c r="J24" i="57"/>
  <c r="I162" i="57"/>
  <c r="I282" i="57"/>
  <c r="J32" i="57"/>
  <c r="J33" i="57"/>
  <c r="I297" i="57"/>
  <c r="J26" i="57"/>
  <c r="I192" i="57"/>
  <c r="I55" i="57"/>
  <c r="J17" i="57"/>
  <c r="I40" i="57"/>
  <c r="J16" i="57"/>
  <c r="J23" i="57"/>
  <c r="I147" i="57"/>
  <c r="J29" i="57"/>
  <c r="I237" i="57"/>
  <c r="J22" i="57"/>
  <c r="I132" i="57"/>
  <c r="I117" i="57"/>
  <c r="J21" i="57"/>
  <c r="I312" i="57"/>
  <c r="J34" i="57"/>
  <c r="J25" i="57"/>
  <c r="I177" i="57"/>
  <c r="J28" i="57"/>
  <c r="I222" i="57"/>
  <c r="I85" i="57"/>
  <c r="J19" i="57"/>
  <c r="J18" i="57"/>
  <c r="I70" i="57"/>
  <c r="I267" i="57"/>
  <c r="J31" i="57"/>
  <c r="M327" i="57"/>
  <c r="M35" i="57" s="1"/>
  <c r="K35" i="57" s="1"/>
  <c r="J34" i="56"/>
  <c r="I312" i="56"/>
  <c r="J33" i="56"/>
  <c r="I297" i="56"/>
  <c r="J29" i="56"/>
  <c r="I237" i="56"/>
  <c r="J28" i="56"/>
  <c r="I222" i="56"/>
  <c r="J27" i="56"/>
  <c r="I207" i="56"/>
  <c r="J26" i="56"/>
  <c r="I192" i="56"/>
  <c r="J25" i="56"/>
  <c r="I177" i="56"/>
  <c r="J24" i="56"/>
  <c r="I162" i="56"/>
  <c r="M343" i="56"/>
  <c r="I102" i="56"/>
  <c r="J20" i="56"/>
  <c r="I252" i="56"/>
  <c r="J30" i="56"/>
  <c r="I267" i="56"/>
  <c r="J31" i="56"/>
  <c r="I132" i="56"/>
  <c r="J22" i="56"/>
  <c r="I55" i="56"/>
  <c r="J17" i="56"/>
  <c r="I147" i="56"/>
  <c r="J23" i="56"/>
  <c r="I282" i="56"/>
  <c r="I70" i="56"/>
  <c r="J18" i="56"/>
  <c r="I85" i="56"/>
  <c r="J19" i="56"/>
  <c r="I117" i="56"/>
  <c r="J21" i="56"/>
  <c r="I40" i="56"/>
  <c r="M327" i="59"/>
  <c r="M35" i="59" s="1"/>
  <c r="K35" i="59" s="1"/>
  <c r="E341" i="59"/>
  <c r="E404" i="59" s="1"/>
  <c r="J327" i="59"/>
  <c r="I327" i="59" s="1"/>
  <c r="J327" i="57"/>
  <c r="J35" i="57" s="1"/>
  <c r="I40" i="59"/>
  <c r="E341" i="57"/>
  <c r="M341" i="57" s="1"/>
  <c r="I40" i="58"/>
  <c r="M35" i="58"/>
  <c r="J327" i="58"/>
  <c r="J35" i="58" s="1"/>
  <c r="K327" i="58"/>
  <c r="I327" i="57"/>
  <c r="E341" i="56"/>
  <c r="E404" i="56" s="1"/>
  <c r="M327" i="56"/>
  <c r="M35" i="56" s="1"/>
  <c r="K35" i="56" s="1"/>
  <c r="J327" i="56"/>
  <c r="I327" i="56" s="1"/>
  <c r="J341" i="58" l="1"/>
  <c r="J36" i="58" s="1"/>
  <c r="I327" i="58"/>
  <c r="E404" i="58"/>
  <c r="E38" i="58" s="1"/>
  <c r="I341" i="58"/>
  <c r="K327" i="59"/>
  <c r="J341" i="57"/>
  <c r="J36" i="57" s="1"/>
  <c r="M36" i="58"/>
  <c r="E36" i="58"/>
  <c r="J404" i="59"/>
  <c r="I404" i="59" s="1"/>
  <c r="H14" i="55" s="1"/>
  <c r="J35" i="59"/>
  <c r="E14" i="55"/>
  <c r="E38" i="59"/>
  <c r="E36" i="59"/>
  <c r="M341" i="59"/>
  <c r="M36" i="59" s="1"/>
  <c r="E404" i="57"/>
  <c r="G404" i="57" s="1"/>
  <c r="G14" i="46" s="1"/>
  <c r="E36" i="57"/>
  <c r="K327" i="57"/>
  <c r="K327" i="56"/>
  <c r="E14" i="24"/>
  <c r="E39" i="24" s="1"/>
  <c r="D10" i="7" s="1"/>
  <c r="C10" i="1" s="1"/>
  <c r="E38" i="56"/>
  <c r="J404" i="56"/>
  <c r="I404" i="56" s="1"/>
  <c r="H14" i="24" s="1"/>
  <c r="J35" i="56"/>
  <c r="M341" i="56"/>
  <c r="M36" i="56" s="1"/>
  <c r="E36" i="56"/>
  <c r="E39" i="55"/>
  <c r="J10" i="7" s="1"/>
  <c r="X10" i="1" s="1"/>
  <c r="I341" i="59"/>
  <c r="M36" i="57"/>
  <c r="I341" i="57"/>
  <c r="G404" i="59"/>
  <c r="G14" i="55" s="1"/>
  <c r="M399" i="59"/>
  <c r="M398" i="59" s="1"/>
  <c r="I341" i="56"/>
  <c r="G404" i="56"/>
  <c r="G14" i="24" s="1"/>
  <c r="M399" i="56"/>
  <c r="M398" i="56" s="1"/>
  <c r="Z8" i="1"/>
  <c r="S8" i="1"/>
  <c r="L8" i="1"/>
  <c r="E8" i="1"/>
  <c r="E7" i="1"/>
  <c r="J75" i="7"/>
  <c r="J64" i="7"/>
  <c r="H75" i="7"/>
  <c r="H64" i="7"/>
  <c r="P118" i="55"/>
  <c r="P117" i="55"/>
  <c r="P116" i="55"/>
  <c r="A94" i="55"/>
  <c r="A93" i="55"/>
  <c r="A92" i="55"/>
  <c r="A91" i="55"/>
  <c r="E89" i="55"/>
  <c r="E112" i="55"/>
  <c r="A76" i="55"/>
  <c r="A75" i="55"/>
  <c r="A103" i="55"/>
  <c r="C67" i="55"/>
  <c r="C65" i="55"/>
  <c r="C63" i="55"/>
  <c r="P55" i="55"/>
  <c r="E47" i="55"/>
  <c r="P118" i="54"/>
  <c r="P117" i="54"/>
  <c r="P116" i="54"/>
  <c r="A94" i="54"/>
  <c r="A93" i="54"/>
  <c r="A92" i="54"/>
  <c r="A91" i="54"/>
  <c r="E89" i="54"/>
  <c r="E112" i="54"/>
  <c r="A76" i="54"/>
  <c r="A75" i="54"/>
  <c r="A103" i="54"/>
  <c r="C67" i="54"/>
  <c r="C65" i="54"/>
  <c r="C63" i="54"/>
  <c r="P55" i="54"/>
  <c r="E47" i="54"/>
  <c r="S85" i="53"/>
  <c r="N85" i="53"/>
  <c r="I85" i="53"/>
  <c r="C85" i="53"/>
  <c r="S84" i="53"/>
  <c r="N84" i="53"/>
  <c r="I84" i="53"/>
  <c r="C84" i="53"/>
  <c r="S83" i="53"/>
  <c r="N83" i="53"/>
  <c r="I83" i="53"/>
  <c r="C83" i="53"/>
  <c r="H72" i="53"/>
  <c r="M71" i="53" s="1"/>
  <c r="I54" i="53"/>
  <c r="E54" i="53"/>
  <c r="B52" i="53" s="1"/>
  <c r="S47" i="53"/>
  <c r="S49" i="53" s="1"/>
  <c r="I50" i="53"/>
  <c r="E50" i="53" s="1"/>
  <c r="B48" i="53" s="1"/>
  <c r="I46" i="53"/>
  <c r="E46" i="53" s="1"/>
  <c r="B44" i="53" s="1"/>
  <c r="I42" i="53"/>
  <c r="AA30" i="53" s="1"/>
  <c r="AA31" i="53" s="1"/>
  <c r="E38" i="53"/>
  <c r="S34" i="53"/>
  <c r="S36" i="53" s="1"/>
  <c r="I25" i="53"/>
  <c r="S19" i="53"/>
  <c r="S21" i="53" s="1"/>
  <c r="H17" i="53"/>
  <c r="M16" i="53" s="1"/>
  <c r="E11" i="53"/>
  <c r="S85" i="52"/>
  <c r="N85" i="52"/>
  <c r="I85" i="52"/>
  <c r="C85" i="52"/>
  <c r="S84" i="52"/>
  <c r="N84" i="52"/>
  <c r="I84" i="52"/>
  <c r="C84" i="52"/>
  <c r="S83" i="52"/>
  <c r="N83" i="52"/>
  <c r="I83" i="52"/>
  <c r="C83" i="52"/>
  <c r="H72" i="52"/>
  <c r="M71" i="52" s="1"/>
  <c r="I61" i="52"/>
  <c r="I54" i="52"/>
  <c r="E54" i="52" s="1"/>
  <c r="B52" i="52" s="1"/>
  <c r="S47" i="52"/>
  <c r="S49" i="52" s="1"/>
  <c r="I50" i="52"/>
  <c r="E50" i="52" s="1"/>
  <c r="B48" i="52" s="1"/>
  <c r="I46" i="52"/>
  <c r="E46" i="52"/>
  <c r="B44" i="52" s="1"/>
  <c r="I42" i="52"/>
  <c r="E42" i="52" s="1"/>
  <c r="E38" i="52"/>
  <c r="E36" i="52" s="1"/>
  <c r="AA26" i="52" s="1"/>
  <c r="S34" i="52"/>
  <c r="S36" i="52" s="1"/>
  <c r="S19" i="52"/>
  <c r="S21" i="52" s="1"/>
  <c r="H17" i="52"/>
  <c r="M16" i="52" s="1"/>
  <c r="E11" i="52"/>
  <c r="AA74" i="53" l="1"/>
  <c r="H43" i="7"/>
  <c r="E74" i="52"/>
  <c r="T131" i="54"/>
  <c r="E60" i="52"/>
  <c r="E61" i="52"/>
  <c r="Z100" i="1"/>
  <c r="Z71" i="1"/>
  <c r="Z42" i="1"/>
  <c r="Z216" i="1"/>
  <c r="Z187" i="1"/>
  <c r="Z158" i="1"/>
  <c r="Z129" i="1"/>
  <c r="G404" i="58"/>
  <c r="G14" i="54" s="1"/>
  <c r="E14" i="54"/>
  <c r="E39" i="54" s="1"/>
  <c r="H10" i="7" s="1"/>
  <c r="Q10" i="1" s="1"/>
  <c r="M399" i="58"/>
  <c r="M398" i="58" s="1"/>
  <c r="M404" i="58" s="1"/>
  <c r="S53" i="52"/>
  <c r="S52" i="52"/>
  <c r="S53" i="53"/>
  <c r="S52" i="53"/>
  <c r="J404" i="57"/>
  <c r="J14" i="46" s="1"/>
  <c r="J404" i="58"/>
  <c r="J14" i="54" s="1"/>
  <c r="J39" i="54" s="1"/>
  <c r="AA74" i="52"/>
  <c r="S39" i="53"/>
  <c r="S40" i="53"/>
  <c r="S39" i="52"/>
  <c r="S40" i="52"/>
  <c r="K36" i="58"/>
  <c r="M399" i="57"/>
  <c r="M398" i="57" s="1"/>
  <c r="M37" i="57" s="1"/>
  <c r="V117" i="55"/>
  <c r="V117" i="54"/>
  <c r="A105" i="54"/>
  <c r="A105" i="55"/>
  <c r="G39" i="24"/>
  <c r="M404" i="59"/>
  <c r="M37" i="59"/>
  <c r="K36" i="59"/>
  <c r="J14" i="55"/>
  <c r="J39" i="55" s="1"/>
  <c r="J38" i="59"/>
  <c r="I404" i="57"/>
  <c r="H14" i="46" s="1"/>
  <c r="K36" i="57"/>
  <c r="E14" i="46"/>
  <c r="E39" i="46" s="1"/>
  <c r="E38" i="57"/>
  <c r="J14" i="24"/>
  <c r="J38" i="56"/>
  <c r="M404" i="56"/>
  <c r="M37" i="56"/>
  <c r="K36" i="56"/>
  <c r="A102" i="54"/>
  <c r="A104" i="54"/>
  <c r="E75" i="54"/>
  <c r="A101" i="55"/>
  <c r="J68" i="7"/>
  <c r="J80" i="7"/>
  <c r="J70" i="7"/>
  <c r="A101" i="54"/>
  <c r="A104" i="55"/>
  <c r="E75" i="55"/>
  <c r="E42" i="53"/>
  <c r="E36" i="53"/>
  <c r="AA26" i="53" s="1"/>
  <c r="G39" i="55"/>
  <c r="B40" i="52"/>
  <c r="J69" i="7"/>
  <c r="J79" i="7"/>
  <c r="J81" i="7"/>
  <c r="H79" i="7"/>
  <c r="H80" i="7"/>
  <c r="H81" i="7"/>
  <c r="H68" i="7"/>
  <c r="H70" i="7"/>
  <c r="H69" i="7"/>
  <c r="T132" i="55"/>
  <c r="V131" i="55" s="1"/>
  <c r="T132" i="54"/>
  <c r="R117" i="54"/>
  <c r="T117" i="54"/>
  <c r="T117" i="55"/>
  <c r="R117" i="55"/>
  <c r="C116" i="55"/>
  <c r="C116" i="54"/>
  <c r="P115" i="54"/>
  <c r="P115" i="55"/>
  <c r="A99" i="55"/>
  <c r="A100" i="55"/>
  <c r="A102" i="55"/>
  <c r="A99" i="54"/>
  <c r="A100" i="54"/>
  <c r="F75" i="7"/>
  <c r="F64" i="7"/>
  <c r="T131" i="46"/>
  <c r="S85" i="47"/>
  <c r="N85" i="47"/>
  <c r="I85" i="47"/>
  <c r="C85" i="47"/>
  <c r="S84" i="47"/>
  <c r="N84" i="47"/>
  <c r="I84" i="47"/>
  <c r="C84" i="47"/>
  <c r="S83" i="47"/>
  <c r="N83" i="47"/>
  <c r="I83" i="47"/>
  <c r="C83" i="47"/>
  <c r="H72" i="47"/>
  <c r="M71" i="47" s="1"/>
  <c r="I61" i="47"/>
  <c r="I54" i="47"/>
  <c r="E54" i="47" s="1"/>
  <c r="B52" i="47" s="1"/>
  <c r="S47" i="47"/>
  <c r="S49" i="47" s="1"/>
  <c r="I50" i="47"/>
  <c r="E50" i="47" s="1"/>
  <c r="B48" i="47" s="1"/>
  <c r="I46" i="47"/>
  <c r="E46" i="47" s="1"/>
  <c r="B44" i="47" s="1"/>
  <c r="I42" i="47"/>
  <c r="E42" i="47" s="1"/>
  <c r="S34" i="47"/>
  <c r="S36" i="47" s="1"/>
  <c r="I25" i="47"/>
  <c r="S19" i="47"/>
  <c r="S21" i="47" s="1"/>
  <c r="H17" i="47"/>
  <c r="M16" i="47" s="1"/>
  <c r="E11" i="47"/>
  <c r="P118" i="46"/>
  <c r="P117" i="46"/>
  <c r="P116" i="46"/>
  <c r="A94" i="46"/>
  <c r="A93" i="46"/>
  <c r="A92" i="46"/>
  <c r="A91" i="46"/>
  <c r="E89" i="46"/>
  <c r="E112" i="46"/>
  <c r="A76" i="46"/>
  <c r="A75" i="46"/>
  <c r="A100" i="46"/>
  <c r="C67" i="46"/>
  <c r="G67" i="46" s="1"/>
  <c r="C65" i="46"/>
  <c r="C63" i="46"/>
  <c r="P55" i="46"/>
  <c r="E47" i="46"/>
  <c r="J9" i="46"/>
  <c r="E47" i="24"/>
  <c r="H45" i="7" l="1"/>
  <c r="H46" i="7" s="1"/>
  <c r="H48" i="7"/>
  <c r="T134" i="54"/>
  <c r="J43" i="7"/>
  <c r="E74" i="53"/>
  <c r="T131" i="55"/>
  <c r="T134" i="55" s="1"/>
  <c r="E60" i="47"/>
  <c r="E61" i="47"/>
  <c r="E24" i="47"/>
  <c r="E25" i="47"/>
  <c r="H29" i="46"/>
  <c r="J29" i="46" s="1"/>
  <c r="H37" i="46"/>
  <c r="J37" i="46" s="1"/>
  <c r="H20" i="46"/>
  <c r="J20" i="46" s="1"/>
  <c r="H26" i="46"/>
  <c r="J26" i="46" s="1"/>
  <c r="H27" i="46"/>
  <c r="J27" i="46" s="1"/>
  <c r="H30" i="46"/>
  <c r="J30" i="46" s="1"/>
  <c r="H31" i="46"/>
  <c r="J31" i="46" s="1"/>
  <c r="H34" i="46"/>
  <c r="J34" i="46" s="1"/>
  <c r="H35" i="46"/>
  <c r="J35" i="46" s="1"/>
  <c r="H28" i="46"/>
  <c r="J28" i="46" s="1"/>
  <c r="H24" i="46"/>
  <c r="J24" i="46" s="1"/>
  <c r="H32" i="46"/>
  <c r="J32" i="46" s="1"/>
  <c r="H25" i="46"/>
  <c r="J25" i="46" s="1"/>
  <c r="H33" i="46"/>
  <c r="J33" i="46" s="1"/>
  <c r="H36" i="46"/>
  <c r="J36" i="46" s="1"/>
  <c r="G39" i="46"/>
  <c r="F10" i="7"/>
  <c r="J10" i="1" s="1"/>
  <c r="G78" i="54"/>
  <c r="H36" i="7"/>
  <c r="H35" i="7"/>
  <c r="H32" i="7"/>
  <c r="H34" i="7"/>
  <c r="H41" i="7"/>
  <c r="H38" i="7"/>
  <c r="H37" i="7"/>
  <c r="H40" i="7"/>
  <c r="M37" i="58"/>
  <c r="G39" i="54"/>
  <c r="G54" i="54" s="1"/>
  <c r="E54" i="54"/>
  <c r="M404" i="57"/>
  <c r="M38" i="57" s="1"/>
  <c r="K38" i="57" s="1"/>
  <c r="I404" i="58"/>
  <c r="H14" i="54" s="1"/>
  <c r="H39" i="55"/>
  <c r="H39" i="54"/>
  <c r="H54" i="54" s="1"/>
  <c r="G77" i="54"/>
  <c r="G76" i="54"/>
  <c r="S53" i="47"/>
  <c r="S52" i="47"/>
  <c r="J38" i="57"/>
  <c r="J38" i="58"/>
  <c r="AA74" i="47"/>
  <c r="F78" i="7"/>
  <c r="F67" i="7"/>
  <c r="S40" i="47"/>
  <c r="S39" i="47"/>
  <c r="T116" i="55"/>
  <c r="T116" i="54"/>
  <c r="T117" i="46"/>
  <c r="H15" i="46"/>
  <c r="J15" i="46" s="1"/>
  <c r="H16" i="46"/>
  <c r="J16" i="46" s="1"/>
  <c r="H17" i="46"/>
  <c r="J17" i="46" s="1"/>
  <c r="H18" i="46"/>
  <c r="J18" i="46" s="1"/>
  <c r="H19" i="46"/>
  <c r="J19" i="46" s="1"/>
  <c r="H21" i="46"/>
  <c r="J21" i="46" s="1"/>
  <c r="H22" i="46"/>
  <c r="J22" i="46" s="1"/>
  <c r="H23" i="46"/>
  <c r="J23" i="46" s="1"/>
  <c r="H38" i="46"/>
  <c r="J38" i="46" s="1"/>
  <c r="A105" i="46"/>
  <c r="B40" i="53"/>
  <c r="N14" i="54"/>
  <c r="M38" i="58"/>
  <c r="K38" i="58" s="1"/>
  <c r="N14" i="55"/>
  <c r="M38" i="59"/>
  <c r="K38" i="59" s="1"/>
  <c r="N14" i="24"/>
  <c r="N39" i="24" s="1"/>
  <c r="K39" i="24" s="1"/>
  <c r="M38" i="56"/>
  <c r="K38" i="56" s="1"/>
  <c r="A104" i="46"/>
  <c r="E75" i="46"/>
  <c r="A102" i="46"/>
  <c r="AA24" i="47"/>
  <c r="F79" i="7"/>
  <c r="F80" i="7"/>
  <c r="F81" i="7"/>
  <c r="V131" i="54"/>
  <c r="U134" i="54"/>
  <c r="B40" i="47"/>
  <c r="V132" i="54"/>
  <c r="V132" i="55"/>
  <c r="F68" i="7"/>
  <c r="F70" i="7"/>
  <c r="F69" i="7"/>
  <c r="T132" i="46"/>
  <c r="V132" i="46" s="1"/>
  <c r="Q116" i="54"/>
  <c r="U116" i="54"/>
  <c r="V117" i="46"/>
  <c r="P115" i="46"/>
  <c r="Q116" i="55"/>
  <c r="U116" i="55"/>
  <c r="C116" i="46"/>
  <c r="A99" i="46"/>
  <c r="A101" i="46"/>
  <c r="A103" i="46"/>
  <c r="R117" i="46"/>
  <c r="U134" i="55" l="1"/>
  <c r="J45" i="7"/>
  <c r="J46" i="7" s="1"/>
  <c r="J48" i="7"/>
  <c r="G66" i="54"/>
  <c r="G67" i="54"/>
  <c r="H67" i="7"/>
  <c r="H78" i="7"/>
  <c r="N14" i="46"/>
  <c r="G78" i="55"/>
  <c r="J36" i="7"/>
  <c r="J35" i="7"/>
  <c r="J41" i="7"/>
  <c r="J32" i="7"/>
  <c r="J38" i="7"/>
  <c r="J40" i="7"/>
  <c r="J37" i="7"/>
  <c r="G78" i="46"/>
  <c r="F32" i="7"/>
  <c r="F41" i="7"/>
  <c r="F38" i="7"/>
  <c r="F35" i="7"/>
  <c r="F37" i="7"/>
  <c r="F40" i="7"/>
  <c r="J54" i="54"/>
  <c r="G88" i="54" s="1"/>
  <c r="H18" i="7" s="1"/>
  <c r="G76" i="55"/>
  <c r="G77" i="46"/>
  <c r="G76" i="46"/>
  <c r="K14" i="54"/>
  <c r="N39" i="54"/>
  <c r="K14" i="46"/>
  <c r="N39" i="46"/>
  <c r="K39" i="46" s="1"/>
  <c r="Q116" i="46"/>
  <c r="J39" i="46"/>
  <c r="N39" i="55"/>
  <c r="K39" i="55" s="1"/>
  <c r="K14" i="55"/>
  <c r="T134" i="46"/>
  <c r="U134" i="46"/>
  <c r="V131" i="46"/>
  <c r="T116" i="46"/>
  <c r="U116" i="46"/>
  <c r="AQ44" i="40"/>
  <c r="AQ54" i="40"/>
  <c r="G66" i="55" l="1"/>
  <c r="G67" i="55"/>
  <c r="J78" i="7"/>
  <c r="J67" i="7"/>
  <c r="H39" i="46"/>
  <c r="K39" i="54"/>
  <c r="N54" i="54"/>
  <c r="K54" i="54" s="1"/>
  <c r="P88" i="55"/>
  <c r="E54" i="55"/>
  <c r="H54" i="55"/>
  <c r="J54" i="55" l="1"/>
  <c r="G88" i="55" s="1"/>
  <c r="J18" i="7" s="1"/>
  <c r="S73" i="53"/>
  <c r="T139" i="55" s="1"/>
  <c r="S73" i="52"/>
  <c r="S73" i="47"/>
  <c r="T139" i="46" s="1"/>
  <c r="G89" i="55"/>
  <c r="J19" i="7" s="1"/>
  <c r="N54" i="55"/>
  <c r="K54" i="55" s="1"/>
  <c r="G54" i="55"/>
  <c r="P88" i="54"/>
  <c r="P88" i="46"/>
  <c r="E54" i="46"/>
  <c r="E112" i="24"/>
  <c r="T139" i="54" l="1"/>
  <c r="S89" i="55"/>
  <c r="H54" i="46"/>
  <c r="J54" i="46" s="1"/>
  <c r="G88" i="46" s="1"/>
  <c r="F18" i="7" s="1"/>
  <c r="G89" i="54"/>
  <c r="H19" i="7" s="1"/>
  <c r="G89" i="46"/>
  <c r="F19" i="7" s="1"/>
  <c r="N54" i="46"/>
  <c r="K54" i="46" s="1"/>
  <c r="G54" i="46"/>
  <c r="P55" i="24"/>
  <c r="S89" i="46" l="1"/>
  <c r="S89" i="54"/>
  <c r="T131" i="24"/>
  <c r="L88" i="46" l="1"/>
  <c r="F24" i="7" s="1"/>
  <c r="L88" i="55"/>
  <c r="J24" i="7" s="1"/>
  <c r="L88" i="54"/>
  <c r="H24" i="7" s="1"/>
  <c r="AS16" i="40" l="1"/>
  <c r="AS27" i="40" l="1"/>
  <c r="AS28" i="40"/>
  <c r="AS56" i="40"/>
  <c r="S78" i="54" s="1"/>
  <c r="AS20" i="40"/>
  <c r="AS19" i="40"/>
  <c r="AS29" i="40"/>
  <c r="AS32" i="40"/>
  <c r="AS30" i="40"/>
  <c r="AS31" i="40"/>
  <c r="AS25" i="40"/>
  <c r="AS26" i="40"/>
  <c r="AS22" i="40"/>
  <c r="AS21" i="40"/>
  <c r="AS24" i="40"/>
  <c r="AS23" i="40"/>
  <c r="S59" i="24"/>
  <c r="T59" i="24" s="1"/>
  <c r="U59" i="24" s="1"/>
  <c r="V59" i="24" s="1"/>
  <c r="W59" i="24" s="1"/>
  <c r="X59" i="24" s="1"/>
  <c r="Y59" i="24" s="1"/>
  <c r="Z59" i="24" s="1"/>
  <c r="AA59" i="24" s="1"/>
  <c r="AB59" i="24" s="1"/>
  <c r="AC59" i="24" s="1"/>
  <c r="AD59" i="24" s="1"/>
  <c r="AE59" i="24" s="1"/>
  <c r="AF59" i="24" s="1"/>
  <c r="AG59" i="24" s="1"/>
  <c r="AH59" i="24" s="1"/>
  <c r="AI59" i="24" s="1"/>
  <c r="AJ59" i="24" s="1"/>
  <c r="AK59" i="24" s="1"/>
  <c r="AL59" i="24" s="1"/>
  <c r="AM59" i="24" s="1"/>
  <c r="AN59" i="24" s="1"/>
  <c r="AO59" i="24" s="1"/>
  <c r="AP59" i="24" s="1"/>
  <c r="AQ59" i="24" s="1"/>
  <c r="AR59" i="24" s="1"/>
  <c r="AS59" i="24" s="1"/>
  <c r="AT59" i="24" s="1"/>
  <c r="AU59" i="24" s="1"/>
  <c r="AV59" i="24" s="1"/>
  <c r="AW59" i="24" s="1"/>
  <c r="AX59" i="24" s="1"/>
  <c r="AY59" i="24" s="1"/>
  <c r="AZ59" i="24" s="1"/>
  <c r="BA59" i="24" s="1"/>
  <c r="BB59" i="24" s="1"/>
  <c r="BC59" i="24" s="1"/>
  <c r="BD59" i="24" s="1"/>
  <c r="BE59" i="24" s="1"/>
  <c r="BF59" i="24" s="1"/>
  <c r="BG59" i="24" s="1"/>
  <c r="BH59" i="24" s="1"/>
  <c r="BI59" i="24" s="1"/>
  <c r="BJ59" i="24" s="1"/>
  <c r="BK59" i="24" s="1"/>
  <c r="BL59" i="24" s="1"/>
  <c r="BM59" i="24" s="1"/>
  <c r="BN59" i="24" s="1"/>
  <c r="BO59" i="24" s="1"/>
  <c r="BP59" i="24" s="1"/>
  <c r="BQ59" i="24" s="1"/>
  <c r="AS55" i="40"/>
  <c r="S59" i="55"/>
  <c r="S59" i="54"/>
  <c r="S59" i="46"/>
  <c r="S78" i="55" l="1"/>
  <c r="S78" i="46"/>
  <c r="S88" i="24"/>
  <c r="S88" i="46"/>
  <c r="T88" i="46" s="1"/>
  <c r="T59" i="46"/>
  <c r="U59" i="46" s="1"/>
  <c r="V59" i="46" s="1"/>
  <c r="W59" i="46" s="1"/>
  <c r="X59" i="46" s="1"/>
  <c r="Y59" i="46" s="1"/>
  <c r="Z59" i="46" s="1"/>
  <c r="AA59" i="46" s="1"/>
  <c r="AB59" i="46" s="1"/>
  <c r="AC59" i="46" s="1"/>
  <c r="AD59" i="46" s="1"/>
  <c r="AE59" i="46" s="1"/>
  <c r="AF59" i="46" s="1"/>
  <c r="AG59" i="46" s="1"/>
  <c r="AH59" i="46" s="1"/>
  <c r="AI59" i="46" s="1"/>
  <c r="AJ59" i="46" s="1"/>
  <c r="AK59" i="46" s="1"/>
  <c r="AL59" i="46" s="1"/>
  <c r="AM59" i="46" s="1"/>
  <c r="AN59" i="46" s="1"/>
  <c r="AO59" i="46" s="1"/>
  <c r="AP59" i="46" s="1"/>
  <c r="AQ59" i="46" s="1"/>
  <c r="AR59" i="46" s="1"/>
  <c r="AS59" i="46" s="1"/>
  <c r="AT59" i="46" s="1"/>
  <c r="AU59" i="46" s="1"/>
  <c r="AV59" i="46" s="1"/>
  <c r="AW59" i="46" s="1"/>
  <c r="AX59" i="46" s="1"/>
  <c r="AY59" i="46" s="1"/>
  <c r="AZ59" i="46" s="1"/>
  <c r="BA59" i="46" s="1"/>
  <c r="BB59" i="46" s="1"/>
  <c r="BC59" i="46" s="1"/>
  <c r="BD59" i="46" s="1"/>
  <c r="BE59" i="46" s="1"/>
  <c r="BF59" i="46" s="1"/>
  <c r="BG59" i="46" s="1"/>
  <c r="BH59" i="46" s="1"/>
  <c r="BI59" i="46" s="1"/>
  <c r="BJ59" i="46" s="1"/>
  <c r="BK59" i="46" s="1"/>
  <c r="BL59" i="46" s="1"/>
  <c r="BM59" i="46" s="1"/>
  <c r="BN59" i="46" s="1"/>
  <c r="BO59" i="46" s="1"/>
  <c r="BP59" i="46" s="1"/>
  <c r="BQ59" i="46" s="1"/>
  <c r="S88" i="54"/>
  <c r="T88" i="54" s="1"/>
  <c r="T59" i="54"/>
  <c r="U59" i="54" s="1"/>
  <c r="V59" i="54" s="1"/>
  <c r="W59" i="54" s="1"/>
  <c r="X59" i="54" s="1"/>
  <c r="Y59" i="54" s="1"/>
  <c r="Z59" i="54" s="1"/>
  <c r="AA59" i="54" s="1"/>
  <c r="AB59" i="54" s="1"/>
  <c r="AC59" i="54" s="1"/>
  <c r="AD59" i="54" s="1"/>
  <c r="AE59" i="54" s="1"/>
  <c r="AF59" i="54" s="1"/>
  <c r="AG59" i="54" s="1"/>
  <c r="AH59" i="54" s="1"/>
  <c r="AI59" i="54" s="1"/>
  <c r="AJ59" i="54" s="1"/>
  <c r="AK59" i="54" s="1"/>
  <c r="AL59" i="54" s="1"/>
  <c r="AM59" i="54" s="1"/>
  <c r="AN59" i="54" s="1"/>
  <c r="AO59" i="54" s="1"/>
  <c r="AP59" i="54" s="1"/>
  <c r="AQ59" i="54" s="1"/>
  <c r="AR59" i="54" s="1"/>
  <c r="AS59" i="54" s="1"/>
  <c r="AT59" i="54" s="1"/>
  <c r="AU59" i="54" s="1"/>
  <c r="AV59" i="54" s="1"/>
  <c r="AW59" i="54" s="1"/>
  <c r="AX59" i="54" s="1"/>
  <c r="AY59" i="54" s="1"/>
  <c r="AZ59" i="54" s="1"/>
  <c r="BA59" i="54" s="1"/>
  <c r="BB59" i="54" s="1"/>
  <c r="BC59" i="54" s="1"/>
  <c r="BD59" i="54" s="1"/>
  <c r="BE59" i="54" s="1"/>
  <c r="BF59" i="54" s="1"/>
  <c r="BG59" i="54" s="1"/>
  <c r="BH59" i="54" s="1"/>
  <c r="BI59" i="54" s="1"/>
  <c r="BJ59" i="54" s="1"/>
  <c r="BK59" i="54" s="1"/>
  <c r="BL59" i="54" s="1"/>
  <c r="BM59" i="54" s="1"/>
  <c r="BN59" i="54" s="1"/>
  <c r="BO59" i="54" s="1"/>
  <c r="BP59" i="54" s="1"/>
  <c r="BQ59" i="54" s="1"/>
  <c r="S88" i="55"/>
  <c r="T88" i="55" s="1"/>
  <c r="T59" i="55"/>
  <c r="U59" i="55" s="1"/>
  <c r="V59" i="55" s="1"/>
  <c r="W59" i="55" s="1"/>
  <c r="X59" i="55" s="1"/>
  <c r="Y59" i="55" s="1"/>
  <c r="Z59" i="55" s="1"/>
  <c r="AA59" i="55" s="1"/>
  <c r="AB59" i="55" s="1"/>
  <c r="AC59" i="55" s="1"/>
  <c r="AD59" i="55" s="1"/>
  <c r="AE59" i="55" s="1"/>
  <c r="AF59" i="55" s="1"/>
  <c r="AG59" i="55" s="1"/>
  <c r="AH59" i="55" s="1"/>
  <c r="AI59" i="55" s="1"/>
  <c r="AJ59" i="55" s="1"/>
  <c r="AK59" i="55" s="1"/>
  <c r="AL59" i="55" s="1"/>
  <c r="AM59" i="55" s="1"/>
  <c r="AN59" i="55" s="1"/>
  <c r="AO59" i="55" s="1"/>
  <c r="AP59" i="55" s="1"/>
  <c r="AQ59" i="55" s="1"/>
  <c r="AR59" i="55" s="1"/>
  <c r="AS59" i="55" s="1"/>
  <c r="AT59" i="55" s="1"/>
  <c r="AU59" i="55" s="1"/>
  <c r="AV59" i="55" s="1"/>
  <c r="AW59" i="55" s="1"/>
  <c r="AX59" i="55" s="1"/>
  <c r="AY59" i="55" s="1"/>
  <c r="AZ59" i="55" s="1"/>
  <c r="BA59" i="55" s="1"/>
  <c r="BB59" i="55" s="1"/>
  <c r="BC59" i="55" s="1"/>
  <c r="BD59" i="55" s="1"/>
  <c r="BE59" i="55" s="1"/>
  <c r="BF59" i="55" s="1"/>
  <c r="BG59" i="55" s="1"/>
  <c r="BH59" i="55" s="1"/>
  <c r="BI59" i="55" s="1"/>
  <c r="BJ59" i="55" s="1"/>
  <c r="BK59" i="55" s="1"/>
  <c r="BL59" i="55" s="1"/>
  <c r="BM59" i="55" s="1"/>
  <c r="BN59" i="55" s="1"/>
  <c r="BO59" i="55" s="1"/>
  <c r="BP59" i="55" s="1"/>
  <c r="BQ59" i="55" s="1"/>
  <c r="AH54" i="40"/>
  <c r="AH53" i="40"/>
  <c r="AH52" i="40"/>
  <c r="AH50" i="40"/>
  <c r="AH49" i="40"/>
  <c r="AH46" i="40"/>
  <c r="U88" i="54" l="1"/>
  <c r="T89" i="54"/>
  <c r="U88" i="55"/>
  <c r="T89" i="55"/>
  <c r="U88" i="46"/>
  <c r="T89" i="46"/>
  <c r="AI54" i="40"/>
  <c r="V88" i="55" l="1"/>
  <c r="U89" i="55"/>
  <c r="V88" i="46"/>
  <c r="U89" i="46"/>
  <c r="V88" i="54"/>
  <c r="U89" i="54"/>
  <c r="AS54" i="40"/>
  <c r="W88" i="46" l="1"/>
  <c r="V89" i="46"/>
  <c r="W88" i="54"/>
  <c r="V89" i="54"/>
  <c r="W88" i="55"/>
  <c r="V89" i="55"/>
  <c r="I54" i="45"/>
  <c r="E54" i="45" s="1"/>
  <c r="I61" i="45"/>
  <c r="X88" i="54" l="1"/>
  <c r="W89" i="54"/>
  <c r="X88" i="55"/>
  <c r="W89" i="55"/>
  <c r="X88" i="46"/>
  <c r="W89" i="46"/>
  <c r="Y88" i="55" l="1"/>
  <c r="X89" i="55"/>
  <c r="Y88" i="46"/>
  <c r="X89" i="46"/>
  <c r="Y88" i="54"/>
  <c r="X89" i="54"/>
  <c r="Z88" i="46" l="1"/>
  <c r="Y89" i="46"/>
  <c r="Z88" i="54"/>
  <c r="Y89" i="54"/>
  <c r="Z88" i="55"/>
  <c r="Y89" i="55"/>
  <c r="AA88" i="54" l="1"/>
  <c r="Z89" i="54"/>
  <c r="AA88" i="55"/>
  <c r="Z89" i="55"/>
  <c r="AA88" i="46"/>
  <c r="Z89" i="46"/>
  <c r="K14" i="24"/>
  <c r="AB88" i="55" l="1"/>
  <c r="AA89" i="55"/>
  <c r="AB88" i="46"/>
  <c r="AA89" i="46"/>
  <c r="AB88" i="54"/>
  <c r="AA89" i="54"/>
  <c r="T126" i="40"/>
  <c r="Q126" i="40"/>
  <c r="N126" i="40"/>
  <c r="K126" i="40"/>
  <c r="I38" i="52" l="1"/>
  <c r="I34" i="53"/>
  <c r="E34" i="53" s="1"/>
  <c r="M63" i="53" s="1"/>
  <c r="I34" i="52"/>
  <c r="E34" i="52" s="1"/>
  <c r="I34" i="47"/>
  <c r="E34" i="47" s="1"/>
  <c r="I38" i="47"/>
  <c r="E38" i="47" s="1"/>
  <c r="E36" i="47" s="1"/>
  <c r="AA26" i="47" s="1"/>
  <c r="I34" i="45"/>
  <c r="E34" i="45" s="1"/>
  <c r="I38" i="45"/>
  <c r="E38" i="45" s="1"/>
  <c r="E36" i="45" s="1"/>
  <c r="AA26" i="45" s="1"/>
  <c r="I29" i="45"/>
  <c r="AC88" i="46"/>
  <c r="AB89" i="46"/>
  <c r="AC88" i="54"/>
  <c r="AB89" i="54"/>
  <c r="AC88" i="55"/>
  <c r="AB89" i="55"/>
  <c r="E54" i="24"/>
  <c r="S73" i="45"/>
  <c r="T139" i="24" s="1"/>
  <c r="A2" i="45"/>
  <c r="S47" i="45"/>
  <c r="S49" i="45" s="1"/>
  <c r="S34" i="45"/>
  <c r="S36" i="45" s="1"/>
  <c r="S19" i="45"/>
  <c r="S21" i="45" s="1"/>
  <c r="H72" i="45"/>
  <c r="M71" i="45" s="1"/>
  <c r="I50" i="45"/>
  <c r="E50" i="45" s="1"/>
  <c r="B48" i="45" s="1"/>
  <c r="I46" i="45"/>
  <c r="E46" i="45" s="1"/>
  <c r="B44" i="45" s="1"/>
  <c r="I42" i="45"/>
  <c r="H17" i="45"/>
  <c r="M16" i="45" s="1"/>
  <c r="S85" i="45"/>
  <c r="N85" i="45"/>
  <c r="I85" i="45"/>
  <c r="C85" i="45"/>
  <c r="S84" i="45"/>
  <c r="N84" i="45"/>
  <c r="I84" i="45"/>
  <c r="C84" i="45"/>
  <c r="S83" i="45"/>
  <c r="N83" i="45"/>
  <c r="I83" i="45"/>
  <c r="C83" i="45"/>
  <c r="B52" i="45"/>
  <c r="E11" i="45"/>
  <c r="E29" i="45" l="1"/>
  <c r="E30" i="45"/>
  <c r="T140" i="55"/>
  <c r="J98" i="7"/>
  <c r="E32" i="52"/>
  <c r="M63" i="52"/>
  <c r="H98" i="7" s="1"/>
  <c r="S53" i="45"/>
  <c r="S52" i="45"/>
  <c r="D68" i="7"/>
  <c r="D79" i="7"/>
  <c r="D70" i="7"/>
  <c r="D81" i="7"/>
  <c r="D80" i="7"/>
  <c r="D69" i="7"/>
  <c r="D78" i="7"/>
  <c r="D67" i="7"/>
  <c r="S40" i="45"/>
  <c r="C116" i="24"/>
  <c r="S39" i="45"/>
  <c r="AA74" i="45"/>
  <c r="E32" i="53"/>
  <c r="J39" i="7" s="1"/>
  <c r="M68" i="53"/>
  <c r="E68" i="53" s="1"/>
  <c r="J31" i="7" s="1"/>
  <c r="E42" i="45"/>
  <c r="AA31" i="45"/>
  <c r="AD88" i="54"/>
  <c r="AC89" i="54"/>
  <c r="AD88" i="55"/>
  <c r="AC89" i="55"/>
  <c r="AD88" i="46"/>
  <c r="AC89" i="46"/>
  <c r="E32" i="47"/>
  <c r="F39" i="7" s="1"/>
  <c r="M63" i="47"/>
  <c r="T132" i="24"/>
  <c r="U134" i="24" s="1"/>
  <c r="M63" i="45"/>
  <c r="E32" i="45"/>
  <c r="E27" i="45" l="1"/>
  <c r="AA24" i="45" s="1"/>
  <c r="E77" i="24" s="1"/>
  <c r="T140" i="46"/>
  <c r="F98" i="7"/>
  <c r="T140" i="24"/>
  <c r="D98" i="7"/>
  <c r="AA25" i="52"/>
  <c r="H39" i="7"/>
  <c r="AA25" i="53"/>
  <c r="E77" i="55" s="1"/>
  <c r="G77" i="55"/>
  <c r="T140" i="54"/>
  <c r="M68" i="52"/>
  <c r="E68" i="52" s="1"/>
  <c r="H31" i="7" s="1"/>
  <c r="AA25" i="45"/>
  <c r="Q116" i="24"/>
  <c r="M68" i="47"/>
  <c r="E68" i="47" s="1"/>
  <c r="F31" i="7" s="1"/>
  <c r="T126" i="55"/>
  <c r="G62" i="55"/>
  <c r="G63" i="55"/>
  <c r="G65" i="55"/>
  <c r="G64" i="55"/>
  <c r="T141" i="55"/>
  <c r="V140" i="55" s="1"/>
  <c r="M68" i="45"/>
  <c r="E68" i="45" s="1"/>
  <c r="D31" i="7" s="1"/>
  <c r="B40" i="45"/>
  <c r="D39" i="7" s="1"/>
  <c r="AA25" i="47"/>
  <c r="AE88" i="55"/>
  <c r="AD89" i="55"/>
  <c r="AE88" i="46"/>
  <c r="AD89" i="46"/>
  <c r="AE88" i="54"/>
  <c r="AD89" i="54"/>
  <c r="T134" i="24"/>
  <c r="G78" i="24" l="1"/>
  <c r="S78" i="24" s="1"/>
  <c r="D38" i="7"/>
  <c r="D41" i="7"/>
  <c r="D40" i="7"/>
  <c r="G77" i="24"/>
  <c r="S77" i="24" s="1"/>
  <c r="G63" i="54"/>
  <c r="G62" i="54"/>
  <c r="G64" i="54"/>
  <c r="T126" i="54"/>
  <c r="G65" i="54"/>
  <c r="T141" i="54"/>
  <c r="V139" i="55"/>
  <c r="V141" i="55"/>
  <c r="T135" i="55"/>
  <c r="T136" i="55" s="1"/>
  <c r="V126" i="55"/>
  <c r="T124" i="55"/>
  <c r="AF88" i="46"/>
  <c r="AE89" i="46"/>
  <c r="AF88" i="54"/>
  <c r="AE89" i="54"/>
  <c r="AF88" i="55"/>
  <c r="AE89" i="55"/>
  <c r="G62" i="24"/>
  <c r="T126" i="24"/>
  <c r="T141" i="24"/>
  <c r="G64" i="24"/>
  <c r="V139" i="54" l="1"/>
  <c r="V141" i="54"/>
  <c r="V140" i="54"/>
  <c r="T124" i="54"/>
  <c r="V124" i="54" s="1"/>
  <c r="T135" i="54"/>
  <c r="T136" i="54" s="1"/>
  <c r="V126" i="54"/>
  <c r="T125" i="55"/>
  <c r="V125" i="55" s="1"/>
  <c r="V124" i="55"/>
  <c r="AG88" i="54"/>
  <c r="AF89" i="54"/>
  <c r="V126" i="24"/>
  <c r="AG88" i="55"/>
  <c r="AF89" i="55"/>
  <c r="AG88" i="46"/>
  <c r="AF89" i="46"/>
  <c r="T141" i="46"/>
  <c r="V139" i="46" s="1"/>
  <c r="G62" i="46"/>
  <c r="T126" i="46"/>
  <c r="G64" i="46"/>
  <c r="G65" i="46"/>
  <c r="G63" i="46"/>
  <c r="T124" i="24"/>
  <c r="T125" i="24" s="1"/>
  <c r="V125" i="24" s="1"/>
  <c r="I61" i="53" l="1"/>
  <c r="T125" i="54"/>
  <c r="V125" i="54" s="1"/>
  <c r="T129" i="55"/>
  <c r="C118" i="55" s="1"/>
  <c r="AH88" i="46"/>
  <c r="AG89" i="46"/>
  <c r="V124" i="24"/>
  <c r="AH88" i="55"/>
  <c r="AG89" i="55"/>
  <c r="AH88" i="54"/>
  <c r="AG89" i="54"/>
  <c r="V126" i="46"/>
  <c r="T124" i="46"/>
  <c r="T135" i="46"/>
  <c r="T136" i="46" s="1"/>
  <c r="V141" i="46"/>
  <c r="V140" i="46"/>
  <c r="I25" i="52"/>
  <c r="I21" i="52"/>
  <c r="I21" i="53"/>
  <c r="I21" i="47"/>
  <c r="E21" i="47" s="1"/>
  <c r="F34" i="7" s="1"/>
  <c r="I21" i="45"/>
  <c r="E21" i="45" s="1"/>
  <c r="I25" i="45"/>
  <c r="T129" i="24"/>
  <c r="H33" i="7" l="1"/>
  <c r="E20" i="52"/>
  <c r="E20" i="53"/>
  <c r="E21" i="53"/>
  <c r="E60" i="53"/>
  <c r="E61" i="53"/>
  <c r="J34" i="7" s="1"/>
  <c r="J33" i="7"/>
  <c r="F33" i="7"/>
  <c r="E20" i="47"/>
  <c r="F36" i="7" s="1"/>
  <c r="E24" i="45"/>
  <c r="E25" i="45"/>
  <c r="E20" i="45"/>
  <c r="D32" i="7"/>
  <c r="G74" i="55"/>
  <c r="G75" i="55"/>
  <c r="G74" i="54"/>
  <c r="G75" i="54"/>
  <c r="G74" i="46"/>
  <c r="G75" i="46"/>
  <c r="G72" i="55"/>
  <c r="G73" i="55"/>
  <c r="G71" i="54"/>
  <c r="G73" i="54"/>
  <c r="G72" i="46"/>
  <c r="G73" i="46"/>
  <c r="G70" i="55"/>
  <c r="G71" i="55"/>
  <c r="G70" i="46"/>
  <c r="G71" i="46"/>
  <c r="G72" i="54"/>
  <c r="G70" i="54"/>
  <c r="T129" i="54"/>
  <c r="C118" i="54" s="1"/>
  <c r="S77" i="55"/>
  <c r="S77" i="54"/>
  <c r="S77" i="46"/>
  <c r="V129" i="55"/>
  <c r="T130" i="55"/>
  <c r="V130" i="55" s="1"/>
  <c r="S118" i="55"/>
  <c r="V118" i="55"/>
  <c r="U118" i="55"/>
  <c r="C119" i="55"/>
  <c r="D34" i="7"/>
  <c r="AI88" i="55"/>
  <c r="AH89" i="55"/>
  <c r="AI88" i="54"/>
  <c r="AH89" i="54"/>
  <c r="AI88" i="46"/>
  <c r="AH89" i="46"/>
  <c r="T125" i="46"/>
  <c r="V125" i="46" s="1"/>
  <c r="V124" i="46"/>
  <c r="D36" i="7" l="1"/>
  <c r="D37" i="7"/>
  <c r="D33" i="7"/>
  <c r="D35" i="7"/>
  <c r="J94" i="46"/>
  <c r="J92" i="46"/>
  <c r="J93" i="46"/>
  <c r="J91" i="46"/>
  <c r="J92" i="54"/>
  <c r="J93" i="54"/>
  <c r="J94" i="54"/>
  <c r="J91" i="54"/>
  <c r="J93" i="55"/>
  <c r="J94" i="55"/>
  <c r="J92" i="55"/>
  <c r="J91" i="55"/>
  <c r="J93" i="24"/>
  <c r="J91" i="24"/>
  <c r="J101" i="46"/>
  <c r="J101" i="55"/>
  <c r="J101" i="54"/>
  <c r="J107" i="46"/>
  <c r="J106" i="46"/>
  <c r="J107" i="55"/>
  <c r="J106" i="55"/>
  <c r="J106" i="24"/>
  <c r="J107" i="24"/>
  <c r="V129" i="54"/>
  <c r="J78" i="55"/>
  <c r="L78" i="55" s="1"/>
  <c r="J78" i="54"/>
  <c r="L78" i="54" s="1"/>
  <c r="J107" i="54"/>
  <c r="J78" i="46"/>
  <c r="L78" i="46" s="1"/>
  <c r="T130" i="54"/>
  <c r="V130" i="54" s="1"/>
  <c r="U118" i="54"/>
  <c r="C119" i="54"/>
  <c r="V118" i="54"/>
  <c r="S118" i="54"/>
  <c r="J78" i="24"/>
  <c r="J77" i="24"/>
  <c r="L77" i="24" s="1"/>
  <c r="J97" i="55"/>
  <c r="J98" i="55"/>
  <c r="J95" i="55"/>
  <c r="J96" i="55"/>
  <c r="J98" i="54"/>
  <c r="J97" i="54"/>
  <c r="J96" i="54"/>
  <c r="J95" i="54"/>
  <c r="J98" i="46"/>
  <c r="J97" i="46"/>
  <c r="J95" i="46"/>
  <c r="J96" i="46"/>
  <c r="J106" i="54"/>
  <c r="J77" i="46"/>
  <c r="L77" i="46" s="1"/>
  <c r="J97" i="24"/>
  <c r="J95" i="24"/>
  <c r="J98" i="24"/>
  <c r="T129" i="46"/>
  <c r="V129" i="46" s="1"/>
  <c r="J77" i="55"/>
  <c r="L77" i="55" s="1"/>
  <c r="J77" i="54"/>
  <c r="L77" i="54" s="1"/>
  <c r="AJ88" i="54"/>
  <c r="AI89" i="54"/>
  <c r="AJ88" i="46"/>
  <c r="AI89" i="46"/>
  <c r="AJ88" i="55"/>
  <c r="AI89" i="55"/>
  <c r="J105" i="46"/>
  <c r="J100" i="46"/>
  <c r="J103" i="46"/>
  <c r="J99" i="46"/>
  <c r="J104" i="46"/>
  <c r="J102" i="46"/>
  <c r="J105" i="54"/>
  <c r="J102" i="54"/>
  <c r="J103" i="54"/>
  <c r="J100" i="54"/>
  <c r="J104" i="54"/>
  <c r="J99" i="54"/>
  <c r="J105" i="55"/>
  <c r="J102" i="55"/>
  <c r="J99" i="55"/>
  <c r="J104" i="55"/>
  <c r="J103" i="55"/>
  <c r="J100" i="55"/>
  <c r="P118" i="24"/>
  <c r="P117" i="24"/>
  <c r="P116" i="24"/>
  <c r="T117" i="24"/>
  <c r="G107" i="46" l="1"/>
  <c r="E107" i="46" s="1"/>
  <c r="G106" i="24"/>
  <c r="E106" i="24" s="1"/>
  <c r="G107" i="55"/>
  <c r="E107" i="55" s="1"/>
  <c r="J109" i="55"/>
  <c r="J109" i="54"/>
  <c r="G107" i="54"/>
  <c r="E107" i="54" s="1"/>
  <c r="J109" i="46"/>
  <c r="G106" i="54"/>
  <c r="E106" i="54" s="1"/>
  <c r="L78" i="24"/>
  <c r="T130" i="46"/>
  <c r="V130" i="46" s="1"/>
  <c r="G106" i="55"/>
  <c r="E106" i="55" s="1"/>
  <c r="C118" i="46"/>
  <c r="S118" i="46" s="1"/>
  <c r="G106" i="46"/>
  <c r="E106" i="46" s="1"/>
  <c r="AK88" i="46"/>
  <c r="AJ89" i="46"/>
  <c r="AK88" i="55"/>
  <c r="AJ89" i="55"/>
  <c r="AK88" i="54"/>
  <c r="AJ89" i="54"/>
  <c r="P115" i="24"/>
  <c r="R117" i="24"/>
  <c r="V117" i="24"/>
  <c r="T116" i="24"/>
  <c r="U116" i="24"/>
  <c r="J21" i="7" l="1"/>
  <c r="H21" i="7"/>
  <c r="F21" i="7"/>
  <c r="G107" i="24"/>
  <c r="E107" i="24" s="1"/>
  <c r="L109" i="46"/>
  <c r="U118" i="46"/>
  <c r="V118" i="46"/>
  <c r="C119" i="46"/>
  <c r="AL88" i="55"/>
  <c r="AK89" i="55"/>
  <c r="AL88" i="54"/>
  <c r="AK89" i="54"/>
  <c r="AL88" i="46"/>
  <c r="AK89" i="46"/>
  <c r="L109" i="55"/>
  <c r="L109" i="54"/>
  <c r="G75" i="24"/>
  <c r="C67" i="24"/>
  <c r="G67" i="24" s="1"/>
  <c r="F27" i="7" l="1"/>
  <c r="H27" i="7"/>
  <c r="J27" i="7"/>
  <c r="J96" i="24"/>
  <c r="J104" i="24"/>
  <c r="E75" i="24"/>
  <c r="AM88" i="54"/>
  <c r="AL89" i="54"/>
  <c r="AM88" i="46"/>
  <c r="AL89" i="46"/>
  <c r="AM88" i="55"/>
  <c r="AL89" i="55"/>
  <c r="A104" i="24"/>
  <c r="AN88" i="46" l="1"/>
  <c r="AM89" i="46"/>
  <c r="AN88" i="55"/>
  <c r="AM89" i="55"/>
  <c r="AN88" i="54"/>
  <c r="AM89" i="54"/>
  <c r="T88" i="24"/>
  <c r="U88" i="24" s="1"/>
  <c r="V88" i="24" s="1"/>
  <c r="W88" i="24" s="1"/>
  <c r="X88" i="24" s="1"/>
  <c r="Y88" i="24" s="1"/>
  <c r="Z88" i="24" s="1"/>
  <c r="AA88" i="24" s="1"/>
  <c r="AB88" i="24" s="1"/>
  <c r="AC88" i="24" s="1"/>
  <c r="AD88" i="24" s="1"/>
  <c r="AE88" i="24" s="1"/>
  <c r="AF88" i="24" s="1"/>
  <c r="AG88" i="24" s="1"/>
  <c r="AH88" i="24" s="1"/>
  <c r="AI88" i="24" s="1"/>
  <c r="AJ88" i="24" s="1"/>
  <c r="AK88" i="24" s="1"/>
  <c r="AL88" i="24" s="1"/>
  <c r="AM88" i="24" s="1"/>
  <c r="AN88" i="24" s="1"/>
  <c r="AO88" i="24" s="1"/>
  <c r="AP88" i="24" s="1"/>
  <c r="AQ88" i="24" s="1"/>
  <c r="AR88" i="24" s="1"/>
  <c r="AS88" i="24" s="1"/>
  <c r="AT88" i="24" s="1"/>
  <c r="AU88" i="24" s="1"/>
  <c r="AV88" i="24" s="1"/>
  <c r="AW88" i="24" s="1"/>
  <c r="AX88" i="24" s="1"/>
  <c r="AY88" i="24" s="1"/>
  <c r="AZ88" i="24" s="1"/>
  <c r="BA88" i="24" s="1"/>
  <c r="BB88" i="24" s="1"/>
  <c r="BC88" i="24" s="1"/>
  <c r="BD88" i="24" s="1"/>
  <c r="BE88" i="24" s="1"/>
  <c r="BF88" i="24" s="1"/>
  <c r="BG88" i="24" s="1"/>
  <c r="BH88" i="24" s="1"/>
  <c r="BI88" i="24" s="1"/>
  <c r="BJ88" i="24" s="1"/>
  <c r="BK88" i="24" s="1"/>
  <c r="BL88" i="24" s="1"/>
  <c r="BM88" i="24" s="1"/>
  <c r="BN88" i="24" s="1"/>
  <c r="BO88" i="24" s="1"/>
  <c r="BP88" i="24" s="1"/>
  <c r="BQ88" i="24" s="1"/>
  <c r="AO88" i="55" l="1"/>
  <c r="AN89" i="55"/>
  <c r="AO88" i="54"/>
  <c r="AN89" i="54"/>
  <c r="AO88" i="46"/>
  <c r="AN89" i="46"/>
  <c r="AT16" i="40"/>
  <c r="AT28" i="40" l="1"/>
  <c r="AT27" i="40"/>
  <c r="AT56" i="40"/>
  <c r="T78" i="54" s="1"/>
  <c r="AT20" i="40"/>
  <c r="AT19" i="40"/>
  <c r="AT29" i="40"/>
  <c r="AT31" i="40"/>
  <c r="AT30" i="40"/>
  <c r="AT32" i="40"/>
  <c r="AT25" i="40"/>
  <c r="AT26" i="40"/>
  <c r="AT22" i="40"/>
  <c r="AT24" i="40"/>
  <c r="AT21" i="40"/>
  <c r="AT23" i="40"/>
  <c r="AT55" i="40"/>
  <c r="AP88" i="54"/>
  <c r="AO89" i="54"/>
  <c r="AP88" i="46"/>
  <c r="AO89" i="46"/>
  <c r="AP88" i="55"/>
  <c r="AO89" i="55"/>
  <c r="AT54" i="40"/>
  <c r="AU16" i="40"/>
  <c r="J9" i="24"/>
  <c r="AU27" i="40" l="1"/>
  <c r="AU28" i="40"/>
  <c r="T78" i="24"/>
  <c r="T78" i="46"/>
  <c r="T78" i="55"/>
  <c r="AU56" i="40"/>
  <c r="U78" i="54" s="1"/>
  <c r="H32" i="24"/>
  <c r="J32" i="24" s="1"/>
  <c r="H24" i="24"/>
  <c r="J24" i="24" s="1"/>
  <c r="H21" i="24"/>
  <c r="J21" i="24" s="1"/>
  <c r="H28" i="24"/>
  <c r="J28" i="24" s="1"/>
  <c r="H35" i="24"/>
  <c r="J35" i="24" s="1"/>
  <c r="H34" i="24"/>
  <c r="J34" i="24" s="1"/>
  <c r="H33" i="24"/>
  <c r="J33" i="24" s="1"/>
  <c r="H23" i="24"/>
  <c r="J23" i="24" s="1"/>
  <c r="H30" i="24"/>
  <c r="J30" i="24" s="1"/>
  <c r="H36" i="24"/>
  <c r="J36" i="24" s="1"/>
  <c r="H37" i="24"/>
  <c r="J37" i="24" s="1"/>
  <c r="H29" i="24"/>
  <c r="J29" i="24" s="1"/>
  <c r="H27" i="24"/>
  <c r="J27" i="24" s="1"/>
  <c r="H26" i="24"/>
  <c r="J26" i="24" s="1"/>
  <c r="AU19" i="40"/>
  <c r="AU20" i="40"/>
  <c r="AU29" i="40"/>
  <c r="AU31" i="40"/>
  <c r="AU32" i="40"/>
  <c r="AU30" i="40"/>
  <c r="AU25" i="40"/>
  <c r="AU26" i="40"/>
  <c r="AU22" i="40"/>
  <c r="AU21" i="40"/>
  <c r="AU24" i="40"/>
  <c r="AU23" i="40"/>
  <c r="T77" i="46"/>
  <c r="T77" i="24"/>
  <c r="H17" i="24"/>
  <c r="J17" i="24" s="1"/>
  <c r="H22" i="24"/>
  <c r="J22" i="24" s="1"/>
  <c r="H20" i="24"/>
  <c r="J20" i="24" s="1"/>
  <c r="H18" i="24"/>
  <c r="J18" i="24" s="1"/>
  <c r="H16" i="24"/>
  <c r="J16" i="24" s="1"/>
  <c r="T77" i="54"/>
  <c r="T77" i="55"/>
  <c r="AU55" i="40"/>
  <c r="AQ88" i="46"/>
  <c r="AP89" i="46"/>
  <c r="H38" i="24"/>
  <c r="J38" i="24" s="1"/>
  <c r="H15" i="24"/>
  <c r="J15" i="24" s="1"/>
  <c r="AQ88" i="55"/>
  <c r="AP89" i="55"/>
  <c r="AQ88" i="54"/>
  <c r="AP89" i="54"/>
  <c r="AU54" i="40"/>
  <c r="AV16" i="40"/>
  <c r="AV28" i="40" l="1"/>
  <c r="AV27" i="40"/>
  <c r="U78" i="55"/>
  <c r="U78" i="24"/>
  <c r="U78" i="46"/>
  <c r="AV56" i="40"/>
  <c r="V78" i="54" s="1"/>
  <c r="AV20" i="40"/>
  <c r="AV19" i="40"/>
  <c r="AV29" i="40"/>
  <c r="AV30" i="40"/>
  <c r="AV32" i="40"/>
  <c r="AV31" i="40"/>
  <c r="AV25" i="40"/>
  <c r="AV26" i="40"/>
  <c r="AV22" i="40"/>
  <c r="AV24" i="40"/>
  <c r="AV21" i="40"/>
  <c r="AV23" i="40"/>
  <c r="U77" i="46"/>
  <c r="U77" i="24"/>
  <c r="U77" i="54"/>
  <c r="U77" i="55"/>
  <c r="AV55" i="40"/>
  <c r="J39" i="24"/>
  <c r="AR88" i="54"/>
  <c r="AQ89" i="54"/>
  <c r="AR88" i="55"/>
  <c r="AQ89" i="55"/>
  <c r="AR88" i="46"/>
  <c r="AQ89" i="46"/>
  <c r="AV54" i="40"/>
  <c r="AW16" i="40"/>
  <c r="V78" i="24" l="1"/>
  <c r="V78" i="55"/>
  <c r="AW28" i="40"/>
  <c r="AW27" i="40"/>
  <c r="V78" i="46"/>
  <c r="AW56" i="40"/>
  <c r="W78" i="46" s="1"/>
  <c r="AW19" i="40"/>
  <c r="AW20" i="40"/>
  <c r="AW29" i="40"/>
  <c r="AW32" i="40"/>
  <c r="AW31" i="40"/>
  <c r="AW30" i="40"/>
  <c r="AW25" i="40"/>
  <c r="AW26" i="40"/>
  <c r="AW22" i="40"/>
  <c r="AW21" i="40"/>
  <c r="AW24" i="40"/>
  <c r="AW23" i="40"/>
  <c r="V77" i="54"/>
  <c r="V77" i="24"/>
  <c r="V77" i="46"/>
  <c r="V77" i="55"/>
  <c r="AW55" i="40"/>
  <c r="AS88" i="55"/>
  <c r="AR89" i="55"/>
  <c r="AS88" i="46"/>
  <c r="AR89" i="46"/>
  <c r="AS88" i="54"/>
  <c r="AR89" i="54"/>
  <c r="AW54" i="40"/>
  <c r="AX16" i="40"/>
  <c r="W78" i="54" l="1"/>
  <c r="AX28" i="40"/>
  <c r="AX27" i="40"/>
  <c r="W78" i="24"/>
  <c r="W78" i="55"/>
  <c r="AX56" i="40"/>
  <c r="X78" i="54" s="1"/>
  <c r="AX19" i="40"/>
  <c r="AX20" i="40"/>
  <c r="AX29" i="40"/>
  <c r="AX32" i="40"/>
  <c r="AX31" i="40"/>
  <c r="AX30" i="40"/>
  <c r="AX25" i="40"/>
  <c r="AX26" i="40"/>
  <c r="AX22" i="40"/>
  <c r="AX21" i="40"/>
  <c r="AX24" i="40"/>
  <c r="AX23" i="40"/>
  <c r="W77" i="46"/>
  <c r="W77" i="24"/>
  <c r="W77" i="55"/>
  <c r="W77" i="54"/>
  <c r="AX55" i="40"/>
  <c r="AT88" i="46"/>
  <c r="AS89" i="46"/>
  <c r="AT88" i="54"/>
  <c r="AS89" i="54"/>
  <c r="AT88" i="55"/>
  <c r="AS89" i="55"/>
  <c r="AX54" i="40"/>
  <c r="AY16" i="40"/>
  <c r="X78" i="24" l="1"/>
  <c r="X78" i="55"/>
  <c r="AY27" i="40"/>
  <c r="AY28" i="40"/>
  <c r="X78" i="46"/>
  <c r="AY56" i="40"/>
  <c r="Y78" i="55" s="1"/>
  <c r="AY20" i="40"/>
  <c r="AY19" i="40"/>
  <c r="AY29" i="40"/>
  <c r="AY32" i="40"/>
  <c r="AY30" i="40"/>
  <c r="AY31" i="40"/>
  <c r="AY25" i="40"/>
  <c r="AY26" i="40"/>
  <c r="AY24" i="40"/>
  <c r="AY22" i="40"/>
  <c r="AY21" i="40"/>
  <c r="AY23" i="40"/>
  <c r="X77" i="46"/>
  <c r="X77" i="24"/>
  <c r="X77" i="55"/>
  <c r="X77" i="54"/>
  <c r="AY55" i="40"/>
  <c r="AU88" i="54"/>
  <c r="AT89" i="54"/>
  <c r="AU88" i="55"/>
  <c r="AT89" i="55"/>
  <c r="AU88" i="46"/>
  <c r="AT89" i="46"/>
  <c r="AY54" i="40"/>
  <c r="AZ16" i="40"/>
  <c r="Y78" i="54" l="1"/>
  <c r="AZ28" i="40"/>
  <c r="AZ27" i="40"/>
  <c r="Y78" i="24"/>
  <c r="Y78" i="46"/>
  <c r="AZ56" i="40"/>
  <c r="Z78" i="24" s="1"/>
  <c r="AZ20" i="40"/>
  <c r="AZ19" i="40"/>
  <c r="AZ29" i="40"/>
  <c r="AZ31" i="40"/>
  <c r="AZ32" i="40"/>
  <c r="AZ30" i="40"/>
  <c r="AZ25" i="40"/>
  <c r="AZ26" i="40"/>
  <c r="AZ21" i="40"/>
  <c r="AZ24" i="40"/>
  <c r="AZ22" i="40"/>
  <c r="AZ23" i="40"/>
  <c r="Y77" i="46"/>
  <c r="Y77" i="24"/>
  <c r="Y77" i="54"/>
  <c r="Y77" i="55"/>
  <c r="AZ55" i="40"/>
  <c r="AV88" i="55"/>
  <c r="AU89" i="55"/>
  <c r="AV88" i="46"/>
  <c r="AU89" i="46"/>
  <c r="AV88" i="54"/>
  <c r="AU89" i="54"/>
  <c r="G54" i="24"/>
  <c r="M81" i="24"/>
  <c r="E83" i="24" s="1"/>
  <c r="M81" i="46"/>
  <c r="E83" i="46" s="1"/>
  <c r="F28" i="7" s="1"/>
  <c r="M81" i="54"/>
  <c r="E83" i="54" s="1"/>
  <c r="H28" i="7" s="1"/>
  <c r="M81" i="55"/>
  <c r="E83" i="55" s="1"/>
  <c r="J28" i="7" s="1"/>
  <c r="AZ54" i="40"/>
  <c r="BA16" i="40"/>
  <c r="Z78" i="46" l="1"/>
  <c r="BA27" i="40"/>
  <c r="BA28" i="40"/>
  <c r="Z78" i="55"/>
  <c r="Z78" i="54"/>
  <c r="BA56" i="40"/>
  <c r="AA78" i="46" s="1"/>
  <c r="D28" i="7"/>
  <c r="BA20" i="40"/>
  <c r="BA19" i="40"/>
  <c r="BA29" i="40"/>
  <c r="BA32" i="40"/>
  <c r="BA30" i="40"/>
  <c r="BA31" i="40"/>
  <c r="BA25" i="40"/>
  <c r="BA26" i="40"/>
  <c r="BA22" i="40"/>
  <c r="BA24" i="40"/>
  <c r="BA21" i="40"/>
  <c r="BA23" i="40"/>
  <c r="Z77" i="46"/>
  <c r="Z77" i="24"/>
  <c r="Z77" i="54"/>
  <c r="Z77" i="55"/>
  <c r="BA55" i="40"/>
  <c r="AW88" i="46"/>
  <c r="AV89" i="46"/>
  <c r="AW88" i="54"/>
  <c r="AV89" i="54"/>
  <c r="AW88" i="55"/>
  <c r="AV89" i="55"/>
  <c r="BA54" i="40"/>
  <c r="BB16" i="40"/>
  <c r="BB28" i="40" l="1"/>
  <c r="BB27" i="40"/>
  <c r="AA78" i="54"/>
  <c r="AA78" i="24"/>
  <c r="AA78" i="55"/>
  <c r="BB56" i="40"/>
  <c r="AB78" i="24" s="1"/>
  <c r="A39" i="1"/>
  <c r="A75" i="1"/>
  <c r="BB20" i="40"/>
  <c r="BB19" i="40"/>
  <c r="BB29" i="40"/>
  <c r="BB30" i="40"/>
  <c r="BB31" i="40"/>
  <c r="BB32" i="40"/>
  <c r="BB25" i="40"/>
  <c r="BB26" i="40"/>
  <c r="BB22" i="40"/>
  <c r="BB21" i="40"/>
  <c r="BB24" i="40"/>
  <c r="BB23" i="40"/>
  <c r="AA77" i="46"/>
  <c r="AA77" i="24"/>
  <c r="AA77" i="55"/>
  <c r="AA77" i="54"/>
  <c r="BB55" i="40"/>
  <c r="AX88" i="54"/>
  <c r="AW89" i="54"/>
  <c r="AX88" i="55"/>
  <c r="AW89" i="55"/>
  <c r="AX88" i="46"/>
  <c r="AW89" i="46"/>
  <c r="BB54" i="40"/>
  <c r="BC16" i="40"/>
  <c r="BC27" i="40" l="1"/>
  <c r="BC28" i="40"/>
  <c r="AB78" i="46"/>
  <c r="AB78" i="55"/>
  <c r="AB78" i="54"/>
  <c r="BC56" i="40"/>
  <c r="AC78" i="46" s="1"/>
  <c r="BC20" i="40"/>
  <c r="BC19" i="40"/>
  <c r="BC29" i="40"/>
  <c r="BC30" i="40"/>
  <c r="BC32" i="40"/>
  <c r="BC31" i="40"/>
  <c r="BC25" i="40"/>
  <c r="BC26" i="40"/>
  <c r="BC22" i="40"/>
  <c r="BC21" i="40"/>
  <c r="BC24" i="40"/>
  <c r="BC23" i="40"/>
  <c r="AB77" i="46"/>
  <c r="AB77" i="24"/>
  <c r="AB77" i="55"/>
  <c r="AB77" i="54"/>
  <c r="BC55" i="40"/>
  <c r="AY88" i="55"/>
  <c r="AX89" i="55"/>
  <c r="AY88" i="46"/>
  <c r="AX89" i="46"/>
  <c r="AY88" i="54"/>
  <c r="AX89" i="54"/>
  <c r="G89" i="24"/>
  <c r="D19" i="7" s="1"/>
  <c r="N54" i="24"/>
  <c r="K54" i="24" s="1"/>
  <c r="BC54" i="40"/>
  <c r="BD16" i="40"/>
  <c r="AC78" i="24" l="1"/>
  <c r="AC78" i="54"/>
  <c r="BD28" i="40"/>
  <c r="BD27" i="40"/>
  <c r="AC78" i="55"/>
  <c r="BD56" i="40"/>
  <c r="AD78" i="55" s="1"/>
  <c r="BD20" i="40"/>
  <c r="BD19" i="40"/>
  <c r="BD29" i="40"/>
  <c r="BD32" i="40"/>
  <c r="BD31" i="40"/>
  <c r="BD30" i="40"/>
  <c r="BD25" i="40"/>
  <c r="BD26" i="40"/>
  <c r="BD22" i="40"/>
  <c r="BD24" i="40"/>
  <c r="BD21" i="40"/>
  <c r="BD23" i="40"/>
  <c r="AC77" i="46"/>
  <c r="AC77" i="24"/>
  <c r="AC77" i="55"/>
  <c r="AC77" i="54"/>
  <c r="BD55" i="40"/>
  <c r="AZ88" i="46"/>
  <c r="AY89" i="46"/>
  <c r="AZ88" i="54"/>
  <c r="AY89" i="54"/>
  <c r="AZ88" i="55"/>
  <c r="AY89" i="55"/>
  <c r="BD54" i="40"/>
  <c r="BE16" i="40"/>
  <c r="BE28" i="40" l="1"/>
  <c r="BE27" i="40"/>
  <c r="AD78" i="24"/>
  <c r="AD78" i="54"/>
  <c r="AD78" i="46"/>
  <c r="BE56" i="40"/>
  <c r="AE78" i="55" s="1"/>
  <c r="BE19" i="40"/>
  <c r="BE20" i="40"/>
  <c r="BE29" i="40"/>
  <c r="BE31" i="40"/>
  <c r="BE32" i="40"/>
  <c r="BE30" i="40"/>
  <c r="BE25" i="40"/>
  <c r="BE26" i="40"/>
  <c r="BE24" i="40"/>
  <c r="BE22" i="40"/>
  <c r="BE21" i="40"/>
  <c r="BE23" i="40"/>
  <c r="AD77" i="46"/>
  <c r="AD77" i="24"/>
  <c r="AD77" i="55"/>
  <c r="AD77" i="54"/>
  <c r="BE55" i="40"/>
  <c r="BA88" i="54"/>
  <c r="AZ89" i="54"/>
  <c r="BA88" i="55"/>
  <c r="AZ89" i="55"/>
  <c r="BA88" i="46"/>
  <c r="AZ89" i="46"/>
  <c r="BE54" i="40"/>
  <c r="BF16" i="40"/>
  <c r="AE78" i="24" l="1"/>
  <c r="AE78" i="54"/>
  <c r="BF28" i="40"/>
  <c r="BF27" i="40"/>
  <c r="AE78" i="46"/>
  <c r="BF56" i="40"/>
  <c r="AF78" i="55" s="1"/>
  <c r="BF19" i="40"/>
  <c r="BF20" i="40"/>
  <c r="BF29" i="40"/>
  <c r="BF30" i="40"/>
  <c r="BF32" i="40"/>
  <c r="BF31" i="40"/>
  <c r="BF25" i="40"/>
  <c r="BF26" i="40"/>
  <c r="BF22" i="40"/>
  <c r="BF21" i="40"/>
  <c r="BF24" i="40"/>
  <c r="BF23" i="40"/>
  <c r="AE77" i="46"/>
  <c r="AE77" i="24"/>
  <c r="AE77" i="54"/>
  <c r="AE77" i="55"/>
  <c r="BF55" i="40"/>
  <c r="BB88" i="55"/>
  <c r="BA89" i="55"/>
  <c r="BB88" i="46"/>
  <c r="BA89" i="46"/>
  <c r="BB88" i="54"/>
  <c r="BA89" i="54"/>
  <c r="BF54" i="40"/>
  <c r="BG16" i="40"/>
  <c r="BG28" i="40" l="1"/>
  <c r="BG27" i="40"/>
  <c r="AF78" i="24"/>
  <c r="AF78" i="46"/>
  <c r="AF78" i="54"/>
  <c r="BG56" i="40"/>
  <c r="AG78" i="54" s="1"/>
  <c r="BG20" i="40"/>
  <c r="BG19" i="40"/>
  <c r="BG29" i="40"/>
  <c r="BG30" i="40"/>
  <c r="BG32" i="40"/>
  <c r="BG31" i="40"/>
  <c r="BG25" i="40"/>
  <c r="BG26" i="40"/>
  <c r="BG22" i="40"/>
  <c r="BG24" i="40"/>
  <c r="BG21" i="40"/>
  <c r="BG23" i="40"/>
  <c r="AF77" i="46"/>
  <c r="AF77" i="24"/>
  <c r="AF77" i="55"/>
  <c r="AF77" i="54"/>
  <c r="BG55" i="40"/>
  <c r="BC88" i="46"/>
  <c r="BB89" i="46"/>
  <c r="BC88" i="54"/>
  <c r="BB89" i="54"/>
  <c r="BC88" i="55"/>
  <c r="BB89" i="55"/>
  <c r="BG54" i="40"/>
  <c r="BH16" i="40"/>
  <c r="AG78" i="55" l="1"/>
  <c r="AG78" i="46"/>
  <c r="BH28" i="40"/>
  <c r="BH27" i="40"/>
  <c r="AG78" i="24"/>
  <c r="BH56" i="40"/>
  <c r="AH78" i="54" s="1"/>
  <c r="BH20" i="40"/>
  <c r="BH19" i="40"/>
  <c r="BH29" i="40"/>
  <c r="BH32" i="40"/>
  <c r="BH31" i="40"/>
  <c r="BH30" i="40"/>
  <c r="BH25" i="40"/>
  <c r="BH26" i="40"/>
  <c r="BH22" i="40"/>
  <c r="BH24" i="40"/>
  <c r="BH21" i="40"/>
  <c r="BH23" i="40"/>
  <c r="AG77" i="46"/>
  <c r="AG77" i="24"/>
  <c r="AG77" i="55"/>
  <c r="AG77" i="54"/>
  <c r="BH55" i="40"/>
  <c r="BD88" i="54"/>
  <c r="BC89" i="54"/>
  <c r="BD88" i="55"/>
  <c r="BC89" i="55"/>
  <c r="BD88" i="46"/>
  <c r="BC89" i="46"/>
  <c r="BH54" i="40"/>
  <c r="BI16" i="40"/>
  <c r="S44" i="40"/>
  <c r="S42" i="40"/>
  <c r="S18" i="40"/>
  <c r="S17" i="40"/>
  <c r="BI27" i="40" l="1"/>
  <c r="BI28" i="40"/>
  <c r="AH78" i="24"/>
  <c r="AH78" i="55"/>
  <c r="AH78" i="46"/>
  <c r="BI56" i="40"/>
  <c r="AI78" i="46" s="1"/>
  <c r="BI20" i="40"/>
  <c r="BI19" i="40"/>
  <c r="BI29" i="40"/>
  <c r="BI30" i="40"/>
  <c r="BI31" i="40"/>
  <c r="BI32" i="40"/>
  <c r="BI25" i="40"/>
  <c r="BI26" i="40"/>
  <c r="BI22" i="40"/>
  <c r="BI21" i="40"/>
  <c r="BI24" i="40"/>
  <c r="BI23" i="40"/>
  <c r="AH77" i="46"/>
  <c r="AH77" i="24"/>
  <c r="J69" i="55"/>
  <c r="L69" i="55" s="1"/>
  <c r="G98" i="55" s="1"/>
  <c r="E98" i="55" s="1"/>
  <c r="J69" i="24"/>
  <c r="L69" i="24" s="1"/>
  <c r="G98" i="24" s="1"/>
  <c r="E98" i="24" s="1"/>
  <c r="J69" i="46"/>
  <c r="L69" i="46" s="1"/>
  <c r="G98" i="46" s="1"/>
  <c r="E98" i="46" s="1"/>
  <c r="J69" i="54"/>
  <c r="L69" i="54" s="1"/>
  <c r="G98" i="54" s="1"/>
  <c r="E98" i="54" s="1"/>
  <c r="J67" i="46"/>
  <c r="L67" i="46" s="1"/>
  <c r="G96" i="46" s="1"/>
  <c r="E96" i="46" s="1"/>
  <c r="J67" i="54"/>
  <c r="L67" i="54" s="1"/>
  <c r="G96" i="54" s="1"/>
  <c r="E96" i="54" s="1"/>
  <c r="J67" i="55"/>
  <c r="L67" i="55" s="1"/>
  <c r="G96" i="55" s="1"/>
  <c r="E96" i="55" s="1"/>
  <c r="J67" i="24"/>
  <c r="L67" i="24" s="1"/>
  <c r="G96" i="24" s="1"/>
  <c r="E96" i="24" s="1"/>
  <c r="AK43" i="40"/>
  <c r="AM43" i="40"/>
  <c r="AH77" i="55"/>
  <c r="AH77" i="54"/>
  <c r="BI55" i="40"/>
  <c r="BH18" i="40"/>
  <c r="BH51" i="40"/>
  <c r="AH75" i="55" s="1"/>
  <c r="BE88" i="55"/>
  <c r="BD89" i="55"/>
  <c r="BE88" i="46"/>
  <c r="BD89" i="46"/>
  <c r="BE88" i="54"/>
  <c r="BD89" i="54"/>
  <c r="AS17" i="40"/>
  <c r="AT17" i="40"/>
  <c r="AU17" i="40"/>
  <c r="AV17" i="40"/>
  <c r="AW17" i="40"/>
  <c r="AX17" i="40"/>
  <c r="AY17" i="40"/>
  <c r="AZ17" i="40"/>
  <c r="BA17" i="40"/>
  <c r="BB17" i="40"/>
  <c r="BC17" i="40"/>
  <c r="BD17" i="40"/>
  <c r="BE17" i="40"/>
  <c r="BF17" i="40"/>
  <c r="BG17" i="40"/>
  <c r="AS18" i="40"/>
  <c r="AT18" i="40"/>
  <c r="AU18" i="40"/>
  <c r="AV18" i="40"/>
  <c r="AW18" i="40"/>
  <c r="AX18" i="40"/>
  <c r="AY18" i="40"/>
  <c r="AZ18" i="40"/>
  <c r="BA18" i="40"/>
  <c r="BB18" i="40"/>
  <c r="BC18" i="40"/>
  <c r="BD18" i="40"/>
  <c r="BE18" i="40"/>
  <c r="BF18" i="40"/>
  <c r="BG18" i="40"/>
  <c r="AS51" i="40"/>
  <c r="J75" i="24"/>
  <c r="J75" i="55"/>
  <c r="L75" i="55" s="1"/>
  <c r="G104" i="55" s="1"/>
  <c r="E104" i="55" s="1"/>
  <c r="J75" i="46"/>
  <c r="L75" i="46" s="1"/>
  <c r="G104" i="46" s="1"/>
  <c r="E104" i="46" s="1"/>
  <c r="J75" i="54"/>
  <c r="L75" i="54" s="1"/>
  <c r="G104" i="54" s="1"/>
  <c r="E104" i="54" s="1"/>
  <c r="AT51" i="40"/>
  <c r="AU51" i="40"/>
  <c r="AV51" i="40"/>
  <c r="AW51" i="40"/>
  <c r="AX51" i="40"/>
  <c r="AY51" i="40"/>
  <c r="AZ51" i="40"/>
  <c r="BA51" i="40"/>
  <c r="BB51" i="40"/>
  <c r="BC51" i="40"/>
  <c r="BD51" i="40"/>
  <c r="BE51" i="40"/>
  <c r="BF51" i="40"/>
  <c r="BG51" i="40"/>
  <c r="BH17" i="40"/>
  <c r="AS42" i="40"/>
  <c r="AT42" i="40"/>
  <c r="AU42" i="40"/>
  <c r="AV42" i="40"/>
  <c r="AW42" i="40"/>
  <c r="AX42" i="40"/>
  <c r="AY42" i="40"/>
  <c r="AZ42" i="40"/>
  <c r="BA42" i="40"/>
  <c r="BB42" i="40"/>
  <c r="BC42" i="40"/>
  <c r="BD42" i="40"/>
  <c r="BE42" i="40"/>
  <c r="BF42" i="40"/>
  <c r="BG42" i="40"/>
  <c r="BH42" i="40"/>
  <c r="BI42" i="40"/>
  <c r="BI18" i="40"/>
  <c r="BI17" i="40"/>
  <c r="BI51" i="40"/>
  <c r="BI54" i="40"/>
  <c r="BC44" i="40"/>
  <c r="AS44" i="40"/>
  <c r="AW44" i="40"/>
  <c r="BE44" i="40"/>
  <c r="BB44" i="40"/>
  <c r="AZ44" i="40"/>
  <c r="AU44" i="40"/>
  <c r="BG44" i="40"/>
  <c r="BF44" i="40"/>
  <c r="BD44" i="40"/>
  <c r="BI44" i="40"/>
  <c r="AY44" i="40"/>
  <c r="AT44" i="40"/>
  <c r="BH44" i="40"/>
  <c r="BA44" i="40"/>
  <c r="AV44" i="40"/>
  <c r="AX44" i="40"/>
  <c r="BJ16" i="40"/>
  <c r="AI78" i="55" l="1"/>
  <c r="AI78" i="54"/>
  <c r="BJ27" i="40"/>
  <c r="BJ28" i="40"/>
  <c r="AI78" i="24"/>
  <c r="BJ56" i="40"/>
  <c r="AJ78" i="54" s="1"/>
  <c r="BJ20" i="40"/>
  <c r="BJ19" i="40"/>
  <c r="BJ29" i="40"/>
  <c r="BJ30" i="40"/>
  <c r="BJ32" i="40"/>
  <c r="BJ31" i="40"/>
  <c r="BJ25" i="40"/>
  <c r="BJ26" i="40"/>
  <c r="BJ22" i="40"/>
  <c r="BJ24" i="40"/>
  <c r="BJ21" i="40"/>
  <c r="BJ23" i="40"/>
  <c r="AI77" i="46"/>
  <c r="AI77" i="24"/>
  <c r="X69" i="55"/>
  <c r="X69" i="54"/>
  <c r="X69" i="46"/>
  <c r="X69" i="24"/>
  <c r="T69" i="46"/>
  <c r="T69" i="24"/>
  <c r="T69" i="54"/>
  <c r="T69" i="55"/>
  <c r="V69" i="54"/>
  <c r="V69" i="55"/>
  <c r="V69" i="46"/>
  <c r="V69" i="24"/>
  <c r="AH69" i="55"/>
  <c r="AH69" i="46"/>
  <c r="AH69" i="54"/>
  <c r="AH69" i="24"/>
  <c r="Y69" i="46"/>
  <c r="Y69" i="55"/>
  <c r="Y69" i="54"/>
  <c r="Y69" i="24"/>
  <c r="AD69" i="54"/>
  <c r="AD69" i="46"/>
  <c r="AD69" i="55"/>
  <c r="AD69" i="24"/>
  <c r="AG69" i="55"/>
  <c r="AG69" i="46"/>
  <c r="AG69" i="54"/>
  <c r="AG69" i="24"/>
  <c r="Z69" i="55"/>
  <c r="Z69" i="46"/>
  <c r="Z69" i="54"/>
  <c r="Z69" i="24"/>
  <c r="AE69" i="46"/>
  <c r="AE69" i="55"/>
  <c r="AE69" i="54"/>
  <c r="AE69" i="24"/>
  <c r="S69" i="46"/>
  <c r="S69" i="55"/>
  <c r="S69" i="54"/>
  <c r="S69" i="24"/>
  <c r="AG67" i="54"/>
  <c r="AG67" i="46"/>
  <c r="AG67" i="55"/>
  <c r="AG67" i="24"/>
  <c r="AE67" i="46"/>
  <c r="AE67" i="54"/>
  <c r="AE67" i="55"/>
  <c r="AE67" i="24"/>
  <c r="AC67" i="46"/>
  <c r="AC67" i="54"/>
  <c r="AC67" i="55"/>
  <c r="AC67" i="24"/>
  <c r="AA67" i="46"/>
  <c r="AA67" i="54"/>
  <c r="AA67" i="55"/>
  <c r="AA67" i="24"/>
  <c r="Y67" i="46"/>
  <c r="Y67" i="54"/>
  <c r="Y67" i="55"/>
  <c r="Y67" i="24"/>
  <c r="W67" i="54"/>
  <c r="W67" i="46"/>
  <c r="W67" i="55"/>
  <c r="W67" i="24"/>
  <c r="U67" i="54"/>
  <c r="U67" i="46"/>
  <c r="U67" i="55"/>
  <c r="U67" i="24"/>
  <c r="S67" i="54"/>
  <c r="S67" i="46"/>
  <c r="S67" i="55"/>
  <c r="S67" i="24"/>
  <c r="AA69" i="55"/>
  <c r="AA69" i="54"/>
  <c r="AA69" i="46"/>
  <c r="AA69" i="24"/>
  <c r="AI69" i="55"/>
  <c r="AI69" i="54"/>
  <c r="AI69" i="46"/>
  <c r="AI69" i="24"/>
  <c r="AF69" i="55"/>
  <c r="AF69" i="54"/>
  <c r="AF69" i="46"/>
  <c r="AF69" i="24"/>
  <c r="U69" i="55"/>
  <c r="U69" i="54"/>
  <c r="U69" i="46"/>
  <c r="U69" i="24"/>
  <c r="AB69" i="55"/>
  <c r="AB69" i="24"/>
  <c r="AB69" i="54"/>
  <c r="AB69" i="46"/>
  <c r="W69" i="24"/>
  <c r="W69" i="55"/>
  <c r="W69" i="54"/>
  <c r="W69" i="46"/>
  <c r="AC69" i="55"/>
  <c r="AC69" i="54"/>
  <c r="AC69" i="46"/>
  <c r="AC69" i="24"/>
  <c r="AI67" i="54"/>
  <c r="AI67" i="46"/>
  <c r="AI67" i="55"/>
  <c r="AI67" i="24"/>
  <c r="AH67" i="54"/>
  <c r="AH67" i="46"/>
  <c r="AH67" i="55"/>
  <c r="AH67" i="24"/>
  <c r="AF67" i="54"/>
  <c r="AF67" i="46"/>
  <c r="AF67" i="55"/>
  <c r="AF67" i="24"/>
  <c r="AD67" i="54"/>
  <c r="AD67" i="46"/>
  <c r="AD67" i="55"/>
  <c r="AD67" i="24"/>
  <c r="AB67" i="46"/>
  <c r="AB67" i="54"/>
  <c r="AB67" i="55"/>
  <c r="AB67" i="24"/>
  <c r="Z67" i="46"/>
  <c r="Z67" i="54"/>
  <c r="Z67" i="55"/>
  <c r="Z67" i="24"/>
  <c r="X67" i="46"/>
  <c r="X67" i="54"/>
  <c r="X67" i="55"/>
  <c r="X67" i="24"/>
  <c r="V67" i="46"/>
  <c r="V67" i="54"/>
  <c r="V67" i="55"/>
  <c r="V67" i="24"/>
  <c r="T67" i="54"/>
  <c r="T67" i="46"/>
  <c r="T67" i="55"/>
  <c r="T67" i="24"/>
  <c r="AH75" i="54"/>
  <c r="AH75" i="24"/>
  <c r="AH75" i="46"/>
  <c r="AI77" i="54"/>
  <c r="AI77" i="55"/>
  <c r="BJ55" i="40"/>
  <c r="AJ77" i="24" s="1"/>
  <c r="BF88" i="46"/>
  <c r="BE89" i="46"/>
  <c r="BF88" i="54"/>
  <c r="BE89" i="54"/>
  <c r="BF88" i="55"/>
  <c r="BE89" i="55"/>
  <c r="AA75" i="24"/>
  <c r="AA75" i="55"/>
  <c r="AA75" i="46"/>
  <c r="AA75" i="54"/>
  <c r="W75" i="24"/>
  <c r="W75" i="46"/>
  <c r="W75" i="54"/>
  <c r="W75" i="55"/>
  <c r="S75" i="55"/>
  <c r="S75" i="54"/>
  <c r="S75" i="46"/>
  <c r="S75" i="24"/>
  <c r="Z75" i="24"/>
  <c r="Z75" i="55"/>
  <c r="Z75" i="54"/>
  <c r="Z75" i="46"/>
  <c r="AG75" i="24"/>
  <c r="AG75" i="55"/>
  <c r="AG75" i="46"/>
  <c r="AG75" i="54"/>
  <c r="AC75" i="24"/>
  <c r="AC75" i="46"/>
  <c r="AC75" i="55"/>
  <c r="AC75" i="54"/>
  <c r="Y75" i="24"/>
  <c r="Y75" i="46"/>
  <c r="Y75" i="55"/>
  <c r="Y75" i="54"/>
  <c r="U75" i="24"/>
  <c r="U75" i="46"/>
  <c r="U75" i="55"/>
  <c r="U75" i="54"/>
  <c r="AI75" i="24"/>
  <c r="AI75" i="46"/>
  <c r="AI75" i="55"/>
  <c r="AI75" i="54"/>
  <c r="AE75" i="24"/>
  <c r="AE75" i="55"/>
  <c r="AE75" i="46"/>
  <c r="AE75" i="54"/>
  <c r="AD75" i="24"/>
  <c r="AD75" i="54"/>
  <c r="AD75" i="46"/>
  <c r="AD75" i="55"/>
  <c r="V75" i="24"/>
  <c r="V75" i="55"/>
  <c r="V75" i="54"/>
  <c r="V75" i="46"/>
  <c r="AF75" i="24"/>
  <c r="AF75" i="55"/>
  <c r="AF75" i="46"/>
  <c r="AF75" i="54"/>
  <c r="AB75" i="24"/>
  <c r="AB75" i="46"/>
  <c r="AB75" i="55"/>
  <c r="AB75" i="54"/>
  <c r="X75" i="24"/>
  <c r="X75" i="54"/>
  <c r="X75" i="55"/>
  <c r="X75" i="46"/>
  <c r="T75" i="24"/>
  <c r="T75" i="46"/>
  <c r="T75" i="55"/>
  <c r="T75" i="54"/>
  <c r="BJ42" i="40"/>
  <c r="BJ17" i="40"/>
  <c r="BJ18" i="40"/>
  <c r="BJ51" i="40"/>
  <c r="BJ54" i="40"/>
  <c r="BJ44" i="40"/>
  <c r="BK16" i="40"/>
  <c r="AJ78" i="24" l="1"/>
  <c r="AJ78" i="46"/>
  <c r="BK27" i="40"/>
  <c r="BK28" i="40"/>
  <c r="AJ78" i="55"/>
  <c r="BK56" i="40"/>
  <c r="AK78" i="54" s="1"/>
  <c r="BK19" i="40"/>
  <c r="BK20" i="40"/>
  <c r="BK29" i="40"/>
  <c r="BK32" i="40"/>
  <c r="BK30" i="40"/>
  <c r="BK31" i="40"/>
  <c r="BK25" i="40"/>
  <c r="BK26" i="40"/>
  <c r="BK22" i="40"/>
  <c r="BK21" i="40"/>
  <c r="BK24" i="40"/>
  <c r="BK23" i="40"/>
  <c r="AJ69" i="46"/>
  <c r="AJ69" i="24"/>
  <c r="AJ69" i="54"/>
  <c r="AJ69" i="55"/>
  <c r="AJ67" i="54"/>
  <c r="AJ67" i="46"/>
  <c r="AJ67" i="55"/>
  <c r="AJ67" i="24"/>
  <c r="BK55" i="40"/>
  <c r="AJ77" i="46"/>
  <c r="AJ77" i="54"/>
  <c r="AJ77" i="55"/>
  <c r="BG88" i="54"/>
  <c r="BF89" i="54"/>
  <c r="BG88" i="55"/>
  <c r="BF89" i="55"/>
  <c r="BG88" i="46"/>
  <c r="BF89" i="46"/>
  <c r="AJ75" i="24"/>
  <c r="AJ75" i="46"/>
  <c r="AJ75" i="54"/>
  <c r="AJ75" i="55"/>
  <c r="BK42" i="40"/>
  <c r="BK18" i="40"/>
  <c r="BK17" i="40"/>
  <c r="BK51" i="40"/>
  <c r="BK54" i="40"/>
  <c r="BK44" i="40"/>
  <c r="BL16" i="40"/>
  <c r="AK78" i="46" l="1"/>
  <c r="BL28" i="40"/>
  <c r="BL27" i="40"/>
  <c r="AK78" i="24"/>
  <c r="AK78" i="55"/>
  <c r="BL56" i="40"/>
  <c r="AL78" i="54" s="1"/>
  <c r="BL20" i="40"/>
  <c r="BL19" i="40"/>
  <c r="BL29" i="40"/>
  <c r="BL31" i="40"/>
  <c r="BL32" i="40"/>
  <c r="BL30" i="40"/>
  <c r="BL25" i="40"/>
  <c r="BL26" i="40"/>
  <c r="BL22" i="40"/>
  <c r="BL21" i="40"/>
  <c r="BL24" i="40"/>
  <c r="BL23" i="40"/>
  <c r="AK77" i="46"/>
  <c r="AK77" i="24"/>
  <c r="AK67" i="54"/>
  <c r="AK67" i="46"/>
  <c r="AK67" i="55"/>
  <c r="AK67" i="24"/>
  <c r="AK69" i="55"/>
  <c r="AK69" i="54"/>
  <c r="AK69" i="46"/>
  <c r="AK69" i="24"/>
  <c r="AK77" i="54"/>
  <c r="AK77" i="55"/>
  <c r="BL55" i="40"/>
  <c r="BH88" i="55"/>
  <c r="BG89" i="55"/>
  <c r="BH88" i="46"/>
  <c r="BG89" i="46"/>
  <c r="BH88" i="54"/>
  <c r="BG89" i="54"/>
  <c r="AK75" i="24"/>
  <c r="AK75" i="55"/>
  <c r="AK75" i="54"/>
  <c r="AK75" i="46"/>
  <c r="BL42" i="40"/>
  <c r="BL17" i="40"/>
  <c r="BL18" i="40"/>
  <c r="BL51" i="40"/>
  <c r="BL54" i="40"/>
  <c r="BL44" i="40"/>
  <c r="BM16" i="40"/>
  <c r="AL78" i="46" l="1"/>
  <c r="AL78" i="24"/>
  <c r="AL78" i="55"/>
  <c r="BM28" i="40"/>
  <c r="BM27" i="40"/>
  <c r="BM56" i="40"/>
  <c r="AM78" i="54" s="1"/>
  <c r="BM19" i="40"/>
  <c r="BM20" i="40"/>
  <c r="BM29" i="40"/>
  <c r="BM30" i="40"/>
  <c r="BM32" i="40"/>
  <c r="BM31" i="40"/>
  <c r="BM25" i="40"/>
  <c r="BM26" i="40"/>
  <c r="BM24" i="40"/>
  <c r="BM21" i="40"/>
  <c r="BM22" i="40"/>
  <c r="BM23" i="40"/>
  <c r="AL77" i="46"/>
  <c r="AL77" i="24"/>
  <c r="AL69" i="54"/>
  <c r="AL69" i="55"/>
  <c r="AL69" i="46"/>
  <c r="AL69" i="24"/>
  <c r="AL67" i="46"/>
  <c r="AL67" i="54"/>
  <c r="AL67" i="55"/>
  <c r="AL67" i="24"/>
  <c r="AL77" i="54"/>
  <c r="AL77" i="55"/>
  <c r="BM55" i="40"/>
  <c r="BI88" i="46"/>
  <c r="BH89" i="46"/>
  <c r="BI88" i="54"/>
  <c r="BH89" i="54"/>
  <c r="BI88" i="55"/>
  <c r="BH89" i="55"/>
  <c r="AL75" i="24"/>
  <c r="AL75" i="55"/>
  <c r="AL75" i="54"/>
  <c r="AL75" i="46"/>
  <c r="BM42" i="40"/>
  <c r="BM17" i="40"/>
  <c r="BM18" i="40"/>
  <c r="BM51" i="40"/>
  <c r="BM54" i="40"/>
  <c r="BM44" i="40"/>
  <c r="BN16" i="40"/>
  <c r="AM78" i="55" l="1"/>
  <c r="BN28" i="40"/>
  <c r="BN27" i="40"/>
  <c r="AM78" i="24"/>
  <c r="AM78" i="46"/>
  <c r="BN56" i="40"/>
  <c r="AN78" i="54" s="1"/>
  <c r="BN19" i="40"/>
  <c r="BN20" i="40"/>
  <c r="BN29" i="40"/>
  <c r="BN31" i="40"/>
  <c r="BN30" i="40"/>
  <c r="BN32" i="40"/>
  <c r="BN25" i="40"/>
  <c r="BN26" i="40"/>
  <c r="BN24" i="40"/>
  <c r="BN21" i="40"/>
  <c r="BN22" i="40"/>
  <c r="BN23" i="40"/>
  <c r="AM77" i="46"/>
  <c r="AM77" i="24"/>
  <c r="AM69" i="24"/>
  <c r="AM69" i="55"/>
  <c r="AM69" i="54"/>
  <c r="AM69" i="46"/>
  <c r="AM67" i="54"/>
  <c r="AM67" i="46"/>
  <c r="AM67" i="55"/>
  <c r="AM67" i="24"/>
  <c r="AM77" i="54"/>
  <c r="AM77" i="55"/>
  <c r="BN55" i="40"/>
  <c r="BJ88" i="54"/>
  <c r="BI89" i="54"/>
  <c r="BJ88" i="55"/>
  <c r="BI89" i="55"/>
  <c r="BJ88" i="46"/>
  <c r="BI89" i="46"/>
  <c r="AM75" i="24"/>
  <c r="AM75" i="46"/>
  <c r="AM75" i="55"/>
  <c r="AM75" i="54"/>
  <c r="BN42" i="40"/>
  <c r="BN18" i="40"/>
  <c r="BN17" i="40"/>
  <c r="BN51" i="40"/>
  <c r="BN54" i="40"/>
  <c r="BN44" i="40"/>
  <c r="BO16" i="40"/>
  <c r="AN78" i="24" l="1"/>
  <c r="AN78" i="55"/>
  <c r="BO28" i="40"/>
  <c r="BO27" i="40"/>
  <c r="AN78" i="46"/>
  <c r="BO56" i="40"/>
  <c r="AO78" i="55" s="1"/>
  <c r="BO20" i="40"/>
  <c r="BO19" i="40"/>
  <c r="BO29" i="40"/>
  <c r="BO30" i="40"/>
  <c r="BO31" i="40"/>
  <c r="BO32" i="40"/>
  <c r="BO25" i="40"/>
  <c r="BO26" i="40"/>
  <c r="BO21" i="40"/>
  <c r="BO24" i="40"/>
  <c r="BO22" i="40"/>
  <c r="BO23" i="40"/>
  <c r="AN77" i="46"/>
  <c r="AN77" i="24"/>
  <c r="AN69" i="55"/>
  <c r="AN69" i="54"/>
  <c r="AN69" i="46"/>
  <c r="AN69" i="24"/>
  <c r="AN67" i="46"/>
  <c r="AN67" i="54"/>
  <c r="AN67" i="55"/>
  <c r="AN67" i="24"/>
  <c r="AN77" i="54"/>
  <c r="AN77" i="55"/>
  <c r="BO55" i="40"/>
  <c r="BK88" i="55"/>
  <c r="BJ89" i="55"/>
  <c r="BK88" i="46"/>
  <c r="BJ89" i="46"/>
  <c r="BK88" i="54"/>
  <c r="BJ89" i="54"/>
  <c r="AN75" i="24"/>
  <c r="AN75" i="46"/>
  <c r="AN75" i="55"/>
  <c r="AN75" i="54"/>
  <c r="BO18" i="40"/>
  <c r="BO42" i="40"/>
  <c r="BO17" i="40"/>
  <c r="BO51" i="40"/>
  <c r="BO54" i="40"/>
  <c r="BO44" i="40"/>
  <c r="BP16" i="40"/>
  <c r="S47" i="40"/>
  <c r="AO78" i="54" l="1"/>
  <c r="BP28" i="40"/>
  <c r="BP27" i="40"/>
  <c r="AO78" i="24"/>
  <c r="AO78" i="46"/>
  <c r="BP56" i="40"/>
  <c r="AP78" i="54" s="1"/>
  <c r="BP20" i="40"/>
  <c r="BP19" i="40"/>
  <c r="BP29" i="40"/>
  <c r="BP32" i="40"/>
  <c r="BP31" i="40"/>
  <c r="BP30" i="40"/>
  <c r="BP25" i="40"/>
  <c r="BP26" i="40"/>
  <c r="BP24" i="40"/>
  <c r="BP21" i="40"/>
  <c r="BP22" i="40"/>
  <c r="BP23" i="40"/>
  <c r="J72" i="54"/>
  <c r="J72" i="24"/>
  <c r="J72" i="55"/>
  <c r="J72" i="46"/>
  <c r="AO77" i="46"/>
  <c r="AO77" i="24"/>
  <c r="AO69" i="46"/>
  <c r="AO69" i="55"/>
  <c r="AO69" i="54"/>
  <c r="AO69" i="24"/>
  <c r="AO67" i="46"/>
  <c r="AO67" i="54"/>
  <c r="AO67" i="55"/>
  <c r="AO67" i="24"/>
  <c r="AO77" i="54"/>
  <c r="AO77" i="55"/>
  <c r="BP55" i="40"/>
  <c r="BL88" i="46"/>
  <c r="BK89" i="46"/>
  <c r="BL88" i="54"/>
  <c r="BK89" i="54"/>
  <c r="BL88" i="55"/>
  <c r="BK89" i="55"/>
  <c r="AO75" i="24"/>
  <c r="AO75" i="46"/>
  <c r="AO75" i="55"/>
  <c r="AO75" i="54"/>
  <c r="BP17" i="40"/>
  <c r="BP42" i="40"/>
  <c r="BP18" i="40"/>
  <c r="BP51" i="40"/>
  <c r="BP54" i="40"/>
  <c r="BP44" i="40"/>
  <c r="BA53" i="40"/>
  <c r="BH53" i="40"/>
  <c r="BG53" i="40"/>
  <c r="BF53" i="40"/>
  <c r="BM53" i="40"/>
  <c r="AW53" i="40"/>
  <c r="BD53" i="40"/>
  <c r="BE53" i="40"/>
  <c r="BL53" i="40"/>
  <c r="AV53" i="40"/>
  <c r="BK53" i="40"/>
  <c r="AU53" i="40"/>
  <c r="BJ53" i="40"/>
  <c r="AT53" i="40"/>
  <c r="BC53" i="40"/>
  <c r="BB53" i="40"/>
  <c r="BI53" i="40"/>
  <c r="AS53" i="40"/>
  <c r="BP53" i="40"/>
  <c r="AZ53" i="40"/>
  <c r="BO53" i="40"/>
  <c r="AY53" i="40"/>
  <c r="BN53" i="40"/>
  <c r="AX53" i="40"/>
  <c r="BQ16" i="40"/>
  <c r="AH47" i="40" l="1"/>
  <c r="U48" i="40"/>
  <c r="AH48" i="40" s="1"/>
  <c r="AP78" i="24"/>
  <c r="AP78" i="46"/>
  <c r="AP78" i="55"/>
  <c r="BQ27" i="40"/>
  <c r="BQ28" i="40"/>
  <c r="BQ56" i="40"/>
  <c r="AQ78" i="46" s="1"/>
  <c r="BQ20" i="40"/>
  <c r="BQ19" i="40"/>
  <c r="BQ29" i="40"/>
  <c r="BQ32" i="40"/>
  <c r="BQ31" i="40"/>
  <c r="BQ30" i="40"/>
  <c r="BQ25" i="40"/>
  <c r="BQ26" i="40"/>
  <c r="BQ24" i="40"/>
  <c r="BQ22" i="40"/>
  <c r="BQ21" i="40"/>
  <c r="BQ23" i="40"/>
  <c r="AP77" i="54"/>
  <c r="AP77" i="24"/>
  <c r="AP77" i="46"/>
  <c r="AP69" i="55"/>
  <c r="AP69" i="54"/>
  <c r="AP69" i="46"/>
  <c r="AP69" i="24"/>
  <c r="AP67" i="46"/>
  <c r="AP67" i="54"/>
  <c r="AP67" i="55"/>
  <c r="AP67" i="24"/>
  <c r="AP77" i="55"/>
  <c r="BQ55" i="40"/>
  <c r="BM88" i="54"/>
  <c r="BL89" i="54"/>
  <c r="BM88" i="55"/>
  <c r="BL89" i="55"/>
  <c r="BM88" i="46"/>
  <c r="BL89" i="46"/>
  <c r="AP75" i="24"/>
  <c r="AP75" i="46"/>
  <c r="AP75" i="55"/>
  <c r="AP75" i="54"/>
  <c r="BQ18" i="40"/>
  <c r="BQ42" i="40"/>
  <c r="BQ17" i="40"/>
  <c r="BQ51" i="40"/>
  <c r="BQ54" i="40"/>
  <c r="BQ44" i="40"/>
  <c r="BQ53" i="40"/>
  <c r="BR16" i="40"/>
  <c r="A76" i="24"/>
  <c r="D106" i="7"/>
  <c r="AS48" i="40" l="1"/>
  <c r="AT48" i="40"/>
  <c r="AU48" i="40"/>
  <c r="AV48" i="40"/>
  <c r="AW48" i="40"/>
  <c r="AX48" i="40"/>
  <c r="AY48" i="40"/>
  <c r="AZ48" i="40"/>
  <c r="BA48" i="40"/>
  <c r="BB48" i="40"/>
  <c r="BC48" i="40"/>
  <c r="BD48" i="40"/>
  <c r="BE48" i="40"/>
  <c r="BF48" i="40"/>
  <c r="BG48" i="40"/>
  <c r="BH48" i="40"/>
  <c r="BI48" i="40"/>
  <c r="BJ48" i="40"/>
  <c r="BK48" i="40"/>
  <c r="BL48" i="40"/>
  <c r="BM48" i="40"/>
  <c r="BN48" i="40"/>
  <c r="BO48" i="40"/>
  <c r="BP48" i="40"/>
  <c r="BQ48" i="40"/>
  <c r="BR27" i="40"/>
  <c r="BR28" i="40"/>
  <c r="AQ78" i="24"/>
  <c r="AQ78" i="55"/>
  <c r="AQ78" i="54"/>
  <c r="BR56" i="40"/>
  <c r="AR78" i="46" s="1"/>
  <c r="BR20" i="40"/>
  <c r="BR19" i="40"/>
  <c r="BR29" i="40"/>
  <c r="BR31" i="40"/>
  <c r="BR32" i="40"/>
  <c r="BR30" i="40"/>
  <c r="BR25" i="40"/>
  <c r="BR26" i="40"/>
  <c r="BR48" i="40"/>
  <c r="BR24" i="40"/>
  <c r="BR21" i="40"/>
  <c r="BR22" i="40"/>
  <c r="BR23" i="40"/>
  <c r="G76" i="24"/>
  <c r="J105" i="24" s="1"/>
  <c r="AQ77" i="46"/>
  <c r="AQ77" i="24"/>
  <c r="AQ69" i="55"/>
  <c r="AQ69" i="54"/>
  <c r="AQ69" i="46"/>
  <c r="AQ69" i="24"/>
  <c r="AQ67" i="46"/>
  <c r="AQ67" i="54"/>
  <c r="AQ67" i="55"/>
  <c r="AQ67" i="24"/>
  <c r="AQ77" i="54"/>
  <c r="AQ77" i="55"/>
  <c r="BR55" i="40"/>
  <c r="BQ46" i="40"/>
  <c r="AQ71" i="46" s="1"/>
  <c r="BQ47" i="40"/>
  <c r="BN88" i="55"/>
  <c r="BM89" i="55"/>
  <c r="BN88" i="46"/>
  <c r="BM89" i="46"/>
  <c r="BN88" i="54"/>
  <c r="BM89" i="54"/>
  <c r="J76" i="46"/>
  <c r="J76" i="54"/>
  <c r="J76" i="55"/>
  <c r="J76" i="24"/>
  <c r="AS50" i="40"/>
  <c r="J74" i="24"/>
  <c r="J74" i="55"/>
  <c r="L74" i="55" s="1"/>
  <c r="G103" i="55" s="1"/>
  <c r="E103" i="55" s="1"/>
  <c r="J74" i="46"/>
  <c r="L74" i="46" s="1"/>
  <c r="G103" i="46" s="1"/>
  <c r="E103" i="46" s="1"/>
  <c r="J74" i="54"/>
  <c r="L74" i="54" s="1"/>
  <c r="G103" i="54" s="1"/>
  <c r="E103" i="54" s="1"/>
  <c r="AT50" i="40"/>
  <c r="AU50" i="40"/>
  <c r="AV50" i="40"/>
  <c r="AW50" i="40"/>
  <c r="AX50" i="40"/>
  <c r="AY50" i="40"/>
  <c r="AZ50" i="40"/>
  <c r="BA50" i="40"/>
  <c r="BB50" i="40"/>
  <c r="BC50" i="40"/>
  <c r="BD50" i="40"/>
  <c r="BE50" i="40"/>
  <c r="BF50" i="40"/>
  <c r="BG50" i="40"/>
  <c r="BH50" i="40"/>
  <c r="BI50" i="40"/>
  <c r="BJ50" i="40"/>
  <c r="BK50" i="40"/>
  <c r="BL50" i="40"/>
  <c r="BM50" i="40"/>
  <c r="BN50" i="40"/>
  <c r="BO50" i="40"/>
  <c r="BP50" i="40"/>
  <c r="BQ50" i="40"/>
  <c r="AS52" i="40"/>
  <c r="AT52" i="40"/>
  <c r="AU52" i="40"/>
  <c r="AV52" i="40"/>
  <c r="AW52" i="40"/>
  <c r="AX52" i="40"/>
  <c r="AY52" i="40"/>
  <c r="AZ52" i="40"/>
  <c r="BA52" i="40"/>
  <c r="BB52" i="40"/>
  <c r="BC52" i="40"/>
  <c r="BD52" i="40"/>
  <c r="BE52" i="40"/>
  <c r="BF52" i="40"/>
  <c r="BG52" i="40"/>
  <c r="BH52" i="40"/>
  <c r="BI52" i="40"/>
  <c r="BJ52" i="40"/>
  <c r="BK52" i="40"/>
  <c r="BL52" i="40"/>
  <c r="BM52" i="40"/>
  <c r="BN52" i="40"/>
  <c r="BO52" i="40"/>
  <c r="BP52" i="40"/>
  <c r="AS47" i="40"/>
  <c r="AT47" i="40"/>
  <c r="AU47" i="40"/>
  <c r="AV47" i="40"/>
  <c r="AW47" i="40"/>
  <c r="AX47" i="40"/>
  <c r="AY47" i="40"/>
  <c r="AZ47" i="40"/>
  <c r="BA47" i="40"/>
  <c r="BB47" i="40"/>
  <c r="BC47" i="40"/>
  <c r="BD47" i="40"/>
  <c r="BE47" i="40"/>
  <c r="BF47" i="40"/>
  <c r="BG47" i="40"/>
  <c r="BH47" i="40"/>
  <c r="BI47" i="40"/>
  <c r="BJ47" i="40"/>
  <c r="BK47" i="40"/>
  <c r="BL47" i="40"/>
  <c r="BM47" i="40"/>
  <c r="BN47" i="40"/>
  <c r="BO47" i="40"/>
  <c r="BP47" i="40"/>
  <c r="AS46" i="40"/>
  <c r="J71" i="24"/>
  <c r="J71" i="55"/>
  <c r="L71" i="55" s="1"/>
  <c r="G100" i="55" s="1"/>
  <c r="E100" i="55" s="1"/>
  <c r="J71" i="54"/>
  <c r="L71" i="54" s="1"/>
  <c r="G100" i="54" s="1"/>
  <c r="E100" i="54" s="1"/>
  <c r="J71" i="46"/>
  <c r="L71" i="46" s="1"/>
  <c r="G100" i="46" s="1"/>
  <c r="E100" i="46" s="1"/>
  <c r="AT46" i="40"/>
  <c r="AU46" i="40"/>
  <c r="AV46" i="40"/>
  <c r="AW46" i="40"/>
  <c r="AX46" i="40"/>
  <c r="AY46" i="40"/>
  <c r="AZ46" i="40"/>
  <c r="BA46" i="40"/>
  <c r="BB46" i="40"/>
  <c r="BC46" i="40"/>
  <c r="BD46" i="40"/>
  <c r="BE46" i="40"/>
  <c r="BF46" i="40"/>
  <c r="BG46" i="40"/>
  <c r="BH46" i="40"/>
  <c r="BI46" i="40"/>
  <c r="BJ46" i="40"/>
  <c r="BK46" i="40"/>
  <c r="BL46" i="40"/>
  <c r="BM46" i="40"/>
  <c r="BN46" i="40"/>
  <c r="BO46" i="40"/>
  <c r="BP46" i="40"/>
  <c r="AQ75" i="24"/>
  <c r="AQ75" i="46"/>
  <c r="AQ75" i="55"/>
  <c r="AQ75" i="54"/>
  <c r="BQ52" i="40"/>
  <c r="AS49" i="40"/>
  <c r="J73" i="24"/>
  <c r="J73" i="46"/>
  <c r="J73" i="54"/>
  <c r="J73" i="55"/>
  <c r="AT49" i="40"/>
  <c r="AU49" i="40"/>
  <c r="AV49" i="40"/>
  <c r="AW49" i="40"/>
  <c r="AX49" i="40"/>
  <c r="AY49" i="40"/>
  <c r="AZ49" i="40"/>
  <c r="BA49" i="40"/>
  <c r="BB49" i="40"/>
  <c r="BC49" i="40"/>
  <c r="BD49" i="40"/>
  <c r="BE49" i="40"/>
  <c r="BF49" i="40"/>
  <c r="BG49" i="40"/>
  <c r="BH49" i="40"/>
  <c r="BI49" i="40"/>
  <c r="BJ49" i="40"/>
  <c r="BK49" i="40"/>
  <c r="BL49" i="40"/>
  <c r="BM49" i="40"/>
  <c r="BN49" i="40"/>
  <c r="BO49" i="40"/>
  <c r="BP49" i="40"/>
  <c r="BQ49" i="40"/>
  <c r="AF22" i="1"/>
  <c r="H106" i="7"/>
  <c r="J106" i="7"/>
  <c r="BR42" i="40"/>
  <c r="BR18" i="40"/>
  <c r="BR17" i="40"/>
  <c r="BR50" i="40"/>
  <c r="BR51" i="40"/>
  <c r="BR49" i="40"/>
  <c r="BR46" i="40"/>
  <c r="BR52" i="40"/>
  <c r="BR47" i="40"/>
  <c r="BR54" i="40"/>
  <c r="BR44" i="40"/>
  <c r="BR53" i="40"/>
  <c r="BS16" i="40"/>
  <c r="AI53" i="40"/>
  <c r="AI52" i="40"/>
  <c r="AI50" i="40"/>
  <c r="AI49" i="40"/>
  <c r="AI47" i="40"/>
  <c r="AI46" i="40"/>
  <c r="AI45" i="40"/>
  <c r="AI41" i="40"/>
  <c r="AI17" i="40"/>
  <c r="S45" i="40"/>
  <c r="AM41" i="40"/>
  <c r="A94" i="24"/>
  <c r="A93" i="24"/>
  <c r="A92" i="24"/>
  <c r="A91" i="24"/>
  <c r="A105" i="24"/>
  <c r="G74" i="24"/>
  <c r="G72" i="24"/>
  <c r="G71" i="24"/>
  <c r="G70" i="24"/>
  <c r="C65" i="24"/>
  <c r="G65" i="24" s="1"/>
  <c r="C63" i="24"/>
  <c r="G63" i="24" s="1"/>
  <c r="D53" i="7"/>
  <c r="AH45" i="40" l="1"/>
  <c r="AR78" i="24"/>
  <c r="AR78" i="54"/>
  <c r="BS27" i="40"/>
  <c r="BS28" i="40"/>
  <c r="AR78" i="55"/>
  <c r="BS56" i="40"/>
  <c r="AS78" i="46" s="1"/>
  <c r="J101" i="24"/>
  <c r="D63" i="7"/>
  <c r="H63" i="7"/>
  <c r="J63" i="7"/>
  <c r="J94" i="24"/>
  <c r="J92" i="24"/>
  <c r="BS19" i="40"/>
  <c r="BS20" i="40"/>
  <c r="BS29" i="40"/>
  <c r="BS32" i="40"/>
  <c r="BS31" i="40"/>
  <c r="BS30" i="40"/>
  <c r="BS25" i="40"/>
  <c r="BS26" i="40"/>
  <c r="BS48" i="40"/>
  <c r="BS21" i="40"/>
  <c r="BS24" i="40"/>
  <c r="BS22" i="40"/>
  <c r="BS23" i="40"/>
  <c r="E72" i="24"/>
  <c r="S72" i="24" s="1"/>
  <c r="E72" i="55"/>
  <c r="AN72" i="55" s="1"/>
  <c r="E72" i="54"/>
  <c r="AD72" i="54" s="1"/>
  <c r="E72" i="46"/>
  <c r="AD72" i="46" s="1"/>
  <c r="E73" i="24"/>
  <c r="G73" i="24"/>
  <c r="AR77" i="46"/>
  <c r="AR77" i="24"/>
  <c r="D57" i="7"/>
  <c r="D59" i="7"/>
  <c r="D58" i="7"/>
  <c r="D54" i="7"/>
  <c r="D51" i="7"/>
  <c r="D55" i="7"/>
  <c r="F55" i="7"/>
  <c r="H55" i="7"/>
  <c r="J55" i="7"/>
  <c r="AQ71" i="55"/>
  <c r="H56" i="7"/>
  <c r="J56" i="7"/>
  <c r="F56" i="7"/>
  <c r="D56" i="7"/>
  <c r="D65" i="7"/>
  <c r="D62" i="7"/>
  <c r="D66" i="7"/>
  <c r="F66" i="7"/>
  <c r="H66" i="7"/>
  <c r="J66" i="7"/>
  <c r="D76" i="7"/>
  <c r="D73" i="7"/>
  <c r="D77" i="7"/>
  <c r="F77" i="7"/>
  <c r="H77" i="7"/>
  <c r="J77" i="7"/>
  <c r="AQ71" i="54"/>
  <c r="AR67" i="46"/>
  <c r="AR67" i="54"/>
  <c r="AR67" i="55"/>
  <c r="AR67" i="24"/>
  <c r="AR69" i="55"/>
  <c r="AR69" i="46"/>
  <c r="AR69" i="54"/>
  <c r="AR69" i="24"/>
  <c r="E76" i="54"/>
  <c r="E76" i="46"/>
  <c r="E76" i="55"/>
  <c r="AR76" i="55" s="1"/>
  <c r="E76" i="24"/>
  <c r="AR76" i="24" s="1"/>
  <c r="AR77" i="54"/>
  <c r="E61" i="24"/>
  <c r="E63" i="24" s="1"/>
  <c r="E61" i="54"/>
  <c r="E61" i="55"/>
  <c r="E61" i="46"/>
  <c r="AR77" i="55"/>
  <c r="BS55" i="40"/>
  <c r="J73" i="7"/>
  <c r="H73" i="7"/>
  <c r="F73" i="7"/>
  <c r="E73" i="55"/>
  <c r="AF73" i="55" s="1"/>
  <c r="E73" i="54"/>
  <c r="AM73" i="54" s="1"/>
  <c r="E73" i="46"/>
  <c r="AN73" i="46" s="1"/>
  <c r="F74" i="7"/>
  <c r="F52" i="7"/>
  <c r="J51" i="7"/>
  <c r="J54" i="7"/>
  <c r="H51" i="7"/>
  <c r="H54" i="7"/>
  <c r="F51" i="7"/>
  <c r="F54" i="7"/>
  <c r="F63" i="7"/>
  <c r="J76" i="7"/>
  <c r="H76" i="7"/>
  <c r="F76" i="7"/>
  <c r="J65" i="7"/>
  <c r="J62" i="7"/>
  <c r="H65" i="7"/>
  <c r="H62" i="7"/>
  <c r="F65" i="7"/>
  <c r="F62" i="7"/>
  <c r="BO88" i="46"/>
  <c r="BN89" i="46"/>
  <c r="BO88" i="54"/>
  <c r="BN89" i="54"/>
  <c r="BO88" i="55"/>
  <c r="BN89" i="55"/>
  <c r="AR74" i="55"/>
  <c r="AR74" i="46"/>
  <c r="AR74" i="54"/>
  <c r="AP71" i="54"/>
  <c r="AP71" i="55"/>
  <c r="AP71" i="46"/>
  <c r="AL71" i="46"/>
  <c r="AL71" i="55"/>
  <c r="AL71" i="54"/>
  <c r="AD71" i="54"/>
  <c r="AD71" i="55"/>
  <c r="AD71" i="46"/>
  <c r="V71" i="54"/>
  <c r="V71" i="46"/>
  <c r="V71" i="55"/>
  <c r="S71" i="55"/>
  <c r="S71" i="54"/>
  <c r="S71" i="46"/>
  <c r="AP74" i="46"/>
  <c r="AP74" i="55"/>
  <c r="AP74" i="54"/>
  <c r="AL74" i="54"/>
  <c r="AL74" i="46"/>
  <c r="AL74" i="55"/>
  <c r="AH74" i="54"/>
  <c r="AH74" i="55"/>
  <c r="AH74" i="46"/>
  <c r="AD74" i="54"/>
  <c r="AD74" i="46"/>
  <c r="AD74" i="55"/>
  <c r="Z74" i="46"/>
  <c r="Z74" i="54"/>
  <c r="Z74" i="55"/>
  <c r="V74" i="55"/>
  <c r="V74" i="54"/>
  <c r="V74" i="46"/>
  <c r="S74" i="46"/>
  <c r="S74" i="55"/>
  <c r="S74" i="54"/>
  <c r="AO71" i="55"/>
  <c r="AO71" i="46"/>
  <c r="AO71" i="54"/>
  <c r="AG71" i="46"/>
  <c r="AG71" i="54"/>
  <c r="AG71" i="55"/>
  <c r="AC71" i="46"/>
  <c r="AC71" i="55"/>
  <c r="AC71" i="54"/>
  <c r="Y71" i="55"/>
  <c r="Y71" i="46"/>
  <c r="Y71" i="54"/>
  <c r="AQ74" i="55"/>
  <c r="AQ74" i="46"/>
  <c r="AQ74" i="54"/>
  <c r="AO74" i="55"/>
  <c r="AO74" i="54"/>
  <c r="AO74" i="46"/>
  <c r="AK74" i="46"/>
  <c r="AK74" i="54"/>
  <c r="AK74" i="55"/>
  <c r="AG74" i="55"/>
  <c r="AG74" i="46"/>
  <c r="AG74" i="54"/>
  <c r="AC74" i="46"/>
  <c r="AC74" i="55"/>
  <c r="AC74" i="54"/>
  <c r="Y74" i="55"/>
  <c r="Y74" i="54"/>
  <c r="Y74" i="46"/>
  <c r="U74" i="55"/>
  <c r="U74" i="46"/>
  <c r="U74" i="54"/>
  <c r="H59" i="7"/>
  <c r="J59" i="7"/>
  <c r="H58" i="7"/>
  <c r="J58" i="7"/>
  <c r="H57" i="7"/>
  <c r="J57" i="7"/>
  <c r="F57" i="7"/>
  <c r="F59" i="7"/>
  <c r="F58" i="7"/>
  <c r="J70" i="24"/>
  <c r="J70" i="54"/>
  <c r="L70" i="54" s="1"/>
  <c r="G99" i="54" s="1"/>
  <c r="E99" i="54" s="1"/>
  <c r="J70" i="55"/>
  <c r="L70" i="55" s="1"/>
  <c r="G99" i="55" s="1"/>
  <c r="E99" i="55" s="1"/>
  <c r="J70" i="46"/>
  <c r="L70" i="46" s="1"/>
  <c r="G99" i="46" s="1"/>
  <c r="E99" i="46" s="1"/>
  <c r="AN71" i="46"/>
  <c r="AN71" i="55"/>
  <c r="AN71" i="54"/>
  <c r="AJ71" i="54"/>
  <c r="AJ71" i="46"/>
  <c r="AJ71" i="55"/>
  <c r="AF71" i="54"/>
  <c r="AF71" i="46"/>
  <c r="AF71" i="55"/>
  <c r="AB71" i="54"/>
  <c r="AB71" i="46"/>
  <c r="AB71" i="55"/>
  <c r="X71" i="55"/>
  <c r="X71" i="46"/>
  <c r="X71" i="54"/>
  <c r="T71" i="54"/>
  <c r="T71" i="46"/>
  <c r="T71" i="55"/>
  <c r="AN74" i="54"/>
  <c r="AN74" i="55"/>
  <c r="AN74" i="46"/>
  <c r="AJ74" i="55"/>
  <c r="AJ74" i="46"/>
  <c r="AJ74" i="54"/>
  <c r="AF74" i="55"/>
  <c r="AF74" i="54"/>
  <c r="AF74" i="46"/>
  <c r="AB74" i="54"/>
  <c r="AB74" i="46"/>
  <c r="AB74" i="55"/>
  <c r="X74" i="54"/>
  <c r="X74" i="46"/>
  <c r="X74" i="55"/>
  <c r="T74" i="54"/>
  <c r="T74" i="46"/>
  <c r="T74" i="55"/>
  <c r="AH71" i="46"/>
  <c r="AH71" i="54"/>
  <c r="AH71" i="55"/>
  <c r="Z71" i="46"/>
  <c r="Z71" i="55"/>
  <c r="Z71" i="54"/>
  <c r="AR71" i="55"/>
  <c r="AR71" i="54"/>
  <c r="AR71" i="46"/>
  <c r="AK71" i="46"/>
  <c r="AK71" i="55"/>
  <c r="AK71" i="54"/>
  <c r="U71" i="55"/>
  <c r="U71" i="54"/>
  <c r="U71" i="46"/>
  <c r="H53" i="7"/>
  <c r="J53" i="7"/>
  <c r="F53" i="7"/>
  <c r="AR75" i="24"/>
  <c r="AR75" i="46"/>
  <c r="AR75" i="55"/>
  <c r="AR75" i="54"/>
  <c r="AM71" i="46"/>
  <c r="AM71" i="55"/>
  <c r="AM71" i="54"/>
  <c r="AI71" i="55"/>
  <c r="AI71" i="54"/>
  <c r="AI71" i="46"/>
  <c r="AE71" i="54"/>
  <c r="AE71" i="55"/>
  <c r="AE71" i="46"/>
  <c r="AA71" i="46"/>
  <c r="AA71" i="54"/>
  <c r="AA71" i="55"/>
  <c r="W71" i="46"/>
  <c r="W71" i="55"/>
  <c r="W71" i="54"/>
  <c r="AM74" i="55"/>
  <c r="AM74" i="54"/>
  <c r="AM74" i="46"/>
  <c r="AI74" i="54"/>
  <c r="AI74" i="46"/>
  <c r="AI74" i="55"/>
  <c r="AE74" i="55"/>
  <c r="AE74" i="54"/>
  <c r="AE74" i="46"/>
  <c r="AA74" i="54"/>
  <c r="AA74" i="55"/>
  <c r="AA74" i="46"/>
  <c r="W74" i="46"/>
  <c r="W74" i="55"/>
  <c r="W74" i="54"/>
  <c r="AQ71" i="24"/>
  <c r="AM71" i="24"/>
  <c r="AI71" i="24"/>
  <c r="AE71" i="24"/>
  <c r="AA71" i="24"/>
  <c r="W71" i="24"/>
  <c r="AP71" i="24"/>
  <c r="AK71" i="24"/>
  <c r="AF71" i="24"/>
  <c r="Z71" i="24"/>
  <c r="U71" i="24"/>
  <c r="AO71" i="24"/>
  <c r="AJ71" i="24"/>
  <c r="AD71" i="24"/>
  <c r="Y71" i="24"/>
  <c r="T71" i="24"/>
  <c r="AN71" i="24"/>
  <c r="AH71" i="24"/>
  <c r="AC71" i="24"/>
  <c r="X71" i="24"/>
  <c r="AG71" i="24"/>
  <c r="AR71" i="24"/>
  <c r="AB71" i="24"/>
  <c r="V71" i="24"/>
  <c r="AL71" i="24"/>
  <c r="AO74" i="24"/>
  <c r="AK74" i="24"/>
  <c r="AG74" i="24"/>
  <c r="AC74" i="24"/>
  <c r="Y74" i="24"/>
  <c r="U74" i="24"/>
  <c r="AR74" i="24"/>
  <c r="AN74" i="24"/>
  <c r="AJ74" i="24"/>
  <c r="AF74" i="24"/>
  <c r="AB74" i="24"/>
  <c r="X74" i="24"/>
  <c r="T74" i="24"/>
  <c r="AQ74" i="24"/>
  <c r="AM74" i="24"/>
  <c r="AI74" i="24"/>
  <c r="AE74" i="24"/>
  <c r="AA74" i="24"/>
  <c r="W74" i="24"/>
  <c r="AH74" i="24"/>
  <c r="AD74" i="24"/>
  <c r="AP74" i="24"/>
  <c r="Z74" i="24"/>
  <c r="AL74" i="24"/>
  <c r="V74" i="24"/>
  <c r="S71" i="24"/>
  <c r="J100" i="24"/>
  <c r="S74" i="24"/>
  <c r="J103" i="24"/>
  <c r="J99" i="24"/>
  <c r="BS42" i="40"/>
  <c r="BS18" i="40"/>
  <c r="BS17" i="40"/>
  <c r="BS50" i="40"/>
  <c r="BS52" i="40"/>
  <c r="BS51" i="40"/>
  <c r="BS49" i="40"/>
  <c r="BS46" i="40"/>
  <c r="BS47" i="40"/>
  <c r="BS54" i="40"/>
  <c r="BS44" i="40"/>
  <c r="BS53" i="40"/>
  <c r="BT16" i="40"/>
  <c r="A99" i="24"/>
  <c r="A100" i="24"/>
  <c r="A101" i="24"/>
  <c r="A102" i="24"/>
  <c r="AK41" i="40"/>
  <c r="A103" i="24"/>
  <c r="AK17" i="40"/>
  <c r="AM17" i="40" s="1"/>
  <c r="J65" i="46" s="1"/>
  <c r="AJ17" i="40"/>
  <c r="AL17" i="40" s="1"/>
  <c r="J64" i="46" s="1"/>
  <c r="AV45" i="40" l="1"/>
  <c r="V70" i="24" s="1"/>
  <c r="BD45" i="40"/>
  <c r="AD70" i="24" s="1"/>
  <c r="BL45" i="40"/>
  <c r="AL70" i="24" s="1"/>
  <c r="BR45" i="40"/>
  <c r="AR70" i="46" s="1"/>
  <c r="AS45" i="40"/>
  <c r="S70" i="24" s="1"/>
  <c r="AW45" i="40"/>
  <c r="W70" i="24" s="1"/>
  <c r="BE45" i="40"/>
  <c r="AE70" i="24" s="1"/>
  <c r="BM45" i="40"/>
  <c r="AM70" i="24" s="1"/>
  <c r="AX45" i="40"/>
  <c r="BF45" i="40"/>
  <c r="AF70" i="24" s="1"/>
  <c r="BN45" i="40"/>
  <c r="AN70" i="24" s="1"/>
  <c r="BK45" i="40"/>
  <c r="AK70" i="54" s="1"/>
  <c r="AY45" i="40"/>
  <c r="Y70" i="24" s="1"/>
  <c r="BG45" i="40"/>
  <c r="AG70" i="24" s="1"/>
  <c r="BO45" i="40"/>
  <c r="AO70" i="24" s="1"/>
  <c r="AZ45" i="40"/>
  <c r="Z70" i="24" s="1"/>
  <c r="BH45" i="40"/>
  <c r="AH70" i="24" s="1"/>
  <c r="BP45" i="40"/>
  <c r="AP70" i="24" s="1"/>
  <c r="BS45" i="40"/>
  <c r="BA45" i="40"/>
  <c r="AA70" i="24" s="1"/>
  <c r="BI45" i="40"/>
  <c r="AI70" i="24" s="1"/>
  <c r="BQ45" i="40"/>
  <c r="AQ70" i="24" s="1"/>
  <c r="AU45" i="40"/>
  <c r="U70" i="46" s="1"/>
  <c r="AT45" i="40"/>
  <c r="T70" i="24" s="1"/>
  <c r="BB45" i="40"/>
  <c r="BJ45" i="40"/>
  <c r="AJ70" i="24" s="1"/>
  <c r="BC45" i="40"/>
  <c r="AS78" i="24"/>
  <c r="BT28" i="40"/>
  <c r="BT27" i="40"/>
  <c r="AS78" i="55"/>
  <c r="AS78" i="54"/>
  <c r="BT56" i="40"/>
  <c r="AT78" i="24" s="1"/>
  <c r="AR63" i="24"/>
  <c r="J64" i="54"/>
  <c r="J65" i="54"/>
  <c r="J64" i="24"/>
  <c r="J65" i="55"/>
  <c r="J64" i="55"/>
  <c r="J65" i="24"/>
  <c r="D50" i="7"/>
  <c r="AJ72" i="24"/>
  <c r="AR72" i="24"/>
  <c r="AQ72" i="55"/>
  <c r="AC72" i="54"/>
  <c r="T72" i="54"/>
  <c r="AG72" i="54"/>
  <c r="AB72" i="54"/>
  <c r="AO72" i="54"/>
  <c r="AK72" i="54"/>
  <c r="AI72" i="55"/>
  <c r="X72" i="55"/>
  <c r="AE72" i="24"/>
  <c r="AQ72" i="54"/>
  <c r="AE72" i="54"/>
  <c r="AK72" i="55"/>
  <c r="T72" i="55"/>
  <c r="AI72" i="54"/>
  <c r="AA72" i="55"/>
  <c r="S72" i="55"/>
  <c r="AM72" i="24"/>
  <c r="AM72" i="54"/>
  <c r="AB72" i="55"/>
  <c r="AS72" i="55"/>
  <c r="Z72" i="24"/>
  <c r="AL72" i="54"/>
  <c r="X72" i="54"/>
  <c r="AH72" i="55"/>
  <c r="AJ72" i="55"/>
  <c r="AO72" i="55"/>
  <c r="V72" i="55"/>
  <c r="AA72" i="54"/>
  <c r="AL72" i="55"/>
  <c r="AH72" i="24"/>
  <c r="AP72" i="54"/>
  <c r="AF72" i="54"/>
  <c r="AP72" i="55"/>
  <c r="AD72" i="55"/>
  <c r="AR72" i="55"/>
  <c r="AC72" i="55"/>
  <c r="U72" i="55"/>
  <c r="Y72" i="55"/>
  <c r="AF72" i="55"/>
  <c r="W72" i="55"/>
  <c r="AE72" i="55"/>
  <c r="AG72" i="55"/>
  <c r="Z72" i="55"/>
  <c r="AM72" i="55"/>
  <c r="U72" i="54"/>
  <c r="AJ72" i="54"/>
  <c r="AN72" i="54"/>
  <c r="S72" i="54"/>
  <c r="Z72" i="54"/>
  <c r="V72" i="54"/>
  <c r="AR72" i="54"/>
  <c r="Y72" i="54"/>
  <c r="AH72" i="54"/>
  <c r="W72" i="54"/>
  <c r="AG72" i="46"/>
  <c r="U72" i="46"/>
  <c r="AP72" i="46"/>
  <c r="AJ72" i="46"/>
  <c r="AE72" i="46"/>
  <c r="AN72" i="46"/>
  <c r="AO72" i="46"/>
  <c r="AL72" i="46"/>
  <c r="AI72" i="46"/>
  <c r="AK72" i="46"/>
  <c r="AM72" i="46"/>
  <c r="AC72" i="46"/>
  <c r="S72" i="46"/>
  <c r="Z72" i="46"/>
  <c r="V72" i="46"/>
  <c r="AR72" i="46"/>
  <c r="AQ72" i="46"/>
  <c r="T72" i="46"/>
  <c r="X72" i="46"/>
  <c r="Y72" i="46"/>
  <c r="AA72" i="46"/>
  <c r="AH72" i="46"/>
  <c r="AB72" i="46"/>
  <c r="W72" i="46"/>
  <c r="AF72" i="46"/>
  <c r="AS72" i="46"/>
  <c r="AS72" i="54"/>
  <c r="AS72" i="24"/>
  <c r="AL72" i="24"/>
  <c r="AG72" i="24"/>
  <c r="T72" i="24"/>
  <c r="W72" i="24"/>
  <c r="AO72" i="24"/>
  <c r="AB72" i="24"/>
  <c r="AP72" i="24"/>
  <c r="AF72" i="24"/>
  <c r="AA72" i="24"/>
  <c r="V72" i="24"/>
  <c r="AN72" i="24"/>
  <c r="AI72" i="24"/>
  <c r="AK72" i="24"/>
  <c r="X72" i="24"/>
  <c r="U72" i="24"/>
  <c r="AC72" i="24"/>
  <c r="AD72" i="24"/>
  <c r="Y72" i="24"/>
  <c r="AQ72" i="24"/>
  <c r="S63" i="24"/>
  <c r="T63" i="24"/>
  <c r="U63" i="24"/>
  <c r="V63" i="24"/>
  <c r="W63" i="24"/>
  <c r="X63" i="24"/>
  <c r="Y63" i="24"/>
  <c r="Z63" i="24"/>
  <c r="AA63" i="24"/>
  <c r="AB63" i="24"/>
  <c r="AC63" i="24"/>
  <c r="AD63" i="24"/>
  <c r="AE63" i="24"/>
  <c r="AF63" i="24"/>
  <c r="AG63" i="24"/>
  <c r="AH63" i="24"/>
  <c r="AI63" i="24"/>
  <c r="AJ63" i="24"/>
  <c r="AK63" i="24"/>
  <c r="AL63" i="24"/>
  <c r="AM63" i="24"/>
  <c r="AN63" i="24"/>
  <c r="AO63" i="24"/>
  <c r="AP63" i="24"/>
  <c r="AQ63" i="24"/>
  <c r="AS63" i="24"/>
  <c r="BT20" i="40"/>
  <c r="BT19" i="40"/>
  <c r="J62" i="54"/>
  <c r="J62" i="55"/>
  <c r="J62" i="46"/>
  <c r="J62" i="24"/>
  <c r="J63" i="24"/>
  <c r="J63" i="54"/>
  <c r="J63" i="46"/>
  <c r="J63" i="55"/>
  <c r="BT29" i="40"/>
  <c r="BT30" i="40"/>
  <c r="BT32" i="40"/>
  <c r="BT31" i="40"/>
  <c r="BT25" i="40"/>
  <c r="BT26" i="40"/>
  <c r="BT48" i="40"/>
  <c r="BT22" i="40"/>
  <c r="BT24" i="40"/>
  <c r="BT21" i="40"/>
  <c r="BT23" i="40"/>
  <c r="AS77" i="54"/>
  <c r="AS77" i="24"/>
  <c r="AS69" i="55"/>
  <c r="AS69" i="54"/>
  <c r="AS69" i="46"/>
  <c r="AS69" i="24"/>
  <c r="AS67" i="46"/>
  <c r="AS67" i="54"/>
  <c r="AS67" i="55"/>
  <c r="AS67" i="24"/>
  <c r="AS77" i="46"/>
  <c r="E65" i="46"/>
  <c r="E64" i="46"/>
  <c r="E65" i="54"/>
  <c r="E64" i="54"/>
  <c r="AS64" i="54" s="1"/>
  <c r="AS77" i="55"/>
  <c r="BT55" i="40"/>
  <c r="E65" i="55"/>
  <c r="E64" i="55"/>
  <c r="E63" i="55"/>
  <c r="E62" i="55"/>
  <c r="AS62" i="55" s="1"/>
  <c r="E63" i="54"/>
  <c r="E62" i="54"/>
  <c r="AS62" i="54" s="1"/>
  <c r="E65" i="24"/>
  <c r="E64" i="24"/>
  <c r="E63" i="46"/>
  <c r="E62" i="46"/>
  <c r="AS62" i="46" s="1"/>
  <c r="E62" i="24"/>
  <c r="AS62" i="24" s="1"/>
  <c r="AC73" i="55"/>
  <c r="BP88" i="54"/>
  <c r="BO89" i="54"/>
  <c r="BP88" i="55"/>
  <c r="BO89" i="55"/>
  <c r="BP88" i="46"/>
  <c r="BO89" i="46"/>
  <c r="AG73" i="55"/>
  <c r="AI73" i="55"/>
  <c r="AO73" i="55"/>
  <c r="V73" i="54"/>
  <c r="L72" i="55"/>
  <c r="G101" i="55" s="1"/>
  <c r="E101" i="55" s="1"/>
  <c r="AK73" i="55"/>
  <c r="T73" i="55"/>
  <c r="AR73" i="54"/>
  <c r="Y73" i="55"/>
  <c r="AO73" i="54"/>
  <c r="L73" i="55"/>
  <c r="G102" i="55" s="1"/>
  <c r="E102" i="55" s="1"/>
  <c r="AB73" i="54"/>
  <c r="AH73" i="54"/>
  <c r="AN73" i="54"/>
  <c r="Y73" i="54"/>
  <c r="AG73" i="54"/>
  <c r="AA73" i="54"/>
  <c r="S73" i="55"/>
  <c r="AL73" i="54"/>
  <c r="U73" i="54"/>
  <c r="AC73" i="54"/>
  <c r="AK73" i="54"/>
  <c r="AI73" i="54"/>
  <c r="AJ73" i="54"/>
  <c r="AD73" i="55"/>
  <c r="AE73" i="46"/>
  <c r="U73" i="46"/>
  <c r="AK73" i="46"/>
  <c r="AO73" i="46"/>
  <c r="J72" i="7"/>
  <c r="J94" i="7" s="1"/>
  <c r="AA73" i="55"/>
  <c r="AB73" i="55"/>
  <c r="V73" i="46"/>
  <c r="AH73" i="55"/>
  <c r="AP73" i="54"/>
  <c r="AQ73" i="55"/>
  <c r="W73" i="46"/>
  <c r="X73" i="55"/>
  <c r="U73" i="55"/>
  <c r="AI73" i="46"/>
  <c r="AJ73" i="55"/>
  <c r="Z73" i="46"/>
  <c r="AL73" i="46"/>
  <c r="AR73" i="55"/>
  <c r="W73" i="54"/>
  <c r="AF73" i="54"/>
  <c r="AS70" i="24"/>
  <c r="AS70" i="46"/>
  <c r="AS70" i="54"/>
  <c r="AS70" i="55"/>
  <c r="AS74" i="24"/>
  <c r="AS74" i="54"/>
  <c r="AS74" i="46"/>
  <c r="AS74" i="55"/>
  <c r="AI76" i="46"/>
  <c r="AL76" i="46"/>
  <c r="AN76" i="46"/>
  <c r="AK76" i="46"/>
  <c r="AA76" i="46"/>
  <c r="AC76" i="46"/>
  <c r="AD76" i="46"/>
  <c r="AH76" i="46"/>
  <c r="U76" i="46"/>
  <c r="V76" i="46"/>
  <c r="AO76" i="46"/>
  <c r="AJ76" i="46"/>
  <c r="X76" i="46"/>
  <c r="AB76" i="46"/>
  <c r="L76" i="46"/>
  <c r="G105" i="46" s="1"/>
  <c r="E105" i="46" s="1"/>
  <c r="S76" i="46"/>
  <c r="T76" i="46"/>
  <c r="AG76" i="46"/>
  <c r="Y76" i="46"/>
  <c r="W76" i="46"/>
  <c r="AM76" i="46"/>
  <c r="AP76" i="46"/>
  <c r="AF76" i="46"/>
  <c r="Z76" i="46"/>
  <c r="AE76" i="46"/>
  <c r="AQ76" i="46"/>
  <c r="J50" i="7"/>
  <c r="J84" i="7" s="1"/>
  <c r="AC70" i="46"/>
  <c r="AC70" i="55"/>
  <c r="AC70" i="54"/>
  <c r="AS71" i="24"/>
  <c r="AS71" i="46"/>
  <c r="AS71" i="54"/>
  <c r="AS71" i="55"/>
  <c r="AH76" i="55"/>
  <c r="L76" i="55"/>
  <c r="G105" i="55" s="1"/>
  <c r="E105" i="55" s="1"/>
  <c r="AB76" i="55"/>
  <c r="AI76" i="55"/>
  <c r="U76" i="55"/>
  <c r="S76" i="55"/>
  <c r="V76" i="55"/>
  <c r="AJ76" i="55"/>
  <c r="AN76" i="55"/>
  <c r="AG76" i="55"/>
  <c r="AM76" i="55"/>
  <c r="AP76" i="55"/>
  <c r="AC76" i="55"/>
  <c r="AD76" i="55"/>
  <c r="AF76" i="55"/>
  <c r="AE76" i="55"/>
  <c r="AA76" i="55"/>
  <c r="AO76" i="55"/>
  <c r="X76" i="55"/>
  <c r="Z76" i="55"/>
  <c r="AK76" i="55"/>
  <c r="AL76" i="55"/>
  <c r="Y76" i="55"/>
  <c r="T76" i="55"/>
  <c r="W76" i="55"/>
  <c r="AQ76" i="55"/>
  <c r="T73" i="46"/>
  <c r="AB73" i="46"/>
  <c r="AJ73" i="46"/>
  <c r="AN70" i="46"/>
  <c r="AN70" i="55"/>
  <c r="AN70" i="54"/>
  <c r="AF70" i="46"/>
  <c r="AF70" i="54"/>
  <c r="AF70" i="55"/>
  <c r="X70" i="46"/>
  <c r="X70" i="54"/>
  <c r="X70" i="55"/>
  <c r="AM73" i="46"/>
  <c r="AS73" i="54"/>
  <c r="AS73" i="46"/>
  <c r="AS73" i="55"/>
  <c r="X70" i="24"/>
  <c r="L73" i="46"/>
  <c r="G102" i="46" s="1"/>
  <c r="E102" i="46" s="1"/>
  <c r="AG73" i="46"/>
  <c r="L76" i="54"/>
  <c r="G105" i="54" s="1"/>
  <c r="E105" i="54" s="1"/>
  <c r="X76" i="54"/>
  <c r="AB76" i="54"/>
  <c r="AF76" i="54"/>
  <c r="AH76" i="54"/>
  <c r="AG76" i="54"/>
  <c r="AI76" i="54"/>
  <c r="AA76" i="54"/>
  <c r="S76" i="54"/>
  <c r="AN76" i="54"/>
  <c r="AK76" i="54"/>
  <c r="Z76" i="54"/>
  <c r="U76" i="54"/>
  <c r="Y76" i="54"/>
  <c r="V76" i="54"/>
  <c r="W76" i="54"/>
  <c r="AJ76" i="54"/>
  <c r="AM76" i="54"/>
  <c r="AP76" i="54"/>
  <c r="AC76" i="54"/>
  <c r="AD76" i="54"/>
  <c r="AL76" i="54"/>
  <c r="AE76" i="54"/>
  <c r="T76" i="54"/>
  <c r="AO76" i="54"/>
  <c r="AQ76" i="54"/>
  <c r="AA73" i="46"/>
  <c r="H50" i="7"/>
  <c r="H84" i="7" s="1"/>
  <c r="L72" i="46"/>
  <c r="G101" i="46" s="1"/>
  <c r="E101" i="46" s="1"/>
  <c r="L73" i="54"/>
  <c r="G102" i="54" s="1"/>
  <c r="E102" i="54" s="1"/>
  <c r="Z73" i="55"/>
  <c r="AD73" i="54"/>
  <c r="AH73" i="46"/>
  <c r="AP73" i="55"/>
  <c r="AQ73" i="54"/>
  <c r="AR73" i="46"/>
  <c r="AR76" i="54"/>
  <c r="AI70" i="54"/>
  <c r="AA70" i="55"/>
  <c r="AA70" i="54"/>
  <c r="J61" i="7"/>
  <c r="J90" i="7" s="1"/>
  <c r="AE73" i="55"/>
  <c r="AM73" i="55"/>
  <c r="X73" i="54"/>
  <c r="AN73" i="55"/>
  <c r="AS76" i="24"/>
  <c r="AS76" i="55"/>
  <c r="AS76" i="54"/>
  <c r="AS76" i="46"/>
  <c r="AS75" i="24"/>
  <c r="AS75" i="46"/>
  <c r="AS75" i="55"/>
  <c r="AS75" i="54"/>
  <c r="Y70" i="46"/>
  <c r="Y70" i="55"/>
  <c r="AC70" i="24"/>
  <c r="S73" i="46"/>
  <c r="AJ70" i="46"/>
  <c r="AJ70" i="54"/>
  <c r="AJ70" i="55"/>
  <c r="AB70" i="46"/>
  <c r="AB70" i="55"/>
  <c r="AB70" i="54"/>
  <c r="X73" i="46"/>
  <c r="AF73" i="46"/>
  <c r="AB70" i="24"/>
  <c r="Y73" i="46"/>
  <c r="AC73" i="46"/>
  <c r="AO76" i="24"/>
  <c r="AJ76" i="24"/>
  <c r="AM76" i="24"/>
  <c r="AN76" i="24"/>
  <c r="AP76" i="24"/>
  <c r="AC76" i="24"/>
  <c r="AK76" i="24"/>
  <c r="AD76" i="24"/>
  <c r="AF76" i="24"/>
  <c r="Z76" i="24"/>
  <c r="U76" i="24"/>
  <c r="AE76" i="24"/>
  <c r="AA76" i="24"/>
  <c r="Y76" i="24"/>
  <c r="S76" i="24"/>
  <c r="T76" i="24"/>
  <c r="V76" i="24"/>
  <c r="W76" i="24"/>
  <c r="AG76" i="24"/>
  <c r="X76" i="24"/>
  <c r="AI76" i="24"/>
  <c r="AL76" i="24"/>
  <c r="AH76" i="24"/>
  <c r="AB76" i="24"/>
  <c r="AQ76" i="24"/>
  <c r="H72" i="7"/>
  <c r="H94" i="7" s="1"/>
  <c r="T73" i="54"/>
  <c r="S73" i="54"/>
  <c r="V73" i="55"/>
  <c r="Z73" i="54"/>
  <c r="AD73" i="46"/>
  <c r="AL73" i="55"/>
  <c r="AP73" i="46"/>
  <c r="AQ73" i="46"/>
  <c r="AR76" i="46"/>
  <c r="AP70" i="46"/>
  <c r="AP70" i="55"/>
  <c r="AP70" i="54"/>
  <c r="AL70" i="46"/>
  <c r="AL70" i="55"/>
  <c r="AL70" i="54"/>
  <c r="AH70" i="46"/>
  <c r="AH70" i="54"/>
  <c r="AH70" i="55"/>
  <c r="AD70" i="46"/>
  <c r="AD70" i="55"/>
  <c r="AD70" i="54"/>
  <c r="V70" i="46"/>
  <c r="V70" i="54"/>
  <c r="V70" i="55"/>
  <c r="S70" i="46"/>
  <c r="H61" i="7"/>
  <c r="H90" i="7" s="1"/>
  <c r="L72" i="54"/>
  <c r="G101" i="54" s="1"/>
  <c r="E101" i="54" s="1"/>
  <c r="W73" i="55"/>
  <c r="AE73" i="54"/>
  <c r="AQ73" i="24"/>
  <c r="AM73" i="24"/>
  <c r="AI73" i="24"/>
  <c r="AE73" i="24"/>
  <c r="AA73" i="24"/>
  <c r="W73" i="24"/>
  <c r="AP73" i="24"/>
  <c r="AL73" i="24"/>
  <c r="AH73" i="24"/>
  <c r="AD73" i="24"/>
  <c r="Z73" i="24"/>
  <c r="V73" i="24"/>
  <c r="AS73" i="24"/>
  <c r="AO73" i="24"/>
  <c r="AK73" i="24"/>
  <c r="AG73" i="24"/>
  <c r="AC73" i="24"/>
  <c r="Y73" i="24"/>
  <c r="U73" i="24"/>
  <c r="AJ73" i="24"/>
  <c r="T73" i="24"/>
  <c r="AF73" i="24"/>
  <c r="AR73" i="24"/>
  <c r="AB73" i="24"/>
  <c r="X73" i="24"/>
  <c r="AN73" i="24"/>
  <c r="S73" i="24"/>
  <c r="J102" i="24"/>
  <c r="BT17" i="40"/>
  <c r="BT42" i="40"/>
  <c r="BT18" i="40"/>
  <c r="BT51" i="40"/>
  <c r="BT52" i="40"/>
  <c r="BT47" i="40"/>
  <c r="BT49" i="40"/>
  <c r="BT50" i="40"/>
  <c r="BT46" i="40"/>
  <c r="BT45" i="40"/>
  <c r="BT54" i="40"/>
  <c r="BT44" i="40"/>
  <c r="BT53" i="40"/>
  <c r="S89" i="24"/>
  <c r="P88" i="24"/>
  <c r="BU16" i="40"/>
  <c r="Y70" i="54" l="1"/>
  <c r="S70" i="54"/>
  <c r="AK70" i="55"/>
  <c r="AR70" i="54"/>
  <c r="AA70" i="46"/>
  <c r="AK70" i="24"/>
  <c r="AR70" i="55"/>
  <c r="AK70" i="46"/>
  <c r="AR70" i="24"/>
  <c r="AQ70" i="55"/>
  <c r="AQ70" i="46"/>
  <c r="U70" i="55"/>
  <c r="U70" i="54"/>
  <c r="AE70" i="54"/>
  <c r="AE70" i="55"/>
  <c r="U70" i="24"/>
  <c r="AG70" i="54"/>
  <c r="W70" i="55"/>
  <c r="AI70" i="55"/>
  <c r="AG70" i="55"/>
  <c r="W70" i="54"/>
  <c r="S70" i="55"/>
  <c r="AG70" i="46"/>
  <c r="W70" i="46"/>
  <c r="AI70" i="46"/>
  <c r="AQ70" i="54"/>
  <c r="AO70" i="54"/>
  <c r="AE70" i="46"/>
  <c r="AO70" i="46"/>
  <c r="AO70" i="55"/>
  <c r="T70" i="46"/>
  <c r="AM70" i="54"/>
  <c r="Z70" i="55"/>
  <c r="AM70" i="55"/>
  <c r="Z70" i="54"/>
  <c r="T70" i="54"/>
  <c r="AM70" i="46"/>
  <c r="Z70" i="46"/>
  <c r="T70" i="55"/>
  <c r="AT78" i="54"/>
  <c r="AT78" i="55"/>
  <c r="AT78" i="46"/>
  <c r="BU28" i="40"/>
  <c r="BU27" i="40"/>
  <c r="BU56" i="40"/>
  <c r="AU78" i="55" s="1"/>
  <c r="AT72" i="54"/>
  <c r="AT72" i="55"/>
  <c r="AT72" i="24"/>
  <c r="AT72" i="46"/>
  <c r="S63" i="46"/>
  <c r="T63" i="46"/>
  <c r="U63" i="46"/>
  <c r="V63" i="46"/>
  <c r="W63" i="46"/>
  <c r="X63" i="46"/>
  <c r="Y63" i="46"/>
  <c r="Z63" i="46"/>
  <c r="AA63" i="46"/>
  <c r="AB63" i="46"/>
  <c r="AC63" i="46"/>
  <c r="AD63" i="46"/>
  <c r="AE63" i="46"/>
  <c r="AF63" i="46"/>
  <c r="AG63" i="46"/>
  <c r="AH63" i="46"/>
  <c r="AI63" i="46"/>
  <c r="AJ63" i="46"/>
  <c r="AK63" i="46"/>
  <c r="AL63" i="46"/>
  <c r="AM63" i="46"/>
  <c r="AN63" i="46"/>
  <c r="AO63" i="46"/>
  <c r="AP63" i="46"/>
  <c r="AQ63" i="46"/>
  <c r="AR63" i="46"/>
  <c r="L65" i="46"/>
  <c r="G94" i="46" s="1"/>
  <c r="E94" i="46" s="1"/>
  <c r="S65" i="46"/>
  <c r="T65" i="46"/>
  <c r="U65" i="46"/>
  <c r="V65" i="46"/>
  <c r="W65" i="46"/>
  <c r="X65" i="46"/>
  <c r="Y65" i="46"/>
  <c r="Z65" i="46"/>
  <c r="AA65" i="46"/>
  <c r="AB65" i="46"/>
  <c r="AC65" i="46"/>
  <c r="AD65" i="46"/>
  <c r="AE65" i="46"/>
  <c r="AF65" i="46"/>
  <c r="AG65" i="46"/>
  <c r="AH65" i="46"/>
  <c r="AI65" i="46"/>
  <c r="AJ65" i="46"/>
  <c r="AK65" i="46"/>
  <c r="AL65" i="46"/>
  <c r="AM65" i="46"/>
  <c r="AN65" i="46"/>
  <c r="AO65" i="46"/>
  <c r="AP65" i="46"/>
  <c r="AQ65" i="46"/>
  <c r="AR65" i="46"/>
  <c r="AS65" i="46"/>
  <c r="S65" i="54"/>
  <c r="T65" i="54"/>
  <c r="U65" i="54"/>
  <c r="V65" i="54"/>
  <c r="W65" i="54"/>
  <c r="X65" i="54"/>
  <c r="Y65" i="54"/>
  <c r="Z65" i="54"/>
  <c r="AA65" i="54"/>
  <c r="AB65" i="54"/>
  <c r="AC65" i="54"/>
  <c r="AD65" i="54"/>
  <c r="AE65" i="54"/>
  <c r="AF65" i="54"/>
  <c r="AG65" i="54"/>
  <c r="AH65" i="54"/>
  <c r="AI65" i="54"/>
  <c r="AJ65" i="54"/>
  <c r="AK65" i="54"/>
  <c r="AL65" i="54"/>
  <c r="AM65" i="54"/>
  <c r="AN65" i="54"/>
  <c r="AO65" i="54"/>
  <c r="AP65" i="54"/>
  <c r="AQ65" i="54"/>
  <c r="AR65" i="54"/>
  <c r="S63" i="54"/>
  <c r="T63" i="54"/>
  <c r="U63" i="54"/>
  <c r="V63" i="54"/>
  <c r="W63" i="54"/>
  <c r="X63" i="54"/>
  <c r="Y63" i="54"/>
  <c r="Z63" i="54"/>
  <c r="AA63" i="54"/>
  <c r="AB63" i="54"/>
  <c r="AC63" i="54"/>
  <c r="AD63" i="54"/>
  <c r="AE63" i="54"/>
  <c r="AF63" i="54"/>
  <c r="AG63" i="54"/>
  <c r="AH63" i="54"/>
  <c r="AI63" i="54"/>
  <c r="AJ63" i="54"/>
  <c r="AK63" i="54"/>
  <c r="AL63" i="54"/>
  <c r="AM63" i="54"/>
  <c r="AN63" i="54"/>
  <c r="AO63" i="54"/>
  <c r="AP63" i="54"/>
  <c r="AQ63" i="54"/>
  <c r="AR63" i="54"/>
  <c r="AS63" i="54"/>
  <c r="S64" i="46"/>
  <c r="T64" i="46"/>
  <c r="U64" i="46"/>
  <c r="V64" i="46"/>
  <c r="W64" i="46"/>
  <c r="X64" i="46"/>
  <c r="Y64" i="46"/>
  <c r="Z64" i="46"/>
  <c r="AA64" i="46"/>
  <c r="AB64" i="46"/>
  <c r="AC64" i="46"/>
  <c r="AD64" i="46"/>
  <c r="AE64" i="46"/>
  <c r="AF64" i="46"/>
  <c r="AG64" i="46"/>
  <c r="AH64" i="46"/>
  <c r="AI64" i="46"/>
  <c r="AJ64" i="46"/>
  <c r="AK64" i="46"/>
  <c r="AL64" i="46"/>
  <c r="AM64" i="46"/>
  <c r="AN64" i="46"/>
  <c r="AO64" i="46"/>
  <c r="AP64" i="46"/>
  <c r="AQ64" i="46"/>
  <c r="AR64" i="46"/>
  <c r="AS63" i="46"/>
  <c r="AS65" i="54"/>
  <c r="S62" i="46"/>
  <c r="T62" i="46"/>
  <c r="U62" i="46"/>
  <c r="V62" i="46"/>
  <c r="W62" i="46"/>
  <c r="X62" i="46"/>
  <c r="Y62" i="46"/>
  <c r="Z62" i="46"/>
  <c r="AA62" i="46"/>
  <c r="AB62" i="46"/>
  <c r="AC62" i="46"/>
  <c r="AD62" i="46"/>
  <c r="AE62" i="46"/>
  <c r="AF62" i="46"/>
  <c r="AG62" i="46"/>
  <c r="AH62" i="46"/>
  <c r="AI62" i="46"/>
  <c r="AJ62" i="46"/>
  <c r="AK62" i="46"/>
  <c r="AL62" i="46"/>
  <c r="AM62" i="46"/>
  <c r="AN62" i="46"/>
  <c r="AO62" i="46"/>
  <c r="AP62" i="46"/>
  <c r="AQ62" i="46"/>
  <c r="AR62" i="46"/>
  <c r="S62" i="54"/>
  <c r="T62" i="54"/>
  <c r="U62" i="54"/>
  <c r="V62" i="54"/>
  <c r="W62" i="54"/>
  <c r="X62" i="54"/>
  <c r="Y62" i="54"/>
  <c r="Z62" i="54"/>
  <c r="AA62" i="54"/>
  <c r="AB62" i="54"/>
  <c r="AC62" i="54"/>
  <c r="AD62" i="54"/>
  <c r="AE62" i="54"/>
  <c r="AF62" i="54"/>
  <c r="AG62" i="54"/>
  <c r="AH62" i="54"/>
  <c r="AI62" i="54"/>
  <c r="AJ62" i="54"/>
  <c r="AK62" i="54"/>
  <c r="AL62" i="54"/>
  <c r="AM62" i="54"/>
  <c r="AN62" i="54"/>
  <c r="AO62" i="54"/>
  <c r="AP62" i="54"/>
  <c r="AQ62" i="54"/>
  <c r="AR62" i="54"/>
  <c r="S64" i="54"/>
  <c r="T64" i="54"/>
  <c r="U64" i="54"/>
  <c r="V64" i="54"/>
  <c r="W64" i="54"/>
  <c r="X64" i="54"/>
  <c r="Y64" i="54"/>
  <c r="Z64" i="54"/>
  <c r="AA64" i="54"/>
  <c r="AB64" i="54"/>
  <c r="AC64" i="54"/>
  <c r="AD64" i="54"/>
  <c r="AE64" i="54"/>
  <c r="AF64" i="54"/>
  <c r="AG64" i="54"/>
  <c r="AH64" i="54"/>
  <c r="AI64" i="54"/>
  <c r="AJ64" i="54"/>
  <c r="AK64" i="54"/>
  <c r="AL64" i="54"/>
  <c r="AM64" i="54"/>
  <c r="AN64" i="54"/>
  <c r="AO64" i="54"/>
  <c r="AP64" i="54"/>
  <c r="AQ64" i="54"/>
  <c r="AR64" i="54"/>
  <c r="AS64" i="46"/>
  <c r="S62" i="55"/>
  <c r="T62" i="55"/>
  <c r="U62" i="55"/>
  <c r="V62" i="55"/>
  <c r="W62" i="55"/>
  <c r="X62" i="55"/>
  <c r="Y62" i="55"/>
  <c r="Z62" i="55"/>
  <c r="AA62" i="55"/>
  <c r="AB62" i="55"/>
  <c r="AC62" i="55"/>
  <c r="AD62" i="55"/>
  <c r="AE62" i="55"/>
  <c r="AF62" i="55"/>
  <c r="AG62" i="55"/>
  <c r="AH62" i="55"/>
  <c r="AI62" i="55"/>
  <c r="AJ62" i="55"/>
  <c r="AK62" i="55"/>
  <c r="AL62" i="55"/>
  <c r="AM62" i="55"/>
  <c r="AN62" i="55"/>
  <c r="AO62" i="55"/>
  <c r="AP62" i="55"/>
  <c r="AQ62" i="55"/>
  <c r="AR62" i="55"/>
  <c r="S64" i="55"/>
  <c r="T64" i="55"/>
  <c r="U64" i="55"/>
  <c r="V64" i="55"/>
  <c r="W64" i="55"/>
  <c r="X64" i="55"/>
  <c r="Y64" i="55"/>
  <c r="Z64" i="55"/>
  <c r="AA64" i="55"/>
  <c r="AB64" i="55"/>
  <c r="AC64" i="55"/>
  <c r="AD64" i="55"/>
  <c r="AE64" i="55"/>
  <c r="AF64" i="55"/>
  <c r="AG64" i="55"/>
  <c r="AH64" i="55"/>
  <c r="AI64" i="55"/>
  <c r="AJ64" i="55"/>
  <c r="AK64" i="55"/>
  <c r="AL64" i="55"/>
  <c r="AM64" i="55"/>
  <c r="AN64" i="55"/>
  <c r="AO64" i="55"/>
  <c r="AP64" i="55"/>
  <c r="AQ64" i="55"/>
  <c r="AR64" i="55"/>
  <c r="S65" i="55"/>
  <c r="T65" i="55"/>
  <c r="U65" i="55"/>
  <c r="V65" i="55"/>
  <c r="W65" i="55"/>
  <c r="X65" i="55"/>
  <c r="Y65" i="55"/>
  <c r="Z65" i="55"/>
  <c r="AA65" i="55"/>
  <c r="AB65" i="55"/>
  <c r="AC65" i="55"/>
  <c r="AD65" i="55"/>
  <c r="AE65" i="55"/>
  <c r="AF65" i="55"/>
  <c r="AG65" i="55"/>
  <c r="AH65" i="55"/>
  <c r="AI65" i="55"/>
  <c r="AJ65" i="55"/>
  <c r="AK65" i="55"/>
  <c r="AL65" i="55"/>
  <c r="AM65" i="55"/>
  <c r="AN65" i="55"/>
  <c r="AO65" i="55"/>
  <c r="AP65" i="55"/>
  <c r="AQ65" i="55"/>
  <c r="AR65" i="55"/>
  <c r="AS64" i="55"/>
  <c r="S63" i="55"/>
  <c r="T63" i="55"/>
  <c r="U63" i="55"/>
  <c r="V63" i="55"/>
  <c r="W63" i="55"/>
  <c r="X63" i="55"/>
  <c r="Y63" i="55"/>
  <c r="Z63" i="55"/>
  <c r="AA63" i="55"/>
  <c r="AB63" i="55"/>
  <c r="AC63" i="55"/>
  <c r="AD63" i="55"/>
  <c r="AE63" i="55"/>
  <c r="AF63" i="55"/>
  <c r="AG63" i="55"/>
  <c r="AH63" i="55"/>
  <c r="AI63" i="55"/>
  <c r="AJ63" i="55"/>
  <c r="AK63" i="55"/>
  <c r="AL63" i="55"/>
  <c r="AM63" i="55"/>
  <c r="AN63" i="55"/>
  <c r="AO63" i="55"/>
  <c r="AP63" i="55"/>
  <c r="AQ63" i="55"/>
  <c r="AR63" i="55"/>
  <c r="AS63" i="55"/>
  <c r="AS65" i="55"/>
  <c r="AT64" i="55"/>
  <c r="AT63" i="55"/>
  <c r="AT65" i="55"/>
  <c r="AT62" i="55"/>
  <c r="AT64" i="54"/>
  <c r="AT62" i="54"/>
  <c r="AT65" i="54"/>
  <c r="AT63" i="54"/>
  <c r="AT64" i="46"/>
  <c r="AT62" i="46"/>
  <c r="AT65" i="46"/>
  <c r="AT63" i="46"/>
  <c r="S64" i="24"/>
  <c r="T64" i="24"/>
  <c r="U64" i="24"/>
  <c r="V64" i="24"/>
  <c r="W64" i="24"/>
  <c r="X64" i="24"/>
  <c r="Y64" i="24"/>
  <c r="Z64" i="24"/>
  <c r="AA64" i="24"/>
  <c r="AB64" i="24"/>
  <c r="AC64" i="24"/>
  <c r="AD64" i="24"/>
  <c r="AE64" i="24"/>
  <c r="AF64" i="24"/>
  <c r="AG64" i="24"/>
  <c r="AH64" i="24"/>
  <c r="AI64" i="24"/>
  <c r="AJ64" i="24"/>
  <c r="AK64" i="24"/>
  <c r="AL64" i="24"/>
  <c r="AM64" i="24"/>
  <c r="AN64" i="24"/>
  <c r="AO64" i="24"/>
  <c r="AP64" i="24"/>
  <c r="AQ64" i="24"/>
  <c r="AR64" i="24"/>
  <c r="S65" i="24"/>
  <c r="T65" i="24"/>
  <c r="U65" i="24"/>
  <c r="V65" i="24"/>
  <c r="W65" i="24"/>
  <c r="X65" i="24"/>
  <c r="Y65" i="24"/>
  <c r="Z65" i="24"/>
  <c r="AA65" i="24"/>
  <c r="AB65" i="24"/>
  <c r="AC65" i="24"/>
  <c r="AD65" i="24"/>
  <c r="AE65" i="24"/>
  <c r="AF65" i="24"/>
  <c r="AG65" i="24"/>
  <c r="AH65" i="24"/>
  <c r="AI65" i="24"/>
  <c r="AJ65" i="24"/>
  <c r="AK65" i="24"/>
  <c r="AL65" i="24"/>
  <c r="AM65" i="24"/>
  <c r="AN65" i="24"/>
  <c r="AO65" i="24"/>
  <c r="AP65" i="24"/>
  <c r="AQ65" i="24"/>
  <c r="AR65" i="24"/>
  <c r="AS65" i="24"/>
  <c r="S62" i="24"/>
  <c r="T62" i="24"/>
  <c r="U62" i="24"/>
  <c r="V62" i="24"/>
  <c r="W62" i="24"/>
  <c r="X62" i="24"/>
  <c r="Y62" i="24"/>
  <c r="Z62" i="24"/>
  <c r="AA62" i="24"/>
  <c r="AB62" i="24"/>
  <c r="AC62" i="24"/>
  <c r="AD62" i="24"/>
  <c r="AE62" i="24"/>
  <c r="AF62" i="24"/>
  <c r="AG62" i="24"/>
  <c r="AH62" i="24"/>
  <c r="AI62" i="24"/>
  <c r="AJ62" i="24"/>
  <c r="AK62" i="24"/>
  <c r="AL62" i="24"/>
  <c r="AM62" i="24"/>
  <c r="AN62" i="24"/>
  <c r="AO62" i="24"/>
  <c r="AP62" i="24"/>
  <c r="AQ62" i="24"/>
  <c r="AR62" i="24"/>
  <c r="AS64" i="24"/>
  <c r="AT63" i="24"/>
  <c r="AT62" i="24"/>
  <c r="AT65" i="24"/>
  <c r="AT64" i="24"/>
  <c r="BU19" i="40"/>
  <c r="BU20" i="40"/>
  <c r="BU29" i="40"/>
  <c r="BU31" i="40"/>
  <c r="BU32" i="40"/>
  <c r="BU30" i="40"/>
  <c r="BU25" i="40"/>
  <c r="BU26" i="40"/>
  <c r="BU48" i="40"/>
  <c r="BU22" i="40"/>
  <c r="BU21" i="40"/>
  <c r="BU24" i="40"/>
  <c r="BU23" i="40"/>
  <c r="AT77" i="46"/>
  <c r="AT77" i="24"/>
  <c r="L64" i="46"/>
  <c r="G93" i="46" s="1"/>
  <c r="E93" i="46" s="1"/>
  <c r="AT67" i="54"/>
  <c r="AT67" i="46"/>
  <c r="AT67" i="55"/>
  <c r="AT67" i="24"/>
  <c r="AT69" i="54"/>
  <c r="AT69" i="46"/>
  <c r="AT69" i="55"/>
  <c r="AT69" i="24"/>
  <c r="L62" i="54"/>
  <c r="L64" i="54"/>
  <c r="G93" i="54" s="1"/>
  <c r="E93" i="54" s="1"/>
  <c r="L65" i="54"/>
  <c r="G94" i="54" s="1"/>
  <c r="E94" i="54" s="1"/>
  <c r="AT77" i="54"/>
  <c r="AT77" i="55"/>
  <c r="BU55" i="40"/>
  <c r="L63" i="55"/>
  <c r="G92" i="55" s="1"/>
  <c r="E92" i="55" s="1"/>
  <c r="L65" i="55"/>
  <c r="G94" i="55" s="1"/>
  <c r="E94" i="55" s="1"/>
  <c r="L64" i="55"/>
  <c r="G93" i="55" s="1"/>
  <c r="E93" i="55" s="1"/>
  <c r="L63" i="46"/>
  <c r="G92" i="46" s="1"/>
  <c r="E92" i="46" s="1"/>
  <c r="L62" i="55"/>
  <c r="L63" i="54"/>
  <c r="G92" i="54" s="1"/>
  <c r="E92" i="54" s="1"/>
  <c r="L62" i="46"/>
  <c r="J109" i="24"/>
  <c r="BQ88" i="55"/>
  <c r="BQ89" i="55" s="1"/>
  <c r="BP89" i="55"/>
  <c r="BQ88" i="46"/>
  <c r="BQ89" i="46" s="1"/>
  <c r="P89" i="46" s="1"/>
  <c r="L89" i="46" s="1"/>
  <c r="BP89" i="46"/>
  <c r="BQ88" i="54"/>
  <c r="BQ89" i="54" s="1"/>
  <c r="P89" i="54" s="1"/>
  <c r="L89" i="54" s="1"/>
  <c r="BP89" i="54"/>
  <c r="BP89" i="24"/>
  <c r="BL89" i="24"/>
  <c r="BH89" i="24"/>
  <c r="BD89" i="24"/>
  <c r="AZ89" i="24"/>
  <c r="AV89" i="24"/>
  <c r="AR89" i="24"/>
  <c r="AN89" i="24"/>
  <c r="AJ89" i="24"/>
  <c r="AF89" i="24"/>
  <c r="AB89" i="24"/>
  <c r="X89" i="24"/>
  <c r="T89" i="24"/>
  <c r="BO89" i="24"/>
  <c r="BK89" i="24"/>
  <c r="BG89" i="24"/>
  <c r="BC89" i="24"/>
  <c r="AY89" i="24"/>
  <c r="AU89" i="24"/>
  <c r="AQ89" i="24"/>
  <c r="AM89" i="24"/>
  <c r="AI89" i="24"/>
  <c r="AE89" i="24"/>
  <c r="AA89" i="24"/>
  <c r="BN89" i="24"/>
  <c r="BJ89" i="24"/>
  <c r="BF89" i="24"/>
  <c r="BB89" i="24"/>
  <c r="AX89" i="24"/>
  <c r="AT89" i="24"/>
  <c r="AP89" i="24"/>
  <c r="AL89" i="24"/>
  <c r="AH89" i="24"/>
  <c r="AD89" i="24"/>
  <c r="Z89" i="24"/>
  <c r="V89" i="24"/>
  <c r="BQ89" i="24"/>
  <c r="BM89" i="24"/>
  <c r="BI89" i="24"/>
  <c r="BE89" i="24"/>
  <c r="BA89" i="24"/>
  <c r="AW89" i="24"/>
  <c r="AS89" i="24"/>
  <c r="AO89" i="24"/>
  <c r="AK89" i="24"/>
  <c r="AG89" i="24"/>
  <c r="AC89" i="24"/>
  <c r="Y89" i="24"/>
  <c r="U89" i="24"/>
  <c r="W89" i="24"/>
  <c r="AT70" i="24"/>
  <c r="AT70" i="55"/>
  <c r="AT70" i="46"/>
  <c r="AT70" i="54"/>
  <c r="AT74" i="24"/>
  <c r="AT74" i="55"/>
  <c r="AT74" i="54"/>
  <c r="AT74" i="46"/>
  <c r="AT76" i="24"/>
  <c r="AT76" i="55"/>
  <c r="AT76" i="54"/>
  <c r="AT76" i="46"/>
  <c r="AT73" i="24"/>
  <c r="AT73" i="46"/>
  <c r="AT73" i="54"/>
  <c r="AT73" i="55"/>
  <c r="AT71" i="24"/>
  <c r="AT71" i="46"/>
  <c r="AT71" i="55"/>
  <c r="AT71" i="54"/>
  <c r="AT75" i="24"/>
  <c r="AT75" i="55"/>
  <c r="AT75" i="46"/>
  <c r="AT75" i="54"/>
  <c r="BU42" i="40"/>
  <c r="BU17" i="40"/>
  <c r="BU18" i="40"/>
  <c r="BU51" i="40"/>
  <c r="BU50" i="40"/>
  <c r="BU49" i="40"/>
  <c r="BU45" i="40"/>
  <c r="BU52" i="40"/>
  <c r="BU46" i="40"/>
  <c r="BU47" i="40"/>
  <c r="BU54" i="40"/>
  <c r="BU44" i="40"/>
  <c r="BU53" i="40"/>
  <c r="BV16" i="40"/>
  <c r="AU78" i="54" l="1"/>
  <c r="BV28" i="40"/>
  <c r="BV27" i="40"/>
  <c r="AU78" i="24"/>
  <c r="AU78" i="46"/>
  <c r="BV56" i="40"/>
  <c r="AV78" i="55" s="1"/>
  <c r="D21" i="7"/>
  <c r="F25" i="7"/>
  <c r="H25" i="7"/>
  <c r="AU72" i="54"/>
  <c r="AU72" i="55"/>
  <c r="AU72" i="24"/>
  <c r="AU72" i="46"/>
  <c r="AU64" i="55"/>
  <c r="AU63" i="55"/>
  <c r="AU65" i="55"/>
  <c r="AU62" i="55"/>
  <c r="AU64" i="54"/>
  <c r="AU62" i="54"/>
  <c r="AU65" i="54"/>
  <c r="AU63" i="54"/>
  <c r="AU64" i="46"/>
  <c r="AU62" i="46"/>
  <c r="AU65" i="46"/>
  <c r="AU63" i="46"/>
  <c r="AU62" i="24"/>
  <c r="AU65" i="24"/>
  <c r="AU64" i="24"/>
  <c r="AU63" i="24"/>
  <c r="BV19" i="40"/>
  <c r="BV20" i="40"/>
  <c r="BV29" i="40"/>
  <c r="BV31" i="40"/>
  <c r="BV32" i="40"/>
  <c r="BV30" i="40"/>
  <c r="BV25" i="40"/>
  <c r="BV26" i="40"/>
  <c r="BV48" i="40"/>
  <c r="BV24" i="40"/>
  <c r="BV22" i="40"/>
  <c r="BV21" i="40"/>
  <c r="BV23" i="40"/>
  <c r="G91" i="55"/>
  <c r="G91" i="54"/>
  <c r="G91" i="46"/>
  <c r="AU77" i="46"/>
  <c r="AU77" i="24"/>
  <c r="P89" i="55"/>
  <c r="L89" i="55" s="1"/>
  <c r="AU67" i="46"/>
  <c r="AU67" i="54"/>
  <c r="AU67" i="55"/>
  <c r="AU67" i="24"/>
  <c r="AU69" i="46"/>
  <c r="AU69" i="55"/>
  <c r="AU69" i="24"/>
  <c r="AU69" i="54"/>
  <c r="AU77" i="54"/>
  <c r="AU77" i="55"/>
  <c r="BV55" i="40"/>
  <c r="AU71" i="24"/>
  <c r="AU71" i="55"/>
  <c r="AU71" i="54"/>
  <c r="AU71" i="46"/>
  <c r="AU70" i="24"/>
  <c r="AU70" i="46"/>
  <c r="AU70" i="54"/>
  <c r="AU70" i="55"/>
  <c r="AU73" i="24"/>
  <c r="AU73" i="54"/>
  <c r="AU73" i="46"/>
  <c r="AU73" i="55"/>
  <c r="AU74" i="24"/>
  <c r="AU74" i="55"/>
  <c r="AU74" i="46"/>
  <c r="AU74" i="54"/>
  <c r="AU76" i="24"/>
  <c r="AU76" i="46"/>
  <c r="AU76" i="55"/>
  <c r="AU76" i="54"/>
  <c r="AU75" i="24"/>
  <c r="AU75" i="55"/>
  <c r="AU75" i="54"/>
  <c r="AU75" i="46"/>
  <c r="BV42" i="40"/>
  <c r="BV18" i="40"/>
  <c r="BV17" i="40"/>
  <c r="BV50" i="40"/>
  <c r="BV46" i="40"/>
  <c r="BV52" i="40"/>
  <c r="BV51" i="40"/>
  <c r="BV47" i="40"/>
  <c r="BV45" i="40"/>
  <c r="BV49" i="40"/>
  <c r="BV54" i="40"/>
  <c r="BV44" i="40"/>
  <c r="BV53" i="40"/>
  <c r="P89" i="24"/>
  <c r="L89" i="24" s="1"/>
  <c r="BW16" i="40"/>
  <c r="Z215" i="1"/>
  <c r="S216" i="1"/>
  <c r="S215" i="1"/>
  <c r="AV78" i="24" l="1"/>
  <c r="AV78" i="46"/>
  <c r="AV78" i="54"/>
  <c r="BW28" i="40"/>
  <c r="BW27" i="40"/>
  <c r="BW56" i="40"/>
  <c r="AW78" i="55" s="1"/>
  <c r="J25" i="7"/>
  <c r="D25" i="7"/>
  <c r="AV72" i="54"/>
  <c r="AV72" i="55"/>
  <c r="AV72" i="24"/>
  <c r="AV72" i="46"/>
  <c r="AV64" i="55"/>
  <c r="AV63" i="55"/>
  <c r="AV62" i="55"/>
  <c r="AV65" i="55"/>
  <c r="AV62" i="54"/>
  <c r="AV65" i="54"/>
  <c r="AV63" i="54"/>
  <c r="AV64" i="54"/>
  <c r="AV63" i="46"/>
  <c r="AV64" i="46"/>
  <c r="AV62" i="46"/>
  <c r="AV65" i="46"/>
  <c r="E91" i="55"/>
  <c r="E91" i="54"/>
  <c r="E91" i="46"/>
  <c r="AV62" i="24"/>
  <c r="AV65" i="24"/>
  <c r="AV64" i="24"/>
  <c r="AV63" i="24"/>
  <c r="BW20" i="40"/>
  <c r="BW19" i="40"/>
  <c r="BW29" i="40"/>
  <c r="BW32" i="40"/>
  <c r="BW31" i="40"/>
  <c r="BW30" i="40"/>
  <c r="BW25" i="40"/>
  <c r="BW26" i="40"/>
  <c r="BW48" i="40"/>
  <c r="BW21" i="40"/>
  <c r="BW24" i="40"/>
  <c r="BW22" i="40"/>
  <c r="BW23" i="40"/>
  <c r="AV77" i="46"/>
  <c r="AV77" i="24"/>
  <c r="AV69" i="55"/>
  <c r="AV69" i="54"/>
  <c r="AV69" i="46"/>
  <c r="AV69" i="24"/>
  <c r="AV67" i="54"/>
  <c r="AV67" i="46"/>
  <c r="AV67" i="55"/>
  <c r="AV67" i="24"/>
  <c r="AV77" i="54"/>
  <c r="AV77" i="55"/>
  <c r="BW55" i="40"/>
  <c r="AV71" i="24"/>
  <c r="AV71" i="55"/>
  <c r="AV71" i="54"/>
  <c r="AV71" i="46"/>
  <c r="AV75" i="24"/>
  <c r="AV75" i="46"/>
  <c r="AV75" i="54"/>
  <c r="AV75" i="55"/>
  <c r="AV74" i="24"/>
  <c r="AV74" i="55"/>
  <c r="AV74" i="54"/>
  <c r="AV74" i="46"/>
  <c r="AV76" i="24"/>
  <c r="AV76" i="55"/>
  <c r="AV76" i="54"/>
  <c r="AV76" i="46"/>
  <c r="AV73" i="24"/>
  <c r="AV73" i="46"/>
  <c r="AV73" i="55"/>
  <c r="AV73" i="54"/>
  <c r="AV70" i="24"/>
  <c r="AV70" i="46"/>
  <c r="AV70" i="54"/>
  <c r="AV70" i="55"/>
  <c r="BW17" i="40"/>
  <c r="BW42" i="40"/>
  <c r="BW18" i="40"/>
  <c r="BW52" i="40"/>
  <c r="BW51" i="40"/>
  <c r="BW47" i="40"/>
  <c r="BW45" i="40"/>
  <c r="BW49" i="40"/>
  <c r="BW46" i="40"/>
  <c r="BW50" i="40"/>
  <c r="BW54" i="40"/>
  <c r="BW44" i="40"/>
  <c r="BW53" i="40"/>
  <c r="BX16" i="40"/>
  <c r="L216" i="1"/>
  <c r="S157" i="1"/>
  <c r="Z157" i="1"/>
  <c r="L158" i="1"/>
  <c r="S158" i="1"/>
  <c r="A106" i="7"/>
  <c r="H63" i="34"/>
  <c r="AW78" i="46" l="1"/>
  <c r="AW78" i="54"/>
  <c r="BX28" i="40"/>
  <c r="BX27" i="40"/>
  <c r="AW78" i="24"/>
  <c r="BX56" i="40"/>
  <c r="AX78" i="46" s="1"/>
  <c r="J20" i="7"/>
  <c r="H20" i="7"/>
  <c r="F20" i="7"/>
  <c r="AW72" i="54"/>
  <c r="AW72" i="55"/>
  <c r="AW72" i="24"/>
  <c r="AW72" i="46"/>
  <c r="AW63" i="55"/>
  <c r="AW64" i="55"/>
  <c r="AW62" i="55"/>
  <c r="AW65" i="55"/>
  <c r="AW63" i="54"/>
  <c r="AW64" i="54"/>
  <c r="AW62" i="54"/>
  <c r="AW65" i="54"/>
  <c r="AW63" i="46"/>
  <c r="AW64" i="46"/>
  <c r="AW62" i="46"/>
  <c r="AW65" i="46"/>
  <c r="AW65" i="24"/>
  <c r="AW63" i="24"/>
  <c r="AW62" i="24"/>
  <c r="AW64" i="24"/>
  <c r="BX20" i="40"/>
  <c r="BX19" i="40"/>
  <c r="BX29" i="40"/>
  <c r="BX30" i="40"/>
  <c r="BX32" i="40"/>
  <c r="BX31" i="40"/>
  <c r="BX25" i="40"/>
  <c r="BX26" i="40"/>
  <c r="BX48" i="40"/>
  <c r="BX21" i="40"/>
  <c r="BX22" i="40"/>
  <c r="BX24" i="40"/>
  <c r="BX23" i="40"/>
  <c r="AW77" i="46"/>
  <c r="AW77" i="24"/>
  <c r="AW69" i="55"/>
  <c r="AW69" i="54"/>
  <c r="AW69" i="46"/>
  <c r="AW69" i="24"/>
  <c r="AW67" i="54"/>
  <c r="AW67" i="46"/>
  <c r="AW67" i="55"/>
  <c r="AW67" i="24"/>
  <c r="AW77" i="54"/>
  <c r="AW77" i="55"/>
  <c r="BX55" i="40"/>
  <c r="AW74" i="24"/>
  <c r="AW74" i="54"/>
  <c r="AW74" i="46"/>
  <c r="AW74" i="55"/>
  <c r="AW76" i="24"/>
  <c r="AW76" i="54"/>
  <c r="AW76" i="55"/>
  <c r="AW76" i="46"/>
  <c r="AW70" i="24"/>
  <c r="AW70" i="54"/>
  <c r="AW70" i="46"/>
  <c r="AW70" i="55"/>
  <c r="AW75" i="24"/>
  <c r="AW75" i="46"/>
  <c r="AW75" i="55"/>
  <c r="AW75" i="54"/>
  <c r="AW71" i="24"/>
  <c r="AW71" i="54"/>
  <c r="AW71" i="55"/>
  <c r="AW71" i="46"/>
  <c r="AW73" i="24"/>
  <c r="AW73" i="54"/>
  <c r="AW73" i="46"/>
  <c r="AW73" i="55"/>
  <c r="BX42" i="40"/>
  <c r="BX18" i="40"/>
  <c r="BX17" i="40"/>
  <c r="BX52" i="40"/>
  <c r="BX49" i="40"/>
  <c r="BX50" i="40"/>
  <c r="BX51" i="40"/>
  <c r="BX45" i="40"/>
  <c r="BX47" i="40"/>
  <c r="BX46" i="40"/>
  <c r="BX54" i="40"/>
  <c r="BX44" i="40"/>
  <c r="BX53" i="40"/>
  <c r="E158" i="1"/>
  <c r="E216" i="1"/>
  <c r="L157" i="1"/>
  <c r="L215" i="1"/>
  <c r="E157" i="1"/>
  <c r="E215" i="1"/>
  <c r="BY16" i="40"/>
  <c r="F106" i="7"/>
  <c r="S187" i="1"/>
  <c r="L187" i="1"/>
  <c r="E187" i="1"/>
  <c r="Z186" i="1"/>
  <c r="S186" i="1"/>
  <c r="L186" i="1"/>
  <c r="E186" i="1"/>
  <c r="S129" i="1"/>
  <c r="L129" i="1"/>
  <c r="E129" i="1"/>
  <c r="Z128" i="1"/>
  <c r="S128" i="1"/>
  <c r="L128" i="1"/>
  <c r="E128" i="1"/>
  <c r="S100" i="1"/>
  <c r="L100" i="1"/>
  <c r="E100" i="1"/>
  <c r="Z99" i="1"/>
  <c r="S99" i="1"/>
  <c r="L99" i="1"/>
  <c r="E99" i="1"/>
  <c r="AX78" i="55" l="1"/>
  <c r="AX78" i="54"/>
  <c r="BY27" i="40"/>
  <c r="BY28" i="40"/>
  <c r="AX78" i="24"/>
  <c r="BY56" i="40"/>
  <c r="AY78" i="46" s="1"/>
  <c r="AX72" i="54"/>
  <c r="AX72" i="55"/>
  <c r="AX72" i="24"/>
  <c r="AX72" i="46"/>
  <c r="AX62" i="55"/>
  <c r="AX65" i="55"/>
  <c r="AX64" i="55"/>
  <c r="AX63" i="55"/>
  <c r="AX65" i="54"/>
  <c r="AX62" i="54"/>
  <c r="AX63" i="54"/>
  <c r="AX64" i="54"/>
  <c r="AX62" i="46"/>
  <c r="AX64" i="46"/>
  <c r="AX63" i="46"/>
  <c r="AX65" i="46"/>
  <c r="AX65" i="24"/>
  <c r="AX64" i="24"/>
  <c r="AX63" i="24"/>
  <c r="AX62" i="24"/>
  <c r="BY20" i="40"/>
  <c r="BY19" i="40"/>
  <c r="BY29" i="40"/>
  <c r="BY31" i="40"/>
  <c r="BY32" i="40"/>
  <c r="BY30" i="40"/>
  <c r="BY25" i="40"/>
  <c r="BY26" i="40"/>
  <c r="BY48" i="40"/>
  <c r="BY22" i="40"/>
  <c r="BY24" i="40"/>
  <c r="BY21" i="40"/>
  <c r="BY23" i="40"/>
  <c r="AX77" i="46"/>
  <c r="AX77" i="24"/>
  <c r="AX69" i="55"/>
  <c r="AX69" i="46"/>
  <c r="AX69" i="54"/>
  <c r="AX69" i="24"/>
  <c r="AX67" i="54"/>
  <c r="AX67" i="46"/>
  <c r="AX67" i="55"/>
  <c r="AX67" i="24"/>
  <c r="AX77" i="54"/>
  <c r="AX77" i="55"/>
  <c r="BY55" i="40"/>
  <c r="AX70" i="24"/>
  <c r="AX70" i="46"/>
  <c r="AX70" i="55"/>
  <c r="AX70" i="54"/>
  <c r="AX73" i="24"/>
  <c r="AX73" i="46"/>
  <c r="AX73" i="55"/>
  <c r="AX73" i="54"/>
  <c r="AX71" i="24"/>
  <c r="AX71" i="46"/>
  <c r="AX71" i="55"/>
  <c r="AX71" i="54"/>
  <c r="AX75" i="24"/>
  <c r="AX75" i="46"/>
  <c r="AX75" i="55"/>
  <c r="AX75" i="54"/>
  <c r="AX76" i="24"/>
  <c r="AX76" i="55"/>
  <c r="AX76" i="46"/>
  <c r="AX76" i="54"/>
  <c r="AX74" i="24"/>
  <c r="AX74" i="54"/>
  <c r="AX74" i="55"/>
  <c r="AX74" i="46"/>
  <c r="BY42" i="40"/>
  <c r="BY18" i="40"/>
  <c r="BY17" i="40"/>
  <c r="BY51" i="40"/>
  <c r="BY50" i="40"/>
  <c r="BY49" i="40"/>
  <c r="BY46" i="40"/>
  <c r="BY52" i="40"/>
  <c r="BY47" i="40"/>
  <c r="BY45" i="40"/>
  <c r="BY54" i="40"/>
  <c r="BY44" i="40"/>
  <c r="BY53" i="40"/>
  <c r="BZ16" i="40"/>
  <c r="D72" i="7"/>
  <c r="D94" i="7" s="1"/>
  <c r="F72" i="7"/>
  <c r="F94" i="7" s="1"/>
  <c r="F61" i="7"/>
  <c r="F90" i="7" s="1"/>
  <c r="D61" i="7"/>
  <c r="D90" i="7" s="1"/>
  <c r="D84" i="7"/>
  <c r="F50" i="7"/>
  <c r="F84" i="7" s="1"/>
  <c r="AY78" i="24" l="1"/>
  <c r="AY78" i="55"/>
  <c r="BZ28" i="40"/>
  <c r="BZ27" i="40"/>
  <c r="AY78" i="54"/>
  <c r="BZ56" i="40"/>
  <c r="AZ78" i="46" s="1"/>
  <c r="AY72" i="54"/>
  <c r="AY72" i="55"/>
  <c r="AY72" i="24"/>
  <c r="AY72" i="46"/>
  <c r="AY62" i="55"/>
  <c r="AY65" i="55"/>
  <c r="AY64" i="55"/>
  <c r="AY63" i="55"/>
  <c r="AY62" i="54"/>
  <c r="AY63" i="54"/>
  <c r="AY65" i="54"/>
  <c r="AY64" i="54"/>
  <c r="AY62" i="46"/>
  <c r="AY63" i="46"/>
  <c r="AY64" i="46"/>
  <c r="AY65" i="46"/>
  <c r="AY62" i="24"/>
  <c r="AY64" i="24"/>
  <c r="AY65" i="24"/>
  <c r="AY63" i="24"/>
  <c r="BZ20" i="40"/>
  <c r="BZ19" i="40"/>
  <c r="BZ29" i="40"/>
  <c r="BZ32" i="40"/>
  <c r="BZ30" i="40"/>
  <c r="BZ31" i="40"/>
  <c r="BZ25" i="40"/>
  <c r="BZ26" i="40"/>
  <c r="BZ48" i="40"/>
  <c r="BZ24" i="40"/>
  <c r="BZ22" i="40"/>
  <c r="BZ21" i="40"/>
  <c r="BZ23" i="40"/>
  <c r="AY77" i="46"/>
  <c r="AY77" i="24"/>
  <c r="AY67" i="54"/>
  <c r="AY67" i="46"/>
  <c r="AY67" i="55"/>
  <c r="AY67" i="24"/>
  <c r="AY69" i="55"/>
  <c r="AY69" i="54"/>
  <c r="AY69" i="46"/>
  <c r="AY69" i="24"/>
  <c r="AY77" i="54"/>
  <c r="AY77" i="55"/>
  <c r="BZ55" i="40"/>
  <c r="AY73" i="24"/>
  <c r="AY73" i="54"/>
  <c r="AY73" i="46"/>
  <c r="AY73" i="55"/>
  <c r="AY76" i="24"/>
  <c r="AY76" i="55"/>
  <c r="AY76" i="54"/>
  <c r="AY76" i="46"/>
  <c r="AY70" i="24"/>
  <c r="AY70" i="46"/>
  <c r="AY70" i="55"/>
  <c r="AY70" i="54"/>
  <c r="AY74" i="24"/>
  <c r="AY74" i="55"/>
  <c r="AY74" i="46"/>
  <c r="AY74" i="54"/>
  <c r="AY71" i="24"/>
  <c r="AY71" i="46"/>
  <c r="AY71" i="54"/>
  <c r="AY71" i="55"/>
  <c r="AY75" i="24"/>
  <c r="AY75" i="46"/>
  <c r="AY75" i="55"/>
  <c r="AY75" i="54"/>
  <c r="BZ17" i="40"/>
  <c r="BZ18" i="40"/>
  <c r="BZ42" i="40"/>
  <c r="BZ50" i="40"/>
  <c r="BZ52" i="40"/>
  <c r="BZ51" i="40"/>
  <c r="BZ47" i="40"/>
  <c r="BZ45" i="40"/>
  <c r="BZ49" i="40"/>
  <c r="BZ46" i="40"/>
  <c r="BZ54" i="40"/>
  <c r="BZ44" i="40"/>
  <c r="BZ53" i="40"/>
  <c r="CA16" i="40"/>
  <c r="L76" i="24"/>
  <c r="S71" i="1"/>
  <c r="L71" i="1"/>
  <c r="E71" i="1"/>
  <c r="Z70" i="1"/>
  <c r="S70" i="1"/>
  <c r="L70" i="1"/>
  <c r="E70" i="1"/>
  <c r="Z41" i="1"/>
  <c r="S42" i="1"/>
  <c r="S41" i="1"/>
  <c r="L42" i="1"/>
  <c r="L41" i="1"/>
  <c r="E42" i="1"/>
  <c r="E41" i="1"/>
  <c r="CA28" i="40" l="1"/>
  <c r="CA27" i="40"/>
  <c r="AZ78" i="24"/>
  <c r="AZ78" i="54"/>
  <c r="AZ78" i="55"/>
  <c r="CA56" i="40"/>
  <c r="BA78" i="54" s="1"/>
  <c r="AZ72" i="54"/>
  <c r="AZ72" i="55"/>
  <c r="AZ72" i="24"/>
  <c r="AZ72" i="46"/>
  <c r="AZ65" i="55"/>
  <c r="AZ64" i="55"/>
  <c r="AZ63" i="55"/>
  <c r="AZ62" i="55"/>
  <c r="AZ64" i="54"/>
  <c r="AZ65" i="54"/>
  <c r="AZ63" i="54"/>
  <c r="AZ62" i="54"/>
  <c r="AZ65" i="46"/>
  <c r="AZ63" i="46"/>
  <c r="AZ64" i="46"/>
  <c r="AZ62" i="46"/>
  <c r="AZ64" i="24"/>
  <c r="AZ63" i="24"/>
  <c r="AZ62" i="24"/>
  <c r="AZ65" i="24"/>
  <c r="CA19" i="40"/>
  <c r="CA20" i="40"/>
  <c r="CA29" i="40"/>
  <c r="CA32" i="40"/>
  <c r="CA31" i="40"/>
  <c r="CA30" i="40"/>
  <c r="CA25" i="40"/>
  <c r="CA26" i="40"/>
  <c r="CA48" i="40"/>
  <c r="CA21" i="40"/>
  <c r="CA24" i="40"/>
  <c r="CA22" i="40"/>
  <c r="CA23" i="40"/>
  <c r="J87" i="7"/>
  <c r="H87" i="7"/>
  <c r="F87" i="7"/>
  <c r="D104" i="7"/>
  <c r="D87" i="7"/>
  <c r="F104" i="7"/>
  <c r="H104" i="7"/>
  <c r="J104" i="7"/>
  <c r="AZ77" i="46"/>
  <c r="AZ77" i="24"/>
  <c r="D102" i="7"/>
  <c r="D100" i="7"/>
  <c r="H100" i="7"/>
  <c r="F100" i="7"/>
  <c r="J100" i="7"/>
  <c r="J102" i="7"/>
  <c r="F102" i="7"/>
  <c r="H102" i="7"/>
  <c r="AZ67" i="54"/>
  <c r="AZ67" i="46"/>
  <c r="AZ67" i="55"/>
  <c r="AZ67" i="24"/>
  <c r="AZ69" i="46"/>
  <c r="AZ69" i="24"/>
  <c r="AZ69" i="54"/>
  <c r="AZ69" i="55"/>
  <c r="AZ77" i="54"/>
  <c r="AZ77" i="55"/>
  <c r="CA55" i="40"/>
  <c r="AZ74" i="24"/>
  <c r="AZ74" i="55"/>
  <c r="AZ74" i="54"/>
  <c r="AZ74" i="46"/>
  <c r="AZ75" i="24"/>
  <c r="AZ75" i="55"/>
  <c r="AZ75" i="46"/>
  <c r="AZ75" i="54"/>
  <c r="AZ71" i="24"/>
  <c r="AZ71" i="55"/>
  <c r="AZ71" i="54"/>
  <c r="AZ71" i="46"/>
  <c r="AZ70" i="24"/>
  <c r="AZ70" i="46"/>
  <c r="AZ70" i="55"/>
  <c r="AZ70" i="54"/>
  <c r="AZ76" i="24"/>
  <c r="AZ76" i="46"/>
  <c r="AZ76" i="54"/>
  <c r="AZ76" i="55"/>
  <c r="AZ73" i="24"/>
  <c r="AZ73" i="46"/>
  <c r="AZ73" i="54"/>
  <c r="AZ73" i="55"/>
  <c r="CA42" i="40"/>
  <c r="CA18" i="40"/>
  <c r="CA17" i="40"/>
  <c r="CA52" i="40"/>
  <c r="CA51" i="40"/>
  <c r="CA50" i="40"/>
  <c r="CA49" i="40"/>
  <c r="CA46" i="40"/>
  <c r="CA45" i="40"/>
  <c r="CA47" i="40"/>
  <c r="CA54" i="40"/>
  <c r="CA44" i="40"/>
  <c r="CA53" i="40"/>
  <c r="G105" i="24"/>
  <c r="E105" i="24" s="1"/>
  <c r="CB16" i="40"/>
  <c r="CB28" i="40" l="1"/>
  <c r="CB27" i="40"/>
  <c r="BA78" i="46"/>
  <c r="BA78" i="55"/>
  <c r="BA78" i="24"/>
  <c r="CB56" i="40"/>
  <c r="BB78" i="54" s="1"/>
  <c r="P107" i="54" s="1"/>
  <c r="L107" i="54" s="1"/>
  <c r="D12" i="7"/>
  <c r="D11" i="7" s="1"/>
  <c r="J12" i="7"/>
  <c r="J11" i="7" s="1"/>
  <c r="F12" i="7"/>
  <c r="F11" i="7" s="1"/>
  <c r="H12" i="7"/>
  <c r="H11" i="7" s="1"/>
  <c r="BA72" i="54"/>
  <c r="BA72" i="55"/>
  <c r="BA72" i="24"/>
  <c r="BA72" i="46"/>
  <c r="BA65" i="55"/>
  <c r="BA64" i="55"/>
  <c r="BA62" i="55"/>
  <c r="BA63" i="55"/>
  <c r="BA65" i="54"/>
  <c r="BA62" i="54"/>
  <c r="BA64" i="54"/>
  <c r="BA63" i="54"/>
  <c r="BA65" i="46"/>
  <c r="BA62" i="46"/>
  <c r="BA64" i="46"/>
  <c r="BA63" i="46"/>
  <c r="BA63" i="24"/>
  <c r="BA64" i="24"/>
  <c r="BA62" i="24"/>
  <c r="BA65" i="24"/>
  <c r="CB20" i="40"/>
  <c r="CB19" i="40"/>
  <c r="H99" i="7"/>
  <c r="F101" i="7"/>
  <c r="CB29" i="40"/>
  <c r="CB31" i="40"/>
  <c r="CB30" i="40"/>
  <c r="CB32" i="40"/>
  <c r="CB25" i="40"/>
  <c r="CB26" i="40"/>
  <c r="H101" i="7"/>
  <c r="J99" i="7"/>
  <c r="F99" i="7"/>
  <c r="J101" i="7"/>
  <c r="CB48" i="40"/>
  <c r="CB22" i="40"/>
  <c r="CB21" i="40"/>
  <c r="CB24" i="40"/>
  <c r="CB23" i="40"/>
  <c r="D101" i="7"/>
  <c r="D99" i="7"/>
  <c r="J85" i="7"/>
  <c r="J95" i="7"/>
  <c r="J93" i="7" s="1"/>
  <c r="X20" i="1" s="1"/>
  <c r="J91" i="7"/>
  <c r="J89" i="7" s="1"/>
  <c r="X18" i="1" s="1"/>
  <c r="H91" i="7"/>
  <c r="H89" i="7" s="1"/>
  <c r="Q18" i="1" s="1"/>
  <c r="H85" i="7"/>
  <c r="H95" i="7"/>
  <c r="H93" i="7" s="1"/>
  <c r="Q20" i="1" s="1"/>
  <c r="F95" i="7"/>
  <c r="F93" i="7" s="1"/>
  <c r="J20" i="1" s="1"/>
  <c r="F85" i="7"/>
  <c r="F91" i="7"/>
  <c r="F89" i="7" s="1"/>
  <c r="J18" i="1" s="1"/>
  <c r="D95" i="7"/>
  <c r="D93" i="7" s="1"/>
  <c r="C20" i="1" s="1"/>
  <c r="D91" i="7"/>
  <c r="D85" i="7"/>
  <c r="C16" i="1" s="1"/>
  <c r="H103" i="7"/>
  <c r="J30" i="7"/>
  <c r="J103" i="7"/>
  <c r="D30" i="7"/>
  <c r="F30" i="7"/>
  <c r="H30" i="7"/>
  <c r="F103" i="7"/>
  <c r="BA77" i="46"/>
  <c r="BA77" i="24"/>
  <c r="D103" i="7"/>
  <c r="BA69" i="55"/>
  <c r="BA69" i="54"/>
  <c r="BA69" i="46"/>
  <c r="BA69" i="24"/>
  <c r="BA67" i="54"/>
  <c r="BA67" i="46"/>
  <c r="BA67" i="55"/>
  <c r="BA67" i="24"/>
  <c r="BA77" i="54"/>
  <c r="BA77" i="55"/>
  <c r="CB55" i="40"/>
  <c r="BA76" i="24"/>
  <c r="BA76" i="54"/>
  <c r="BA76" i="46"/>
  <c r="BA76" i="55"/>
  <c r="BA75" i="24"/>
  <c r="BA75" i="46"/>
  <c r="BA75" i="55"/>
  <c r="BA75" i="54"/>
  <c r="BA73" i="24"/>
  <c r="BA73" i="46"/>
  <c r="BA73" i="55"/>
  <c r="BA73" i="54"/>
  <c r="BA70" i="24"/>
  <c r="BA70" i="46"/>
  <c r="BA70" i="55"/>
  <c r="BA70" i="54"/>
  <c r="BA74" i="24"/>
  <c r="BA74" i="46"/>
  <c r="BA74" i="54"/>
  <c r="BA74" i="55"/>
  <c r="BA71" i="24"/>
  <c r="BA71" i="55"/>
  <c r="BA71" i="46"/>
  <c r="BA71" i="54"/>
  <c r="CB17" i="40"/>
  <c r="CB18" i="40"/>
  <c r="CB42" i="40"/>
  <c r="CB50" i="40"/>
  <c r="CB46" i="40"/>
  <c r="CB45" i="40"/>
  <c r="CB47" i="40"/>
  <c r="CB52" i="40"/>
  <c r="CB51" i="40"/>
  <c r="CB49" i="40"/>
  <c r="CB54" i="40"/>
  <c r="CB44" i="40"/>
  <c r="CB53" i="40"/>
  <c r="CC16" i="40"/>
  <c r="L73" i="24"/>
  <c r="L71" i="24"/>
  <c r="BB78" i="55" l="1"/>
  <c r="P107" i="55" s="1"/>
  <c r="L107" i="55" s="1"/>
  <c r="CC28" i="40"/>
  <c r="CC27" i="40"/>
  <c r="BB78" i="24"/>
  <c r="BB78" i="46"/>
  <c r="P107" i="46" s="1"/>
  <c r="L107" i="46" s="1"/>
  <c r="CC56" i="40"/>
  <c r="BC78" i="54" s="1"/>
  <c r="BB72" i="54"/>
  <c r="BB72" i="55"/>
  <c r="BB72" i="24"/>
  <c r="BB72" i="46"/>
  <c r="BB63" i="55"/>
  <c r="BB64" i="55"/>
  <c r="BB62" i="55"/>
  <c r="BB65" i="55"/>
  <c r="BB63" i="54"/>
  <c r="BB62" i="54"/>
  <c r="BB65" i="54"/>
  <c r="BB64" i="54"/>
  <c r="BB63" i="46"/>
  <c r="BB64" i="46"/>
  <c r="BB62" i="46"/>
  <c r="BB65" i="46"/>
  <c r="BB63" i="24"/>
  <c r="BB62" i="24"/>
  <c r="BB64" i="24"/>
  <c r="BB65" i="24"/>
  <c r="CC19" i="40"/>
  <c r="CC20" i="40"/>
  <c r="CC29" i="40"/>
  <c r="CC32" i="40"/>
  <c r="CC31" i="40"/>
  <c r="CC30" i="40"/>
  <c r="CC25" i="40"/>
  <c r="CC26" i="40"/>
  <c r="CC48" i="40"/>
  <c r="CC24" i="40"/>
  <c r="CC22" i="40"/>
  <c r="CC21" i="40"/>
  <c r="CC23" i="40"/>
  <c r="H97" i="7"/>
  <c r="Q22" i="1" s="1"/>
  <c r="J97" i="7"/>
  <c r="X22" i="1" s="1"/>
  <c r="F97" i="7"/>
  <c r="J22" i="1" s="1"/>
  <c r="D97" i="7"/>
  <c r="C22" i="1" s="1"/>
  <c r="BB77" i="46"/>
  <c r="BB77" i="24"/>
  <c r="P106" i="24" s="1"/>
  <c r="L106" i="24" s="1"/>
  <c r="J16" i="1"/>
  <c r="X16" i="1"/>
  <c r="Q16" i="1"/>
  <c r="BB69" i="54"/>
  <c r="BB69" i="55"/>
  <c r="BB69" i="46"/>
  <c r="BB69" i="24"/>
  <c r="BB67" i="46"/>
  <c r="BB67" i="54"/>
  <c r="BB67" i="55"/>
  <c r="BB67" i="24"/>
  <c r="BB77" i="54"/>
  <c r="BB77" i="55"/>
  <c r="CC55" i="40"/>
  <c r="BB70" i="24"/>
  <c r="BB70" i="55"/>
  <c r="BB70" i="54"/>
  <c r="BB70" i="46"/>
  <c r="BB73" i="24"/>
  <c r="BB73" i="46"/>
  <c r="BB73" i="55"/>
  <c r="BB73" i="54"/>
  <c r="BB71" i="24"/>
  <c r="BB71" i="46"/>
  <c r="BB71" i="55"/>
  <c r="BB71" i="54"/>
  <c r="BB76" i="24"/>
  <c r="BB76" i="46"/>
  <c r="BB76" i="55"/>
  <c r="BB76" i="54"/>
  <c r="BB75" i="24"/>
  <c r="BB75" i="46"/>
  <c r="BB75" i="54"/>
  <c r="BB75" i="55"/>
  <c r="BB74" i="24"/>
  <c r="BB74" i="54"/>
  <c r="BB74" i="46"/>
  <c r="BB74" i="55"/>
  <c r="CC42" i="40"/>
  <c r="CC17" i="40"/>
  <c r="CC18" i="40"/>
  <c r="CC52" i="40"/>
  <c r="CC47" i="40"/>
  <c r="CC51" i="40"/>
  <c r="CC49" i="40"/>
  <c r="CC46" i="40"/>
  <c r="CC50" i="40"/>
  <c r="CC45" i="40"/>
  <c r="CC54" i="40"/>
  <c r="CC44" i="40"/>
  <c r="CC53" i="40"/>
  <c r="L72" i="24"/>
  <c r="L75" i="24"/>
  <c r="D89" i="7"/>
  <c r="C18" i="1" s="1"/>
  <c r="L74" i="24"/>
  <c r="G100" i="24"/>
  <c r="E100" i="24" s="1"/>
  <c r="L70" i="24"/>
  <c r="CD16" i="40"/>
  <c r="G102" i="24"/>
  <c r="E102" i="24" s="1"/>
  <c r="CD28" i="40" l="1"/>
  <c r="CD27" i="40"/>
  <c r="BC78" i="24"/>
  <c r="BC78" i="46"/>
  <c r="BC78" i="55"/>
  <c r="CD56" i="40"/>
  <c r="BD78" i="54" s="1"/>
  <c r="BC72" i="54"/>
  <c r="BC72" i="55"/>
  <c r="BC72" i="24"/>
  <c r="BC72" i="46"/>
  <c r="BC64" i="55"/>
  <c r="BC63" i="55"/>
  <c r="BC62" i="55"/>
  <c r="BC65" i="55"/>
  <c r="BC64" i="54"/>
  <c r="BC65" i="54"/>
  <c r="BC63" i="54"/>
  <c r="BC62" i="54"/>
  <c r="BC64" i="46"/>
  <c r="BC63" i="46"/>
  <c r="BC62" i="46"/>
  <c r="BC65" i="46"/>
  <c r="BC62" i="24"/>
  <c r="BC64" i="24"/>
  <c r="BC63" i="24"/>
  <c r="BC65" i="24"/>
  <c r="CD19" i="40"/>
  <c r="CD20" i="40"/>
  <c r="CD29" i="40"/>
  <c r="CD31" i="40"/>
  <c r="CD32" i="40"/>
  <c r="CD30" i="40"/>
  <c r="CD25" i="40"/>
  <c r="CD26" i="40"/>
  <c r="CD48" i="40"/>
  <c r="CD21" i="40"/>
  <c r="CD22" i="40"/>
  <c r="CD24" i="40"/>
  <c r="CD23" i="40"/>
  <c r="BC77" i="46"/>
  <c r="BC77" i="24"/>
  <c r="BC67" i="54"/>
  <c r="BC67" i="46"/>
  <c r="BC67" i="55"/>
  <c r="BC67" i="24"/>
  <c r="BC69" i="24"/>
  <c r="BC69" i="55"/>
  <c r="BC69" i="54"/>
  <c r="BC69" i="46"/>
  <c r="BC77" i="54"/>
  <c r="BC77" i="55"/>
  <c r="CD55" i="40"/>
  <c r="BC73" i="24"/>
  <c r="BC73" i="54"/>
  <c r="BC73" i="46"/>
  <c r="BC73" i="55"/>
  <c r="BC76" i="24"/>
  <c r="BC76" i="46"/>
  <c r="BC76" i="55"/>
  <c r="BC76" i="54"/>
  <c r="BC74" i="24"/>
  <c r="BC74" i="55"/>
  <c r="BC74" i="46"/>
  <c r="BC74" i="54"/>
  <c r="BC75" i="24"/>
  <c r="BC75" i="46"/>
  <c r="BC75" i="55"/>
  <c r="BC75" i="54"/>
  <c r="BC71" i="24"/>
  <c r="BC71" i="46"/>
  <c r="BC71" i="55"/>
  <c r="BC71" i="54"/>
  <c r="BC70" i="24"/>
  <c r="BC70" i="46"/>
  <c r="BC70" i="55"/>
  <c r="BC70" i="54"/>
  <c r="CD42" i="40"/>
  <c r="CD18" i="40"/>
  <c r="CD17" i="40"/>
  <c r="CD52" i="40"/>
  <c r="CD51" i="40"/>
  <c r="CD49" i="40"/>
  <c r="CD50" i="40"/>
  <c r="CD46" i="40"/>
  <c r="CD45" i="40"/>
  <c r="CD47" i="40"/>
  <c r="CD54" i="40"/>
  <c r="CD44" i="40"/>
  <c r="CD53" i="40"/>
  <c r="G104" i="24"/>
  <c r="E104" i="24" s="1"/>
  <c r="G101" i="24"/>
  <c r="E101" i="24" s="1"/>
  <c r="G103" i="24"/>
  <c r="E103" i="24" s="1"/>
  <c r="G99" i="24"/>
  <c r="E99" i="24" s="1"/>
  <c r="CE16" i="40"/>
  <c r="L63" i="24"/>
  <c r="G92" i="24" s="1"/>
  <c r="E92" i="24" s="1"/>
  <c r="L64" i="24"/>
  <c r="G93" i="24" s="1"/>
  <c r="E93" i="24" s="1"/>
  <c r="L62" i="24"/>
  <c r="L65" i="24"/>
  <c r="G94" i="24" s="1"/>
  <c r="E94" i="24" s="1"/>
  <c r="CE28" i="40" l="1"/>
  <c r="CE27" i="40"/>
  <c r="BD78" i="24"/>
  <c r="BD78" i="55"/>
  <c r="BD78" i="46"/>
  <c r="CE56" i="40"/>
  <c r="BE78" i="54" s="1"/>
  <c r="BD72" i="54"/>
  <c r="BD72" i="55"/>
  <c r="BD72" i="24"/>
  <c r="BD72" i="46"/>
  <c r="BD63" i="55"/>
  <c r="BD64" i="55"/>
  <c r="BD62" i="55"/>
  <c r="BD65" i="55"/>
  <c r="BD63" i="54"/>
  <c r="BD62" i="54"/>
  <c r="BD64" i="54"/>
  <c r="BD65" i="54"/>
  <c r="BD64" i="46"/>
  <c r="BD63" i="46"/>
  <c r="BD62" i="46"/>
  <c r="BD65" i="46"/>
  <c r="BD62" i="24"/>
  <c r="BD64" i="24"/>
  <c r="BD63" i="24"/>
  <c r="BD65" i="24"/>
  <c r="CE20" i="40"/>
  <c r="CE19" i="40"/>
  <c r="CE29" i="40"/>
  <c r="CE31" i="40"/>
  <c r="CE30" i="40"/>
  <c r="CE32" i="40"/>
  <c r="CE25" i="40"/>
  <c r="CE26" i="40"/>
  <c r="CE48" i="40"/>
  <c r="CE21" i="40"/>
  <c r="CE24" i="40"/>
  <c r="CE22" i="40"/>
  <c r="CE23" i="40"/>
  <c r="BD77" i="46"/>
  <c r="BD77" i="24"/>
  <c r="BD69" i="55"/>
  <c r="BD69" i="54"/>
  <c r="BD69" i="46"/>
  <c r="BD69" i="24"/>
  <c r="BD67" i="46"/>
  <c r="BD67" i="54"/>
  <c r="BD67" i="55"/>
  <c r="BD67" i="24"/>
  <c r="BD77" i="54"/>
  <c r="BD77" i="55"/>
  <c r="CE55" i="40"/>
  <c r="G91" i="24"/>
  <c r="E91" i="24" s="1"/>
  <c r="BD74" i="24"/>
  <c r="BD74" i="54"/>
  <c r="BD74" i="46"/>
  <c r="BD74" i="55"/>
  <c r="BD76" i="24"/>
  <c r="BD76" i="46"/>
  <c r="BD76" i="54"/>
  <c r="BD76" i="55"/>
  <c r="BD70" i="24"/>
  <c r="BD70" i="46"/>
  <c r="BD70" i="55"/>
  <c r="BD70" i="54"/>
  <c r="BD75" i="24"/>
  <c r="BD75" i="46"/>
  <c r="BD75" i="55"/>
  <c r="BD75" i="54"/>
  <c r="BD73" i="24"/>
  <c r="BD73" i="46"/>
  <c r="BD73" i="55"/>
  <c r="BD73" i="54"/>
  <c r="BD71" i="24"/>
  <c r="BD71" i="46"/>
  <c r="BD71" i="55"/>
  <c r="BD71" i="54"/>
  <c r="CE18" i="40"/>
  <c r="CE42" i="40"/>
  <c r="CE17" i="40"/>
  <c r="CE46" i="40"/>
  <c r="CE45" i="40"/>
  <c r="CE51" i="40"/>
  <c r="CE49" i="40"/>
  <c r="CE52" i="40"/>
  <c r="CE47" i="40"/>
  <c r="CE50" i="40"/>
  <c r="CE54" i="40"/>
  <c r="CE44" i="40"/>
  <c r="CE53" i="40"/>
  <c r="CF16" i="40"/>
  <c r="L109" i="24"/>
  <c r="BE78" i="24" l="1"/>
  <c r="CF28" i="40"/>
  <c r="CF27" i="40"/>
  <c r="BE78" i="55"/>
  <c r="BE78" i="46"/>
  <c r="CF56" i="40"/>
  <c r="BF78" i="54" s="1"/>
  <c r="D27" i="7"/>
  <c r="BE72" i="54"/>
  <c r="BE72" i="55"/>
  <c r="BE72" i="24"/>
  <c r="BE72" i="46"/>
  <c r="BE63" i="55"/>
  <c r="BE64" i="55"/>
  <c r="BE62" i="55"/>
  <c r="BE65" i="55"/>
  <c r="BE63" i="54"/>
  <c r="BE65" i="54"/>
  <c r="BE62" i="54"/>
  <c r="BE64" i="54"/>
  <c r="BE63" i="46"/>
  <c r="BE65" i="46"/>
  <c r="BE62" i="46"/>
  <c r="BE64" i="46"/>
  <c r="BE63" i="24"/>
  <c r="BE62" i="24"/>
  <c r="BE65" i="24"/>
  <c r="BE64" i="24"/>
  <c r="CF20" i="40"/>
  <c r="CF19" i="40"/>
  <c r="CF29" i="40"/>
  <c r="CF30" i="40"/>
  <c r="CF31" i="40"/>
  <c r="CF32" i="40"/>
  <c r="CF25" i="40"/>
  <c r="CF26" i="40"/>
  <c r="CF48" i="40"/>
  <c r="CF24" i="40"/>
  <c r="CF21" i="40"/>
  <c r="CF22" i="40"/>
  <c r="CF23" i="40"/>
  <c r="BE77" i="46"/>
  <c r="BE77" i="24"/>
  <c r="BE69" i="46"/>
  <c r="BE69" i="55"/>
  <c r="BE69" i="54"/>
  <c r="BE69" i="24"/>
  <c r="BE67" i="46"/>
  <c r="BE67" i="54"/>
  <c r="BE67" i="55"/>
  <c r="BE67" i="24"/>
  <c r="BE77" i="54"/>
  <c r="BE77" i="55"/>
  <c r="CF55" i="40"/>
  <c r="BE74" i="24"/>
  <c r="BE74" i="55"/>
  <c r="BE74" i="54"/>
  <c r="BE74" i="46"/>
  <c r="BE71" i="24"/>
  <c r="BE71" i="46"/>
  <c r="BE71" i="55"/>
  <c r="BE71" i="54"/>
  <c r="BE75" i="24"/>
  <c r="BE75" i="55"/>
  <c r="BE75" i="46"/>
  <c r="BE75" i="54"/>
  <c r="BE73" i="24"/>
  <c r="BE73" i="54"/>
  <c r="BE73" i="46"/>
  <c r="BE73" i="55"/>
  <c r="BE76" i="24"/>
  <c r="BE76" i="55"/>
  <c r="BE76" i="54"/>
  <c r="BE76" i="46"/>
  <c r="BE70" i="24"/>
  <c r="BE70" i="46"/>
  <c r="BE70" i="55"/>
  <c r="BE70" i="54"/>
  <c r="CF42" i="40"/>
  <c r="CF18" i="40"/>
  <c r="CF17" i="40"/>
  <c r="CF50" i="40"/>
  <c r="CF52" i="40"/>
  <c r="CF51" i="40"/>
  <c r="CF47" i="40"/>
  <c r="CF49" i="40"/>
  <c r="CF46" i="40"/>
  <c r="CF45" i="40"/>
  <c r="CF54" i="40"/>
  <c r="CF44" i="40"/>
  <c r="CF53" i="40"/>
  <c r="CG16" i="40"/>
  <c r="CG27" i="40" l="1"/>
  <c r="CG28" i="40"/>
  <c r="BF78" i="24"/>
  <c r="BF78" i="46"/>
  <c r="BF78" i="55"/>
  <c r="CG56" i="40"/>
  <c r="BG78" i="24" s="1"/>
  <c r="D20" i="7"/>
  <c r="BF72" i="54"/>
  <c r="BF72" i="55"/>
  <c r="BF72" i="24"/>
  <c r="BF72" i="46"/>
  <c r="BF65" i="55"/>
  <c r="BF62" i="55"/>
  <c r="BF64" i="55"/>
  <c r="BF63" i="55"/>
  <c r="BF64" i="54"/>
  <c r="BF62" i="54"/>
  <c r="BF65" i="54"/>
  <c r="BF63" i="54"/>
  <c r="BF62" i="46"/>
  <c r="BF63" i="46"/>
  <c r="BF65" i="46"/>
  <c r="BF64" i="46"/>
  <c r="BF65" i="24"/>
  <c r="BF62" i="24"/>
  <c r="BF64" i="24"/>
  <c r="BF63" i="24"/>
  <c r="CG20" i="40"/>
  <c r="CG19" i="40"/>
  <c r="CG29" i="40"/>
  <c r="CG30" i="40"/>
  <c r="CG31" i="40"/>
  <c r="CG32" i="40"/>
  <c r="CG25" i="40"/>
  <c r="CG26" i="40"/>
  <c r="CG48" i="40"/>
  <c r="CG24" i="40"/>
  <c r="CG22" i="40"/>
  <c r="CG21" i="40"/>
  <c r="CG23" i="40"/>
  <c r="BF77" i="46"/>
  <c r="BF77" i="24"/>
  <c r="BF69" i="55"/>
  <c r="BF69" i="46"/>
  <c r="BF69" i="54"/>
  <c r="BF69" i="24"/>
  <c r="BF67" i="46"/>
  <c r="BF67" i="54"/>
  <c r="BF67" i="55"/>
  <c r="BF67" i="24"/>
  <c r="BF77" i="54"/>
  <c r="BF77" i="55"/>
  <c r="CG55" i="40"/>
  <c r="BF71" i="24"/>
  <c r="BF71" i="46"/>
  <c r="BF71" i="54"/>
  <c r="BF71" i="55"/>
  <c r="BF74" i="24"/>
  <c r="BF74" i="54"/>
  <c r="BF74" i="46"/>
  <c r="BF74" i="55"/>
  <c r="BF73" i="24"/>
  <c r="BF73" i="54"/>
  <c r="BF73" i="55"/>
  <c r="BF73" i="46"/>
  <c r="BF76" i="24"/>
  <c r="BF76" i="54"/>
  <c r="BF76" i="46"/>
  <c r="BF76" i="55"/>
  <c r="BF75" i="24"/>
  <c r="BF75" i="46"/>
  <c r="BF75" i="54"/>
  <c r="BF75" i="55"/>
  <c r="BF70" i="24"/>
  <c r="BF70" i="46"/>
  <c r="BF70" i="54"/>
  <c r="BF70" i="55"/>
  <c r="CG18" i="40"/>
  <c r="CG42" i="40"/>
  <c r="CG17" i="40"/>
  <c r="CG52" i="40"/>
  <c r="CG49" i="40"/>
  <c r="CG51" i="40"/>
  <c r="CG50" i="40"/>
  <c r="CG47" i="40"/>
  <c r="CG45" i="40"/>
  <c r="CG46" i="40"/>
  <c r="CG54" i="40"/>
  <c r="CG44" i="40"/>
  <c r="CG53" i="40"/>
  <c r="CH16" i="40"/>
  <c r="BG78" i="46" l="1"/>
  <c r="BG78" i="54"/>
  <c r="BG78" i="55"/>
  <c r="CH27" i="40"/>
  <c r="CH28" i="40"/>
  <c r="CH56" i="40"/>
  <c r="BH78" i="46" s="1"/>
  <c r="BG72" i="54"/>
  <c r="BG72" i="55"/>
  <c r="BG72" i="24"/>
  <c r="BG72" i="46"/>
  <c r="BG62" i="55"/>
  <c r="BG65" i="55"/>
  <c r="BG63" i="55"/>
  <c r="BG64" i="55"/>
  <c r="BG62" i="54"/>
  <c r="BG64" i="54"/>
  <c r="BG65" i="54"/>
  <c r="BG63" i="54"/>
  <c r="BG62" i="46"/>
  <c r="BG64" i="46"/>
  <c r="BG65" i="46"/>
  <c r="BG63" i="46"/>
  <c r="BG65" i="24"/>
  <c r="BG64" i="24"/>
  <c r="BG63" i="24"/>
  <c r="BG62" i="24"/>
  <c r="CH20" i="40"/>
  <c r="CH19" i="40"/>
  <c r="CH29" i="40"/>
  <c r="CH30" i="40"/>
  <c r="CH31" i="40"/>
  <c r="CH32" i="40"/>
  <c r="CH25" i="40"/>
  <c r="CH26" i="40"/>
  <c r="CH48" i="40"/>
  <c r="CH24" i="40"/>
  <c r="CH21" i="40"/>
  <c r="CH22" i="40"/>
  <c r="CH23" i="40"/>
  <c r="BG77" i="46"/>
  <c r="BG77" i="24"/>
  <c r="BG67" i="46"/>
  <c r="BG67" i="54"/>
  <c r="BG67" i="55"/>
  <c r="BG67" i="24"/>
  <c r="BG69" i="55"/>
  <c r="BG69" i="54"/>
  <c r="BG69" i="46"/>
  <c r="BG69" i="24"/>
  <c r="BG77" i="54"/>
  <c r="BG77" i="55"/>
  <c r="CH55" i="40"/>
  <c r="BG76" i="24"/>
  <c r="BG76" i="54"/>
  <c r="BG76" i="55"/>
  <c r="BG76" i="46"/>
  <c r="BG74" i="24"/>
  <c r="BG74" i="55"/>
  <c r="BG74" i="54"/>
  <c r="BG74" i="46"/>
  <c r="BG71" i="24"/>
  <c r="BG71" i="55"/>
  <c r="BG71" i="54"/>
  <c r="BG71" i="46"/>
  <c r="BG75" i="24"/>
  <c r="BG75" i="55"/>
  <c r="BG75" i="46"/>
  <c r="BG75" i="54"/>
  <c r="BG73" i="24"/>
  <c r="BG73" i="54"/>
  <c r="BG73" i="55"/>
  <c r="BG73" i="46"/>
  <c r="BG70" i="24"/>
  <c r="BG70" i="46"/>
  <c r="BG70" i="55"/>
  <c r="BG70" i="54"/>
  <c r="CH42" i="40"/>
  <c r="CH18" i="40"/>
  <c r="CH17" i="40"/>
  <c r="CH45" i="40"/>
  <c r="CH50" i="40"/>
  <c r="CH52" i="40"/>
  <c r="CH51" i="40"/>
  <c r="CH49" i="40"/>
  <c r="CH46" i="40"/>
  <c r="CH47" i="40"/>
  <c r="CH54" i="40"/>
  <c r="CH44" i="40"/>
  <c r="CH53" i="40"/>
  <c r="CI16" i="40"/>
  <c r="CI28" i="40" l="1"/>
  <c r="CI27" i="40"/>
  <c r="BH78" i="24"/>
  <c r="BH78" i="54"/>
  <c r="BH78" i="55"/>
  <c r="CI56" i="40"/>
  <c r="BI78" i="55" s="1"/>
  <c r="BH72" i="54"/>
  <c r="BH72" i="55"/>
  <c r="BH72" i="24"/>
  <c r="BH72" i="46"/>
  <c r="BH63" i="55"/>
  <c r="BH62" i="55"/>
  <c r="BH65" i="55"/>
  <c r="BH64" i="55"/>
  <c r="BH65" i="54"/>
  <c r="BH64" i="54"/>
  <c r="BH63" i="54"/>
  <c r="BH62" i="54"/>
  <c r="BH62" i="46"/>
  <c r="BH65" i="46"/>
  <c r="BH64" i="46"/>
  <c r="BH63" i="46"/>
  <c r="BH64" i="24"/>
  <c r="BH63" i="24"/>
  <c r="BH65" i="24"/>
  <c r="BH62" i="24"/>
  <c r="CI20" i="40"/>
  <c r="CI19" i="40"/>
  <c r="CI29" i="40"/>
  <c r="CI32" i="40"/>
  <c r="CI31" i="40"/>
  <c r="CI30" i="40"/>
  <c r="CI25" i="40"/>
  <c r="CI26" i="40"/>
  <c r="CI48" i="40"/>
  <c r="CI24" i="40"/>
  <c r="CI22" i="40"/>
  <c r="CI21" i="40"/>
  <c r="CI23" i="40"/>
  <c r="BH77" i="46"/>
  <c r="BH77" i="24"/>
  <c r="BH69" i="55"/>
  <c r="BH69" i="24"/>
  <c r="BH69" i="54"/>
  <c r="BH69" i="46"/>
  <c r="BH67" i="46"/>
  <c r="BH67" i="54"/>
  <c r="BH67" i="55"/>
  <c r="BH67" i="24"/>
  <c r="BH77" i="54"/>
  <c r="BH77" i="55"/>
  <c r="CI55" i="40"/>
  <c r="BH71" i="24"/>
  <c r="BH71" i="55"/>
  <c r="BH71" i="54"/>
  <c r="BH71" i="46"/>
  <c r="BH73" i="24"/>
  <c r="BH73" i="54"/>
  <c r="BH73" i="46"/>
  <c r="BH73" i="55"/>
  <c r="BH75" i="24"/>
  <c r="BH75" i="46"/>
  <c r="BH75" i="55"/>
  <c r="BH75" i="54"/>
  <c r="BH74" i="24"/>
  <c r="BH74" i="55"/>
  <c r="BH74" i="54"/>
  <c r="BH74" i="46"/>
  <c r="BH76" i="24"/>
  <c r="BH76" i="46"/>
  <c r="BH76" i="54"/>
  <c r="BH76" i="55"/>
  <c r="BH70" i="24"/>
  <c r="BH70" i="46"/>
  <c r="BH70" i="55"/>
  <c r="BH70" i="54"/>
  <c r="CI18" i="40"/>
  <c r="CI42" i="40"/>
  <c r="CI17" i="40"/>
  <c r="CI52" i="40"/>
  <c r="CI51" i="40"/>
  <c r="CI50" i="40"/>
  <c r="CI47" i="40"/>
  <c r="CI45" i="40"/>
  <c r="CI49" i="40"/>
  <c r="CI46" i="40"/>
  <c r="CI54" i="40"/>
  <c r="CI44" i="40"/>
  <c r="CI53" i="40"/>
  <c r="CJ16" i="40"/>
  <c r="CJ28" i="40" l="1"/>
  <c r="CJ27" i="40"/>
  <c r="BI78" i="46"/>
  <c r="BI78" i="54"/>
  <c r="BI78" i="24"/>
  <c r="CJ56" i="40"/>
  <c r="BJ78" i="46" s="1"/>
  <c r="BI72" i="54"/>
  <c r="BI72" i="55"/>
  <c r="BI72" i="24"/>
  <c r="BI72" i="46"/>
  <c r="BI65" i="55"/>
  <c r="BI62" i="55"/>
  <c r="BI64" i="55"/>
  <c r="BI63" i="55"/>
  <c r="BI65" i="54"/>
  <c r="BI63" i="54"/>
  <c r="BI64" i="54"/>
  <c r="BI62" i="54"/>
  <c r="BI65" i="46"/>
  <c r="BI63" i="46"/>
  <c r="BI64" i="46"/>
  <c r="BI62" i="46"/>
  <c r="BI63" i="24"/>
  <c r="BI65" i="24"/>
  <c r="BI62" i="24"/>
  <c r="BI64" i="24"/>
  <c r="CJ20" i="40"/>
  <c r="CJ19" i="40"/>
  <c r="CJ29" i="40"/>
  <c r="CJ31" i="40"/>
  <c r="CJ30" i="40"/>
  <c r="CJ32" i="40"/>
  <c r="CJ25" i="40"/>
  <c r="CJ26" i="40"/>
  <c r="CJ48" i="40"/>
  <c r="CJ22" i="40"/>
  <c r="CJ24" i="40"/>
  <c r="CJ21" i="40"/>
  <c r="CJ23" i="40"/>
  <c r="BI77" i="46"/>
  <c r="BI77" i="24"/>
  <c r="BI69" i="55"/>
  <c r="BI69" i="54"/>
  <c r="BI69" i="46"/>
  <c r="BI69" i="24"/>
  <c r="BI67" i="46"/>
  <c r="BI67" i="54"/>
  <c r="BI67" i="55"/>
  <c r="BI67" i="24"/>
  <c r="BI77" i="54"/>
  <c r="BI77" i="55"/>
  <c r="CJ55" i="40"/>
  <c r="BI71" i="24"/>
  <c r="BI71" i="46"/>
  <c r="BI71" i="55"/>
  <c r="BI71" i="54"/>
  <c r="BI76" i="24"/>
  <c r="BI76" i="46"/>
  <c r="BI76" i="54"/>
  <c r="BI76" i="55"/>
  <c r="BI73" i="24"/>
  <c r="BI73" i="46"/>
  <c r="BI73" i="54"/>
  <c r="BI73" i="55"/>
  <c r="BI74" i="24"/>
  <c r="BI74" i="54"/>
  <c r="BI74" i="46"/>
  <c r="BI74" i="55"/>
  <c r="BI70" i="24"/>
  <c r="BI70" i="46"/>
  <c r="BI70" i="55"/>
  <c r="BI70" i="54"/>
  <c r="BI75" i="24"/>
  <c r="BI75" i="46"/>
  <c r="BI75" i="55"/>
  <c r="BI75" i="54"/>
  <c r="CJ17" i="40"/>
  <c r="CJ42" i="40"/>
  <c r="CJ18" i="40"/>
  <c r="CJ52" i="40"/>
  <c r="CJ47" i="40"/>
  <c r="CJ49" i="40"/>
  <c r="CJ51" i="40"/>
  <c r="CJ46" i="40"/>
  <c r="CJ45" i="40"/>
  <c r="CJ50" i="40"/>
  <c r="CJ54" i="40"/>
  <c r="CJ44" i="40"/>
  <c r="CJ53" i="40"/>
  <c r="CK16" i="40"/>
  <c r="CK28" i="40" l="1"/>
  <c r="CK27" i="40"/>
  <c r="BJ78" i="24"/>
  <c r="BJ78" i="54"/>
  <c r="BJ78" i="55"/>
  <c r="CK56" i="40"/>
  <c r="BK78" i="24" s="1"/>
  <c r="BJ72" i="54"/>
  <c r="BJ72" i="55"/>
  <c r="BJ72" i="24"/>
  <c r="BJ72" i="46"/>
  <c r="BJ65" i="55"/>
  <c r="BJ64" i="55"/>
  <c r="BJ62" i="55"/>
  <c r="BJ63" i="55"/>
  <c r="BJ64" i="54"/>
  <c r="BJ63" i="54"/>
  <c r="BJ62" i="54"/>
  <c r="BJ65" i="54"/>
  <c r="BJ62" i="46"/>
  <c r="BJ65" i="46"/>
  <c r="BJ64" i="46"/>
  <c r="BJ63" i="46"/>
  <c r="BJ63" i="24"/>
  <c r="BJ62" i="24"/>
  <c r="BJ64" i="24"/>
  <c r="BJ65" i="24"/>
  <c r="CK19" i="40"/>
  <c r="CK20" i="40"/>
  <c r="CK29" i="40"/>
  <c r="CK30" i="40"/>
  <c r="CK31" i="40"/>
  <c r="CK32" i="40"/>
  <c r="CK25" i="40"/>
  <c r="CK26" i="40"/>
  <c r="CK48" i="40"/>
  <c r="CK22" i="40"/>
  <c r="CK21" i="40"/>
  <c r="CK24" i="40"/>
  <c r="CK23" i="40"/>
  <c r="BJ77" i="46"/>
  <c r="BJ77" i="24"/>
  <c r="BJ69" i="54"/>
  <c r="BJ69" i="46"/>
  <c r="BJ69" i="55"/>
  <c r="BJ69" i="24"/>
  <c r="BJ67" i="54"/>
  <c r="BJ67" i="46"/>
  <c r="BJ67" i="55"/>
  <c r="BJ67" i="24"/>
  <c r="BJ77" i="54"/>
  <c r="BJ77" i="55"/>
  <c r="CK55" i="40"/>
  <c r="BJ76" i="24"/>
  <c r="BJ76" i="54"/>
  <c r="BJ76" i="46"/>
  <c r="BJ76" i="55"/>
  <c r="BJ75" i="24"/>
  <c r="BJ75" i="55"/>
  <c r="BJ75" i="46"/>
  <c r="BJ75" i="54"/>
  <c r="BJ74" i="24"/>
  <c r="BJ74" i="54"/>
  <c r="BJ74" i="46"/>
  <c r="BJ74" i="55"/>
  <c r="BJ73" i="24"/>
  <c r="BJ73" i="54"/>
  <c r="BJ73" i="46"/>
  <c r="BJ73" i="55"/>
  <c r="BJ70" i="24"/>
  <c r="BJ70" i="55"/>
  <c r="BJ70" i="46"/>
  <c r="BJ70" i="54"/>
  <c r="BJ71" i="24"/>
  <c r="BJ71" i="55"/>
  <c r="BJ71" i="46"/>
  <c r="BJ71" i="54"/>
  <c r="CK42" i="40"/>
  <c r="CK17" i="40"/>
  <c r="CK18" i="40"/>
  <c r="CK51" i="40"/>
  <c r="CK50" i="40"/>
  <c r="CK49" i="40"/>
  <c r="CK45" i="40"/>
  <c r="CK47" i="40"/>
  <c r="CK52" i="40"/>
  <c r="CK46" i="40"/>
  <c r="CK54" i="40"/>
  <c r="CK44" i="40"/>
  <c r="CK53" i="40"/>
  <c r="CL16" i="40"/>
  <c r="BK78" i="46" l="1"/>
  <c r="CL28" i="40"/>
  <c r="CL27" i="40"/>
  <c r="BK78" i="55"/>
  <c r="BK78" i="54"/>
  <c r="CL56" i="40"/>
  <c r="BL78" i="55" s="1"/>
  <c r="BK72" i="54"/>
  <c r="BK72" i="55"/>
  <c r="BK72" i="24"/>
  <c r="BK72" i="46"/>
  <c r="BK64" i="55"/>
  <c r="BK65" i="55"/>
  <c r="BK63" i="55"/>
  <c r="BK62" i="55"/>
  <c r="BK64" i="54"/>
  <c r="BK62" i="54"/>
  <c r="BK63" i="54"/>
  <c r="BK65" i="54"/>
  <c r="BK64" i="46"/>
  <c r="BK62" i="46"/>
  <c r="BK65" i="46"/>
  <c r="BK63" i="46"/>
  <c r="BK64" i="24"/>
  <c r="BK62" i="24"/>
  <c r="BK63" i="24"/>
  <c r="BK65" i="24"/>
  <c r="CL19" i="40"/>
  <c r="CL20" i="40"/>
  <c r="CL29" i="40"/>
  <c r="CL32" i="40"/>
  <c r="CL30" i="40"/>
  <c r="CL31" i="40"/>
  <c r="CL25" i="40"/>
  <c r="CL26" i="40"/>
  <c r="CL48" i="40"/>
  <c r="CL22" i="40"/>
  <c r="CL21" i="40"/>
  <c r="CL24" i="40"/>
  <c r="CL23" i="40"/>
  <c r="BK77" i="46"/>
  <c r="BK77" i="24"/>
  <c r="BK67" i="46"/>
  <c r="BK67" i="54"/>
  <c r="BK67" i="55"/>
  <c r="BK67" i="24"/>
  <c r="BK69" i="46"/>
  <c r="BK69" i="55"/>
  <c r="BK69" i="54"/>
  <c r="BK69" i="24"/>
  <c r="BK77" i="54"/>
  <c r="BK77" i="55"/>
  <c r="CL55" i="40"/>
  <c r="BK76" i="24"/>
  <c r="BK76" i="55"/>
  <c r="BK76" i="46"/>
  <c r="BK76" i="54"/>
  <c r="BK74" i="24"/>
  <c r="BK74" i="55"/>
  <c r="BK74" i="46"/>
  <c r="BK74" i="54"/>
  <c r="BK75" i="24"/>
  <c r="BK75" i="46"/>
  <c r="BK75" i="55"/>
  <c r="BK75" i="54"/>
  <c r="BK71" i="24"/>
  <c r="BK71" i="46"/>
  <c r="BK71" i="55"/>
  <c r="BK71" i="54"/>
  <c r="BK73" i="24"/>
  <c r="BK73" i="54"/>
  <c r="BK73" i="46"/>
  <c r="BK73" i="55"/>
  <c r="BK70" i="24"/>
  <c r="BK70" i="46"/>
  <c r="BK70" i="54"/>
  <c r="BK70" i="55"/>
  <c r="CL42" i="40"/>
  <c r="CL18" i="40"/>
  <c r="CL17" i="40"/>
  <c r="CL50" i="40"/>
  <c r="CL46" i="40"/>
  <c r="CL52" i="40"/>
  <c r="CL51" i="40"/>
  <c r="CL49" i="40"/>
  <c r="CL47" i="40"/>
  <c r="CL45" i="40"/>
  <c r="CL54" i="40"/>
  <c r="CL44" i="40"/>
  <c r="CL53" i="40"/>
  <c r="CM16" i="40"/>
  <c r="BL78" i="54" l="1"/>
  <c r="CM28" i="40"/>
  <c r="CM27" i="40"/>
  <c r="BL78" i="24"/>
  <c r="BL78" i="46"/>
  <c r="CM56" i="40"/>
  <c r="BM78" i="54" s="1"/>
  <c r="BL72" i="54"/>
  <c r="BL72" i="55"/>
  <c r="BL72" i="24"/>
  <c r="BL72" i="46"/>
  <c r="BL62" i="55"/>
  <c r="BL63" i="55"/>
  <c r="BL64" i="55"/>
  <c r="BL65" i="55"/>
  <c r="BL64" i="54"/>
  <c r="BL63" i="54"/>
  <c r="BL65" i="54"/>
  <c r="BL62" i="54"/>
  <c r="BL62" i="46"/>
  <c r="BL65" i="46"/>
  <c r="BL63" i="46"/>
  <c r="BL64" i="46"/>
  <c r="BL62" i="24"/>
  <c r="BL65" i="24"/>
  <c r="BL64" i="24"/>
  <c r="BL63" i="24"/>
  <c r="CM20" i="40"/>
  <c r="CM19" i="40"/>
  <c r="CM29" i="40"/>
  <c r="CM30" i="40"/>
  <c r="CM32" i="40"/>
  <c r="CM31" i="40"/>
  <c r="CM25" i="40"/>
  <c r="CM26" i="40"/>
  <c r="CM48" i="40"/>
  <c r="CM21" i="40"/>
  <c r="CM24" i="40"/>
  <c r="CM22" i="40"/>
  <c r="CM23" i="40"/>
  <c r="BL77" i="46"/>
  <c r="BL77" i="24"/>
  <c r="BL67" i="54"/>
  <c r="BL67" i="46"/>
  <c r="BL67" i="55"/>
  <c r="BL67" i="24"/>
  <c r="BL69" i="55"/>
  <c r="BL69" i="54"/>
  <c r="BL69" i="46"/>
  <c r="BL69" i="24"/>
  <c r="BL77" i="54"/>
  <c r="BL77" i="55"/>
  <c r="CM55" i="40"/>
  <c r="BL70" i="24"/>
  <c r="BL70" i="46"/>
  <c r="BL70" i="54"/>
  <c r="BL70" i="55"/>
  <c r="BL71" i="24"/>
  <c r="BL71" i="55"/>
  <c r="BL71" i="46"/>
  <c r="BL71" i="54"/>
  <c r="BL75" i="24"/>
  <c r="BL75" i="55"/>
  <c r="BL75" i="54"/>
  <c r="BL75" i="46"/>
  <c r="BL74" i="24"/>
  <c r="BL74" i="55"/>
  <c r="BL74" i="54"/>
  <c r="BL74" i="46"/>
  <c r="BL76" i="24"/>
  <c r="BL76" i="54"/>
  <c r="BL76" i="55"/>
  <c r="BL76" i="46"/>
  <c r="BL73" i="24"/>
  <c r="BL73" i="54"/>
  <c r="BL73" i="46"/>
  <c r="BL73" i="55"/>
  <c r="CM42" i="40"/>
  <c r="CM17" i="40"/>
  <c r="CM18" i="40"/>
  <c r="CM52" i="40"/>
  <c r="CM51" i="40"/>
  <c r="CM50" i="40"/>
  <c r="CM47" i="40"/>
  <c r="CM49" i="40"/>
  <c r="CM46" i="40"/>
  <c r="CM45" i="40"/>
  <c r="CM54" i="40"/>
  <c r="CM44" i="40"/>
  <c r="CM53" i="40"/>
  <c r="CN16" i="40"/>
  <c r="CN28" i="40" l="1"/>
  <c r="CN27" i="40"/>
  <c r="BM78" i="24"/>
  <c r="BM78" i="55"/>
  <c r="BM78" i="46"/>
  <c r="CN56" i="40"/>
  <c r="BN78" i="54" s="1"/>
  <c r="BM72" i="54"/>
  <c r="BM72" i="55"/>
  <c r="BM72" i="24"/>
  <c r="BM72" i="46"/>
  <c r="BM63" i="55"/>
  <c r="BM62" i="55"/>
  <c r="BM64" i="55"/>
  <c r="BM65" i="55"/>
  <c r="BM63" i="54"/>
  <c r="BM65" i="54"/>
  <c r="BM64" i="54"/>
  <c r="BM62" i="54"/>
  <c r="BM63" i="46"/>
  <c r="BM65" i="46"/>
  <c r="BM64" i="46"/>
  <c r="BM62" i="46"/>
  <c r="BM65" i="24"/>
  <c r="BM63" i="24"/>
  <c r="BM62" i="24"/>
  <c r="BM64" i="24"/>
  <c r="CN20" i="40"/>
  <c r="CN19" i="40"/>
  <c r="CN29" i="40"/>
  <c r="CN30" i="40"/>
  <c r="CN31" i="40"/>
  <c r="CN32" i="40"/>
  <c r="CN25" i="40"/>
  <c r="CN26" i="40"/>
  <c r="CN48" i="40"/>
  <c r="CN21" i="40"/>
  <c r="CN22" i="40"/>
  <c r="CN24" i="40"/>
  <c r="CN23" i="40"/>
  <c r="BM77" i="46"/>
  <c r="BM77" i="24"/>
  <c r="BM69" i="55"/>
  <c r="BM69" i="46"/>
  <c r="BM69" i="54"/>
  <c r="BM69" i="24"/>
  <c r="BM67" i="54"/>
  <c r="BM67" i="46"/>
  <c r="BM67" i="55"/>
  <c r="BM67" i="24"/>
  <c r="BM77" i="54"/>
  <c r="BM77" i="55"/>
  <c r="CN55" i="40"/>
  <c r="BM71" i="24"/>
  <c r="BM71" i="55"/>
  <c r="BM71" i="54"/>
  <c r="BM71" i="46"/>
  <c r="BM74" i="24"/>
  <c r="BM74" i="46"/>
  <c r="BM74" i="55"/>
  <c r="BM74" i="54"/>
  <c r="BM70" i="24"/>
  <c r="BM70" i="55"/>
  <c r="BM70" i="54"/>
  <c r="BM70" i="46"/>
  <c r="BM76" i="24"/>
  <c r="BM76" i="55"/>
  <c r="BM76" i="54"/>
  <c r="BM76" i="46"/>
  <c r="BM73" i="24"/>
  <c r="BM73" i="46"/>
  <c r="BM73" i="54"/>
  <c r="BM73" i="55"/>
  <c r="BM75" i="24"/>
  <c r="BM75" i="46"/>
  <c r="BM75" i="54"/>
  <c r="BM75" i="55"/>
  <c r="CN42" i="40"/>
  <c r="CN18" i="40"/>
  <c r="CN17" i="40"/>
  <c r="CN52" i="40"/>
  <c r="CN51" i="40"/>
  <c r="CN49" i="40"/>
  <c r="CN50" i="40"/>
  <c r="CN46" i="40"/>
  <c r="CN45" i="40"/>
  <c r="CN47" i="40"/>
  <c r="CN54" i="40"/>
  <c r="CN44" i="40"/>
  <c r="CN53" i="40"/>
  <c r="CO16" i="40"/>
  <c r="CO27" i="40" l="1"/>
  <c r="CO28" i="40"/>
  <c r="BN78" i="55"/>
  <c r="BN78" i="24"/>
  <c r="BN78" i="46"/>
  <c r="CO56" i="40"/>
  <c r="BO78" i="24" s="1"/>
  <c r="BN72" i="54"/>
  <c r="BN72" i="55"/>
  <c r="BN72" i="24"/>
  <c r="BN72" i="46"/>
  <c r="BN62" i="55"/>
  <c r="BN63" i="55"/>
  <c r="BN65" i="55"/>
  <c r="BN64" i="55"/>
  <c r="BN63" i="54"/>
  <c r="BN62" i="54"/>
  <c r="BN64" i="54"/>
  <c r="BN65" i="54"/>
  <c r="BN64" i="46"/>
  <c r="BN62" i="46"/>
  <c r="BN65" i="46"/>
  <c r="BN63" i="46"/>
  <c r="BN65" i="24"/>
  <c r="BN63" i="24"/>
  <c r="BN64" i="24"/>
  <c r="BN62" i="24"/>
  <c r="CO20" i="40"/>
  <c r="CO19" i="40"/>
  <c r="CO29" i="40"/>
  <c r="CO30" i="40"/>
  <c r="CO32" i="40"/>
  <c r="CO31" i="40"/>
  <c r="CO25" i="40"/>
  <c r="CO26" i="40"/>
  <c r="CO48" i="40"/>
  <c r="CO22" i="40"/>
  <c r="CO21" i="40"/>
  <c r="CO24" i="40"/>
  <c r="CO23" i="40"/>
  <c r="BN77" i="46"/>
  <c r="BN77" i="24"/>
  <c r="BN67" i="54"/>
  <c r="BN67" i="46"/>
  <c r="BN67" i="55"/>
  <c r="BN67" i="24"/>
  <c r="BN69" i="55"/>
  <c r="BN69" i="46"/>
  <c r="BN69" i="54"/>
  <c r="BN69" i="24"/>
  <c r="BN77" i="54"/>
  <c r="BN77" i="55"/>
  <c r="CO55" i="40"/>
  <c r="BN76" i="24"/>
  <c r="BN76" i="54"/>
  <c r="BN76" i="55"/>
  <c r="BN76" i="46"/>
  <c r="BN75" i="24"/>
  <c r="BN75" i="46"/>
  <c r="BN75" i="55"/>
  <c r="BN75" i="54"/>
  <c r="BN70" i="24"/>
  <c r="BN70" i="46"/>
  <c r="BN70" i="55"/>
  <c r="BN70" i="54"/>
  <c r="BN71" i="24"/>
  <c r="BN71" i="55"/>
  <c r="BN71" i="54"/>
  <c r="BN71" i="46"/>
  <c r="BN73" i="24"/>
  <c r="BN73" i="54"/>
  <c r="BN73" i="55"/>
  <c r="BN73" i="46"/>
  <c r="BN74" i="24"/>
  <c r="BN74" i="46"/>
  <c r="BN74" i="55"/>
  <c r="BN74" i="54"/>
  <c r="CO18" i="40"/>
  <c r="CO42" i="40"/>
  <c r="CO17" i="40"/>
  <c r="CO51" i="40"/>
  <c r="CO50" i="40"/>
  <c r="CO49" i="40"/>
  <c r="CO46" i="40"/>
  <c r="CO52" i="40"/>
  <c r="CO45" i="40"/>
  <c r="CO47" i="40"/>
  <c r="CO54" i="40"/>
  <c r="CO44" i="40"/>
  <c r="CO53" i="40"/>
  <c r="CP16" i="40"/>
  <c r="CP28" i="40" l="1"/>
  <c r="CP27" i="40"/>
  <c r="BO78" i="55"/>
  <c r="BO78" i="46"/>
  <c r="BO78" i="54"/>
  <c r="CP56" i="40"/>
  <c r="BP78" i="54" s="1"/>
  <c r="BO72" i="54"/>
  <c r="BO72" i="55"/>
  <c r="BO72" i="24"/>
  <c r="BO72" i="46"/>
  <c r="BO62" i="55"/>
  <c r="BO63" i="55"/>
  <c r="BO65" i="55"/>
  <c r="BO64" i="55"/>
  <c r="BO62" i="54"/>
  <c r="BO63" i="54"/>
  <c r="BO64" i="54"/>
  <c r="BO65" i="54"/>
  <c r="BO62" i="46"/>
  <c r="BO63" i="46"/>
  <c r="BO65" i="46"/>
  <c r="BO64" i="46"/>
  <c r="BO64" i="24"/>
  <c r="BO62" i="24"/>
  <c r="BO63" i="24"/>
  <c r="BO65" i="24"/>
  <c r="CP19" i="40"/>
  <c r="CP20" i="40"/>
  <c r="CP29" i="40"/>
  <c r="CP32" i="40"/>
  <c r="CP31" i="40"/>
  <c r="CP30" i="40"/>
  <c r="CP25" i="40"/>
  <c r="CP26" i="40"/>
  <c r="CP48" i="40"/>
  <c r="CP22" i="40"/>
  <c r="CP24" i="40"/>
  <c r="CP21" i="40"/>
  <c r="CP23" i="40"/>
  <c r="BO77" i="46"/>
  <c r="BO77" i="24"/>
  <c r="BO67" i="54"/>
  <c r="BO67" i="46"/>
  <c r="BO67" i="55"/>
  <c r="BO67" i="24"/>
  <c r="BO69" i="55"/>
  <c r="BO69" i="54"/>
  <c r="BO69" i="46"/>
  <c r="BO69" i="24"/>
  <c r="BO77" i="54"/>
  <c r="BO77" i="55"/>
  <c r="CP55" i="40"/>
  <c r="BO76" i="24"/>
  <c r="BO76" i="54"/>
  <c r="BO76" i="55"/>
  <c r="BO76" i="46"/>
  <c r="BO70" i="24"/>
  <c r="BO70" i="46"/>
  <c r="BO70" i="55"/>
  <c r="BO70" i="54"/>
  <c r="BO71" i="24"/>
  <c r="BO71" i="54"/>
  <c r="BO71" i="46"/>
  <c r="BO71" i="55"/>
  <c r="BO74" i="24"/>
  <c r="BO74" i="55"/>
  <c r="BO74" i="54"/>
  <c r="BO74" i="46"/>
  <c r="BO73" i="24"/>
  <c r="BO73" i="54"/>
  <c r="BO73" i="46"/>
  <c r="BO73" i="55"/>
  <c r="BO75" i="24"/>
  <c r="BO75" i="46"/>
  <c r="BO75" i="54"/>
  <c r="BO75" i="55"/>
  <c r="CP42" i="40"/>
  <c r="CP17" i="40"/>
  <c r="CP18" i="40"/>
  <c r="CP50" i="40"/>
  <c r="CP52" i="40"/>
  <c r="CP51" i="40"/>
  <c r="CP47" i="40"/>
  <c r="CP46" i="40"/>
  <c r="CP49" i="40"/>
  <c r="CP45" i="40"/>
  <c r="CP54" i="40"/>
  <c r="CP44" i="40"/>
  <c r="CP53" i="40"/>
  <c r="CQ16" i="40"/>
  <c r="BP78" i="24" l="1"/>
  <c r="CQ28" i="40"/>
  <c r="CQ27" i="40"/>
  <c r="BP78" i="55"/>
  <c r="BP78" i="46"/>
  <c r="CQ56" i="40"/>
  <c r="BQ78" i="55" s="1"/>
  <c r="BP72" i="54"/>
  <c r="BP72" i="55"/>
  <c r="BP72" i="24"/>
  <c r="BP72" i="46"/>
  <c r="BP64" i="55"/>
  <c r="BP65" i="55"/>
  <c r="BP62" i="55"/>
  <c r="BP63" i="55"/>
  <c r="BP63" i="54"/>
  <c r="BP62" i="54"/>
  <c r="BP65" i="54"/>
  <c r="BP64" i="54"/>
  <c r="BP63" i="46"/>
  <c r="BP65" i="46"/>
  <c r="BP62" i="46"/>
  <c r="BP64" i="46"/>
  <c r="BP64" i="24"/>
  <c r="BP63" i="24"/>
  <c r="BP62" i="24"/>
  <c r="BP65" i="24"/>
  <c r="CQ20" i="40"/>
  <c r="CQ19" i="40"/>
  <c r="CQ29" i="40"/>
  <c r="CQ31" i="40"/>
  <c r="CQ30" i="40"/>
  <c r="CQ32" i="40"/>
  <c r="CQ25" i="40"/>
  <c r="CQ26" i="40"/>
  <c r="CQ48" i="40"/>
  <c r="CQ22" i="40"/>
  <c r="CQ21" i="40"/>
  <c r="CQ24" i="40"/>
  <c r="CQ23" i="40"/>
  <c r="BP77" i="46"/>
  <c r="BP77" i="24"/>
  <c r="BP67" i="46"/>
  <c r="BP67" i="54"/>
  <c r="BP67" i="55"/>
  <c r="BP67" i="24"/>
  <c r="BP69" i="54"/>
  <c r="BP69" i="24"/>
  <c r="BP69" i="55"/>
  <c r="BP69" i="46"/>
  <c r="BP77" i="54"/>
  <c r="BP77" i="55"/>
  <c r="CQ55" i="40"/>
  <c r="BP70" i="24"/>
  <c r="BP70" i="46"/>
  <c r="BP70" i="55"/>
  <c r="BP70" i="54"/>
  <c r="BP71" i="24"/>
  <c r="BP71" i="55"/>
  <c r="BP71" i="46"/>
  <c r="BP71" i="54"/>
  <c r="BP74" i="24"/>
  <c r="BP74" i="55"/>
  <c r="BP74" i="46"/>
  <c r="BP74" i="54"/>
  <c r="BP76" i="24"/>
  <c r="BP76" i="46"/>
  <c r="BP76" i="54"/>
  <c r="BP76" i="55"/>
  <c r="BP73" i="24"/>
  <c r="BP73" i="46"/>
  <c r="BP73" i="55"/>
  <c r="BP73" i="54"/>
  <c r="BP75" i="24"/>
  <c r="BP75" i="55"/>
  <c r="BP75" i="54"/>
  <c r="BP75" i="46"/>
  <c r="CQ42" i="40"/>
  <c r="CQ18" i="40"/>
  <c r="CQ17" i="40"/>
  <c r="CQ52" i="40"/>
  <c r="CQ51" i="40"/>
  <c r="CQ49" i="40"/>
  <c r="CQ50" i="40"/>
  <c r="CQ46" i="40"/>
  <c r="CQ45" i="40"/>
  <c r="CQ47" i="40"/>
  <c r="CQ54" i="40"/>
  <c r="CQ44" i="40"/>
  <c r="CQ53" i="40"/>
  <c r="BQ78" i="24" l="1"/>
  <c r="BQ78" i="54"/>
  <c r="BQ78" i="46"/>
  <c r="BQ72" i="54"/>
  <c r="BQ72" i="55"/>
  <c r="BQ72" i="24"/>
  <c r="BQ72" i="46"/>
  <c r="BQ65" i="55"/>
  <c r="BQ64" i="55"/>
  <c r="BQ63" i="55"/>
  <c r="BQ62" i="55"/>
  <c r="BQ65" i="54"/>
  <c r="BQ63" i="54"/>
  <c r="BQ62" i="54"/>
  <c r="BQ64" i="54"/>
  <c r="BQ65" i="46"/>
  <c r="BQ62" i="46"/>
  <c r="BQ64" i="46"/>
  <c r="BQ63" i="46"/>
  <c r="BQ65" i="24"/>
  <c r="BQ63" i="24"/>
  <c r="BQ64" i="24"/>
  <c r="BQ62" i="24"/>
  <c r="BQ77" i="46"/>
  <c r="P106" i="46" s="1"/>
  <c r="L106" i="46" s="1"/>
  <c r="BQ77" i="24"/>
  <c r="BQ69" i="55"/>
  <c r="P98" i="55" s="1"/>
  <c r="L98" i="55" s="1"/>
  <c r="BQ69" i="54"/>
  <c r="P98" i="54" s="1"/>
  <c r="L98" i="54" s="1"/>
  <c r="BQ69" i="46"/>
  <c r="P98" i="46" s="1"/>
  <c r="L98" i="46" s="1"/>
  <c r="BQ69" i="24"/>
  <c r="P98" i="24" s="1"/>
  <c r="L98" i="24" s="1"/>
  <c r="BQ67" i="54"/>
  <c r="P96" i="54" s="1"/>
  <c r="L96" i="54" s="1"/>
  <c r="BQ67" i="46"/>
  <c r="P96" i="46" s="1"/>
  <c r="L96" i="46" s="1"/>
  <c r="BQ67" i="55"/>
  <c r="P96" i="55" s="1"/>
  <c r="L96" i="55" s="1"/>
  <c r="BQ67" i="24"/>
  <c r="P96" i="24" s="1"/>
  <c r="L96" i="24" s="1"/>
  <c r="P107" i="24"/>
  <c r="L107" i="24" s="1"/>
  <c r="BQ77" i="54"/>
  <c r="P106" i="54" s="1"/>
  <c r="L106" i="54" s="1"/>
  <c r="BQ77" i="55"/>
  <c r="P106" i="55" s="1"/>
  <c r="L106" i="55" s="1"/>
  <c r="P93" i="54"/>
  <c r="L93" i="54" s="1"/>
  <c r="P94" i="54"/>
  <c r="L94" i="54" s="1"/>
  <c r="BQ76" i="24"/>
  <c r="P105" i="24" s="1"/>
  <c r="L105" i="24" s="1"/>
  <c r="BQ76" i="46"/>
  <c r="P105" i="46" s="1"/>
  <c r="L105" i="46" s="1"/>
  <c r="BQ76" i="55"/>
  <c r="P105" i="55" s="1"/>
  <c r="L105" i="55" s="1"/>
  <c r="BQ76" i="54"/>
  <c r="P105" i="54" s="1"/>
  <c r="L105" i="54" s="1"/>
  <c r="P92" i="54"/>
  <c r="L92" i="54" s="1"/>
  <c r="P93" i="55"/>
  <c r="L93" i="55" s="1"/>
  <c r="P91" i="55"/>
  <c r="L91" i="55" s="1"/>
  <c r="P94" i="46"/>
  <c r="L94" i="46" s="1"/>
  <c r="P91" i="46"/>
  <c r="L91" i="46" s="1"/>
  <c r="P92" i="46"/>
  <c r="L92" i="46" s="1"/>
  <c r="P93" i="46"/>
  <c r="L93" i="46" s="1"/>
  <c r="P91" i="54"/>
  <c r="L91" i="54" s="1"/>
  <c r="P94" i="55"/>
  <c r="L94" i="55" s="1"/>
  <c r="P92" i="55"/>
  <c r="L92" i="55" s="1"/>
  <c r="BQ73" i="24"/>
  <c r="P102" i="24" s="1"/>
  <c r="L102" i="24" s="1"/>
  <c r="BQ73" i="54"/>
  <c r="P102" i="54" s="1"/>
  <c r="L102" i="54" s="1"/>
  <c r="BQ73" i="46"/>
  <c r="P102" i="46" s="1"/>
  <c r="L102" i="46" s="1"/>
  <c r="BQ73" i="55"/>
  <c r="P102" i="55" s="1"/>
  <c r="L102" i="55" s="1"/>
  <c r="P101" i="24"/>
  <c r="L101" i="24" s="1"/>
  <c r="P101" i="46"/>
  <c r="L101" i="46" s="1"/>
  <c r="P101" i="55"/>
  <c r="L101" i="55" s="1"/>
  <c r="P101" i="54"/>
  <c r="L101" i="54" s="1"/>
  <c r="BQ74" i="24"/>
  <c r="P103" i="24" s="1"/>
  <c r="L103" i="24" s="1"/>
  <c r="BQ74" i="46"/>
  <c r="P103" i="46" s="1"/>
  <c r="L103" i="46" s="1"/>
  <c r="BQ74" i="54"/>
  <c r="P103" i="54" s="1"/>
  <c r="L103" i="54" s="1"/>
  <c r="BQ74" i="55"/>
  <c r="P103" i="55" s="1"/>
  <c r="L103" i="55" s="1"/>
  <c r="BQ70" i="24"/>
  <c r="P99" i="24" s="1"/>
  <c r="L99" i="24" s="1"/>
  <c r="BQ70" i="46"/>
  <c r="P99" i="46" s="1"/>
  <c r="L99" i="46" s="1"/>
  <c r="BQ70" i="55"/>
  <c r="P99" i="55" s="1"/>
  <c r="L99" i="55" s="1"/>
  <c r="BQ70" i="54"/>
  <c r="P99" i="54" s="1"/>
  <c r="L99" i="54" s="1"/>
  <c r="BQ75" i="24"/>
  <c r="P104" i="24" s="1"/>
  <c r="L104" i="24" s="1"/>
  <c r="BQ75" i="55"/>
  <c r="P104" i="55" s="1"/>
  <c r="L104" i="55" s="1"/>
  <c r="BQ75" i="54"/>
  <c r="P104" i="54" s="1"/>
  <c r="L104" i="54" s="1"/>
  <c r="BQ75" i="46"/>
  <c r="P104" i="46" s="1"/>
  <c r="L104" i="46" s="1"/>
  <c r="BQ71" i="24"/>
  <c r="P100" i="24" s="1"/>
  <c r="L100" i="24" s="1"/>
  <c r="BQ71" i="46"/>
  <c r="P100" i="46" s="1"/>
  <c r="L100" i="46" s="1"/>
  <c r="BQ71" i="55"/>
  <c r="P100" i="55" s="1"/>
  <c r="L100" i="55" s="1"/>
  <c r="BQ71" i="54"/>
  <c r="P100" i="54" s="1"/>
  <c r="L100" i="54" s="1"/>
  <c r="P92" i="24"/>
  <c r="L92" i="24" s="1"/>
  <c r="P94" i="24"/>
  <c r="L94" i="24" s="1"/>
  <c r="P93" i="24"/>
  <c r="L93" i="24" s="1"/>
  <c r="P91" i="24" l="1"/>
  <c r="L91" i="24" s="1"/>
  <c r="V139" i="24"/>
  <c r="V140" i="24"/>
  <c r="V141" i="24"/>
  <c r="V129" i="24"/>
  <c r="V131" i="24"/>
  <c r="V132" i="24"/>
  <c r="T135" i="24"/>
  <c r="T136" i="24" s="1"/>
  <c r="F26" i="7" l="1"/>
  <c r="F23" i="7" s="1"/>
  <c r="F17" i="7"/>
  <c r="H26" i="7"/>
  <c r="H23" i="7" s="1"/>
  <c r="H17" i="7"/>
  <c r="J26" i="7"/>
  <c r="J23" i="7" s="1"/>
  <c r="J17" i="7"/>
  <c r="D26" i="7"/>
  <c r="C118" i="24"/>
  <c r="T130" i="24"/>
  <c r="V130" i="24" s="1"/>
  <c r="Q12" i="1" l="1"/>
  <c r="G117" i="46"/>
  <c r="L117" i="46" s="1"/>
  <c r="F110" i="7" s="1"/>
  <c r="L119" i="54"/>
  <c r="H108" i="7" s="1"/>
  <c r="L119" i="55"/>
  <c r="J108" i="7" s="1"/>
  <c r="S118" i="24"/>
  <c r="C119" i="24"/>
  <c r="V118" i="24"/>
  <c r="U118" i="24"/>
  <c r="J12" i="1" l="1"/>
  <c r="G118" i="55"/>
  <c r="L118" i="55" s="1"/>
  <c r="J111" i="7" s="1"/>
  <c r="G118" i="54"/>
  <c r="L118" i="54" s="1"/>
  <c r="H111" i="7" s="1"/>
  <c r="G116" i="46"/>
  <c r="L116" i="46" s="1"/>
  <c r="G116" i="55"/>
  <c r="L116" i="55" s="1"/>
  <c r="G117" i="55"/>
  <c r="L117" i="55" s="1"/>
  <c r="J110" i="7" s="1"/>
  <c r="G116" i="54"/>
  <c r="L116" i="54" s="1"/>
  <c r="G117" i="54"/>
  <c r="L117" i="54" s="1"/>
  <c r="H110" i="7" s="1"/>
  <c r="J26" i="1"/>
  <c r="G119" i="54"/>
  <c r="G119" i="55"/>
  <c r="J109" i="7" l="1"/>
  <c r="H109" i="7"/>
  <c r="F109" i="7"/>
  <c r="X12" i="1"/>
  <c r="X26" i="1"/>
  <c r="X28" i="1"/>
  <c r="Q28" i="1"/>
  <c r="Q26" i="1"/>
  <c r="H39" i="24"/>
  <c r="H54" i="24" s="1"/>
  <c r="J54" i="24" l="1"/>
  <c r="G88" i="24" s="1"/>
  <c r="D18" i="7" s="1"/>
  <c r="D17" i="7" s="1"/>
  <c r="L88" i="24" l="1"/>
  <c r="D24" i="7" s="1"/>
  <c r="D23" i="7" s="1"/>
  <c r="C12" i="1" l="1"/>
  <c r="L119" i="24"/>
  <c r="D108" i="7" s="1"/>
  <c r="G117" i="24" l="1"/>
  <c r="L117" i="24" s="1"/>
  <c r="G118" i="24"/>
  <c r="L118" i="24" s="1"/>
  <c r="G116" i="24"/>
  <c r="L116" i="24" s="1"/>
  <c r="G119" i="24"/>
  <c r="D110" i="7" l="1"/>
  <c r="C26" i="1" s="1"/>
  <c r="D111" i="7"/>
  <c r="C28" i="1" s="1"/>
  <c r="D109" i="7"/>
  <c r="C24" i="1" s="1"/>
  <c r="X24" i="1"/>
  <c r="J24" i="1"/>
  <c r="Q24" i="1"/>
  <c r="H86" i="7" l="1"/>
  <c r="H83" i="7" s="1"/>
  <c r="Q14" i="1" s="1"/>
  <c r="J86" i="7"/>
  <c r="J83" i="7" s="1"/>
  <c r="X14" i="1" s="1"/>
  <c r="F86" i="7"/>
  <c r="F83" i="7" s="1"/>
  <c r="J14" i="1" s="1"/>
  <c r="D86" i="7"/>
  <c r="D83" i="7" s="1"/>
  <c r="C14" i="1" s="1"/>
  <c r="F108" i="7" l="1"/>
  <c r="S43" i="40"/>
  <c r="BL43" i="40" s="1"/>
  <c r="S41" i="40"/>
  <c r="BF41" i="40" s="1"/>
  <c r="AT41" i="40" l="1"/>
  <c r="T66" i="54" s="1"/>
  <c r="BW43" i="40"/>
  <c r="AW68" i="55" s="1"/>
  <c r="CM41" i="40"/>
  <c r="BM66" i="46" s="1"/>
  <c r="CQ41" i="40"/>
  <c r="BQ66" i="54" s="1"/>
  <c r="BC43" i="40"/>
  <c r="AC68" i="54" s="1"/>
  <c r="AS43" i="40"/>
  <c r="S68" i="55" s="1"/>
  <c r="P97" i="55" s="1"/>
  <c r="L97" i="55" s="1"/>
  <c r="AL68" i="55"/>
  <c r="AL68" i="46"/>
  <c r="AL68" i="24"/>
  <c r="AL68" i="54"/>
  <c r="AF66" i="24"/>
  <c r="AF66" i="55"/>
  <c r="AF66" i="46"/>
  <c r="AF66" i="54"/>
  <c r="CD41" i="40"/>
  <c r="CA41" i="40"/>
  <c r="AX41" i="40"/>
  <c r="BL41" i="40"/>
  <c r="CD43" i="40"/>
  <c r="BQ66" i="46"/>
  <c r="CH41" i="40"/>
  <c r="BA43" i="40"/>
  <c r="AV43" i="40"/>
  <c r="BB43" i="40"/>
  <c r="AZ43" i="40"/>
  <c r="BQ43" i="40"/>
  <c r="CB43" i="40"/>
  <c r="CG43" i="40"/>
  <c r="CM43" i="40"/>
  <c r="BO43" i="40"/>
  <c r="BP43" i="40"/>
  <c r="CE43" i="40"/>
  <c r="AL43" i="40"/>
  <c r="BJ43" i="40"/>
  <c r="CK43" i="40"/>
  <c r="AY43" i="40"/>
  <c r="BV43" i="40"/>
  <c r="J68" i="54"/>
  <c r="L68" i="54" s="1"/>
  <c r="G97" i="54" s="1"/>
  <c r="E97" i="54" s="1"/>
  <c r="CJ43" i="40"/>
  <c r="BM43" i="40"/>
  <c r="BU43" i="40"/>
  <c r="AJ43" i="40"/>
  <c r="AU43" i="40"/>
  <c r="BT43" i="40"/>
  <c r="BZ43" i="40"/>
  <c r="CL43" i="40"/>
  <c r="CN43" i="40"/>
  <c r="BI43" i="40"/>
  <c r="BN43" i="40"/>
  <c r="CI43" i="40"/>
  <c r="BK43" i="40"/>
  <c r="BD43" i="40"/>
  <c r="AW43" i="40"/>
  <c r="AX43" i="40"/>
  <c r="BX43" i="40"/>
  <c r="BE43" i="40"/>
  <c r="BH43" i="40"/>
  <c r="BF43" i="40"/>
  <c r="AT43" i="40"/>
  <c r="J68" i="24"/>
  <c r="L68" i="24" s="1"/>
  <c r="G97" i="24" s="1"/>
  <c r="E97" i="24" s="1"/>
  <c r="CF43" i="40"/>
  <c r="BG43" i="40"/>
  <c r="J68" i="55"/>
  <c r="L68" i="55" s="1"/>
  <c r="G97" i="55" s="1"/>
  <c r="E97" i="55" s="1"/>
  <c r="CO43" i="40"/>
  <c r="J68" i="46"/>
  <c r="L68" i="46" s="1"/>
  <c r="G97" i="46" s="1"/>
  <c r="E97" i="46" s="1"/>
  <c r="CP41" i="40"/>
  <c r="CG41" i="40"/>
  <c r="BB41" i="40"/>
  <c r="CP43" i="40"/>
  <c r="BU41" i="40"/>
  <c r="BY43" i="40"/>
  <c r="T66" i="55"/>
  <c r="CC43" i="40"/>
  <c r="CC41" i="40"/>
  <c r="CN41" i="40"/>
  <c r="BQ66" i="55"/>
  <c r="CQ43" i="40"/>
  <c r="AU41" i="40"/>
  <c r="BI41" i="40"/>
  <c r="BW41" i="40"/>
  <c r="J66" i="24"/>
  <c r="L66" i="24" s="1"/>
  <c r="BQ41" i="40"/>
  <c r="J66" i="46"/>
  <c r="L66" i="46" s="1"/>
  <c r="J66" i="54"/>
  <c r="L66" i="54" s="1"/>
  <c r="CA43" i="40"/>
  <c r="CH43" i="40"/>
  <c r="AL41" i="40"/>
  <c r="BJ41" i="40"/>
  <c r="BM41" i="40"/>
  <c r="BS41" i="40"/>
  <c r="BO41" i="40"/>
  <c r="BV41" i="40"/>
  <c r="BZ41" i="40"/>
  <c r="AJ41" i="40"/>
  <c r="BT41" i="40"/>
  <c r="BK41" i="40"/>
  <c r="BR41" i="40"/>
  <c r="AV41" i="40"/>
  <c r="AW41" i="40"/>
  <c r="BG41" i="40"/>
  <c r="CK41" i="40"/>
  <c r="BE41" i="40"/>
  <c r="J66" i="55"/>
  <c r="L66" i="55" s="1"/>
  <c r="CB41" i="40"/>
  <c r="BA41" i="40"/>
  <c r="BC41" i="40"/>
  <c r="BX41" i="40"/>
  <c r="CF41" i="40"/>
  <c r="BP41" i="40"/>
  <c r="BD41" i="40"/>
  <c r="CE41" i="40"/>
  <c r="AZ41" i="40"/>
  <c r="BY41" i="40"/>
  <c r="CJ41" i="40"/>
  <c r="CI41" i="40"/>
  <c r="AY41" i="40"/>
  <c r="CO41" i="40"/>
  <c r="BH41" i="40"/>
  <c r="BN41" i="40"/>
  <c r="AW68" i="24"/>
  <c r="AS41" i="40"/>
  <c r="CL41" i="40"/>
  <c r="BS43" i="40"/>
  <c r="BR43" i="40"/>
  <c r="T66" i="46" l="1"/>
  <c r="T66" i="24"/>
  <c r="AW68" i="46"/>
  <c r="AW68" i="54"/>
  <c r="BM66" i="24"/>
  <c r="BM66" i="54"/>
  <c r="BM66" i="55"/>
  <c r="AC68" i="24"/>
  <c r="AC68" i="46"/>
  <c r="AC68" i="55"/>
  <c r="S68" i="24"/>
  <c r="P97" i="24" s="1"/>
  <c r="L97" i="24" s="1"/>
  <c r="S68" i="54"/>
  <c r="P97" i="54" s="1"/>
  <c r="L97" i="54" s="1"/>
  <c r="S68" i="46"/>
  <c r="P97" i="46" s="1"/>
  <c r="L97" i="46" s="1"/>
  <c r="BQ66" i="24"/>
  <c r="AY66" i="54"/>
  <c r="AY66" i="55"/>
  <c r="AY66" i="24"/>
  <c r="AY66" i="46"/>
  <c r="Z66" i="55"/>
  <c r="Z66" i="54"/>
  <c r="Z66" i="46"/>
  <c r="Z66" i="24"/>
  <c r="BJ66" i="54"/>
  <c r="BJ66" i="46"/>
  <c r="BJ66" i="24"/>
  <c r="BJ66" i="55"/>
  <c r="AC66" i="55"/>
  <c r="AC66" i="46"/>
  <c r="AC66" i="24"/>
  <c r="AC66" i="54"/>
  <c r="AC79" i="54" s="1"/>
  <c r="V66" i="54"/>
  <c r="V66" i="55"/>
  <c r="V66" i="24"/>
  <c r="V66" i="46"/>
  <c r="AS66" i="54"/>
  <c r="AS66" i="24"/>
  <c r="AS66" i="55"/>
  <c r="AS66" i="46"/>
  <c r="AQ66" i="24"/>
  <c r="AQ66" i="54"/>
  <c r="AQ66" i="46"/>
  <c r="AQ66" i="55"/>
  <c r="U66" i="54"/>
  <c r="U66" i="55"/>
  <c r="U66" i="24"/>
  <c r="U66" i="46"/>
  <c r="AU66" i="46"/>
  <c r="AU66" i="54"/>
  <c r="AU66" i="24"/>
  <c r="AU66" i="55"/>
  <c r="AX68" i="55"/>
  <c r="AX68" i="54"/>
  <c r="AX68" i="24"/>
  <c r="AX68" i="46"/>
  <c r="BN68" i="55"/>
  <c r="BN68" i="24"/>
  <c r="BN68" i="54"/>
  <c r="BN68" i="46"/>
  <c r="BJ68" i="55"/>
  <c r="BJ68" i="54"/>
  <c r="BJ68" i="24"/>
  <c r="BJ68" i="46"/>
  <c r="AP68" i="46"/>
  <c r="AP68" i="54"/>
  <c r="AP68" i="24"/>
  <c r="AP68" i="55"/>
  <c r="V68" i="24"/>
  <c r="V68" i="55"/>
  <c r="V68" i="54"/>
  <c r="V68" i="46"/>
  <c r="BA66" i="24"/>
  <c r="BA66" i="55"/>
  <c r="BA66" i="54"/>
  <c r="BA66" i="46"/>
  <c r="AM66" i="55"/>
  <c r="AM66" i="24"/>
  <c r="AM66" i="46"/>
  <c r="AM66" i="54"/>
  <c r="AG68" i="54"/>
  <c r="AG68" i="55"/>
  <c r="AG68" i="46"/>
  <c r="AG68" i="24"/>
  <c r="AA68" i="24"/>
  <c r="AA68" i="55"/>
  <c r="AA68" i="54"/>
  <c r="AA68" i="46"/>
  <c r="AK66" i="55"/>
  <c r="AK66" i="46"/>
  <c r="AK66" i="24"/>
  <c r="AK66" i="54"/>
  <c r="BF68" i="55"/>
  <c r="BF68" i="46"/>
  <c r="BF68" i="24"/>
  <c r="BF68" i="54"/>
  <c r="AT66" i="46"/>
  <c r="AT66" i="24"/>
  <c r="AT66" i="54"/>
  <c r="AT66" i="55"/>
  <c r="AW66" i="46"/>
  <c r="AW79" i="46" s="1"/>
  <c r="AW66" i="55"/>
  <c r="AW79" i="55" s="1"/>
  <c r="AW66" i="54"/>
  <c r="AW79" i="54" s="1"/>
  <c r="AW66" i="24"/>
  <c r="AW79" i="24" s="1"/>
  <c r="BN66" i="46"/>
  <c r="BN66" i="55"/>
  <c r="BN66" i="24"/>
  <c r="BN66" i="54"/>
  <c r="BG66" i="24"/>
  <c r="BG66" i="46"/>
  <c r="BG66" i="54"/>
  <c r="BG66" i="55"/>
  <c r="AD68" i="55"/>
  <c r="AD68" i="54"/>
  <c r="AD68" i="46"/>
  <c r="AD68" i="24"/>
  <c r="AT68" i="24"/>
  <c r="AT68" i="54"/>
  <c r="AT68" i="55"/>
  <c r="AT68" i="46"/>
  <c r="Y68" i="24"/>
  <c r="Y68" i="55"/>
  <c r="Y68" i="46"/>
  <c r="Y68" i="54"/>
  <c r="BG68" i="55"/>
  <c r="BG68" i="46"/>
  <c r="BG68" i="54"/>
  <c r="BG68" i="24"/>
  <c r="AR66" i="24"/>
  <c r="AR66" i="54"/>
  <c r="AR66" i="55"/>
  <c r="AR66" i="46"/>
  <c r="BP68" i="46"/>
  <c r="BP68" i="24"/>
  <c r="BP68" i="54"/>
  <c r="BP68" i="55"/>
  <c r="BD66" i="55"/>
  <c r="BD66" i="46"/>
  <c r="BD66" i="54"/>
  <c r="BD66" i="24"/>
  <c r="L79" i="24"/>
  <c r="G95" i="24"/>
  <c r="AV68" i="55"/>
  <c r="AV68" i="24"/>
  <c r="AV68" i="46"/>
  <c r="AV68" i="54"/>
  <c r="L79" i="55"/>
  <c r="G95" i="55"/>
  <c r="AD66" i="54"/>
  <c r="AD66" i="55"/>
  <c r="AD66" i="24"/>
  <c r="AD66" i="46"/>
  <c r="BH68" i="55"/>
  <c r="BH68" i="46"/>
  <c r="BH68" i="54"/>
  <c r="BH68" i="24"/>
  <c r="BC66" i="46"/>
  <c r="BC66" i="54"/>
  <c r="BC66" i="55"/>
  <c r="BC66" i="24"/>
  <c r="T68" i="54"/>
  <c r="T68" i="55"/>
  <c r="T79" i="55" s="1"/>
  <c r="T68" i="24"/>
  <c r="T79" i="24" s="1"/>
  <c r="T68" i="46"/>
  <c r="T79" i="46" s="1"/>
  <c r="AK68" i="46"/>
  <c r="AK68" i="55"/>
  <c r="AK68" i="54"/>
  <c r="AK68" i="24"/>
  <c r="U68" i="46"/>
  <c r="U68" i="24"/>
  <c r="U68" i="55"/>
  <c r="U68" i="54"/>
  <c r="BK68" i="55"/>
  <c r="BK68" i="46"/>
  <c r="BK68" i="54"/>
  <c r="BK68" i="24"/>
  <c r="BB68" i="46"/>
  <c r="BB68" i="54"/>
  <c r="BB68" i="24"/>
  <c r="BB68" i="55"/>
  <c r="BD68" i="46"/>
  <c r="BD68" i="55"/>
  <c r="BD68" i="54"/>
  <c r="BD68" i="24"/>
  <c r="BL68" i="24"/>
  <c r="BL68" i="54"/>
  <c r="BL68" i="46"/>
  <c r="BL68" i="55"/>
  <c r="AO68" i="54"/>
  <c r="AO68" i="46"/>
  <c r="AO68" i="55"/>
  <c r="AO68" i="24"/>
  <c r="BB66" i="46"/>
  <c r="BB66" i="24"/>
  <c r="BB66" i="54"/>
  <c r="BB66" i="55"/>
  <c r="AB66" i="46"/>
  <c r="AB66" i="24"/>
  <c r="AB66" i="54"/>
  <c r="AB66" i="55"/>
  <c r="AR68" i="55"/>
  <c r="AR68" i="54"/>
  <c r="AR68" i="46"/>
  <c r="AR68" i="24"/>
  <c r="AS68" i="24"/>
  <c r="AS68" i="54"/>
  <c r="AS68" i="46"/>
  <c r="AS68" i="55"/>
  <c r="AE66" i="55"/>
  <c r="AE66" i="46"/>
  <c r="AE66" i="54"/>
  <c r="AE66" i="24"/>
  <c r="AI66" i="54"/>
  <c r="AI66" i="24"/>
  <c r="AI66" i="55"/>
  <c r="AI66" i="46"/>
  <c r="T79" i="54"/>
  <c r="BO66" i="54"/>
  <c r="BO66" i="55"/>
  <c r="BO66" i="46"/>
  <c r="BO66" i="24"/>
  <c r="AP66" i="54"/>
  <c r="AP66" i="55"/>
  <c r="AP66" i="24"/>
  <c r="AP66" i="46"/>
  <c r="AP79" i="46" s="1"/>
  <c r="BK66" i="54"/>
  <c r="BK66" i="46"/>
  <c r="BK66" i="55"/>
  <c r="BK66" i="24"/>
  <c r="AZ66" i="54"/>
  <c r="AZ66" i="46"/>
  <c r="AZ66" i="55"/>
  <c r="AZ66" i="24"/>
  <c r="BA68" i="46"/>
  <c r="BA68" i="24"/>
  <c r="BA68" i="55"/>
  <c r="BA68" i="54"/>
  <c r="BC68" i="55"/>
  <c r="BC68" i="24"/>
  <c r="BC68" i="46"/>
  <c r="BC68" i="54"/>
  <c r="BP66" i="46"/>
  <c r="BP66" i="54"/>
  <c r="BP66" i="24"/>
  <c r="BP66" i="55"/>
  <c r="AF68" i="54"/>
  <c r="AF79" i="54" s="1"/>
  <c r="AF68" i="55"/>
  <c r="AF79" i="55" s="1"/>
  <c r="AF68" i="24"/>
  <c r="AF79" i="24" s="1"/>
  <c r="AF68" i="46"/>
  <c r="AF79" i="46" s="1"/>
  <c r="BI68" i="24"/>
  <c r="BI68" i="54"/>
  <c r="BI68" i="46"/>
  <c r="BI68" i="55"/>
  <c r="AJ68" i="24"/>
  <c r="AJ68" i="55"/>
  <c r="AJ68" i="46"/>
  <c r="AJ68" i="54"/>
  <c r="AQ68" i="24"/>
  <c r="AQ68" i="54"/>
  <c r="AQ68" i="55"/>
  <c r="AQ68" i="46"/>
  <c r="AL66" i="55"/>
  <c r="AL79" i="55" s="1"/>
  <c r="AL66" i="24"/>
  <c r="AL79" i="24" s="1"/>
  <c r="AL66" i="46"/>
  <c r="AL79" i="46" s="1"/>
  <c r="AL66" i="54"/>
  <c r="AL79" i="54" s="1"/>
  <c r="AA66" i="54"/>
  <c r="AA66" i="55"/>
  <c r="AA66" i="24"/>
  <c r="AA66" i="46"/>
  <c r="X68" i="24"/>
  <c r="X68" i="54"/>
  <c r="X68" i="46"/>
  <c r="X68" i="55"/>
  <c r="AJ66" i="55"/>
  <c r="AJ66" i="54"/>
  <c r="AJ66" i="46"/>
  <c r="AJ66" i="24"/>
  <c r="W68" i="24"/>
  <c r="W68" i="55"/>
  <c r="W68" i="46"/>
  <c r="W68" i="54"/>
  <c r="BM68" i="24"/>
  <c r="BM79" i="24" s="1"/>
  <c r="BM68" i="46"/>
  <c r="BM79" i="46" s="1"/>
  <c r="BM68" i="54"/>
  <c r="BM79" i="54" s="1"/>
  <c r="BM68" i="55"/>
  <c r="BE66" i="55"/>
  <c r="BE66" i="24"/>
  <c r="BE66" i="46"/>
  <c r="BE66" i="54"/>
  <c r="Y66" i="55"/>
  <c r="Y79" i="55" s="1"/>
  <c r="Y66" i="24"/>
  <c r="Y66" i="46"/>
  <c r="Y66" i="54"/>
  <c r="AG66" i="46"/>
  <c r="AG66" i="24"/>
  <c r="AG66" i="54"/>
  <c r="AG66" i="55"/>
  <c r="G95" i="54"/>
  <c r="L79" i="54"/>
  <c r="AH68" i="55"/>
  <c r="AH68" i="54"/>
  <c r="AH68" i="24"/>
  <c r="AH68" i="46"/>
  <c r="AN68" i="46"/>
  <c r="AN68" i="55"/>
  <c r="AN68" i="24"/>
  <c r="AN68" i="54"/>
  <c r="AU68" i="55"/>
  <c r="AU68" i="24"/>
  <c r="AU68" i="46"/>
  <c r="AU68" i="54"/>
  <c r="Z68" i="54"/>
  <c r="Z68" i="55"/>
  <c r="Z68" i="46"/>
  <c r="Z68" i="24"/>
  <c r="BQ68" i="55"/>
  <c r="BQ79" i="55" s="1"/>
  <c r="BQ68" i="46"/>
  <c r="BQ79" i="46" s="1"/>
  <c r="BQ68" i="54"/>
  <c r="BQ79" i="54" s="1"/>
  <c r="BQ68" i="24"/>
  <c r="AZ68" i="55"/>
  <c r="AZ68" i="46"/>
  <c r="AZ68" i="54"/>
  <c r="AZ68" i="24"/>
  <c r="BH66" i="54"/>
  <c r="BH66" i="55"/>
  <c r="BH66" i="24"/>
  <c r="BH66" i="46"/>
  <c r="AN66" i="24"/>
  <c r="AN66" i="54"/>
  <c r="AN66" i="46"/>
  <c r="AN66" i="55"/>
  <c r="AH66" i="54"/>
  <c r="AH66" i="46"/>
  <c r="AH66" i="24"/>
  <c r="AH66" i="55"/>
  <c r="BL66" i="55"/>
  <c r="BL66" i="54"/>
  <c r="BL66" i="46"/>
  <c r="BL66" i="24"/>
  <c r="BF66" i="46"/>
  <c r="BF66" i="24"/>
  <c r="BF66" i="55"/>
  <c r="BF66" i="54"/>
  <c r="AV66" i="55"/>
  <c r="AV66" i="46"/>
  <c r="AV66" i="24"/>
  <c r="AV66" i="54"/>
  <c r="S66" i="46"/>
  <c r="S66" i="24"/>
  <c r="S66" i="55"/>
  <c r="S66" i="54"/>
  <c r="BI66" i="55"/>
  <c r="BI66" i="46"/>
  <c r="BI66" i="24"/>
  <c r="BI66" i="54"/>
  <c r="AX66" i="54"/>
  <c r="AX66" i="55"/>
  <c r="AX66" i="24"/>
  <c r="AX66" i="46"/>
  <c r="W66" i="54"/>
  <c r="W66" i="24"/>
  <c r="W66" i="46"/>
  <c r="W66" i="55"/>
  <c r="AO66" i="54"/>
  <c r="AO66" i="24"/>
  <c r="AO66" i="46"/>
  <c r="AO66" i="55"/>
  <c r="L79" i="46"/>
  <c r="G95" i="46"/>
  <c r="AY68" i="55"/>
  <c r="AY68" i="46"/>
  <c r="AY68" i="54"/>
  <c r="AY68" i="24"/>
  <c r="BO68" i="54"/>
  <c r="BO68" i="55"/>
  <c r="BO68" i="46"/>
  <c r="BO68" i="24"/>
  <c r="AE68" i="54"/>
  <c r="AE68" i="24"/>
  <c r="AE68" i="46"/>
  <c r="AE68" i="55"/>
  <c r="AI68" i="24"/>
  <c r="AI68" i="54"/>
  <c r="AI68" i="46"/>
  <c r="AI68" i="55"/>
  <c r="AM68" i="54"/>
  <c r="AM68" i="24"/>
  <c r="AM68" i="55"/>
  <c r="AM68" i="46"/>
  <c r="BE68" i="54"/>
  <c r="BE68" i="55"/>
  <c r="BE68" i="46"/>
  <c r="BE68" i="24"/>
  <c r="AB68" i="46"/>
  <c r="AB68" i="24"/>
  <c r="AB68" i="54"/>
  <c r="AB68" i="55"/>
  <c r="X66" i="46"/>
  <c r="X66" i="54"/>
  <c r="X66" i="24"/>
  <c r="X66" i="55"/>
  <c r="BM79" i="55" l="1"/>
  <c r="AC79" i="46"/>
  <c r="AC79" i="24"/>
  <c r="AC79" i="55"/>
  <c r="BB79" i="46"/>
  <c r="BQ79" i="24"/>
  <c r="BN79" i="24"/>
  <c r="Y79" i="54"/>
  <c r="BI79" i="46"/>
  <c r="BL79" i="55"/>
  <c r="BN79" i="46"/>
  <c r="AG79" i="24"/>
  <c r="AP79" i="55"/>
  <c r="BI79" i="54"/>
  <c r="AV79" i="54"/>
  <c r="BI79" i="24"/>
  <c r="BL79" i="46"/>
  <c r="Y79" i="46"/>
  <c r="BN79" i="54"/>
  <c r="BH79" i="46"/>
  <c r="AG79" i="55"/>
  <c r="AP79" i="24"/>
  <c r="AD79" i="46"/>
  <c r="BH79" i="54"/>
  <c r="AG79" i="46"/>
  <c r="AP79" i="54"/>
  <c r="AN79" i="55"/>
  <c r="AX79" i="55"/>
  <c r="AG79" i="54"/>
  <c r="AO79" i="24"/>
  <c r="BH79" i="55"/>
  <c r="BL79" i="24"/>
  <c r="AD79" i="55"/>
  <c r="AN79" i="46"/>
  <c r="X79" i="55"/>
  <c r="AV79" i="46"/>
  <c r="Y79" i="24"/>
  <c r="W79" i="54"/>
  <c r="BN79" i="55"/>
  <c r="W79" i="55"/>
  <c r="AN79" i="24"/>
  <c r="AO79" i="54"/>
  <c r="AM79" i="46"/>
  <c r="U79" i="24"/>
  <c r="Z79" i="46"/>
  <c r="AA79" i="46"/>
  <c r="BK79" i="24"/>
  <c r="AA79" i="24"/>
  <c r="BK79" i="55"/>
  <c r="AV79" i="24"/>
  <c r="BF79" i="54"/>
  <c r="BP79" i="46"/>
  <c r="BP79" i="55"/>
  <c r="BF79" i="55"/>
  <c r="AX79" i="54"/>
  <c r="BF79" i="46"/>
  <c r="AH79" i="54"/>
  <c r="BE79" i="24"/>
  <c r="U79" i="46"/>
  <c r="AS79" i="46"/>
  <c r="Z79" i="24"/>
  <c r="W79" i="24"/>
  <c r="BP79" i="24"/>
  <c r="BG79" i="24"/>
  <c r="X79" i="24"/>
  <c r="BI79" i="55"/>
  <c r="AV79" i="55"/>
  <c r="BP79" i="54"/>
  <c r="BK79" i="46"/>
  <c r="BD79" i="24"/>
  <c r="AR79" i="46"/>
  <c r="AT79" i="55"/>
  <c r="AO79" i="55"/>
  <c r="AH79" i="55"/>
  <c r="AJ79" i="55"/>
  <c r="BK79" i="54"/>
  <c r="BD79" i="54"/>
  <c r="AJ79" i="24"/>
  <c r="AO79" i="46"/>
  <c r="AZ79" i="24"/>
  <c r="AE79" i="55"/>
  <c r="BB79" i="24"/>
  <c r="BD79" i="46"/>
  <c r="AR79" i="54"/>
  <c r="BE79" i="46"/>
  <c r="AZ79" i="55"/>
  <c r="AI79" i="46"/>
  <c r="AR79" i="55"/>
  <c r="BE79" i="55"/>
  <c r="AZ79" i="46"/>
  <c r="AI79" i="55"/>
  <c r="AB79" i="55"/>
  <c r="AM79" i="55"/>
  <c r="U79" i="55"/>
  <c r="AS79" i="24"/>
  <c r="Z79" i="54"/>
  <c r="W79" i="46"/>
  <c r="E95" i="46"/>
  <c r="G108" i="46"/>
  <c r="G110" i="46" s="1"/>
  <c r="BL79" i="54"/>
  <c r="AN79" i="54"/>
  <c r="AZ79" i="54"/>
  <c r="AI79" i="24"/>
  <c r="AB79" i="54"/>
  <c r="BD79" i="55"/>
  <c r="AR79" i="24"/>
  <c r="AT79" i="54"/>
  <c r="AK79" i="54"/>
  <c r="U79" i="54"/>
  <c r="AS79" i="54"/>
  <c r="Z79" i="55"/>
  <c r="S79" i="46"/>
  <c r="P95" i="46"/>
  <c r="L95" i="46" s="1"/>
  <c r="L108" i="46" s="1"/>
  <c r="L110" i="46" s="1"/>
  <c r="L119" i="46" s="1"/>
  <c r="BG79" i="46"/>
  <c r="AJ79" i="46"/>
  <c r="BO79" i="24"/>
  <c r="AI79" i="54"/>
  <c r="AB79" i="24"/>
  <c r="BC79" i="24"/>
  <c r="AT79" i="24"/>
  <c r="AK79" i="24"/>
  <c r="BA79" i="46"/>
  <c r="AU79" i="55"/>
  <c r="AQ79" i="55"/>
  <c r="V79" i="46"/>
  <c r="BJ79" i="55"/>
  <c r="AY79" i="46"/>
  <c r="AM79" i="24"/>
  <c r="AX79" i="46"/>
  <c r="S79" i="54"/>
  <c r="P95" i="54"/>
  <c r="L95" i="54" s="1"/>
  <c r="L108" i="54" s="1"/>
  <c r="L110" i="54" s="1"/>
  <c r="AJ79" i="54"/>
  <c r="AA79" i="55"/>
  <c r="BO79" i="46"/>
  <c r="AE79" i="24"/>
  <c r="AB79" i="46"/>
  <c r="BC79" i="55"/>
  <c r="AD79" i="24"/>
  <c r="AT79" i="46"/>
  <c r="AK79" i="46"/>
  <c r="BA79" i="54"/>
  <c r="AU79" i="24"/>
  <c r="AQ79" i="46"/>
  <c r="V79" i="24"/>
  <c r="BJ79" i="24"/>
  <c r="AY79" i="24"/>
  <c r="X79" i="54"/>
  <c r="AX79" i="24"/>
  <c r="AH79" i="24"/>
  <c r="BH79" i="24"/>
  <c r="E95" i="54"/>
  <c r="G108" i="54"/>
  <c r="G110" i="54" s="1"/>
  <c r="AA79" i="54"/>
  <c r="BO79" i="55"/>
  <c r="AE79" i="54"/>
  <c r="BB79" i="55"/>
  <c r="BC79" i="54"/>
  <c r="G108" i="24"/>
  <c r="G110" i="24" s="1"/>
  <c r="E95" i="24"/>
  <c r="BG79" i="55"/>
  <c r="AK79" i="55"/>
  <c r="BA79" i="55"/>
  <c r="AU79" i="54"/>
  <c r="AQ79" i="54"/>
  <c r="V79" i="55"/>
  <c r="BJ79" i="46"/>
  <c r="AY79" i="55"/>
  <c r="E95" i="55"/>
  <c r="G108" i="55"/>
  <c r="G110" i="55" s="1"/>
  <c r="AS79" i="55"/>
  <c r="X79" i="46"/>
  <c r="P95" i="55"/>
  <c r="L95" i="55" s="1"/>
  <c r="L108" i="55" s="1"/>
  <c r="L110" i="55" s="1"/>
  <c r="S79" i="55"/>
  <c r="S79" i="24"/>
  <c r="P95" i="24"/>
  <c r="L95" i="24" s="1"/>
  <c r="L108" i="24" s="1"/>
  <c r="L110" i="24" s="1"/>
  <c r="BF79" i="24"/>
  <c r="AH79" i="46"/>
  <c r="BE79" i="54"/>
  <c r="BO79" i="54"/>
  <c r="AE79" i="46"/>
  <c r="BB79" i="54"/>
  <c r="BC79" i="46"/>
  <c r="AD79" i="54"/>
  <c r="BG79" i="54"/>
  <c r="AM79" i="54"/>
  <c r="BA79" i="24"/>
  <c r="AU79" i="46"/>
  <c r="AQ79" i="24"/>
  <c r="V79" i="54"/>
  <c r="BJ79" i="54"/>
  <c r="AY79" i="54"/>
  <c r="G119" i="46" l="1"/>
  <c r="G118" i="46"/>
  <c r="L118" i="46" s="1"/>
  <c r="F111" i="7" s="1"/>
  <c r="J28" i="1" s="1"/>
  <c r="U117" i="24"/>
  <c r="T118" i="24"/>
  <c r="R116" i="24"/>
  <c r="R118" i="24" s="1"/>
  <c r="S116" i="24"/>
  <c r="S117" i="24" s="1"/>
  <c r="V116" i="24"/>
  <c r="Q117" i="24"/>
  <c r="Q118" i="24" s="1"/>
  <c r="T118" i="55"/>
  <c r="R116" i="55"/>
  <c r="R118" i="55" s="1"/>
  <c r="S116" i="55"/>
  <c r="S117" i="55" s="1"/>
  <c r="Q117" i="55"/>
  <c r="Q118" i="55" s="1"/>
  <c r="V116" i="55"/>
  <c r="U117" i="55"/>
  <c r="T118" i="54"/>
  <c r="V116" i="54"/>
  <c r="U117" i="54"/>
  <c r="R116" i="54"/>
  <c r="R118" i="54" s="1"/>
  <c r="S116" i="54"/>
  <c r="S117" i="54" s="1"/>
  <c r="Q117" i="54"/>
  <c r="Q118" i="54" s="1"/>
  <c r="Q117" i="46"/>
  <c r="Q118" i="46" s="1"/>
  <c r="U117" i="46"/>
  <c r="V116" i="46"/>
  <c r="R116" i="46"/>
  <c r="R118" i="46" s="1"/>
  <c r="S116" i="46"/>
  <c r="S117" i="46" s="1"/>
  <c r="T118" i="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Thomas Kessler</author>
  </authors>
  <commentList>
    <comment ref="B4" authorId="0" shapeId="0" xr:uid="{00000000-0006-0000-0000-000001000000}">
      <text>
        <r>
          <rPr>
            <sz val="9"/>
            <color indexed="81"/>
            <rFont val="Tahoma"/>
            <family val="2"/>
          </rPr>
          <t>Erscheint auf den Seitenköpfen im Impressum</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Thomas Kessler</author>
    <author>Thomas Kessler (ahbket)</author>
    <author>Stefan</author>
  </authors>
  <commentList>
    <comment ref="E2" authorId="0" shapeId="0" xr:uid="{00000000-0006-0000-0900-00000100000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G56" authorId="1" shapeId="0" xr:uid="{00000000-0006-0000-0900-000002000000}">
      <text>
        <r>
          <rPr>
            <sz val="9"/>
            <color indexed="81"/>
            <rFont val="Segoe UI"/>
            <family val="2"/>
          </rPr>
          <t>nach SIA 384/6 (2010)</t>
        </r>
      </text>
    </comment>
    <comment ref="K56" authorId="1" shapeId="0" xr:uid="{00000000-0006-0000-0900-000003000000}">
      <text>
        <r>
          <rPr>
            <sz val="9"/>
            <color indexed="81"/>
            <rFont val="Segoe UI"/>
            <family val="2"/>
          </rPr>
          <t>nach SIA 384/6 (2010)</t>
        </r>
      </text>
    </comment>
    <comment ref="D399" authorId="2" shapeId="0" xr:uid="{00000000-0006-0000-0900-000004000000}">
      <text>
        <r>
          <rPr>
            <b/>
            <sz val="9"/>
            <color indexed="81"/>
            <rFont val="Tahoma"/>
            <family val="2"/>
          </rPr>
          <t xml:space="preserve">Anteil Betriebsführung:
</t>
        </r>
        <r>
          <rPr>
            <sz val="9"/>
            <color indexed="81"/>
            <rFont val="Tahoma"/>
            <family val="2"/>
          </rPr>
          <t xml:space="preserve">Betriebsführung in % der Investitionen ohne Honorare.
Grosse Anlagen = 0.75%
Mittlere Anlagen = 1%
Kleine Anlagen = 1.5%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Thomas Kessler</author>
  </authors>
  <commentList>
    <comment ref="F2" authorId="0" shapeId="0" xr:uid="{00000000-0006-0000-0A00-00000100000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C56" authorId="0" shapeId="0" xr:uid="{00000000-0006-0000-0A00-000002000000}">
      <text>
        <r>
          <rPr>
            <sz val="9"/>
            <color indexed="81"/>
            <rFont val="Tahoma"/>
            <family val="2"/>
          </rPr>
          <t>Ob die externen Kosten berücksichtigt werden oder nicht kann im Blatt "Grunddaten" gewählt werden</t>
        </r>
      </text>
    </comment>
    <comment ref="D88" authorId="0" shapeId="0" xr:uid="{00000000-0006-0000-0A00-000003000000}">
      <text>
        <r>
          <rPr>
            <sz val="9"/>
            <color indexed="81"/>
            <rFont val="Tahoma"/>
            <family val="2"/>
          </rPr>
          <t>Berücksichtigung Förderbeiträge oder nicht kann im Blatt "Grunddaten" gewählt werden</t>
        </r>
      </text>
    </comment>
    <comment ref="C109" authorId="0" shapeId="0" xr:uid="{00000000-0006-0000-0A00-000004000000}">
      <text>
        <r>
          <rPr>
            <sz val="9"/>
            <color indexed="81"/>
            <rFont val="Tahoma"/>
            <family val="2"/>
          </rPr>
          <t>Ob die externen Kosten berücksichtigt werden oder nicht kann im Blatt "Grunddaten" gewählt werden</t>
        </r>
      </text>
    </comment>
    <comment ref="E112" authorId="0" shapeId="0" xr:uid="{00000000-0006-0000-0A00-000005000000}">
      <text>
        <r>
          <rPr>
            <sz val="9"/>
            <color indexed="81"/>
            <rFont val="Tahoma"/>
            <family val="2"/>
          </rPr>
          <t>Berücksichtigung Förderbeiträge oder nicht kann im Blatt "Grunddaten" gewählt werden</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Thomas Kessler</author>
    <author>Thomas Kessler (ahbket)</author>
    <author>Stefan</author>
  </authors>
  <commentList>
    <comment ref="E2" authorId="0" shapeId="0" xr:uid="{00000000-0006-0000-0B00-00000100000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G56" authorId="1" shapeId="0" xr:uid="{00000000-0006-0000-0B00-000002000000}">
      <text>
        <r>
          <rPr>
            <sz val="9"/>
            <color indexed="81"/>
            <rFont val="Segoe UI"/>
            <family val="2"/>
          </rPr>
          <t>nach SIA 384/6 (2010)</t>
        </r>
      </text>
    </comment>
    <comment ref="K56" authorId="1" shapeId="0" xr:uid="{00000000-0006-0000-0B00-000003000000}">
      <text>
        <r>
          <rPr>
            <sz val="9"/>
            <color indexed="81"/>
            <rFont val="Segoe UI"/>
            <family val="2"/>
          </rPr>
          <t>nach SIA 384/6 (2010)</t>
        </r>
      </text>
    </comment>
    <comment ref="D399" authorId="2" shapeId="0" xr:uid="{00000000-0006-0000-0B00-000004000000}">
      <text>
        <r>
          <rPr>
            <b/>
            <sz val="9"/>
            <color indexed="81"/>
            <rFont val="Tahoma"/>
            <family val="2"/>
          </rPr>
          <t xml:space="preserve">Anteil Betriebsführung:
</t>
        </r>
        <r>
          <rPr>
            <sz val="9"/>
            <color indexed="81"/>
            <rFont val="Tahoma"/>
            <family val="2"/>
          </rPr>
          <t xml:space="preserve">Betriebsführung in % der Investitionen ohne Honorare.
Grosse Anlagen = 0.75%
Mittlere Anlagen = 1%
Kleine Anlagen = 1.5%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Thomas Kessler</author>
  </authors>
  <commentList>
    <comment ref="F2" authorId="0" shapeId="0" xr:uid="{00000000-0006-0000-0C00-00000100000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C56" authorId="0" shapeId="0" xr:uid="{00000000-0006-0000-0C00-000002000000}">
      <text>
        <r>
          <rPr>
            <sz val="9"/>
            <color indexed="81"/>
            <rFont val="Tahoma"/>
            <family val="2"/>
          </rPr>
          <t>Ob die externen Kosten berücksichtigt werden oder nicht kann im Blatt "Grunddaten" gewählt werden</t>
        </r>
      </text>
    </comment>
    <comment ref="D88" authorId="0" shapeId="0" xr:uid="{00000000-0006-0000-0C00-000003000000}">
      <text>
        <r>
          <rPr>
            <sz val="9"/>
            <color indexed="81"/>
            <rFont val="Tahoma"/>
            <family val="2"/>
          </rPr>
          <t>Berücksichtigung Förderbeiträge oder nicht kann im Blatt "Grunddaten" gewählt werden</t>
        </r>
      </text>
    </comment>
    <comment ref="C109" authorId="0" shapeId="0" xr:uid="{00000000-0006-0000-0C00-000004000000}">
      <text>
        <r>
          <rPr>
            <sz val="9"/>
            <color indexed="81"/>
            <rFont val="Tahoma"/>
            <family val="2"/>
          </rPr>
          <t>Ob die externen Kosten berücksichtigt werden oder nicht kann im Blatt "Grunddaten" gewählt werden</t>
        </r>
      </text>
    </comment>
    <comment ref="E112" authorId="0" shapeId="0" xr:uid="{00000000-0006-0000-0C00-000005000000}">
      <text>
        <r>
          <rPr>
            <sz val="9"/>
            <color indexed="81"/>
            <rFont val="Tahoma"/>
            <family val="2"/>
          </rPr>
          <t>Berücksichtigung Förderbeiträge oder nicht kann im Blatt "Grunddaten" gewählt werden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Thomas Kessler</author>
    <author>Thomas Kessler (ahbket)</author>
    <author>Stefan</author>
  </authors>
  <commentList>
    <comment ref="E2" authorId="0" shapeId="0" xr:uid="{00000000-0006-0000-0D00-00000100000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G56" authorId="1" shapeId="0" xr:uid="{00000000-0006-0000-0D00-000002000000}">
      <text>
        <r>
          <rPr>
            <sz val="9"/>
            <color indexed="81"/>
            <rFont val="Segoe UI"/>
            <family val="2"/>
          </rPr>
          <t>nach SIA 384/6 (2010)</t>
        </r>
      </text>
    </comment>
    <comment ref="K56" authorId="1" shapeId="0" xr:uid="{00000000-0006-0000-0D00-000003000000}">
      <text>
        <r>
          <rPr>
            <sz val="9"/>
            <color indexed="81"/>
            <rFont val="Segoe UI"/>
            <family val="2"/>
          </rPr>
          <t>nach SIA 384/6 (2010)</t>
        </r>
      </text>
    </comment>
    <comment ref="A398" authorId="2" shapeId="0" xr:uid="{00000000-0006-0000-0D00-000004000000}">
      <text>
        <r>
          <rPr>
            <b/>
            <sz val="9"/>
            <color indexed="81"/>
            <rFont val="Tahoma"/>
            <family val="2"/>
          </rPr>
          <t xml:space="preserve">Zum Erfassen der Jahreskosten Betriebsführung:
</t>
        </r>
        <r>
          <rPr>
            <sz val="9"/>
            <color indexed="81"/>
            <rFont val="Tahoma"/>
            <family val="2"/>
          </rPr>
          <t xml:space="preserve">Details einblenden mit Klick auf den "+" Knopf am linken Rand.
</t>
        </r>
      </text>
    </comment>
    <comment ref="D399" authorId="2" shapeId="0" xr:uid="{00000000-0006-0000-0D00-000005000000}">
      <text>
        <r>
          <rPr>
            <b/>
            <sz val="9"/>
            <color indexed="81"/>
            <rFont val="Tahoma"/>
            <family val="2"/>
          </rPr>
          <t xml:space="preserve">Anteil Betriebsführung:
</t>
        </r>
        <r>
          <rPr>
            <sz val="9"/>
            <color indexed="81"/>
            <rFont val="Tahoma"/>
            <family val="2"/>
          </rPr>
          <t xml:space="preserve">Betriebsführung in % der Investitionen ohne Honorare.
Grosse Anlagen = 0.75%
Mittlere Anlagen = 1%
Kleine Anlagen = 1.5%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Thomas Kessler</author>
  </authors>
  <commentList>
    <comment ref="F2" authorId="0" shapeId="0" xr:uid="{00000000-0006-0000-0E00-00000100000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C56" authorId="0" shapeId="0" xr:uid="{00000000-0006-0000-0E00-000002000000}">
      <text>
        <r>
          <rPr>
            <sz val="9"/>
            <color indexed="81"/>
            <rFont val="Tahoma"/>
            <family val="2"/>
          </rPr>
          <t>Ob die externen Kosten berücksichtigt werden oder nicht kann im Blatt "Grunddaten" gewählt werden</t>
        </r>
      </text>
    </comment>
    <comment ref="D88" authorId="0" shapeId="0" xr:uid="{00000000-0006-0000-0E00-000003000000}">
      <text>
        <r>
          <rPr>
            <sz val="9"/>
            <color indexed="81"/>
            <rFont val="Tahoma"/>
            <family val="2"/>
          </rPr>
          <t>Berücksichtigung Förderbeiträge oder nicht kann im Blatt "Grunddaten" gewählt werden</t>
        </r>
      </text>
    </comment>
    <comment ref="C109" authorId="0" shapeId="0" xr:uid="{00000000-0006-0000-0E00-000004000000}">
      <text>
        <r>
          <rPr>
            <sz val="9"/>
            <color indexed="81"/>
            <rFont val="Tahoma"/>
            <family val="2"/>
          </rPr>
          <t>Ob die externen Kosten berücksichtigt werden oder nicht kann im Blatt "Grunddaten" gewählt werden</t>
        </r>
      </text>
    </comment>
    <comment ref="E112" authorId="0" shapeId="0" xr:uid="{00000000-0006-0000-0E00-000005000000}">
      <text>
        <r>
          <rPr>
            <sz val="9"/>
            <color indexed="81"/>
            <rFont val="Tahoma"/>
            <family val="2"/>
          </rPr>
          <t>Berücksichtigung Förderbeiträge oder nicht kann im Blatt "Grunddaten" gewählt werden</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Thomas Kessler</author>
    <author>Thomas Kessler (ahbket)</author>
    <author>Stefan</author>
  </authors>
  <commentList>
    <comment ref="E2" authorId="0" shapeId="0" xr:uid="{00000000-0006-0000-0F00-00000100000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G56" authorId="1" shapeId="0" xr:uid="{00000000-0006-0000-0F00-000002000000}">
      <text>
        <r>
          <rPr>
            <sz val="9"/>
            <color indexed="81"/>
            <rFont val="Segoe UI"/>
            <family val="2"/>
          </rPr>
          <t>nach SIA 384/6 (2010)</t>
        </r>
      </text>
    </comment>
    <comment ref="K56" authorId="1" shapeId="0" xr:uid="{00000000-0006-0000-0F00-000003000000}">
      <text>
        <r>
          <rPr>
            <sz val="9"/>
            <color indexed="81"/>
            <rFont val="Segoe UI"/>
            <family val="2"/>
          </rPr>
          <t>nach SIA 384/6 (2010)</t>
        </r>
      </text>
    </comment>
    <comment ref="A398" authorId="2" shapeId="0" xr:uid="{00000000-0006-0000-0F00-000004000000}">
      <text>
        <r>
          <rPr>
            <b/>
            <sz val="9"/>
            <color indexed="81"/>
            <rFont val="Tahoma"/>
            <family val="2"/>
          </rPr>
          <t xml:space="preserve">Zum Erfassen der Jahreskosten Betriebsführung:
</t>
        </r>
        <r>
          <rPr>
            <sz val="9"/>
            <color indexed="81"/>
            <rFont val="Tahoma"/>
            <family val="2"/>
          </rPr>
          <t xml:space="preserve">Details einblenden mit Klick auf den "+" Knopf am linken Rand.
</t>
        </r>
      </text>
    </comment>
    <comment ref="D399" authorId="2" shapeId="0" xr:uid="{00000000-0006-0000-0F00-000005000000}">
      <text>
        <r>
          <rPr>
            <b/>
            <sz val="9"/>
            <color indexed="81"/>
            <rFont val="Tahoma"/>
            <family val="2"/>
          </rPr>
          <t xml:space="preserve">Anteil Betriebsführung:
</t>
        </r>
        <r>
          <rPr>
            <sz val="9"/>
            <color indexed="81"/>
            <rFont val="Tahoma"/>
            <family val="2"/>
          </rPr>
          <t xml:space="preserve">Betriebsführung in % der Investitionen ohne Honorare.
Grosse Anlagen = 0.75%
Mittlere Anlagen = 1%
Kleine Anlagen = 1.5%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Thomas Kessler</author>
  </authors>
  <commentList>
    <comment ref="L2" authorId="0" shapeId="0" xr:uid="{00000000-0006-0000-1000-00000100000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A30" authorId="0" shapeId="0" xr:uid="{00000000-0006-0000-1000-000002000000}">
      <text>
        <r>
          <rPr>
            <sz val="9"/>
            <color indexed="81"/>
            <rFont val="Tahoma"/>
            <family val="2"/>
          </rPr>
          <t>Kriterium für qualitative Beurteilung von Hand einfügen</t>
        </r>
      </text>
    </comment>
    <comment ref="C30" authorId="0" shapeId="0" xr:uid="{00000000-0006-0000-1000-000003000000}">
      <text>
        <r>
          <rPr>
            <sz val="9"/>
            <color indexed="81"/>
            <rFont val="Tahoma"/>
            <family val="2"/>
          </rPr>
          <t>1 = gut / niedrig / erfüllt
2 = mittel / teilweise erfüllt
3 = schlecht / hoch / nicht erfüllt</t>
        </r>
      </text>
    </comment>
    <comment ref="E30" authorId="0" shapeId="0" xr:uid="{00000000-0006-0000-1000-000004000000}">
      <text>
        <r>
          <rPr>
            <sz val="9"/>
            <color indexed="81"/>
            <rFont val="Tahoma"/>
            <family val="2"/>
          </rPr>
          <t>Qualitative Beurteilung
(Stichwörter)</t>
        </r>
      </text>
    </comment>
    <comment ref="J30" authorId="0" shapeId="0" xr:uid="{00000000-0006-0000-1000-000005000000}">
      <text>
        <r>
          <rPr>
            <sz val="9"/>
            <color indexed="81"/>
            <rFont val="Tahoma"/>
            <family val="2"/>
          </rPr>
          <t>1 = gut / niedrig / erfüllt
2 = mittel / teilweise erfüllt
3 = schlecht / hoch / nicht erfüllt</t>
        </r>
      </text>
    </comment>
    <comment ref="L30" authorId="0" shapeId="0" xr:uid="{00000000-0006-0000-1000-000006000000}">
      <text>
        <r>
          <rPr>
            <sz val="9"/>
            <color indexed="81"/>
            <rFont val="Tahoma"/>
            <family val="2"/>
          </rPr>
          <t>Qualitative Beurteilung
(Stichwörter)</t>
        </r>
      </text>
    </comment>
    <comment ref="Q30" authorId="0" shapeId="0" xr:uid="{00000000-0006-0000-1000-000007000000}">
      <text>
        <r>
          <rPr>
            <sz val="9"/>
            <color indexed="81"/>
            <rFont val="Tahoma"/>
            <family val="2"/>
          </rPr>
          <t>1 = gut / niedrig / erfüllt
2 = mittel / teilweise erfüllt
3 = schlecht / hoch / nicht erfüllt</t>
        </r>
      </text>
    </comment>
    <comment ref="S30" authorId="0" shapeId="0" xr:uid="{00000000-0006-0000-1000-000008000000}">
      <text>
        <r>
          <rPr>
            <sz val="9"/>
            <color indexed="81"/>
            <rFont val="Tahoma"/>
            <family val="2"/>
          </rPr>
          <t>Qualitative Beurteilung
(Stichwörter)</t>
        </r>
      </text>
    </comment>
    <comment ref="X30" authorId="0" shapeId="0" xr:uid="{00000000-0006-0000-1000-000009000000}">
      <text>
        <r>
          <rPr>
            <sz val="9"/>
            <color indexed="81"/>
            <rFont val="Tahoma"/>
            <family val="2"/>
          </rPr>
          <t>1 = gut / niedrig / erfüllt
2 = mittel / teilweise erfüllt
3 = schlecht / hoch / nicht erfüllt</t>
        </r>
      </text>
    </comment>
    <comment ref="Z30" authorId="0" shapeId="0" xr:uid="{00000000-0006-0000-1000-00000A000000}">
      <text>
        <r>
          <rPr>
            <sz val="9"/>
            <color indexed="81"/>
            <rFont val="Tahoma"/>
            <family val="2"/>
          </rPr>
          <t>Qualitative Beurteilung
(Stichwörter)</t>
        </r>
      </text>
    </comment>
    <comment ref="A32" authorId="0" shapeId="0" xr:uid="{00000000-0006-0000-1000-00000B000000}">
      <text>
        <r>
          <rPr>
            <sz val="9"/>
            <color indexed="81"/>
            <rFont val="Tahoma"/>
            <family val="2"/>
          </rPr>
          <t>Kriterium für qualitative Beurteilung von Hand einfügen</t>
        </r>
      </text>
    </comment>
    <comment ref="C32" authorId="0" shapeId="0" xr:uid="{00000000-0006-0000-1000-00000C000000}">
      <text>
        <r>
          <rPr>
            <sz val="9"/>
            <color indexed="81"/>
            <rFont val="Tahoma"/>
            <family val="2"/>
          </rPr>
          <t>1 = gut / niedrig / erfüllt
2 = mittel / teilweise erfüllt
3 = schlecht / hoch / nicht erfüllt</t>
        </r>
      </text>
    </comment>
    <comment ref="E32" authorId="0" shapeId="0" xr:uid="{00000000-0006-0000-1000-00000D000000}">
      <text>
        <r>
          <rPr>
            <sz val="9"/>
            <color indexed="81"/>
            <rFont val="Tahoma"/>
            <family val="2"/>
          </rPr>
          <t>Qualitative Beurteilung
(Stichwörter)</t>
        </r>
      </text>
    </comment>
    <comment ref="J32" authorId="0" shapeId="0" xr:uid="{00000000-0006-0000-1000-00000E000000}">
      <text>
        <r>
          <rPr>
            <sz val="9"/>
            <color indexed="81"/>
            <rFont val="Tahoma"/>
            <family val="2"/>
          </rPr>
          <t>1 = gut / niedrig / erfüllt
2 = mittel / teilweise erfüllt
3 = schlecht / hoch / nicht erfüllt</t>
        </r>
      </text>
    </comment>
    <comment ref="L32" authorId="0" shapeId="0" xr:uid="{00000000-0006-0000-1000-00000F000000}">
      <text>
        <r>
          <rPr>
            <sz val="9"/>
            <color indexed="81"/>
            <rFont val="Tahoma"/>
            <family val="2"/>
          </rPr>
          <t>Qualitative Beurteilung
(Stichwörter)</t>
        </r>
      </text>
    </comment>
    <comment ref="Q32" authorId="0" shapeId="0" xr:uid="{00000000-0006-0000-1000-000010000000}">
      <text>
        <r>
          <rPr>
            <sz val="9"/>
            <color indexed="81"/>
            <rFont val="Tahoma"/>
            <family val="2"/>
          </rPr>
          <t>1 = gut / niedrig / erfüllt
2 = mittel / teilweise erfüllt
3 = schlecht / hoch / nicht erfüllt</t>
        </r>
      </text>
    </comment>
    <comment ref="S32" authorId="0" shapeId="0" xr:uid="{00000000-0006-0000-1000-000011000000}">
      <text>
        <r>
          <rPr>
            <sz val="9"/>
            <color indexed="81"/>
            <rFont val="Tahoma"/>
            <family val="2"/>
          </rPr>
          <t>Qualitative Beurteilung
(Stichwörter)</t>
        </r>
      </text>
    </comment>
    <comment ref="X32" authorId="0" shapeId="0" xr:uid="{00000000-0006-0000-1000-000012000000}">
      <text>
        <r>
          <rPr>
            <sz val="9"/>
            <color indexed="81"/>
            <rFont val="Tahoma"/>
            <family val="2"/>
          </rPr>
          <t>1 = gut / niedrig / erfüllt
2 = mittel / teilweise erfüllt
3 = schlecht / hoch / nicht erfüllt</t>
        </r>
      </text>
    </comment>
    <comment ref="Z32" authorId="0" shapeId="0" xr:uid="{00000000-0006-0000-1000-000013000000}">
      <text>
        <r>
          <rPr>
            <sz val="9"/>
            <color indexed="81"/>
            <rFont val="Tahoma"/>
            <family val="2"/>
          </rPr>
          <t>Qualitative Beurteilung
(Stichwörter)</t>
        </r>
      </text>
    </comment>
    <comment ref="A34" authorId="0" shapeId="0" xr:uid="{00000000-0006-0000-1000-000014000000}">
      <text>
        <r>
          <rPr>
            <sz val="9"/>
            <color indexed="81"/>
            <rFont val="Tahoma"/>
            <family val="2"/>
          </rPr>
          <t>Kriterium für qualitative Beurteilung von Hand einfügen</t>
        </r>
      </text>
    </comment>
    <comment ref="C34" authorId="0" shapeId="0" xr:uid="{00000000-0006-0000-1000-000015000000}">
      <text>
        <r>
          <rPr>
            <sz val="9"/>
            <color indexed="81"/>
            <rFont val="Tahoma"/>
            <family val="2"/>
          </rPr>
          <t>1 = gut / niedrig / erfüllt
2 = mittel / teilweise erfüllt
3 = schlecht / hoch / nicht erfüllt</t>
        </r>
      </text>
    </comment>
    <comment ref="E34" authorId="0" shapeId="0" xr:uid="{00000000-0006-0000-1000-000016000000}">
      <text>
        <r>
          <rPr>
            <sz val="9"/>
            <color indexed="81"/>
            <rFont val="Tahoma"/>
            <family val="2"/>
          </rPr>
          <t>Qualitative Beurteilung
(Stichwörter)</t>
        </r>
      </text>
    </comment>
    <comment ref="J34" authorId="0" shapeId="0" xr:uid="{00000000-0006-0000-1000-000017000000}">
      <text>
        <r>
          <rPr>
            <sz val="9"/>
            <color indexed="81"/>
            <rFont val="Tahoma"/>
            <family val="2"/>
          </rPr>
          <t>1 = gut / niedrig / erfüllt
2 = mittel / teilweise erfüllt
3 = schlecht / hoch / nicht erfüllt</t>
        </r>
      </text>
    </comment>
    <comment ref="L34" authorId="0" shapeId="0" xr:uid="{00000000-0006-0000-1000-000018000000}">
      <text>
        <r>
          <rPr>
            <sz val="9"/>
            <color indexed="81"/>
            <rFont val="Tahoma"/>
            <family val="2"/>
          </rPr>
          <t>Qualitative Beurteilung
(Stichwörter)</t>
        </r>
      </text>
    </comment>
    <comment ref="Q34" authorId="0" shapeId="0" xr:uid="{00000000-0006-0000-1000-000019000000}">
      <text>
        <r>
          <rPr>
            <sz val="9"/>
            <color indexed="81"/>
            <rFont val="Tahoma"/>
            <family val="2"/>
          </rPr>
          <t>1 = gut / niedrig / erfüllt
2 = mittel / teilweise erfüllt
3 = schlecht / hoch / nicht erfüllt</t>
        </r>
      </text>
    </comment>
    <comment ref="S34" authorId="0" shapeId="0" xr:uid="{00000000-0006-0000-1000-00001A000000}">
      <text>
        <r>
          <rPr>
            <sz val="9"/>
            <color indexed="81"/>
            <rFont val="Tahoma"/>
            <family val="2"/>
          </rPr>
          <t>Qualitative Beurteilung
(Stichwörter)</t>
        </r>
      </text>
    </comment>
    <comment ref="X34" authorId="0" shapeId="0" xr:uid="{00000000-0006-0000-1000-00001B000000}">
      <text>
        <r>
          <rPr>
            <sz val="9"/>
            <color indexed="81"/>
            <rFont val="Tahoma"/>
            <family val="2"/>
          </rPr>
          <t>1 = gut / niedrig / erfüllt
2 = mittel / teilweise erfüllt
3 = schlecht / hoch / nicht erfüllt</t>
        </r>
      </text>
    </comment>
    <comment ref="Z34" authorId="0" shapeId="0" xr:uid="{00000000-0006-0000-1000-00001C000000}">
      <text>
        <r>
          <rPr>
            <sz val="9"/>
            <color indexed="81"/>
            <rFont val="Tahoma"/>
            <family val="2"/>
          </rPr>
          <t>Qualitative Beurteilung
(Stichwörter)</t>
        </r>
      </text>
    </comment>
    <comment ref="C36" authorId="0" shapeId="0" xr:uid="{00000000-0006-0000-1000-00001D000000}">
      <text>
        <r>
          <rPr>
            <sz val="9"/>
            <color indexed="81"/>
            <rFont val="Tahoma"/>
            <family val="2"/>
          </rPr>
          <t>1 = gut / niedrig / erfüllt
2 = mittel / teilweise erfüllt
3 = schlecht / hoch / nicht erfüllt</t>
        </r>
      </text>
    </comment>
    <comment ref="E36" authorId="0" shapeId="0" xr:uid="{00000000-0006-0000-1000-00001E000000}">
      <text>
        <r>
          <rPr>
            <sz val="9"/>
            <color indexed="81"/>
            <rFont val="Tahoma"/>
            <family val="2"/>
          </rPr>
          <t>Kurze Gesamtbeurteilung dieser Variante</t>
        </r>
      </text>
    </comment>
    <comment ref="J36" authorId="0" shapeId="0" xr:uid="{00000000-0006-0000-1000-00001F000000}">
      <text>
        <r>
          <rPr>
            <sz val="9"/>
            <color indexed="81"/>
            <rFont val="Tahoma"/>
            <family val="2"/>
          </rPr>
          <t>1 = gut / niedrig / erfüllt
2 = mittel / teilweise erfüllt
3 = schlecht / hoch / nicht erfüllt</t>
        </r>
      </text>
    </comment>
    <comment ref="L36" authorId="0" shapeId="0" xr:uid="{00000000-0006-0000-1000-000020000000}">
      <text>
        <r>
          <rPr>
            <sz val="9"/>
            <color indexed="81"/>
            <rFont val="Tahoma"/>
            <family val="2"/>
          </rPr>
          <t>Kurze Gesamtbeurteilung dieser Variante</t>
        </r>
      </text>
    </comment>
    <comment ref="Q36" authorId="0" shapeId="0" xr:uid="{00000000-0006-0000-1000-000021000000}">
      <text>
        <r>
          <rPr>
            <sz val="9"/>
            <color indexed="81"/>
            <rFont val="Tahoma"/>
            <family val="2"/>
          </rPr>
          <t>1 = gut / niedrig / erfüllt
2 = mittel / teilweise erfüllt
3 = schlecht / hoch / nicht erfüllt</t>
        </r>
      </text>
    </comment>
    <comment ref="S36" authorId="0" shapeId="0" xr:uid="{00000000-0006-0000-1000-000022000000}">
      <text>
        <r>
          <rPr>
            <sz val="9"/>
            <color indexed="81"/>
            <rFont val="Tahoma"/>
            <family val="2"/>
          </rPr>
          <t>Kurze Gesamtbeurteilung dieser Variante</t>
        </r>
      </text>
    </comment>
    <comment ref="X36" authorId="0" shapeId="0" xr:uid="{00000000-0006-0000-1000-000023000000}">
      <text>
        <r>
          <rPr>
            <sz val="9"/>
            <color indexed="81"/>
            <rFont val="Tahoma"/>
            <family val="2"/>
          </rPr>
          <t>1 = gut / niedrig / erfüllt
2 = mittel / teilweise erfüllt
3 = schlecht / hoch / nicht erfüllt</t>
        </r>
      </text>
    </comment>
    <comment ref="Z36" authorId="0" shapeId="0" xr:uid="{00000000-0006-0000-1000-000024000000}">
      <text>
        <r>
          <rPr>
            <sz val="9"/>
            <color indexed="81"/>
            <rFont val="Tahoma"/>
            <family val="2"/>
          </rPr>
          <t>Kurze Gesamtbeurteilung dieser Variante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Thomas Kessler</author>
  </authors>
  <commentList>
    <comment ref="E2" authorId="0" shapeId="0" xr:uid="{00000000-0006-0000-1100-00000100000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A113" authorId="0" shapeId="0" xr:uid="{00000000-0006-0000-1100-000002000000}">
      <text>
        <r>
          <rPr>
            <sz val="9"/>
            <color indexed="81"/>
            <rFont val="Tahoma"/>
            <family val="2"/>
          </rPr>
          <t>Berücksichtigung Förderbeiträge oder nicht kann im Blatt "Grunddaten" gewählt werden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Thomas Kessler</author>
  </authors>
  <commentList>
    <comment ref="F2" authorId="0" shapeId="0" xr:uid="{00000000-0006-0000-0100-00000100000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I64" authorId="0" shapeId="0" xr:uid="{00000000-0006-0000-0100-000002000000}">
      <text>
        <r>
          <rPr>
            <sz val="9"/>
            <color indexed="81"/>
            <rFont val="Tahoma"/>
            <family val="2"/>
          </rPr>
          <t>Kommentar zu Eingabefeld (erscheint wenn Mauszeiger darauf ist)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Thomas Kessler</author>
  </authors>
  <commentList>
    <comment ref="H2" authorId="0" shapeId="0" xr:uid="{00000000-0006-0000-0200-00000100000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H20" authorId="0" shapeId="0" xr:uid="{00000000-0006-0000-0200-000002000000}">
      <text>
        <r>
          <rPr>
            <sz val="9"/>
            <color indexed="81"/>
            <rFont val="Tahoma"/>
            <family val="2"/>
          </rPr>
          <t>Inhalt dieses Feldes nicht löschen!</t>
        </r>
      </text>
    </comment>
    <comment ref="H22" authorId="0" shapeId="0" xr:uid="{00000000-0006-0000-0200-000003000000}">
      <text>
        <r>
          <rPr>
            <sz val="9"/>
            <color indexed="81"/>
            <rFont val="Tahoma"/>
            <family val="2"/>
          </rPr>
          <t>Inhalt dieses Feldes nicht löschen!</t>
        </r>
      </text>
    </comment>
    <comment ref="H24" authorId="0" shapeId="0" xr:uid="{00000000-0006-0000-0200-000004000000}">
      <text>
        <r>
          <rPr>
            <sz val="9"/>
            <color indexed="81"/>
            <rFont val="Tahoma"/>
            <family val="2"/>
          </rPr>
          <t>Inhalt dieses Feldes nicht löschen!</t>
        </r>
      </text>
    </comment>
    <comment ref="K38" authorId="0" shapeId="0" xr:uid="{00000000-0006-0000-0200-000005000000}">
      <text>
        <r>
          <rPr>
            <sz val="9"/>
            <color indexed="81"/>
            <rFont val="Tahoma"/>
            <family val="2"/>
          </rPr>
          <t>Variantenspezifische Ergieverbräuche sind in den Blättern EV_Var... anzugeben</t>
        </r>
      </text>
    </comment>
    <comment ref="K40" authorId="0" shapeId="0" xr:uid="{00000000-0006-0000-0200-000006000000}">
      <text>
        <r>
          <rPr>
            <sz val="9"/>
            <color indexed="81"/>
            <rFont val="Tahoma"/>
            <family val="2"/>
          </rPr>
          <t>Variantenspezifische Ergieverbräuche sind in den Blättern EV_Var... anzugeben</t>
        </r>
      </text>
    </comment>
    <comment ref="K42" authorId="0" shapeId="0" xr:uid="{00000000-0006-0000-0200-000007000000}">
      <text>
        <r>
          <rPr>
            <sz val="9"/>
            <color indexed="81"/>
            <rFont val="Tahoma"/>
            <family val="2"/>
          </rPr>
          <t>Variantenspezifische Ergieverbräuche sind in den Blättern EV_Var... anzugeben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Thomas Kessler</author>
  </authors>
  <commentList>
    <comment ref="J2" authorId="0" shapeId="0" xr:uid="{00000000-0006-0000-0300-00000100000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O8" authorId="0" shapeId="0" xr:uid="{00000000-0006-0000-0300-000002000000}">
      <text>
        <r>
          <rPr>
            <sz val="9"/>
            <color indexed="81"/>
            <rFont val="Tahoma"/>
            <family val="2"/>
          </rPr>
          <t>Eingabe überschreibt Vorgabe im Feld links</t>
        </r>
      </text>
    </comment>
    <comment ref="U8" authorId="0" shapeId="0" xr:uid="{00000000-0006-0000-0300-000003000000}">
      <text>
        <r>
          <rPr>
            <sz val="9"/>
            <color indexed="81"/>
            <rFont val="Tahoma"/>
            <family val="2"/>
          </rPr>
          <t>Inhalt dieses Feldes nicht löschen!</t>
        </r>
      </text>
    </comment>
    <comment ref="O10" authorId="0" shapeId="0" xr:uid="{00000000-0006-0000-0300-000004000000}">
      <text>
        <r>
          <rPr>
            <sz val="9"/>
            <color indexed="81"/>
            <rFont val="Tahoma"/>
            <family val="2"/>
          </rPr>
          <t>Eingabe überschreibt Vorgabe im Feld links</t>
        </r>
      </text>
    </comment>
    <comment ref="U10" authorId="0" shapeId="0" xr:uid="{00000000-0006-0000-0300-000005000000}">
      <text>
        <r>
          <rPr>
            <sz val="9"/>
            <color indexed="81"/>
            <rFont val="Tahoma"/>
            <family val="2"/>
          </rPr>
          <t>Inhalt dieses Feldes nicht löschen!</t>
        </r>
      </text>
    </comment>
    <comment ref="I13" authorId="0" shapeId="0" xr:uid="{00000000-0006-0000-0300-000006000000}">
      <text>
        <r>
          <rPr>
            <sz val="9"/>
            <color indexed="81"/>
            <rFont val="Tahoma"/>
            <family val="2"/>
          </rPr>
          <t xml:space="preserve">Alle Preise </t>
        </r>
        <r>
          <rPr>
            <u/>
            <sz val="9"/>
            <color indexed="81"/>
            <rFont val="Tahoma"/>
            <family val="2"/>
          </rPr>
          <t>inkl.</t>
        </r>
        <r>
          <rPr>
            <sz val="9"/>
            <color indexed="81"/>
            <rFont val="Tahoma"/>
            <family val="2"/>
          </rPr>
          <t xml:space="preserve"> MWSt.</t>
        </r>
      </text>
    </comment>
    <comment ref="J17" authorId="0" shapeId="0" xr:uid="{00000000-0006-0000-0300-000007000000}">
      <text>
        <r>
          <rPr>
            <sz val="9"/>
            <color indexed="81"/>
            <rFont val="Tahoma"/>
            <family val="2"/>
          </rPr>
          <t>Eingabe überschreibt Vorgabe im Feld links</t>
        </r>
      </text>
    </comment>
    <comment ref="L17" authorId="0" shapeId="0" xr:uid="{00000000-0006-0000-0300-000008000000}">
      <text>
        <r>
          <rPr>
            <sz val="9"/>
            <color indexed="81"/>
            <rFont val="Tahoma"/>
            <family val="2"/>
          </rPr>
          <t>Eingabe überschreibt Vorgabe im Feld links</t>
        </r>
      </text>
    </comment>
    <comment ref="N17" authorId="0" shapeId="0" xr:uid="{00000000-0006-0000-0300-000009000000}">
      <text>
        <r>
          <rPr>
            <sz val="9"/>
            <color indexed="81"/>
            <rFont val="Tahoma"/>
            <family val="2"/>
          </rPr>
          <t>Eingabe überschreibt Vorgabe im Feld links</t>
        </r>
      </text>
    </comment>
    <comment ref="P17" authorId="0" shapeId="0" xr:uid="{00000000-0006-0000-0300-00000A000000}">
      <text>
        <r>
          <rPr>
            <sz val="9"/>
            <color indexed="81"/>
            <rFont val="Tahoma"/>
            <family val="2"/>
          </rPr>
          <t>Eingabe überschreibt Vorgabe im Feld links</t>
        </r>
      </text>
    </comment>
    <comment ref="V17" authorId="0" shapeId="0" xr:uid="{00000000-0006-0000-0300-00000B000000}">
      <text>
        <r>
          <rPr>
            <sz val="9"/>
            <color indexed="81"/>
            <rFont val="Tahoma"/>
            <family val="2"/>
          </rPr>
          <t>Eingabe überschreibt Vorgabe im Feld links</t>
        </r>
      </text>
    </comment>
    <comment ref="L18" authorId="0" shapeId="0" xr:uid="{00000000-0006-0000-0300-00000C000000}">
      <text>
        <r>
          <rPr>
            <sz val="9"/>
            <color indexed="81"/>
            <rFont val="Tahoma"/>
            <family val="2"/>
          </rPr>
          <t>Eingabe überschreibt Vorgabe im Feld links</t>
        </r>
      </text>
    </comment>
    <comment ref="N18" authorId="0" shapeId="0" xr:uid="{00000000-0006-0000-0300-00000D000000}">
      <text>
        <r>
          <rPr>
            <sz val="9"/>
            <color indexed="81"/>
            <rFont val="Tahoma"/>
            <family val="2"/>
          </rPr>
          <t>Eingabe überschreibt Vorgabe im Feld links</t>
        </r>
      </text>
    </comment>
    <comment ref="P18" authorId="0" shapeId="0" xr:uid="{00000000-0006-0000-0300-00000E000000}">
      <text>
        <r>
          <rPr>
            <sz val="9"/>
            <color indexed="81"/>
            <rFont val="Tahoma"/>
            <family val="2"/>
          </rPr>
          <t>Eingabe überschreibt Vorgabe im Feld links</t>
        </r>
      </text>
    </comment>
    <comment ref="L19" authorId="0" shapeId="0" xr:uid="{00000000-0006-0000-0300-00000F000000}">
      <text>
        <r>
          <rPr>
            <sz val="9"/>
            <color indexed="81"/>
            <rFont val="Tahoma"/>
            <family val="2"/>
          </rPr>
          <t>Eingabe überschreibt Vorgabe im Feld links</t>
        </r>
      </text>
    </comment>
    <comment ref="N19" authorId="0" shapeId="0" xr:uid="{00000000-0006-0000-0300-000010000000}">
      <text>
        <r>
          <rPr>
            <sz val="9"/>
            <color indexed="81"/>
            <rFont val="Tahoma"/>
            <family val="2"/>
          </rPr>
          <t>Eingabe überschreibt Vorgabe im Feld links</t>
        </r>
      </text>
    </comment>
    <comment ref="P19" authorId="0" shapeId="0" xr:uid="{00000000-0006-0000-0300-000011000000}">
      <text>
        <r>
          <rPr>
            <sz val="9"/>
            <color indexed="81"/>
            <rFont val="Tahoma"/>
            <family val="2"/>
          </rPr>
          <t>Eingabe überschreibt Vorgabe im Feld links</t>
        </r>
      </text>
    </comment>
    <comment ref="L20" authorId="0" shapeId="0" xr:uid="{00000000-0006-0000-0300-000012000000}">
      <text>
        <r>
          <rPr>
            <sz val="9"/>
            <color indexed="81"/>
            <rFont val="Tahoma"/>
            <family val="2"/>
          </rPr>
          <t>Eingabe überschreibt Vorgabe im Feld links</t>
        </r>
      </text>
    </comment>
    <comment ref="N20" authorId="0" shapeId="0" xr:uid="{00000000-0006-0000-0300-000013000000}">
      <text>
        <r>
          <rPr>
            <sz val="9"/>
            <color indexed="81"/>
            <rFont val="Tahoma"/>
            <family val="2"/>
          </rPr>
          <t>Eingabe überschreibt Vorgabe im Feld links</t>
        </r>
      </text>
    </comment>
    <comment ref="P20" authorId="0" shapeId="0" xr:uid="{00000000-0006-0000-0300-000014000000}">
      <text>
        <r>
          <rPr>
            <sz val="9"/>
            <color indexed="81"/>
            <rFont val="Tahoma"/>
            <family val="2"/>
          </rPr>
          <t>Eingabe überschreibt Vorgabe im Feld links</t>
        </r>
      </text>
    </comment>
    <comment ref="J21" authorId="0" shapeId="0" xr:uid="{00000000-0006-0000-0300-000015000000}">
      <text>
        <r>
          <rPr>
            <sz val="9"/>
            <color indexed="81"/>
            <rFont val="Tahoma"/>
            <family val="2"/>
          </rPr>
          <t>Eingabe überschreibt Vorgabe im Feld links</t>
        </r>
      </text>
    </comment>
    <comment ref="L21" authorId="0" shapeId="0" xr:uid="{00000000-0006-0000-0300-000016000000}">
      <text>
        <r>
          <rPr>
            <sz val="9"/>
            <color indexed="81"/>
            <rFont val="Tahoma"/>
            <family val="2"/>
          </rPr>
          <t>Eingabe überschreibt Vorgabe im Feld links</t>
        </r>
      </text>
    </comment>
    <comment ref="N21" authorId="0" shapeId="0" xr:uid="{00000000-0006-0000-0300-000017000000}">
      <text>
        <r>
          <rPr>
            <sz val="9"/>
            <color indexed="81"/>
            <rFont val="Tahoma"/>
            <family val="2"/>
          </rPr>
          <t>Eingabe überschreibt Vorgabe im Feld links</t>
        </r>
      </text>
    </comment>
    <comment ref="P21" authorId="0" shapeId="0" xr:uid="{00000000-0006-0000-0300-000018000000}">
      <text>
        <r>
          <rPr>
            <sz val="9"/>
            <color indexed="81"/>
            <rFont val="Tahoma"/>
            <family val="2"/>
          </rPr>
          <t>Eingabe überschreibt Vorgabe im Feld links</t>
        </r>
      </text>
    </comment>
    <comment ref="V21" authorId="0" shapeId="0" xr:uid="{00000000-0006-0000-0300-000019000000}">
      <text>
        <r>
          <rPr>
            <sz val="9"/>
            <color indexed="81"/>
            <rFont val="Tahoma"/>
            <family val="2"/>
          </rPr>
          <t>Eingabe überschreibt Vorgabe im Feld links</t>
        </r>
      </text>
    </comment>
    <comment ref="L22" authorId="0" shapeId="0" xr:uid="{00000000-0006-0000-0300-00001A000000}">
      <text>
        <r>
          <rPr>
            <sz val="9"/>
            <color indexed="81"/>
            <rFont val="Tahoma"/>
            <family val="2"/>
          </rPr>
          <t>Eingabe überschreibt Vorgabe im Feld links</t>
        </r>
      </text>
    </comment>
    <comment ref="N22" authorId="0" shapeId="0" xr:uid="{00000000-0006-0000-0300-00001B000000}">
      <text>
        <r>
          <rPr>
            <sz val="9"/>
            <color indexed="81"/>
            <rFont val="Tahoma"/>
            <family val="2"/>
          </rPr>
          <t>Eingabe überschreibt Vorgabe im Feld links</t>
        </r>
      </text>
    </comment>
    <comment ref="P22" authorId="0" shapeId="0" xr:uid="{00000000-0006-0000-0300-00001C000000}">
      <text>
        <r>
          <rPr>
            <sz val="9"/>
            <color indexed="81"/>
            <rFont val="Tahoma"/>
            <family val="2"/>
          </rPr>
          <t>Eingabe überschreibt Vorgabe im Feld links</t>
        </r>
      </text>
    </comment>
    <comment ref="J23" authorId="0" shapeId="0" xr:uid="{00000000-0006-0000-0300-00001D000000}">
      <text>
        <r>
          <rPr>
            <sz val="9"/>
            <color indexed="81"/>
            <rFont val="Tahoma"/>
            <family val="2"/>
          </rPr>
          <t>Eingabe überschreibt Vorgabe im Feld links</t>
        </r>
      </text>
    </comment>
    <comment ref="L23" authorId="0" shapeId="0" xr:uid="{00000000-0006-0000-0300-00001E000000}">
      <text>
        <r>
          <rPr>
            <sz val="9"/>
            <color indexed="81"/>
            <rFont val="Tahoma"/>
            <family val="2"/>
          </rPr>
          <t>Eingabe überschreibt Vorgabe im Feld links</t>
        </r>
      </text>
    </comment>
    <comment ref="N23" authorId="0" shapeId="0" xr:uid="{00000000-0006-0000-0300-00001F000000}">
      <text>
        <r>
          <rPr>
            <sz val="9"/>
            <color indexed="81"/>
            <rFont val="Tahoma"/>
            <family val="2"/>
          </rPr>
          <t>Eingabe überschreibt Vorgabe im Feld links</t>
        </r>
      </text>
    </comment>
    <comment ref="P23" authorId="0" shapeId="0" xr:uid="{00000000-0006-0000-0300-000020000000}">
      <text>
        <r>
          <rPr>
            <sz val="9"/>
            <color indexed="81"/>
            <rFont val="Tahoma"/>
            <family val="2"/>
          </rPr>
          <t>Eingabe überschreibt Vorgabe im Feld links</t>
        </r>
      </text>
    </comment>
    <comment ref="V23" authorId="0" shapeId="0" xr:uid="{00000000-0006-0000-0300-000021000000}">
      <text>
        <r>
          <rPr>
            <sz val="9"/>
            <color indexed="81"/>
            <rFont val="Tahoma"/>
            <family val="2"/>
          </rPr>
          <t>Eingabe überschreibt Vorgabe im Feld links</t>
        </r>
      </text>
    </comment>
    <comment ref="L24" authorId="0" shapeId="0" xr:uid="{00000000-0006-0000-0300-000022000000}">
      <text>
        <r>
          <rPr>
            <sz val="9"/>
            <color indexed="81"/>
            <rFont val="Tahoma"/>
            <family val="2"/>
          </rPr>
          <t>Eingabe überschreibt Vorgabe im Feld links</t>
        </r>
      </text>
    </comment>
    <comment ref="N24" authorId="0" shapeId="0" xr:uid="{00000000-0006-0000-0300-000023000000}">
      <text>
        <r>
          <rPr>
            <sz val="9"/>
            <color indexed="81"/>
            <rFont val="Tahoma"/>
            <family val="2"/>
          </rPr>
          <t>Eingabe überschreibt Vorgabe im Feld links</t>
        </r>
      </text>
    </comment>
    <comment ref="P24" authorId="0" shapeId="0" xr:uid="{00000000-0006-0000-0300-000024000000}">
      <text>
        <r>
          <rPr>
            <sz val="9"/>
            <color indexed="81"/>
            <rFont val="Tahoma"/>
            <family val="2"/>
          </rPr>
          <t>Eingabe überschreibt Vorgabe im Feld links</t>
        </r>
      </text>
    </comment>
    <comment ref="J25" authorId="0" shapeId="0" xr:uid="{00000000-0006-0000-0300-000025000000}">
      <text>
        <r>
          <rPr>
            <sz val="9"/>
            <color indexed="81"/>
            <rFont val="Tahoma"/>
            <family val="2"/>
          </rPr>
          <t>Eingabe überschreibt Vorgabe im Feld links</t>
        </r>
      </text>
    </comment>
    <comment ref="L25" authorId="0" shapeId="0" xr:uid="{00000000-0006-0000-0300-000026000000}">
      <text>
        <r>
          <rPr>
            <sz val="9"/>
            <color indexed="81"/>
            <rFont val="Tahoma"/>
            <family val="2"/>
          </rPr>
          <t>Eingabe überschreibt Vorgabe im Feld links</t>
        </r>
      </text>
    </comment>
    <comment ref="N25" authorId="0" shapeId="0" xr:uid="{00000000-0006-0000-0300-000027000000}">
      <text>
        <r>
          <rPr>
            <sz val="9"/>
            <color indexed="81"/>
            <rFont val="Tahoma"/>
            <family val="2"/>
          </rPr>
          <t>Eingabe überschreibt Vorgabe im Feld links</t>
        </r>
      </text>
    </comment>
    <comment ref="P25" authorId="0" shapeId="0" xr:uid="{00000000-0006-0000-0300-000028000000}">
      <text>
        <r>
          <rPr>
            <sz val="9"/>
            <color indexed="81"/>
            <rFont val="Tahoma"/>
            <family val="2"/>
          </rPr>
          <t>Eingabe überschreibt Vorgabe im Feld links</t>
        </r>
      </text>
    </comment>
    <comment ref="V25" authorId="0" shapeId="0" xr:uid="{00000000-0006-0000-0300-000029000000}">
      <text>
        <r>
          <rPr>
            <sz val="9"/>
            <color indexed="81"/>
            <rFont val="Tahoma"/>
            <family val="2"/>
          </rPr>
          <t>Eingabe überschreibt Vorgabe im Feld links</t>
        </r>
      </text>
    </comment>
    <comment ref="L26" authorId="0" shapeId="0" xr:uid="{00000000-0006-0000-0300-00002A000000}">
      <text>
        <r>
          <rPr>
            <sz val="9"/>
            <color indexed="81"/>
            <rFont val="Tahoma"/>
            <family val="2"/>
          </rPr>
          <t>Eingabe überschreibt Vorgabe im Feld links</t>
        </r>
      </text>
    </comment>
    <comment ref="N26" authorId="0" shapeId="0" xr:uid="{00000000-0006-0000-0300-00002B000000}">
      <text>
        <r>
          <rPr>
            <sz val="9"/>
            <color indexed="81"/>
            <rFont val="Tahoma"/>
            <family val="2"/>
          </rPr>
          <t>Eingabe überschreibt Vorgabe im Feld links</t>
        </r>
      </text>
    </comment>
    <comment ref="P26" authorId="0" shapeId="0" xr:uid="{00000000-0006-0000-0300-00002C000000}">
      <text>
        <r>
          <rPr>
            <sz val="9"/>
            <color indexed="81"/>
            <rFont val="Tahoma"/>
            <family val="2"/>
          </rPr>
          <t>Eingabe überschreibt Vorgabe im Feld links</t>
        </r>
      </text>
    </comment>
    <comment ref="J27" authorId="0" shapeId="0" xr:uid="{00000000-0006-0000-0300-00002D000000}">
      <text>
        <r>
          <rPr>
            <sz val="9"/>
            <color indexed="81"/>
            <rFont val="Tahoma"/>
            <family val="2"/>
          </rPr>
          <t>Eingabe überschreibt Vorgabe im Feld links</t>
        </r>
      </text>
    </comment>
    <comment ref="L27" authorId="0" shapeId="0" xr:uid="{00000000-0006-0000-0300-00002E000000}">
      <text>
        <r>
          <rPr>
            <sz val="9"/>
            <color indexed="81"/>
            <rFont val="Tahoma"/>
            <family val="2"/>
          </rPr>
          <t>Eingabe überschreibt Vorgabe im Feld links</t>
        </r>
      </text>
    </comment>
    <comment ref="N27" authorId="0" shapeId="0" xr:uid="{00000000-0006-0000-0300-00002F000000}">
      <text>
        <r>
          <rPr>
            <sz val="9"/>
            <color indexed="81"/>
            <rFont val="Tahoma"/>
            <family val="2"/>
          </rPr>
          <t>Eingabe überschreibt Vorgabe im Feld links</t>
        </r>
      </text>
    </comment>
    <comment ref="P27" authorId="0" shapeId="0" xr:uid="{00000000-0006-0000-0300-000030000000}">
      <text>
        <r>
          <rPr>
            <sz val="9"/>
            <color indexed="81"/>
            <rFont val="Tahoma"/>
            <family val="2"/>
          </rPr>
          <t>Eingabe überschreibt Vorgabe im Feld links</t>
        </r>
      </text>
    </comment>
    <comment ref="V27" authorId="0" shapeId="0" xr:uid="{00000000-0006-0000-0300-000031000000}">
      <text>
        <r>
          <rPr>
            <sz val="9"/>
            <color indexed="81"/>
            <rFont val="Tahoma"/>
            <family val="2"/>
          </rPr>
          <t>Eingabe überschreibt Vorgabe im Feld links</t>
        </r>
      </text>
    </comment>
    <comment ref="L28" authorId="0" shapeId="0" xr:uid="{00000000-0006-0000-0300-000032000000}">
      <text>
        <r>
          <rPr>
            <sz val="9"/>
            <color indexed="81"/>
            <rFont val="Tahoma"/>
            <family val="2"/>
          </rPr>
          <t>Eingabe überschreibt Vorgabe im Feld links</t>
        </r>
      </text>
    </comment>
    <comment ref="N28" authorId="0" shapeId="0" xr:uid="{00000000-0006-0000-0300-000033000000}">
      <text>
        <r>
          <rPr>
            <sz val="9"/>
            <color indexed="81"/>
            <rFont val="Tahoma"/>
            <family val="2"/>
          </rPr>
          <t>Eingabe überschreibt Vorgabe im Feld links</t>
        </r>
      </text>
    </comment>
    <comment ref="P28" authorId="0" shapeId="0" xr:uid="{00000000-0006-0000-0300-000034000000}">
      <text>
        <r>
          <rPr>
            <sz val="9"/>
            <color indexed="81"/>
            <rFont val="Tahoma"/>
            <family val="2"/>
          </rPr>
          <t>Eingabe überschreibt Vorgabe im Feld links</t>
        </r>
      </text>
    </comment>
    <comment ref="V29" authorId="0" shapeId="0" xr:uid="{00000000-0006-0000-0300-000035000000}">
      <text>
        <r>
          <rPr>
            <sz val="9"/>
            <color indexed="81"/>
            <rFont val="Tahoma"/>
            <family val="2"/>
          </rPr>
          <t>Eingabe überschreibt Vorgabe im Feld links</t>
        </r>
      </text>
    </comment>
    <comment ref="L41" authorId="0" shapeId="0" xr:uid="{00000000-0006-0000-0300-000036000000}">
      <text>
        <r>
          <rPr>
            <sz val="9"/>
            <color indexed="81"/>
            <rFont val="Tahoma"/>
            <family val="2"/>
          </rPr>
          <t>Eingabe überschreibt Vorgabe im Feld links</t>
        </r>
      </text>
    </comment>
    <comment ref="N41" authorId="0" shapeId="0" xr:uid="{00000000-0006-0000-0300-000037000000}">
      <text>
        <r>
          <rPr>
            <sz val="9"/>
            <color indexed="81"/>
            <rFont val="Tahoma"/>
            <family val="2"/>
          </rPr>
          <t>Eingabe überschreibt Vorgabe im Feld links</t>
        </r>
      </text>
    </comment>
    <comment ref="P41" authorId="0" shapeId="0" xr:uid="{00000000-0006-0000-0300-000038000000}">
      <text>
        <r>
          <rPr>
            <sz val="9"/>
            <color indexed="81"/>
            <rFont val="Tahoma"/>
            <family val="2"/>
          </rPr>
          <t>Eingabe überschreibt Vorgabe im Feld links</t>
        </r>
      </text>
    </comment>
    <comment ref="V41" authorId="0" shapeId="0" xr:uid="{00000000-0006-0000-0300-000039000000}">
      <text>
        <r>
          <rPr>
            <sz val="9"/>
            <color indexed="81"/>
            <rFont val="Tahoma"/>
            <family val="2"/>
          </rPr>
          <t>Eingabe überschreibt Vorgabe im Feld links</t>
        </r>
      </text>
    </comment>
    <comment ref="L42" authorId="0" shapeId="0" xr:uid="{00000000-0006-0000-0300-00003A000000}">
      <text>
        <r>
          <rPr>
            <sz val="9"/>
            <color indexed="81"/>
            <rFont val="Tahoma"/>
            <family val="2"/>
          </rPr>
          <t>Eingabe überschreibt Vorgabe im Feld links</t>
        </r>
      </text>
    </comment>
    <comment ref="N42" authorId="0" shapeId="0" xr:uid="{00000000-0006-0000-0300-00003B000000}">
      <text>
        <r>
          <rPr>
            <sz val="9"/>
            <color indexed="81"/>
            <rFont val="Tahoma"/>
            <family val="2"/>
          </rPr>
          <t>Eingabe überschreibt Vorgabe im Feld links</t>
        </r>
      </text>
    </comment>
    <comment ref="P42" authorId="0" shapeId="0" xr:uid="{00000000-0006-0000-0300-00003C000000}">
      <text>
        <r>
          <rPr>
            <sz val="9"/>
            <color indexed="81"/>
            <rFont val="Tahoma"/>
            <family val="2"/>
          </rPr>
          <t>Eingabe überschreibt Vorgabe im Feld links</t>
        </r>
      </text>
    </comment>
    <comment ref="L43" authorId="0" shapeId="0" xr:uid="{00000000-0006-0000-0300-00003D000000}">
      <text>
        <r>
          <rPr>
            <sz val="9"/>
            <color indexed="81"/>
            <rFont val="Tahoma"/>
            <family val="2"/>
          </rPr>
          <t>Eingabe überschreibt Vorgabe im Feld links</t>
        </r>
      </text>
    </comment>
    <comment ref="N43" authorId="0" shapeId="0" xr:uid="{00000000-0006-0000-0300-00003E000000}">
      <text>
        <r>
          <rPr>
            <sz val="9"/>
            <color indexed="81"/>
            <rFont val="Tahoma"/>
            <family val="2"/>
          </rPr>
          <t>Eingabe überschreibt Vorgabe im Feld links</t>
        </r>
      </text>
    </comment>
    <comment ref="P43" authorId="0" shapeId="0" xr:uid="{00000000-0006-0000-0300-00003F000000}">
      <text>
        <r>
          <rPr>
            <sz val="9"/>
            <color indexed="81"/>
            <rFont val="Tahoma"/>
            <family val="2"/>
          </rPr>
          <t>Eingabe überschreibt Vorgabe im Feld links</t>
        </r>
      </text>
    </comment>
    <comment ref="V43" authorId="0" shapeId="0" xr:uid="{00000000-0006-0000-0300-000040000000}">
      <text>
        <r>
          <rPr>
            <sz val="9"/>
            <color indexed="81"/>
            <rFont val="Tahoma"/>
            <family val="2"/>
          </rPr>
          <t>Eingabe überschreibt Vorgabe im Feld links</t>
        </r>
      </text>
    </comment>
    <comment ref="L44" authorId="0" shapeId="0" xr:uid="{00000000-0006-0000-0300-000041000000}">
      <text>
        <r>
          <rPr>
            <sz val="9"/>
            <color indexed="81"/>
            <rFont val="Tahoma"/>
            <family val="2"/>
          </rPr>
          <t>Eingabe überschreibt Vorgabe im Feld links</t>
        </r>
      </text>
    </comment>
    <comment ref="N44" authorId="0" shapeId="0" xr:uid="{00000000-0006-0000-0300-000042000000}">
      <text>
        <r>
          <rPr>
            <sz val="9"/>
            <color indexed="81"/>
            <rFont val="Tahoma"/>
            <family val="2"/>
          </rPr>
          <t>Eingabe überschreibt Vorgabe im Feld links</t>
        </r>
      </text>
    </comment>
    <comment ref="P44" authorId="0" shapeId="0" xr:uid="{00000000-0006-0000-0300-000043000000}">
      <text>
        <r>
          <rPr>
            <sz val="9"/>
            <color indexed="81"/>
            <rFont val="Tahoma"/>
            <family val="2"/>
          </rPr>
          <t>Eingabe überschreibt Vorgabe im Feld links</t>
        </r>
      </text>
    </comment>
    <comment ref="L45" authorId="0" shapeId="0" xr:uid="{00000000-0006-0000-0300-000044000000}">
      <text>
        <r>
          <rPr>
            <sz val="9"/>
            <color indexed="81"/>
            <rFont val="Tahoma"/>
            <family val="2"/>
          </rPr>
          <t>Eingabe überschreibt Vorgabe im Feld links</t>
        </r>
      </text>
    </comment>
    <comment ref="V45" authorId="0" shapeId="0" xr:uid="{00000000-0006-0000-0300-000045000000}">
      <text>
        <r>
          <rPr>
            <sz val="9"/>
            <color indexed="81"/>
            <rFont val="Tahoma"/>
            <family val="2"/>
          </rPr>
          <t>Eingabe überschreibt Vorgabe im Feld links</t>
        </r>
      </text>
    </comment>
    <comment ref="L46" authorId="0" shapeId="0" xr:uid="{00000000-0006-0000-0300-000046000000}">
      <text>
        <r>
          <rPr>
            <sz val="9"/>
            <color indexed="81"/>
            <rFont val="Tahoma"/>
            <family val="2"/>
          </rPr>
          <t>Eingabe überschreibt Vorgabe im Feld links</t>
        </r>
      </text>
    </comment>
    <comment ref="V46" authorId="0" shapeId="0" xr:uid="{00000000-0006-0000-0300-000047000000}">
      <text>
        <r>
          <rPr>
            <sz val="9"/>
            <color indexed="81"/>
            <rFont val="Tahoma"/>
            <family val="2"/>
          </rPr>
          <t>Eingabe überschreibt Vorgabe im Feld links</t>
        </r>
      </text>
    </comment>
    <comment ref="L47" authorId="0" shapeId="0" xr:uid="{00000000-0006-0000-0300-000048000000}">
      <text>
        <r>
          <rPr>
            <sz val="9"/>
            <color indexed="81"/>
            <rFont val="Tahoma"/>
            <family val="2"/>
          </rPr>
          <t>Eingabe überschreibt Vorgabe im Feld links</t>
        </r>
      </text>
    </comment>
    <comment ref="V47" authorId="0" shapeId="0" xr:uid="{00000000-0006-0000-0300-000049000000}">
      <text>
        <r>
          <rPr>
            <sz val="9"/>
            <color indexed="81"/>
            <rFont val="Tahoma"/>
            <family val="2"/>
          </rPr>
          <t>Eingabe überschreibt Vorgabe im Feld links</t>
        </r>
      </text>
    </comment>
    <comment ref="L48" authorId="0" shapeId="0" xr:uid="{00000000-0006-0000-0300-00004A000000}">
      <text>
        <r>
          <rPr>
            <sz val="9"/>
            <color indexed="81"/>
            <rFont val="Tahoma"/>
            <family val="2"/>
          </rPr>
          <t>Eingabe überschreibt Vorgabe im Feld links</t>
        </r>
      </text>
    </comment>
    <comment ref="V48" authorId="0" shapeId="0" xr:uid="{00000000-0006-0000-0300-00004B000000}">
      <text>
        <r>
          <rPr>
            <sz val="9"/>
            <color indexed="81"/>
            <rFont val="Tahoma"/>
            <family val="2"/>
          </rPr>
          <t>Eingabe überschreibt Vorgabe im Feld links</t>
        </r>
      </text>
    </comment>
    <comment ref="L49" authorId="0" shapeId="0" xr:uid="{00000000-0006-0000-0300-00004C000000}">
      <text>
        <r>
          <rPr>
            <sz val="9"/>
            <color indexed="81"/>
            <rFont val="Tahoma"/>
            <family val="2"/>
          </rPr>
          <t>Eingabe überschreibt Vorgabe im Feld links</t>
        </r>
      </text>
    </comment>
    <comment ref="V49" authorId="0" shapeId="0" xr:uid="{00000000-0006-0000-0300-00004D000000}">
      <text>
        <r>
          <rPr>
            <sz val="9"/>
            <color indexed="81"/>
            <rFont val="Tahoma"/>
            <family val="2"/>
          </rPr>
          <t>Eingabe überschreibt Vorgabe im Feld links</t>
        </r>
      </text>
    </comment>
    <comment ref="L50" authorId="0" shapeId="0" xr:uid="{00000000-0006-0000-0300-00004E000000}">
      <text>
        <r>
          <rPr>
            <sz val="9"/>
            <color indexed="81"/>
            <rFont val="Tahoma"/>
            <family val="2"/>
          </rPr>
          <t>Eingabe überschreibt Vorgabe im Feld links</t>
        </r>
      </text>
    </comment>
    <comment ref="V50" authorId="0" shapeId="0" xr:uid="{00000000-0006-0000-0300-00004F000000}">
      <text>
        <r>
          <rPr>
            <sz val="9"/>
            <color indexed="81"/>
            <rFont val="Tahoma"/>
            <family val="2"/>
          </rPr>
          <t>Eingabe überschreibt Vorgabe im Feld links</t>
        </r>
      </text>
    </comment>
    <comment ref="L52" authorId="0" shapeId="0" xr:uid="{00000000-0006-0000-0300-000050000000}">
      <text>
        <r>
          <rPr>
            <sz val="9"/>
            <color indexed="81"/>
            <rFont val="Tahoma"/>
            <family val="2"/>
          </rPr>
          <t>Eingabe überschreibt Vorgabe im Feld links</t>
        </r>
      </text>
    </comment>
    <comment ref="V52" authorId="0" shapeId="0" xr:uid="{00000000-0006-0000-0300-000051000000}">
      <text>
        <r>
          <rPr>
            <sz val="9"/>
            <color indexed="81"/>
            <rFont val="Tahoma"/>
            <family val="2"/>
          </rPr>
          <t>Eingabe überschreibt Vorgabe im Feld links</t>
        </r>
      </text>
    </comment>
    <comment ref="L53" authorId="0" shapeId="0" xr:uid="{00000000-0006-0000-0300-000052000000}">
      <text>
        <r>
          <rPr>
            <sz val="9"/>
            <color indexed="81"/>
            <rFont val="Tahoma"/>
            <family val="2"/>
          </rPr>
          <t>Eingabe überschreibt Vorgabe im Feld links</t>
        </r>
      </text>
    </comment>
    <comment ref="V53" authorId="0" shapeId="0" xr:uid="{00000000-0006-0000-0300-000053000000}">
      <text>
        <r>
          <rPr>
            <sz val="9"/>
            <color indexed="81"/>
            <rFont val="Tahoma"/>
            <family val="2"/>
          </rPr>
          <t>Eingabe überschreibt Vorgabe im Feld links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Thomas Kessler</author>
  </authors>
  <commentList>
    <comment ref="H2" authorId="0" shapeId="0" xr:uid="{00000000-0006-0000-0400-00000100000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C7" authorId="0" shapeId="0" xr:uid="{00000000-0006-0000-0400-000002000000}">
      <text>
        <r>
          <rPr>
            <sz val="9"/>
            <color indexed="81"/>
            <rFont val="Tahoma"/>
            <family val="2"/>
          </rPr>
          <t>Bezeichnung</t>
        </r>
      </text>
    </comment>
    <comment ref="J7" authorId="0" shapeId="0" xr:uid="{00000000-0006-0000-0400-000003000000}">
      <text>
        <r>
          <rPr>
            <sz val="9"/>
            <color indexed="81"/>
            <rFont val="Tahoma"/>
            <family val="2"/>
          </rPr>
          <t>Kurzbeschrieb</t>
        </r>
      </text>
    </comment>
    <comment ref="I11" authorId="0" shapeId="0" xr:uid="{00000000-0006-0000-0400-000004000000}">
      <text>
        <r>
          <rPr>
            <sz val="9"/>
            <color indexed="81"/>
            <rFont val="Tahoma"/>
            <family val="2"/>
          </rPr>
          <t>Wird für die Berechnung des Leistungspreises benötigt</t>
        </r>
      </text>
    </comment>
    <comment ref="I13" authorId="0" shapeId="0" xr:uid="{00000000-0006-0000-0400-000005000000}">
      <text>
        <r>
          <rPr>
            <sz val="9"/>
            <color indexed="81"/>
            <rFont val="Tahoma"/>
            <family val="2"/>
          </rPr>
          <t>Wird für die Berechnung des Leistungspreises benötigt</t>
        </r>
      </text>
    </comment>
    <comment ref="I56" authorId="0" shapeId="0" xr:uid="{00000000-0006-0000-0400-000006000000}">
      <text>
        <r>
          <rPr>
            <sz val="9"/>
            <color indexed="81"/>
            <rFont val="Tahoma"/>
            <family val="2"/>
          </rPr>
          <t>Wird für die Berechnung des Leistungspreises benötigt</t>
        </r>
      </text>
    </comment>
    <comment ref="I68" authorId="0" shapeId="0" xr:uid="{00000000-0006-0000-0400-000007000000}">
      <text>
        <r>
          <rPr>
            <sz val="9"/>
            <color indexed="81"/>
            <rFont val="Tahoma"/>
            <family val="2"/>
          </rPr>
          <t>Approximative monatliche 15'-Leistungsspitze 
im Durchschnitt übers Jahr
Wird für die Berechnung des Leistungspreises benötigt.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Thomas Kessler</author>
  </authors>
  <commentList>
    <comment ref="H2" authorId="0" shapeId="0" xr:uid="{00000000-0006-0000-0500-00000100000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C7" authorId="0" shapeId="0" xr:uid="{00000000-0006-0000-0500-000002000000}">
      <text>
        <r>
          <rPr>
            <sz val="9"/>
            <color indexed="81"/>
            <rFont val="Tahoma"/>
            <family val="2"/>
          </rPr>
          <t>Bezeichnung</t>
        </r>
      </text>
    </comment>
    <comment ref="J7" authorId="0" shapeId="0" xr:uid="{00000000-0006-0000-0500-000003000000}">
      <text>
        <r>
          <rPr>
            <sz val="9"/>
            <color indexed="81"/>
            <rFont val="Tahoma"/>
            <family val="2"/>
          </rPr>
          <t>Kurzbeschrieb</t>
        </r>
      </text>
    </comment>
    <comment ref="I11" authorId="0" shapeId="0" xr:uid="{00000000-0006-0000-0500-000004000000}">
      <text>
        <r>
          <rPr>
            <sz val="9"/>
            <color indexed="81"/>
            <rFont val="Tahoma"/>
            <family val="2"/>
          </rPr>
          <t>Wird für die Berechnung des Leistungspreises benötigt</t>
        </r>
      </text>
    </comment>
    <comment ref="I13" authorId="0" shapeId="0" xr:uid="{00000000-0006-0000-0500-000005000000}">
      <text>
        <r>
          <rPr>
            <sz val="9"/>
            <color indexed="81"/>
            <rFont val="Tahoma"/>
            <family val="2"/>
          </rPr>
          <t>Wird für die Berechnung des Leistungspreises benötigt</t>
        </r>
      </text>
    </comment>
    <comment ref="I56" authorId="0" shapeId="0" xr:uid="{00000000-0006-0000-0500-000006000000}">
      <text>
        <r>
          <rPr>
            <sz val="9"/>
            <color indexed="81"/>
            <rFont val="Tahoma"/>
            <family val="2"/>
          </rPr>
          <t>Wird für die Berechnung des Leistungspreises benötigt</t>
        </r>
      </text>
    </comment>
    <comment ref="I68" authorId="0" shapeId="0" xr:uid="{00000000-0006-0000-0500-000007000000}">
      <text>
        <r>
          <rPr>
            <sz val="9"/>
            <color indexed="81"/>
            <rFont val="Tahoma"/>
            <family val="2"/>
          </rPr>
          <t>Approximative monatliche 15'-Leistungsspitze 
im Durchschnitt übers Jahr
Wird für die Berechnung des Leistungspreises benötigt.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Thomas Kessler</author>
  </authors>
  <commentList>
    <comment ref="H2" authorId="0" shapeId="0" xr:uid="{00000000-0006-0000-0600-00000100000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C7" authorId="0" shapeId="0" xr:uid="{00000000-0006-0000-0600-000002000000}">
      <text>
        <r>
          <rPr>
            <sz val="9"/>
            <color indexed="81"/>
            <rFont val="Tahoma"/>
            <family val="2"/>
          </rPr>
          <t>Bezeichnung</t>
        </r>
      </text>
    </comment>
    <comment ref="J7" authorId="0" shapeId="0" xr:uid="{00000000-0006-0000-0600-000003000000}">
      <text>
        <r>
          <rPr>
            <sz val="9"/>
            <color indexed="81"/>
            <rFont val="Tahoma"/>
            <family val="2"/>
          </rPr>
          <t>Kurzbeschrieb</t>
        </r>
      </text>
    </comment>
    <comment ref="I11" authorId="0" shapeId="0" xr:uid="{00000000-0006-0000-0600-000004000000}">
      <text>
        <r>
          <rPr>
            <sz val="9"/>
            <color indexed="81"/>
            <rFont val="Tahoma"/>
            <family val="2"/>
          </rPr>
          <t>Wird für die Berechnung des Leistungspreises benötigt</t>
        </r>
      </text>
    </comment>
    <comment ref="I13" authorId="0" shapeId="0" xr:uid="{00000000-0006-0000-0600-000005000000}">
      <text>
        <r>
          <rPr>
            <sz val="9"/>
            <color indexed="81"/>
            <rFont val="Tahoma"/>
            <family val="2"/>
          </rPr>
          <t>Wird für die Berechnung des Leistungspreises benötigt</t>
        </r>
      </text>
    </comment>
    <comment ref="I56" authorId="0" shapeId="0" xr:uid="{00000000-0006-0000-0600-000006000000}">
      <text>
        <r>
          <rPr>
            <sz val="9"/>
            <color indexed="81"/>
            <rFont val="Tahoma"/>
            <family val="2"/>
          </rPr>
          <t>Wird für die Berechnung des Leistungspreises benötigt</t>
        </r>
      </text>
    </comment>
    <comment ref="I68" authorId="0" shapeId="0" xr:uid="{00000000-0006-0000-0600-000007000000}">
      <text>
        <r>
          <rPr>
            <sz val="9"/>
            <color indexed="81"/>
            <rFont val="Tahoma"/>
            <family val="2"/>
          </rPr>
          <t>Approximative monatliche 15'-Leistungsspitze 
im Durchschnitt übers Jahr
Wird für die Berechnung des Leistungspreises benötigt.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Thomas Kessler</author>
  </authors>
  <commentList>
    <comment ref="H2" authorId="0" shapeId="0" xr:uid="{00000000-0006-0000-0700-00000100000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C7" authorId="0" shapeId="0" xr:uid="{00000000-0006-0000-0700-000002000000}">
      <text>
        <r>
          <rPr>
            <sz val="9"/>
            <color indexed="81"/>
            <rFont val="Tahoma"/>
            <family val="2"/>
          </rPr>
          <t>Bezeichnung</t>
        </r>
      </text>
    </comment>
    <comment ref="J7" authorId="0" shapeId="0" xr:uid="{00000000-0006-0000-0700-000003000000}">
      <text>
        <r>
          <rPr>
            <sz val="9"/>
            <color indexed="81"/>
            <rFont val="Tahoma"/>
            <family val="2"/>
          </rPr>
          <t>Kurzbeschrieb</t>
        </r>
      </text>
    </comment>
    <comment ref="I11" authorId="0" shapeId="0" xr:uid="{00000000-0006-0000-0700-000004000000}">
      <text>
        <r>
          <rPr>
            <sz val="9"/>
            <color indexed="81"/>
            <rFont val="Tahoma"/>
            <family val="2"/>
          </rPr>
          <t>Wird für die Berechnung des Leistungspreises benötigt</t>
        </r>
      </text>
    </comment>
    <comment ref="I13" authorId="0" shapeId="0" xr:uid="{00000000-0006-0000-0700-000005000000}">
      <text>
        <r>
          <rPr>
            <sz val="9"/>
            <color indexed="81"/>
            <rFont val="Tahoma"/>
            <family val="2"/>
          </rPr>
          <t>Wird für die Berechnung des Leistungspreises benötigt</t>
        </r>
      </text>
    </comment>
    <comment ref="I56" authorId="0" shapeId="0" xr:uid="{00000000-0006-0000-0700-000006000000}">
      <text>
        <r>
          <rPr>
            <sz val="9"/>
            <color indexed="81"/>
            <rFont val="Tahoma"/>
            <family val="2"/>
          </rPr>
          <t>Wird für die Berechnung des Leistungspreises benötigt</t>
        </r>
      </text>
    </comment>
    <comment ref="I68" authorId="0" shapeId="0" xr:uid="{00000000-0006-0000-0700-000007000000}">
      <text>
        <r>
          <rPr>
            <sz val="9"/>
            <color indexed="81"/>
            <rFont val="Tahoma"/>
            <family val="2"/>
          </rPr>
          <t>Approximative monatliche 15'-Leistungsspitze 
im Durchschnitt übers Jahr
Wird für die Berechnung des Leistungspreises benötigt.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Thomas Kessler</author>
  </authors>
  <commentList>
    <comment ref="F2" authorId="0" shapeId="0" xr:uid="{00000000-0006-0000-0800-00000100000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C56" authorId="0" shapeId="0" xr:uid="{00000000-0006-0000-0800-000002000000}">
      <text>
        <r>
          <rPr>
            <sz val="9"/>
            <color indexed="81"/>
            <rFont val="Tahoma"/>
            <family val="2"/>
          </rPr>
          <t>Ob die externen Kosten berücksichtigt werden oder nicht kann im Blatt "Grunddaten" gewählt werden</t>
        </r>
      </text>
    </comment>
    <comment ref="D88" authorId="0" shapeId="0" xr:uid="{00000000-0006-0000-0800-000003000000}">
      <text>
        <r>
          <rPr>
            <sz val="9"/>
            <color indexed="81"/>
            <rFont val="Tahoma"/>
            <family val="2"/>
          </rPr>
          <t>Berücksichtigung Förderbeiträge oder nicht kann im Blatt "Grunddaten" gewählt werden</t>
        </r>
      </text>
    </comment>
    <comment ref="C109" authorId="0" shapeId="0" xr:uid="{00000000-0006-0000-0800-000004000000}">
      <text>
        <r>
          <rPr>
            <sz val="9"/>
            <color indexed="81"/>
            <rFont val="Tahoma"/>
            <family val="2"/>
          </rPr>
          <t>Ob die externen Kosten berücksichtigt werden oder nicht kann im Blatt "Grunddaten" gewählt werden</t>
        </r>
      </text>
    </comment>
    <comment ref="E112" authorId="0" shapeId="0" xr:uid="{00000000-0006-0000-0800-000005000000}">
      <text>
        <r>
          <rPr>
            <sz val="9"/>
            <color indexed="81"/>
            <rFont val="Tahoma"/>
            <family val="2"/>
          </rPr>
          <t>Berücksichtigung Förderbeiträge oder nicht kann im Blatt "Grunddaten" gewählt werden</t>
        </r>
      </text>
    </comment>
  </commentList>
</comments>
</file>

<file path=xl/sharedStrings.xml><?xml version="1.0" encoding="utf-8"?>
<sst xmlns="http://schemas.openxmlformats.org/spreadsheetml/2006/main" count="3260" uniqueCount="834">
  <si>
    <t>Investitionskosten</t>
  </si>
  <si>
    <t>Primärenergiebedarf</t>
  </si>
  <si>
    <t>CHF</t>
  </si>
  <si>
    <t>CHF/a</t>
  </si>
  <si>
    <t>kWh/a</t>
  </si>
  <si>
    <t>Treibhausgas-Emissionen</t>
  </si>
  <si>
    <t>mittel / teilweise erfüllt</t>
  </si>
  <si>
    <t>schlecht / hoch / nicht erfüllt</t>
  </si>
  <si>
    <t>gut / niedrig / erfüllt</t>
  </si>
  <si>
    <t>Fazit, Empfehlung</t>
  </si>
  <si>
    <t>Übersicht</t>
  </si>
  <si>
    <t xml:space="preserve"> </t>
  </si>
  <si>
    <t>Energieträger</t>
  </si>
  <si>
    <t>Total</t>
  </si>
  <si>
    <t>Erdgas</t>
  </si>
  <si>
    <t>Holzschnitzel</t>
  </si>
  <si>
    <t>Variante 1</t>
  </si>
  <si>
    <t>Variante 2</t>
  </si>
  <si>
    <t>Variante 3</t>
  </si>
  <si>
    <t>Variante 4</t>
  </si>
  <si>
    <t>[Jahre]</t>
  </si>
  <si>
    <t>Jährliche Energiekosten</t>
  </si>
  <si>
    <t>Verbrauch</t>
  </si>
  <si>
    <t>[kWh/a]</t>
  </si>
  <si>
    <t>Elektrizität</t>
  </si>
  <si>
    <t xml:space="preserve"> ----</t>
  </si>
  <si>
    <t xml:space="preserve"> ----  </t>
  </si>
  <si>
    <t xml:space="preserve">Total der jährlichen Kosten </t>
  </si>
  <si>
    <t>Option: Eingabe Betrachtungsdauer:</t>
  </si>
  <si>
    <t>Kostenstei-</t>
  </si>
  <si>
    <t>Energiekosten</t>
  </si>
  <si>
    <t>gerung (real)</t>
  </si>
  <si>
    <t>Holzpellets</t>
  </si>
  <si>
    <t>Energieversorgung</t>
  </si>
  <si>
    <t>Biogas</t>
  </si>
  <si>
    <t>Fernwärme</t>
  </si>
  <si>
    <t>T O T A L</t>
  </si>
  <si>
    <t>Total Energiekosten</t>
  </si>
  <si>
    <t>----</t>
  </si>
  <si>
    <t>Heutige jährliche Kosten</t>
  </si>
  <si>
    <t>Betrachtungsdauer für Berechnung:</t>
  </si>
  <si>
    <t>Elektrizität, Hochtarif</t>
  </si>
  <si>
    <t>Elektrizität, Niedertarif</t>
  </si>
  <si>
    <t>Heizöl EL</t>
  </si>
  <si>
    <t>Endenergiebedarf</t>
  </si>
  <si>
    <t>Raumkühlung</t>
  </si>
  <si>
    <t>Jahresnutzungsgrad:</t>
  </si>
  <si>
    <t>Heizkessel 1</t>
  </si>
  <si>
    <t>Heizkessel 2</t>
  </si>
  <si>
    <r>
      <t>m</t>
    </r>
    <r>
      <rPr>
        <vertAlign val="superscript"/>
        <sz val="10"/>
        <rFont val="Arial"/>
        <family val="2"/>
      </rPr>
      <t>2</t>
    </r>
  </si>
  <si>
    <t>Leistung:</t>
  </si>
  <si>
    <t>kW</t>
  </si>
  <si>
    <t>Lage:</t>
  </si>
  <si>
    <t>Bauliche Massnahmen:</t>
  </si>
  <si>
    <t>1.</t>
  </si>
  <si>
    <t>2.</t>
  </si>
  <si>
    <t>3.</t>
  </si>
  <si>
    <t>Länge:</t>
  </si>
  <si>
    <t>Breite:</t>
  </si>
  <si>
    <t>Höhe:</t>
  </si>
  <si>
    <t>Neue Technikzentrale</t>
  </si>
  <si>
    <t>Neuer Brennstofflagerraum</t>
  </si>
  <si>
    <t>im Gebäude</t>
  </si>
  <si>
    <t>im Erdreich</t>
  </si>
  <si>
    <t>Wärmepumpe 1</t>
  </si>
  <si>
    <t>Jahresarbeitszahl:</t>
  </si>
  <si>
    <t>Raumheizung
(inkl. Lüftung)</t>
  </si>
  <si>
    <t>Erdsonden</t>
  </si>
  <si>
    <t>Grundwasser</t>
  </si>
  <si>
    <t>Abwasser</t>
  </si>
  <si>
    <t>Bedarf =</t>
  </si>
  <si>
    <t>Wärmepumpe 2</t>
  </si>
  <si>
    <t>Sonnenkollektoren</t>
  </si>
  <si>
    <t>Fläche:</t>
  </si>
  <si>
    <t>Ertrag:</t>
  </si>
  <si>
    <r>
      <t>m</t>
    </r>
    <r>
      <rPr>
        <vertAlign val="superscript"/>
        <sz val="10"/>
        <rFont val="Arial Narrow"/>
        <family val="2"/>
      </rPr>
      <t>2</t>
    </r>
  </si>
  <si>
    <t>Sonnenwärme</t>
  </si>
  <si>
    <r>
      <t>kWh/m</t>
    </r>
    <r>
      <rPr>
        <vertAlign val="superscript"/>
        <sz val="10"/>
        <rFont val="Arial Narrow"/>
        <family val="2"/>
      </rPr>
      <t>2</t>
    </r>
    <r>
      <rPr>
        <sz val="10"/>
        <rFont val="Arial Narrow"/>
        <family val="2"/>
      </rPr>
      <t>a</t>
    </r>
  </si>
  <si>
    <t>Aussenluft</t>
  </si>
  <si>
    <t>Kältemaschine 1</t>
  </si>
  <si>
    <t>Rückkühlung</t>
  </si>
  <si>
    <t>Elektrizitäts-verbraucher</t>
  </si>
  <si>
    <t>Sonnenenergie</t>
  </si>
  <si>
    <t>Elektrizität ab Netz</t>
  </si>
  <si>
    <t>Solarstromanlage</t>
  </si>
  <si>
    <t>kWp</t>
  </si>
  <si>
    <t>kWh/kWp</t>
  </si>
  <si>
    <t>Abwärmenutzung (direkt)</t>
  </si>
  <si>
    <t>Bedarfsdeckung:</t>
  </si>
  <si>
    <t>Auswahlliste Bauliche Massnahme</t>
  </si>
  <si>
    <t>Auswahlliste Lage</t>
  </si>
  <si>
    <t>Förderbeiträge</t>
  </si>
  <si>
    <r>
      <t>kg/a CO</t>
    </r>
    <r>
      <rPr>
        <vertAlign val="subscript"/>
        <sz val="10"/>
        <rFont val="Arial Narrow"/>
        <family val="2"/>
      </rPr>
      <t>2e</t>
    </r>
  </si>
  <si>
    <r>
      <t>kg/a CO</t>
    </r>
    <r>
      <rPr>
        <b/>
        <vertAlign val="subscript"/>
        <sz val="10"/>
        <rFont val="Arial"/>
        <family val="2"/>
      </rPr>
      <t>2e</t>
    </r>
  </si>
  <si>
    <t>Ab-/Umweltwärme</t>
  </si>
  <si>
    <t>Berechnungen</t>
  </si>
  <si>
    <r>
      <t>kg/a CO</t>
    </r>
    <r>
      <rPr>
        <vertAlign val="subscript"/>
        <sz val="10"/>
        <rFont val="Arial"/>
        <family val="2"/>
      </rPr>
      <t>2e</t>
    </r>
  </si>
  <si>
    <t>Projektdaten</t>
  </si>
  <si>
    <t>Variantenvergleich</t>
  </si>
  <si>
    <t>Datum</t>
  </si>
  <si>
    <t>Nutzungskategorie</t>
  </si>
  <si>
    <t>Energiebezugsfläche</t>
  </si>
  <si>
    <t>Zone 1</t>
  </si>
  <si>
    <t>Zone 2</t>
  </si>
  <si>
    <t>Zone 3</t>
  </si>
  <si>
    <t>Zone 4</t>
  </si>
  <si>
    <t>Wohnen EFH</t>
  </si>
  <si>
    <t>Wohnen MFH</t>
  </si>
  <si>
    <t>Verwaltung</t>
  </si>
  <si>
    <t>Schulen</t>
  </si>
  <si>
    <t>Verkauf</t>
  </si>
  <si>
    <t>Restaurants</t>
  </si>
  <si>
    <t>Versammlungslokale</t>
  </si>
  <si>
    <t>Spitäler</t>
  </si>
  <si>
    <t>Industrie</t>
  </si>
  <si>
    <t>Lager</t>
  </si>
  <si>
    <t>Sportbauten</t>
  </si>
  <si>
    <t>Selektor:</t>
  </si>
  <si>
    <t>Energiebedarf</t>
  </si>
  <si>
    <t>AWN</t>
  </si>
  <si>
    <t>Endenergie</t>
  </si>
  <si>
    <t>Nutzenergie</t>
  </si>
  <si>
    <t>Freie Kühlung</t>
  </si>
  <si>
    <t>Wärmeerzeuger</t>
  </si>
  <si>
    <t>Bauliche Massnahme 1</t>
  </si>
  <si>
    <t>Bauliche Massnahme 2</t>
  </si>
  <si>
    <t>Bauliche Massnahme 3</t>
  </si>
  <si>
    <t>Kälteerzeuger</t>
  </si>
  <si>
    <t>Bauteil</t>
  </si>
  <si>
    <t>Einheit</t>
  </si>
  <si>
    <t>Aushub =</t>
  </si>
  <si>
    <t xml:space="preserve">Boden/Decke = </t>
  </si>
  <si>
    <t>Längswand =</t>
  </si>
  <si>
    <t>Querwand =</t>
  </si>
  <si>
    <t>Erstellung: Graue Energie</t>
  </si>
  <si>
    <t>Erstellung: Treibhausgas</t>
  </si>
  <si>
    <r>
      <t xml:space="preserve">Erstellung: </t>
    </r>
    <r>
      <rPr>
        <b/>
        <sz val="10"/>
        <rFont val="Arial Narrow"/>
        <family val="2"/>
      </rPr>
      <t>Umweltbelastungspunkte</t>
    </r>
  </si>
  <si>
    <t>Erstellung (Graue Energie)</t>
  </si>
  <si>
    <t>Erstellung</t>
  </si>
  <si>
    <t>Betrieb</t>
  </si>
  <si>
    <t>Umweltbelastungspunkte</t>
  </si>
  <si>
    <t>UBP06/a</t>
  </si>
  <si>
    <t>Primärenergiebedarf (gesamt)</t>
  </si>
  <si>
    <t>Punkte/a</t>
  </si>
  <si>
    <t>Umweltbelastung</t>
  </si>
  <si>
    <t>Grenzwert:</t>
  </si>
  <si>
    <t>Wärme/Kraft-Kopplung</t>
  </si>
  <si>
    <t>Leistung total:</t>
  </si>
  <si>
    <t>Jahresnutzungsgrad tot:</t>
  </si>
  <si>
    <t>Kältemaschine 2</t>
  </si>
  <si>
    <t>Versionsinformationen</t>
  </si>
  <si>
    <t>Nummer</t>
  </si>
  <si>
    <t>Autor</t>
  </si>
  <si>
    <t>Änderungen</t>
  </si>
  <si>
    <t>aktuell</t>
  </si>
  <si>
    <t>Thomas Kessler</t>
  </si>
  <si>
    <t>Zweck</t>
  </si>
  <si>
    <t>Wichtige Informationen für die Anwender</t>
  </si>
  <si>
    <t>Die nachfolgenden Informationen sind sehr wichtig für die Anwendung und das Verständnis dieses Werkzeugs. Bitte lesen Sie diese aufmerksam durch, bevor Sie zum ersten Mal damit arbeiten.</t>
  </si>
  <si>
    <t>Systemgrenze</t>
  </si>
  <si>
    <t>Betrachtungsperimeter sind die der Energieversorgung eines Gebäudes oder einer Gruppe von Gebäuden dienenden Anlagen sowie die dazu gehörenden Energieflüsse. Letztere werden vom Bezug an der Grundstückgrenze (Endenergie) bis zur Abgabe an das/die Gebäude (Nutzenergie) erfasst und dargestellt. Die Verteilung innerhalb der/des Gebäude/s wird für alle Varianten als gleich angenommen und deshalb nicht mit einbe-zogen. Zu berücksichtigen ist jedoch die Nutzung von Solar- und Umweltenergie innerhalb des Areals.</t>
  </si>
  <si>
    <t>Struktur</t>
  </si>
  <si>
    <r>
      <rPr>
        <sz val="10"/>
        <color rgb="FFFF0000"/>
        <rFont val="Arial"/>
        <family val="2"/>
      </rPr>
      <t>Rote Schrift</t>
    </r>
    <r>
      <rPr>
        <sz val="10"/>
        <rFont val="Arial"/>
        <family val="2"/>
      </rPr>
      <t xml:space="preserve"> = Unvollständige oder unplausible Eingaben</t>
    </r>
  </si>
  <si>
    <t>Ergebnisse</t>
  </si>
  <si>
    <t>Nach vollständiger Dateneingabe werden folgende numerischen Werte dargestellt:</t>
  </si>
  <si>
    <t>Betrieb: nicht erneuerbar</t>
  </si>
  <si>
    <t>Betrieb: erneuerbar</t>
  </si>
  <si>
    <t>Betrieb: erneuerbar am Standort</t>
  </si>
  <si>
    <r>
      <t xml:space="preserve">Ergänzend können fallweise </t>
    </r>
    <r>
      <rPr>
        <b/>
        <sz val="10"/>
        <rFont val="Arial"/>
        <family val="2"/>
      </rPr>
      <t>qualitative Kriterien</t>
    </r>
    <r>
      <rPr>
        <sz val="10"/>
        <rFont val="Arial"/>
        <family val="2"/>
      </rPr>
      <t xml:space="preserve"> aufgeführt und beurteilt werden. Diese sollen vorgängig gemeinsam mit dem Auftraggeber festgelegt werden.</t>
    </r>
  </si>
  <si>
    <t>Eingaben</t>
  </si>
  <si>
    <t>Blatt</t>
  </si>
  <si>
    <t>Inhalt</t>
  </si>
  <si>
    <t>Angaben zum Ersteller des Variantenvergleichs</t>
  </si>
  <si>
    <t>Allgemeine, nicht variantenbezo-gene Angaben und Grundlagen-daten zum Projekt</t>
  </si>
  <si>
    <t>Bezeichnung, Kurzbeschrieb und grafische Darstellung der Energieversorgungs-Varianten.
Die farbige Darstellung entsteht automatisch aufgrund der Eingaben.</t>
  </si>
  <si>
    <t>EV_Var1 /..2 /..3 /..4</t>
  </si>
  <si>
    <t>Energie- und Leistungsdaten, Nutzungsgrade, etc.</t>
  </si>
  <si>
    <t>Angaben zu baulichen Massnahmen</t>
  </si>
  <si>
    <t>WR_Übersicht</t>
  </si>
  <si>
    <t>WR_Var1 /..2 /..3 /..4</t>
  </si>
  <si>
    <t>Bezeichnung und Kurz-beschrieb der Variante</t>
  </si>
  <si>
    <t>Geschätzte Investitionskosten und Nutzungsdauern der Anla-gen und Bauteile</t>
  </si>
  <si>
    <t>Energiebedarfszahlen gemäss separaten Berechnungen. Letztere sind beizulegen!</t>
  </si>
  <si>
    <t>Energiebedarfszahlen gemäss separaten Berechnungen</t>
  </si>
  <si>
    <t>Beurteilung der Varianten nach obigen Kriterien mit Ampel-system und Stichworten</t>
  </si>
  <si>
    <t>Gesamtbeurteilung der Varian-ten mit Ampelsystem und Fazit/Empfehlung</t>
  </si>
  <si>
    <t>Keine Eingaben</t>
  </si>
  <si>
    <t>Qualitative Kriterien anpassen/ergänzen und Beurteilung der Varianten mit Ampelsystem und kurzen Stichwörtern vornehmen</t>
  </si>
  <si>
    <t>Gesamtbeurteilung der Varianten mit Ampelsystem und kurzen Stichwörtern</t>
  </si>
  <si>
    <t>Alle Eingabefelder sind blassgelb hinterlegt.</t>
  </si>
  <si>
    <t>Ausahme ist das Blatt "Ergebnisse", wo</t>
  </si>
  <si>
    <t>blassblaue Felder für die qualitativen Kriterien</t>
  </si>
  <si>
    <t>und taubenblaue Felder für die Beurteilungen</t>
  </si>
  <si>
    <t>Anwenderführung</t>
  </si>
  <si>
    <t>auszufüllen sind. Alle übrigen Felder sind für die Anwender gesperrt.</t>
  </si>
  <si>
    <t>Anleitung und Kommentare sowie Herkunft der Grundlagendaten ergänzt. Benutzerführung verbessert.</t>
  </si>
  <si>
    <t>Hellblau hinterlegte Felder und Kommentare enthalten wichtige Hinweise.</t>
  </si>
  <si>
    <t>Einarbeitung der Rückmeldungen aus der Vernehmlassung</t>
  </si>
  <si>
    <t>Energieumwandlung</t>
  </si>
  <si>
    <t>Aufbereitung und Abgabe der Ergebnisse</t>
  </si>
  <si>
    <t>Alle wichtigen Informationen zur Beurteilung der Varianten sind im Blatt "Ergebnisse" zusammengefasst. Dessen Darstellung eignet sich sowohl für eine Präsentation als auch für den Ausdruck auf Papier. Für die Entscheidungsträger genügen diese Informationen in der Regel.</t>
  </si>
  <si>
    <t>Für eine vollständige und nachvollziehbare Dokumentation sind jeweils auch die übrigen Blätter - ausser "INFO" - abzugeben. Dies erfolgt zweckmässigerweise in Form eines Anhangs zum Bericht über die Variantenstudie.</t>
  </si>
  <si>
    <t>Die Arbeitsmappe ist eingabeorientiert aufgebaut, d.h. die einzelnen Arbeitsblätter werden sinnvollerweise - beginnend mit "Projektdaten" - von links nach rechts bearbeitet.</t>
  </si>
  <si>
    <t>Darstellung der Ergebnisse (siehe oben) des Variantenvergleichs: Übersichtsseite mit allen numerischen und qualitativen Angaben sowie verschiedene Balkengrafiken</t>
  </si>
  <si>
    <t>Hochtarif</t>
  </si>
  <si>
    <t>Niedertarif</t>
  </si>
  <si>
    <t>WP, Hochtarif</t>
  </si>
  <si>
    <t>WP, Niedertarif</t>
  </si>
  <si>
    <t>Brennstoffe</t>
  </si>
  <si>
    <t>[%/a]</t>
  </si>
  <si>
    <t>[-]</t>
  </si>
  <si>
    <t>Primär-energie erneuerbar</t>
  </si>
  <si>
    <t>Umwelt-belastungs-punkte</t>
  </si>
  <si>
    <t>Ökologie</t>
  </si>
  <si>
    <t>Grunddaten</t>
  </si>
  <si>
    <t>Treibhaus-
gas-Emisionen</t>
  </si>
  <si>
    <r>
      <t>[kg/kWh CO</t>
    </r>
    <r>
      <rPr>
        <vertAlign val="subscript"/>
        <sz val="9"/>
        <rFont val="Arial Narrow"/>
        <family val="2"/>
      </rPr>
      <t>2e</t>
    </r>
    <r>
      <rPr>
        <sz val="9"/>
        <rFont val="Arial Narrow"/>
        <family val="2"/>
      </rPr>
      <t>]</t>
    </r>
  </si>
  <si>
    <t>Primärener-gie nicht erneuerbar</t>
  </si>
  <si>
    <t>kW Erzeugerleistung</t>
  </si>
  <si>
    <r>
      <t>m</t>
    </r>
    <r>
      <rPr>
        <vertAlign val="superscript"/>
        <sz val="9"/>
        <rFont val="Arial"/>
        <family val="2"/>
      </rPr>
      <t>3</t>
    </r>
    <r>
      <rPr>
        <sz val="9"/>
        <rFont val="Arial"/>
        <family val="2"/>
      </rPr>
      <t xml:space="preserve"> Aushub</t>
    </r>
  </si>
  <si>
    <r>
      <t>m</t>
    </r>
    <r>
      <rPr>
        <vertAlign val="superscript"/>
        <sz val="9"/>
        <rFont val="Arial"/>
        <family val="2"/>
      </rPr>
      <t>2</t>
    </r>
    <r>
      <rPr>
        <sz val="9"/>
        <rFont val="Arial"/>
        <family val="2"/>
      </rPr>
      <t xml:space="preserve"> Bauteilfläche</t>
    </r>
  </si>
  <si>
    <r>
      <t>m</t>
    </r>
    <r>
      <rPr>
        <vertAlign val="superscript"/>
        <sz val="9"/>
        <rFont val="Arial"/>
        <family val="2"/>
      </rPr>
      <t>2</t>
    </r>
    <r>
      <rPr>
        <sz val="9"/>
        <rFont val="Arial"/>
        <family val="2"/>
      </rPr>
      <t xml:space="preserve"> Kollektorfläche</t>
    </r>
  </si>
  <si>
    <r>
      <t>[kg/a CO</t>
    </r>
    <r>
      <rPr>
        <vertAlign val="subscript"/>
        <sz val="9"/>
        <rFont val="Arial"/>
        <family val="2"/>
      </rPr>
      <t>2e</t>
    </r>
    <r>
      <rPr>
        <sz val="9"/>
        <rFont val="Arial"/>
        <family val="2"/>
      </rPr>
      <t>]</t>
    </r>
  </si>
  <si>
    <t>Primärfaktoren Erstellung</t>
  </si>
  <si>
    <r>
      <t>[kWh/m</t>
    </r>
    <r>
      <rPr>
        <vertAlign val="superscript"/>
        <sz val="9"/>
        <rFont val="Arial"/>
        <family val="2"/>
      </rPr>
      <t>2</t>
    </r>
    <r>
      <rPr>
        <vertAlign val="subscript"/>
        <sz val="9"/>
        <rFont val="Arial"/>
        <family val="2"/>
      </rPr>
      <t>EBF</t>
    </r>
    <r>
      <rPr>
        <sz val="9"/>
        <rFont val="Arial"/>
        <family val="2"/>
      </rPr>
      <t>a]</t>
    </r>
  </si>
  <si>
    <t>Kalkulationsszinssatz (real)</t>
  </si>
  <si>
    <t>Hilfstabelle Elektrizitätstarife</t>
  </si>
  <si>
    <t>NT</t>
  </si>
  <si>
    <t>WPHT</t>
  </si>
  <si>
    <t>WPNT</t>
  </si>
  <si>
    <t>Eff. Kostensteigerung</t>
  </si>
  <si>
    <t>Beleuchtung</t>
  </si>
  <si>
    <t>[Fr./kW]</t>
  </si>
  <si>
    <t>Eff. Leistungspreis</t>
  </si>
  <si>
    <t>Produktewahl</t>
  </si>
  <si>
    <t>Anschlussleistung:</t>
  </si>
  <si>
    <t>Kleine Korrekturen und Ergänzungen</t>
  </si>
  <si>
    <t>1.0</t>
  </si>
  <si>
    <t>Berechnungspreis Energie</t>
  </si>
  <si>
    <t>1.1</t>
  </si>
  <si>
    <t>Fehlerbehebung: Leistungspreis Elektro wurde im Total nicht berücksichtigt.
In den WR_...-Blättern sind neu Kommentare in den Bearbeitungsfeldern möglich</t>
  </si>
  <si>
    <t>1.2</t>
  </si>
  <si>
    <t>Fehlerbehebung: Berechnungsfehler Endenergie Erdgas bei WKK mit Biogas-Anteil
Fehlerbehebung: Berechnungsfehler bei Handeingabe Leistungspreis Biogas/Erdgas
Energiepreise und Umweltfaktoren aktualisert</t>
  </si>
  <si>
    <t>Netzrückspeisung</t>
  </si>
  <si>
    <t>Gasmotorwärmepumpe</t>
  </si>
  <si>
    <t>Absorptionskälte</t>
  </si>
  <si>
    <t>Vorgaben für Nutzungsgrade und Erträge</t>
  </si>
  <si>
    <t>Ertrag Sonnenkollektoren</t>
  </si>
  <si>
    <r>
      <t>kWh/m</t>
    </r>
    <r>
      <rPr>
        <sz val="9"/>
        <rFont val="Calibri"/>
        <family val="2"/>
      </rPr>
      <t>²</t>
    </r>
  </si>
  <si>
    <t>Ertrag Solarstromanlage</t>
  </si>
  <si>
    <t>Jahresnutzungsgrad Heizkessel</t>
  </si>
  <si>
    <t>Jahresnutzungsgrad WKK</t>
  </si>
  <si>
    <t>Jahresarbeitszahl Wärmepumpe</t>
  </si>
  <si>
    <t>Jahresarbeitszahl Absorptionskälte</t>
  </si>
  <si>
    <t>Jahresarbeitszahl Gasmotorwärmepumpe</t>
  </si>
  <si>
    <t>Jahresarbeitszahl Kältemaschine</t>
  </si>
  <si>
    <t>Preisanteil Energie</t>
  </si>
  <si>
    <t>Preisanteil Abgaben</t>
  </si>
  <si>
    <t>Beschreibung</t>
  </si>
  <si>
    <t>Bemerkungen</t>
  </si>
  <si>
    <t>1. Wärmequelle Baumeister</t>
  </si>
  <si>
    <t>Grundwasserbohrung</t>
  </si>
  <si>
    <t>Seewasserfassungsbau</t>
  </si>
  <si>
    <t>Tankraum</t>
  </si>
  <si>
    <t>2. Wärmequelle Technisch</t>
  </si>
  <si>
    <t>Erdsonden inkl. Bohrung</t>
  </si>
  <si>
    <t>Erdregister</t>
  </si>
  <si>
    <t>Expansion</t>
  </si>
  <si>
    <t>Filteranlage</t>
  </si>
  <si>
    <t>Pumpenstation</t>
  </si>
  <si>
    <t>Systemtrennung</t>
  </si>
  <si>
    <t>Rückkühler</t>
  </si>
  <si>
    <t>Anschlussleitungen</t>
  </si>
  <si>
    <t>Energiemessung</t>
  </si>
  <si>
    <t>Dämmungen</t>
  </si>
  <si>
    <t>3. Energiezulieferung</t>
  </si>
  <si>
    <t>Hauptgaszuleitung (Gaswerk)</t>
  </si>
  <si>
    <t>Gasleitung ab Gasraum</t>
  </si>
  <si>
    <t>Gasstrasse Kessel</t>
  </si>
  <si>
    <t>Öltank</t>
  </si>
  <si>
    <t>Ölförderungsleitung</t>
  </si>
  <si>
    <t>Ölstrasse Kessel</t>
  </si>
  <si>
    <t>4. Wärme- / Kälteerzeugung</t>
  </si>
  <si>
    <t>Wärmespeicher</t>
  </si>
  <si>
    <t>Kältespeicher</t>
  </si>
  <si>
    <t>5. Kaminanlage</t>
  </si>
  <si>
    <t>Rauchgasreinigung</t>
  </si>
  <si>
    <t>Aschenaustragung</t>
  </si>
  <si>
    <t>6. Wärmeverteilung</t>
  </si>
  <si>
    <t>Heizungsverteiler</t>
  </si>
  <si>
    <t>Expansion (Wärme)</t>
  </si>
  <si>
    <t>Heizgruppen</t>
  </si>
  <si>
    <t>Übergabestationen Heizung</t>
  </si>
  <si>
    <t>Kälteverteiler</t>
  </si>
  <si>
    <t>Expansion (Kälte)</t>
  </si>
  <si>
    <t>Übergabestationen Kälte</t>
  </si>
  <si>
    <t>7. Wärme- / Kälteabgabe</t>
  </si>
  <si>
    <t>Heizkörper</t>
  </si>
  <si>
    <t>Bodenheizung</t>
  </si>
  <si>
    <t>TABS</t>
  </si>
  <si>
    <t>Luftheizapparate</t>
  </si>
  <si>
    <t>Lufterhitzeranschluss</t>
  </si>
  <si>
    <t>Luftkühleranschluss</t>
  </si>
  <si>
    <t>8. Sicherheit</t>
  </si>
  <si>
    <t>Gaswarnanlage</t>
  </si>
  <si>
    <t>Öltank Überwachung Erdreich</t>
  </si>
  <si>
    <t xml:space="preserve">Freonwarnanlage </t>
  </si>
  <si>
    <t>Brandmeldeanlage</t>
  </si>
  <si>
    <t>9. Sanitär</t>
  </si>
  <si>
    <t>Warmwasserspeicher</t>
  </si>
  <si>
    <t xml:space="preserve">Hauptverteiler Kaltwasser </t>
  </si>
  <si>
    <t>Verteiler Warmwasser</t>
  </si>
  <si>
    <t>Schmutzwasserleitungen</t>
  </si>
  <si>
    <t>Apparate</t>
  </si>
  <si>
    <t>BWW-Ladung</t>
  </si>
  <si>
    <t>KW, WW, Zirk.-Leitungen</t>
  </si>
  <si>
    <t>10. Lüftung</t>
  </si>
  <si>
    <t xml:space="preserve">Belüftung Zentrale </t>
  </si>
  <si>
    <t>Armaturen, Instrumente</t>
  </si>
  <si>
    <t>Kanäle</t>
  </si>
  <si>
    <t>11. Metallbauarbeiten</t>
  </si>
  <si>
    <t>Tore</t>
  </si>
  <si>
    <t>Türen</t>
  </si>
  <si>
    <t>Podeste</t>
  </si>
  <si>
    <t>Geländer</t>
  </si>
  <si>
    <t>Silodeckel</t>
  </si>
  <si>
    <t>12. Bauliches Zentrale</t>
  </si>
  <si>
    <t>Aushub</t>
  </si>
  <si>
    <t>Gebäudekostenanteil Zentrale</t>
  </si>
  <si>
    <t>Baumeisterarbeiten</t>
  </si>
  <si>
    <t>13. Wärmeverbund Baumeister</t>
  </si>
  <si>
    <t>Graben Fernleitung</t>
  </si>
  <si>
    <t>Graben Wasserfassung</t>
  </si>
  <si>
    <t>Graben Erdsondenanschluss</t>
  </si>
  <si>
    <t>Mauerdichtungen</t>
  </si>
  <si>
    <t>14. Wärmeverbund Leitungen</t>
  </si>
  <si>
    <t>Kalte Fernleitung</t>
  </si>
  <si>
    <t>Fernleitung Heizung</t>
  </si>
  <si>
    <t>Fernleitung Sanitär</t>
  </si>
  <si>
    <t>Anschlussleitungen kalte Fernl.</t>
  </si>
  <si>
    <t>Anschlussleitungen Heizung</t>
  </si>
  <si>
    <t>15. MSRL</t>
  </si>
  <si>
    <t>Feldgeräte</t>
  </si>
  <si>
    <t>Schaltschränke</t>
  </si>
  <si>
    <t>Leitsystem (HW+Dienstleist.)</t>
  </si>
  <si>
    <t>Inbetriebsetzung</t>
  </si>
  <si>
    <t>16. Elektro</t>
  </si>
  <si>
    <t>Baustromverteilung</t>
  </si>
  <si>
    <t>Demontagen</t>
  </si>
  <si>
    <t>Schaltschränke HV/UV</t>
  </si>
  <si>
    <t>Elektrotrasse</t>
  </si>
  <si>
    <t>Verkabelung</t>
  </si>
  <si>
    <t>Einspeisung</t>
  </si>
  <si>
    <t>Telefon, Netzwerkanschluss</t>
  </si>
  <si>
    <t>Bus-Verbindungen</t>
  </si>
  <si>
    <t>17. Baumeister</t>
  </si>
  <si>
    <t>Provisorien</t>
  </si>
  <si>
    <t>Abbrucharbeiten</t>
  </si>
  <si>
    <t>Kabelgräben</t>
  </si>
  <si>
    <t>Durchbrüche, Kernbohrungen</t>
  </si>
  <si>
    <t>Fundamente, Sockel</t>
  </si>
  <si>
    <t>Brandabschottungen</t>
  </si>
  <si>
    <t>Gerüste</t>
  </si>
  <si>
    <t>Kran, Pneukran</t>
  </si>
  <si>
    <t>18. Weiteres (ohne Baumeister)</t>
  </si>
  <si>
    <t>19. Baunebenkosten</t>
  </si>
  <si>
    <t>Demontagen (ohne Baumeister)</t>
  </si>
  <si>
    <t>Malerarbeiten</t>
  </si>
  <si>
    <t>Baureinigung</t>
  </si>
  <si>
    <t>Umgebungsarbeiten</t>
  </si>
  <si>
    <t>20. Unvorhergesehenes</t>
  </si>
  <si>
    <t>21. Honorare / Nebenkosten</t>
  </si>
  <si>
    <t>HLKKSE-Ingenieur gemäss LM 95</t>
  </si>
  <si>
    <t>Bauingenieur gemäss LM 95</t>
  </si>
  <si>
    <t>Bewilligungen</t>
  </si>
  <si>
    <t>QS (Planung, Ausführung)</t>
  </si>
  <si>
    <t>BO nach Inbetriebnahme</t>
  </si>
  <si>
    <t>BO periodisch</t>
  </si>
  <si>
    <t>HONORARE NACH KOSTENTARIF</t>
  </si>
  <si>
    <t>Honorarberechnung SIA 108 (Pos. 2-10, 14-16, 18, 19, ant. 20)</t>
  </si>
  <si>
    <t>Honorarberechtigte Baukosten</t>
  </si>
  <si>
    <t>B =</t>
  </si>
  <si>
    <t>p =</t>
  </si>
  <si>
    <t>Schwierigkeitsgrad</t>
  </si>
  <si>
    <t>n =</t>
  </si>
  <si>
    <t>Honorarberechnung SIA 102 (Pos. 1, 11, 12, 13, 17, ant. 20)</t>
  </si>
  <si>
    <t>HONORARE NACH LEISTUNGSMODELL</t>
  </si>
  <si>
    <t>Honorarberechnung SIA 112 Technisches</t>
  </si>
  <si>
    <t>4.</t>
  </si>
  <si>
    <t>5.</t>
  </si>
  <si>
    <t>Honorarberechnung SIA 112 Bauliches</t>
  </si>
  <si>
    <t>Verwendet</t>
  </si>
  <si>
    <t>Elektrizität Wärmepumpen, HT</t>
  </si>
  <si>
    <t>Elektrizität Wärmepumpen, NT</t>
  </si>
  <si>
    <t>Wasserfassungsbau ARA</t>
  </si>
  <si>
    <t>Fundamente Rückkühler</t>
  </si>
  <si>
    <t>Thermische Sonnenkollektoren</t>
  </si>
  <si>
    <t>Kaminanlage / Abgasleitung 1</t>
  </si>
  <si>
    <t>Kaminanlage / Abgasleitung 2</t>
  </si>
  <si>
    <t>Stationäre Hebevorrichtungen</t>
  </si>
  <si>
    <t>Fluchteinrichtungen</t>
  </si>
  <si>
    <t>Zufahrt Schnitzelsilo</t>
  </si>
  <si>
    <t>Nettobarwert</t>
  </si>
  <si>
    <t>(zum Invest. Zeitpunkt)</t>
  </si>
  <si>
    <t>Verlauf der Energiepreise (Index, 100% = Ausgangsjahr)</t>
  </si>
  <si>
    <t>Gestehungskosten Wärme</t>
  </si>
  <si>
    <t>Gestehungskosten Kälte</t>
  </si>
  <si>
    <t>Wärme</t>
  </si>
  <si>
    <t>Kälte</t>
  </si>
  <si>
    <t>Verlauf der jährlich anfallenden Energiekosten, ohne Anteil Kosten Umwelt</t>
  </si>
  <si>
    <t>Programmvorschlag</t>
  </si>
  <si>
    <t>Manuelle Eingabe</t>
  </si>
  <si>
    <t>Berechnung der Gestehungskosten bei Vorgabe von ein oder zwei Gestehungskosten</t>
  </si>
  <si>
    <t>Selektor</t>
  </si>
  <si>
    <t>Rp./kWh</t>
  </si>
  <si>
    <t>Gestehungskosten Elektrizität</t>
  </si>
  <si>
    <t>Gestehungskosten</t>
  </si>
  <si>
    <t>Energie-kosten</t>
  </si>
  <si>
    <t>Erzeugung</t>
  </si>
  <si>
    <t>Elektrizität*</t>
  </si>
  <si>
    <t>Total Stromverbrauch</t>
  </si>
  <si>
    <t>Bilanz Elektrizität</t>
  </si>
  <si>
    <t>Berücksichtigung UW-Kosten</t>
  </si>
  <si>
    <t>(wählbar im Blatt "Projektdaten")</t>
  </si>
  <si>
    <t>*) Nur lokal erzeugte Elektrizität (netto)</t>
  </si>
  <si>
    <t>Standard</t>
  </si>
  <si>
    <t>Eigenleistungen ewz / AHB</t>
  </si>
  <si>
    <t>Total (Mittelwert)</t>
  </si>
  <si>
    <t>Z1 =</t>
  </si>
  <si>
    <t>Z2 =</t>
  </si>
  <si>
    <t>r =</t>
  </si>
  <si>
    <t>Grundfaktor für den Stundenaufwand, f(B,Z1,Z2)</t>
  </si>
  <si>
    <t>Teamfaktor</t>
  </si>
  <si>
    <t>i =</t>
  </si>
  <si>
    <t>Leistungsanteil in Prozenten</t>
  </si>
  <si>
    <t>q =</t>
  </si>
  <si>
    <t>Anpassungsfaktor an den konkreten Auftrag</t>
  </si>
  <si>
    <t>Koeffizient Z1</t>
  </si>
  <si>
    <t>Koeffizient Z2</t>
  </si>
  <si>
    <t>Faktor für Sonderleistungen</t>
  </si>
  <si>
    <t>Angebotener Stundensatz</t>
  </si>
  <si>
    <t>s =</t>
  </si>
  <si>
    <t>h =</t>
  </si>
  <si>
    <t>Berechntetes Honorar</t>
  </si>
  <si>
    <r>
      <t xml:space="preserve">UVG in % Bausumme </t>
    </r>
    <r>
      <rPr>
        <u/>
        <sz val="8"/>
        <rFont val="Arial"/>
        <family val="2"/>
      </rPr>
      <t>Technik</t>
    </r>
  </si>
  <si>
    <r>
      <t xml:space="preserve">UVG in % Bausumme </t>
    </r>
    <r>
      <rPr>
        <u/>
        <sz val="8"/>
        <rFont val="Arial"/>
        <family val="2"/>
      </rPr>
      <t>Bauliches</t>
    </r>
  </si>
  <si>
    <t>HLKKSE-Ingenieur nach sia 108</t>
  </si>
  <si>
    <t>Bauingenieur nach SIA 102</t>
  </si>
  <si>
    <t>Geologe, Akustiker, Fachingenieure</t>
  </si>
  <si>
    <t>Repro, Plot, Kopien, Spesen</t>
  </si>
  <si>
    <t>Wärmequellen für Absorptionskälte</t>
  </si>
  <si>
    <t>Wärmequellen für WP</t>
  </si>
  <si>
    <t>Abwärme</t>
  </si>
  <si>
    <t>Preis-steigerung (linear)</t>
  </si>
  <si>
    <t>Leistungs-preis 
(pro Jahr)</t>
  </si>
  <si>
    <t>Jahresarbeitszahl freie Kühlung</t>
  </si>
  <si>
    <t>HT</t>
  </si>
  <si>
    <t>Programmvorschlag Betrachtungsdauer:</t>
  </si>
  <si>
    <t>Netzbezug</t>
  </si>
  <si>
    <t>Verwendung als Nutzernergie</t>
  </si>
  <si>
    <t>Verwendet für Erzeugungsanlagen</t>
  </si>
  <si>
    <t>Eigenerzeugung</t>
  </si>
  <si>
    <t>Ins Netz rückgespiesen</t>
  </si>
  <si>
    <t>Total Stromverbrauch für Nutzenergie</t>
  </si>
  <si>
    <t>Total Stromverbrauch für Erzeugungsanlagen</t>
  </si>
  <si>
    <t>Total Eigenerzeugung</t>
  </si>
  <si>
    <t>Netto Eigenerzeugung (ohne Rückspeisung)</t>
  </si>
  <si>
    <t>Summe Netzbezug und Eigenerzeugung</t>
  </si>
  <si>
    <t>Total Netzbezug</t>
  </si>
  <si>
    <t>Netto Netzbezug und Eigenerz. (ohne Rückspeisung)</t>
  </si>
  <si>
    <t>Verwendung als Nutzenergie</t>
  </si>
  <si>
    <t>Quelle</t>
  </si>
  <si>
    <t>Bezeichnung</t>
  </si>
  <si>
    <t>Kanton</t>
  </si>
  <si>
    <t>Bund</t>
  </si>
  <si>
    <t>El.-Produkt Selektor:</t>
  </si>
  <si>
    <t>FW.-Produkt Selektor:</t>
  </si>
  <si>
    <t>1. Honorare pauschal</t>
  </si>
  <si>
    <t>22. Betriebsführung</t>
  </si>
  <si>
    <t>Betriebsführung in % der Investitionen ohne Honorare</t>
  </si>
  <si>
    <t>Entsorgung (Asche, Schlamm etc.)</t>
  </si>
  <si>
    <t>Versicherungen</t>
  </si>
  <si>
    <t>Weiteres</t>
  </si>
  <si>
    <t>Primärenergie nicht erneuerbar</t>
  </si>
  <si>
    <t>Rückspeisung &lt;= Erzeugung</t>
  </si>
  <si>
    <t>Förder-beiträge</t>
  </si>
  <si>
    <t>WKP 
(Sommer/Minder)</t>
  </si>
  <si>
    <t>2.0a</t>
  </si>
  <si>
    <t>Gemäss Detailkostenzusammenstellung (Blatt "DK_Var1")</t>
  </si>
  <si>
    <t>Zwei Möglichkeiten zur Erfassung:</t>
  </si>
  <si>
    <t>Entweder</t>
  </si>
  <si>
    <r>
      <t xml:space="preserve">Detaillierte Erfassung nach vorgegebener Struktur
</t>
    </r>
    <r>
      <rPr>
        <sz val="9"/>
        <rFont val="Symbol"/>
        <family val="1"/>
        <charset val="2"/>
      </rPr>
      <t>®</t>
    </r>
    <r>
      <rPr>
        <sz val="9"/>
        <rFont val="Tahoma"/>
        <family val="2"/>
      </rPr>
      <t xml:space="preserve"> Blatt "DK_Var1"</t>
    </r>
  </si>
  <si>
    <t>Oder</t>
  </si>
  <si>
    <t>Freie Eingabe auf diesen Zeilen</t>
  </si>
  <si>
    <t>(von Blatt "Grunddaten")</t>
  </si>
  <si>
    <r>
      <rPr>
        <sz val="9"/>
        <rFont val="Symbol"/>
        <family val="1"/>
        <charset val="2"/>
      </rPr>
      <t>¬</t>
    </r>
    <r>
      <rPr>
        <sz val="9"/>
        <rFont val="Tahoma"/>
        <family val="2"/>
      </rPr>
      <t xml:space="preserve">             Summen werden hierher übertragen</t>
    </r>
  </si>
  <si>
    <t>Gemäss Detailkostenzusammenstellung (Blatt "DK_Var2")</t>
  </si>
  <si>
    <r>
      <t xml:space="preserve">Detaillierte Erfassung nach vorgegebener Struktur
</t>
    </r>
    <r>
      <rPr>
        <sz val="9"/>
        <rFont val="Symbol"/>
        <family val="1"/>
        <charset val="2"/>
      </rPr>
      <t>®</t>
    </r>
    <r>
      <rPr>
        <sz val="9"/>
        <rFont val="Tahoma"/>
        <family val="2"/>
      </rPr>
      <t xml:space="preserve"> Blatt "DK_Var2"</t>
    </r>
  </si>
  <si>
    <t>Gemäss Detailkostenzusammenstellung (Blatt "DK_Var3")</t>
  </si>
  <si>
    <t>Gemäss Detailkostenzusammenstellung (Blatt "DK_Var4")</t>
  </si>
  <si>
    <t>Erdsonden/Grundwasserfassung</t>
  </si>
  <si>
    <r>
      <t>Gestehungskosten</t>
    </r>
    <r>
      <rPr>
        <sz val="10"/>
        <rFont val="Arial"/>
        <family val="2"/>
      </rPr>
      <t xml:space="preserve"> für Wärme, Kälte und Elektrizität.</t>
    </r>
  </si>
  <si>
    <t>DK_Var1 /..2 /..3 /..4</t>
  </si>
  <si>
    <t xml:space="preserve">Detailkosten pro Variante (alternativ zur summarischen Eingabe in den Blättern WR_Var…)
</t>
  </si>
  <si>
    <t>Freie Eingabe in Tabelle unten</t>
  </si>
  <si>
    <t>Erfassung in Blatt "DK_Var1"</t>
  </si>
  <si>
    <t>WKP (Minder)</t>
  </si>
  <si>
    <t>Erfassung in Blatt "DK_Var2"</t>
  </si>
  <si>
    <t>Erfassung in Blatt "DK_Var3"</t>
  </si>
  <si>
    <t>Erfassung in Blatt "DK_Var4"</t>
  </si>
  <si>
    <t>2.0c</t>
  </si>
  <si>
    <t>2.0d</t>
  </si>
  <si>
    <t>Zusätzlicher Energieträger "technische Umweltwärme", Anergienetz.
Unterhaltskostensteigerung linear in % der Kosten im Ausgangsjahr
Verschiedene Fehlerbehebungen</t>
  </si>
  <si>
    <t>Zwei Alternativen zur Eingabe von Investitions- und Unterhaltskosten: Zusätzliches Blatt für die detaillierte Erfassung (DK_Var…) oder summarische Erfassung im Blatt WR_Var…
Kosmetische Anpassungen</t>
  </si>
  <si>
    <t>- Zusätzliche Energieträger
- Zusätzliche Erzeugungsanlagen
- Netzrückspeisung
- Detailliertere Angaben zu Investitionen
- Lineare Steigerung der Energiepreise
- Anpassung der Methodik zur Berechnung der Annuität (mittlere Jährliche Kosten)
- Berechnung der Gestehungspreise Wärme, Kälte, Elektrizität
Detailierter Beschrieb der Änderungen im separaten Dokument.</t>
  </si>
  <si>
    <t>Leistungen Umweltwärme</t>
  </si>
  <si>
    <t>linear</t>
  </si>
  <si>
    <t>Anschlussleistung Fernwärme</t>
  </si>
  <si>
    <t>TOTAL</t>
  </si>
  <si>
    <t>Wahl:</t>
  </si>
  <si>
    <t>FW-Leistungspreis</t>
  </si>
  <si>
    <t>Brennstoff XY</t>
  </si>
  <si>
    <t>Max. Leistungsbedarf:</t>
  </si>
  <si>
    <t>degressiv</t>
  </si>
  <si>
    <t>Leistungspreisberechnung Fernwärme: Fehler korrigiert (Berücksichtigung Absorptionskälte) und Wahl lineare oder degressive Berechnung eingeführt.
Leistungspreisberechnung Elektrizität: Neu automatisch analog Fernwärme</t>
  </si>
  <si>
    <t>Gesamttotal</t>
  </si>
  <si>
    <t>Inkl. Leitungsverluste =</t>
  </si>
  <si>
    <t>verluste</t>
  </si>
  <si>
    <t>Leitungs-</t>
  </si>
  <si>
    <t>Brauch-warmwasser</t>
  </si>
  <si>
    <t>Elektrische Hilfsenergie</t>
  </si>
  <si>
    <t>2.0e</t>
  </si>
  <si>
    <t>- Zusammenfassung der Summen pro Investitionskategorie oben auf jedem Detailblatt DK_Var...
- Leitungsverluste in % der erzeugten Wärme differenziert für Raumheizung und BWW auf EV_Var...
- Elektrische Hilfsenergien Leistung und Jahresverbrauch auf EV_Var...
- Angabe Bedarfsdeckung auf EV_Var... nicht nur in % sondern auch mit der Über-/Unterdeckung absolut in kWh/a
- Kleinere Verbesserungen Formatierung</t>
  </si>
  <si>
    <t>2.0f</t>
  </si>
  <si>
    <t>- Ergänzung Kommentar Hilfsenergien auf Blatt Projektdaten
- Leitungsverluste für Kühlenergie hinzugefügt
- Vereinfachung Berechnung Leitungsverluste, basierend auf Nutzenergiebedarf</t>
  </si>
  <si>
    <t>2.0g</t>
  </si>
  <si>
    <t>Heizungsanschluss</t>
  </si>
  <si>
    <t>Umwelt-belastungspunkte</t>
  </si>
  <si>
    <t>Netzrückspeisung nicht erneuerbar</t>
  </si>
  <si>
    <t>Netzrückspeisung erneuerbar</t>
  </si>
  <si>
    <t>WKK</t>
  </si>
  <si>
    <t>Treibstoff</t>
  </si>
  <si>
    <t>PV</t>
  </si>
  <si>
    <t>Netzrückspeisung erneuerbar, HT</t>
  </si>
  <si>
    <t>Netzrückspeisung erneuerbar, NT</t>
  </si>
  <si>
    <t>Netzrückspeisung nicht erneuerbar, HT</t>
  </si>
  <si>
    <t>Netzrückspeisung nicht erneuerbar, NT</t>
  </si>
  <si>
    <t>Leistungspreis</t>
  </si>
  <si>
    <t xml:space="preserve">Förderbeiträge: </t>
  </si>
  <si>
    <t>Förderbeiträge berücksichtigen</t>
  </si>
  <si>
    <t>Förderbeiträge nicht berücksichtigen</t>
  </si>
  <si>
    <t>- Selektor "Stadt Zürich" für Produktewahl Elektrizität und Fernwärme eingebaut
- Berechnung "Energiepreis im Jahr …" gelöscht
- Zuschlag für Umweltkosten (KEPZ): Neue Werte (KBOB); für Stromprodukte Stadt Zürich = 0
- Im Blatt Grunddaten zwei zusätzliche Zeilen für lokale Stromprodukte eingefügt
- Wirtschaftlichkeitsdaten der Energieträger aktualisiert
- Netzrückspeisung: Unterschiedliche Tarife für erneuerbare und nicht erneuerbare Energieträger
- Netzrückspeisung wird bei Berechnung der Ökodaten (Erstellung und Betrieb) abgezogen
- Semantik angepasst: Selektor "Förderbeiträge" wirkt sich nicht nur auf die Gestehungskosten aus</t>
  </si>
  <si>
    <t>Allfällige Netzrückspeisung aus Eigenstromerzeugung</t>
  </si>
  <si>
    <r>
      <t xml:space="preserve">Allfällige Förderbeiträge </t>
    </r>
    <r>
      <rPr>
        <vertAlign val="superscript"/>
        <sz val="10"/>
        <rFont val="Arial"/>
        <family val="2"/>
      </rPr>
      <t>1)</t>
    </r>
  </si>
  <si>
    <t>Zusammenfassung</t>
  </si>
  <si>
    <t>[%]</t>
  </si>
  <si>
    <r>
      <rPr>
        <b/>
        <sz val="10"/>
        <rFont val="Arial"/>
        <family val="2"/>
      </rPr>
      <t>Investitionskosten und allfällige Förderbeiträge</t>
    </r>
    <r>
      <rPr>
        <sz val="10"/>
        <rFont val="Arial"/>
        <family val="2"/>
      </rPr>
      <t>. Ob letztere berücksichtigt werden oder nicht, kann im Tool eingestellt werden.</t>
    </r>
  </si>
  <si>
    <t>[UBP/kWh]</t>
  </si>
  <si>
    <r>
      <t>Primärenergiebedarf</t>
    </r>
    <r>
      <rPr>
        <sz val="10"/>
        <rFont val="Arial"/>
        <family val="2"/>
      </rPr>
      <t>, aufgeteilt in Graue Energie für die Erstellung</t>
    </r>
    <r>
      <rPr>
        <sz val="10"/>
        <rFont val="Arial"/>
        <family val="2"/>
      </rPr>
      <t xml:space="preserve"> sowie Betriebsenergie</t>
    </r>
    <r>
      <rPr>
        <sz val="10"/>
        <rFont val="Arial"/>
        <family val="2"/>
      </rPr>
      <t xml:space="preserve"> nicht erneuerbar, erneuerbar und erneuerbar am Standort</t>
    </r>
  </si>
  <si>
    <r>
      <t>Treibhausgasemissionen (CO</t>
    </r>
    <r>
      <rPr>
        <b/>
        <vertAlign val="subscript"/>
        <sz val="10"/>
        <rFont val="Arial"/>
        <family val="2"/>
      </rPr>
      <t>2</t>
    </r>
    <r>
      <rPr>
        <b/>
        <sz val="10"/>
        <rFont val="Arial"/>
        <family val="2"/>
      </rPr>
      <t>-Äquivalente)</t>
    </r>
    <r>
      <rPr>
        <sz val="10"/>
        <rFont val="Arial"/>
        <family val="2"/>
      </rPr>
      <t>, aufgeteilt in Erstellung</t>
    </r>
    <r>
      <rPr>
        <sz val="10"/>
        <rFont val="Arial"/>
        <family val="2"/>
      </rPr>
      <t xml:space="preserve"> und Betrieb</t>
    </r>
  </si>
  <si>
    <t>Bei Bedarf können eigene Daten für regionale, leitungs-gebundene Energieträger eingegeben werden</t>
  </si>
  <si>
    <t>Qualitative Vergleichskriterien einfügen</t>
  </si>
  <si>
    <t>[kWh/kWh]</t>
  </si>
  <si>
    <t>Investitions-ausgaben</t>
  </si>
  <si>
    <t>[CHF]</t>
  </si>
  <si>
    <t>Nutzungs-dauer</t>
  </si>
  <si>
    <t>Annui-täts-faktor</t>
  </si>
  <si>
    <t>[CHF/a]</t>
  </si>
  <si>
    <r>
      <t>Betrag</t>
    </r>
    <r>
      <rPr>
        <sz val="8"/>
        <rFont val="Arial"/>
        <family val="2"/>
      </rPr>
      <t xml:space="preserve"> [CHF]</t>
    </r>
  </si>
  <si>
    <t>[Rp./kWh]</t>
  </si>
  <si>
    <t>Heutige jährliche Energiekosten</t>
  </si>
  <si>
    <t xml:space="preserve"> über die Betr.dauer</t>
  </si>
  <si>
    <t>Instand-haltungs-kosten</t>
  </si>
  <si>
    <t>UBP / a</t>
  </si>
  <si>
    <t>Nach Tarif "nicht erneuerbar"</t>
  </si>
  <si>
    <t>Nach Tarif "erneuerbar"</t>
  </si>
  <si>
    <t>Investitions-kosten</t>
  </si>
  <si>
    <t>2.0β</t>
  </si>
  <si>
    <t>Annuitäts-faktor</t>
  </si>
  <si>
    <t>pauschal</t>
  </si>
  <si>
    <t>% Inv.</t>
  </si>
  <si>
    <r>
      <t>Gestehungskosten Nutzenergie</t>
    </r>
    <r>
      <rPr>
        <sz val="8"/>
        <rFont val="Arial"/>
        <family val="2"/>
      </rPr>
      <t xml:space="preserve"> [Rp./kWh]</t>
    </r>
  </si>
  <si>
    <t>Verlauf der jährlichen Instandhaltungskosten</t>
  </si>
  <si>
    <t>Verlauf der jährlichen Intandhaltungskosten</t>
  </si>
  <si>
    <t>2.0</t>
  </si>
  <si>
    <t>Neu in Version 2.0</t>
  </si>
  <si>
    <t>i</t>
  </si>
  <si>
    <t>Produktewahl Elektrizität und Fernwärme: Zusätzlicher Selektor "Stadt Zürich" zur Vorgabe der verfügbaren Produkte</t>
  </si>
  <si>
    <t>Zusätzliche Einstellungen für die Wirtschaftlichkeitsrechnung:</t>
  </si>
  <si>
    <t>- Förderbeiträge berücksichtigen oder nicht</t>
  </si>
  <si>
    <t>Die Energiepreissteigerung wird neu linear berechnet</t>
  </si>
  <si>
    <t>Tarife für Netzrückspeisung (siehe EV_Var…)</t>
  </si>
  <si>
    <t>Elektrizitätstarife aufgeteilt in Energie, Netznutzung und Abgaben</t>
  </si>
  <si>
    <t>Zusätzliche, frei definierbare Energieträger: Bis zu 3 lokale Stromprodukte, ein Brennstoff, ein lokales Fernwärmeprodukt, ein  Anergienetz</t>
  </si>
  <si>
    <t>Beim Leistungspreis der Fernwärme kann neu zwischen linearer und degressiver Berechnungsmethode gewählt werden</t>
  </si>
  <si>
    <t>Aktualisierte Energiepreise</t>
  </si>
  <si>
    <t>Aktualisierte Umweltfaktoren (KBOB Empfehlung 2009/1:2014)</t>
  </si>
  <si>
    <t>Zusätzliche Wärme-/Kälteerzeuger: Gasmotorwärmepumpe, Absorptionskältemaschine</t>
  </si>
  <si>
    <t>Vorgaben für Jahresnutzungsgrade und -arbeitszahlen sowie Erträge von Solaranlagen (siehe EV_Var…)</t>
  </si>
  <si>
    <t>Vorgaben für Jahresutzungsgrade und -arbeitszahlen sowie Erträge von Solaranlagen (aus Blatt Grunddaten), welche überschrieben werden können</t>
  </si>
  <si>
    <t>Möglichkeit zur Berücksichtigung der Leitungsverluste (in % der Nutzwärme) zum Vergleich zentraler und dezentraler Arealversorgungen</t>
  </si>
  <si>
    <t>Möglichkeit zur Erfassung eines variantenspezifischen elektrischen Hilfsenergiebedarfs</t>
  </si>
  <si>
    <t>Für die freie Kühlung kann neu ebenfalls eine Jahresarbeitszahl eingegeben werden (elektro-thermischer Verstärkungsfaktor)</t>
  </si>
  <si>
    <t>Eingabe des max. Leistungsbedarfs für die Elektrizität ab Netz zwecks  Berechnung der Leistungskosten (siehe WR_Var...)</t>
  </si>
  <si>
    <t>Bei Eigenstromproduktion kann die ins Netz zurückgespeiste Energiemenge angegeben werden (siehe Berechnungen)</t>
  </si>
  <si>
    <t>Die Leistungskosten für die Elektrizität werden neu automatisch berechnet. Hierzu muss im Blatt EV_Var… der maximale Leistungsbedarf eingegeben werden.</t>
  </si>
  <si>
    <t>Berechnung der Gestehungskosten für die erzeugte Nutzenergie. Bei mehr als einer Energieart (z.B. Wärme und Kälte) wird ein Durchschnitt angegeben, der überschrieben werden kann. In diesem Fall passen sich die Kosten für die andere(n) Energieart(en) automatisch an.</t>
  </si>
  <si>
    <t xml:space="preserve">Wahlmöglichkeit für summarische Aufstellung der Anlagen (wie bisher) oder detaillierte Erfassung (siehe DK_Var…) </t>
  </si>
  <si>
    <t>Berechnung der Honorare nach SIA-Honorarordnung</t>
  </si>
  <si>
    <t>Erfassung der Kosten für die Betriebsführung</t>
  </si>
  <si>
    <t>Diese Blätter sind neu. Alternativ zur summarischen Aufstellung auf den Blättern WR_Var… können hier die Anlagen detailliert erfasst werden.</t>
  </si>
  <si>
    <t>Vordefinierte Struktur (mit Ergänzungszeilen) für die Erfassung aller für die Erstellung der Anlagen notwendigen Leistungen</t>
  </si>
  <si>
    <t>Darstellung der Gestehungskosten (siehe WR_Var…)</t>
  </si>
  <si>
    <t>Die Förderbeiträge werden nicht mehr hier eingegeben, sondern auf den Blättern WR_Var...</t>
  </si>
  <si>
    <t>Umweltbelastung (UBP)</t>
  </si>
  <si>
    <t>Die ins Netz zurückgespeiste Elektrizität (siehe EV_Var…) wird zum definierten Tarif (siehe Grunddaten) bei den Energiekosten in Abzug gebracht.</t>
  </si>
  <si>
    <t>- Primärenergie nicht erneuerbar</t>
  </si>
  <si>
    <t>- Gestehungskosten für Wärme, Kälte und Elektrizität</t>
  </si>
  <si>
    <t>Die Gestehungskosten werden in einer zusätzlichen Säulengrafik dargestellt</t>
  </si>
  <si>
    <t>Auf der Übersichtsseite werden neu aufgeführt:</t>
  </si>
  <si>
    <t>Für die ins Netz zurückgespeiste Elektrizität (siehe EV_Var…) werden nach Massgabe der Produktionsart (PV oder WKK) und deren Anteil an der Netzrückspeisung Abzüge bei der Umweltbelastung (Primärenergie, Treibhausgasemmissionen, Umweltbelastungspunkte) eingerechnet.</t>
  </si>
  <si>
    <r>
      <t xml:space="preserve">- Formelfehler bei der Berechnung des Endenergiebedarfs Ab-/Umweltwärme korrigiert
- Formelfehler bei der Berechnung der Annuitätsfaktoren auf den Blättern DK_Var2..4 korrigiert
- Berücksichtigung Bedarfszahlen bei der Berechnung der Gestehungskosten entfernt
- Auf dem Blatt Ergebnisse Gestehungskosten an den Schluss gestellt
- Ökobilanzdaten der Energieträger gemäss neuer Version KBOB2009/1:2014
- Heizölpreis korrigiert (Berechnungsfehler)
- Auf den Blättern WR_Var... Pauschale für Instandhaltungskosten wieder eingeführt
- Diverse redaktionelle Änderungen und Formatierungsanpassungen
</t>
    </r>
    <r>
      <rPr>
        <i/>
        <sz val="10"/>
        <rFont val="Arial"/>
        <family val="2"/>
      </rPr>
      <t>- Blätter DK_Var...: Falsche Verknüpfung bei den honorarberechtigten Baukosten SIA 108 korrigiert</t>
    </r>
  </si>
  <si>
    <t>Wärmeverbund XY</t>
  </si>
  <si>
    <r>
      <t>Jährliche Kosten</t>
    </r>
    <r>
      <rPr>
        <sz val="10"/>
        <rFont val="Arial"/>
        <family val="2"/>
      </rPr>
      <t>, aufgeteilt in Finanzierungs-, Instandhaltungs- und Energiekosten sowie kalkulatorische Energiepreiszuschläge (KEPZ), welche die externen Umweltkosten abbilden. Ob letztere berücksichtigt werden oder nicht, kann im Tool eingestellt werden.</t>
    </r>
  </si>
  <si>
    <t>Jährliche Kosten</t>
  </si>
  <si>
    <t>Überschreibbare Vorgaben für Nutzungsdauer und Instandhaltungskosten (in % der Investitionskosten)</t>
  </si>
  <si>
    <t>Wirtschaftlichkeitsrechnung pro Variante
Berechnung der jährlichen Finanzierungs-, Instandhaltungs- und Energiekosten sowie der Gestehungspreise</t>
  </si>
  <si>
    <r>
      <rPr>
        <vertAlign val="superscript"/>
        <sz val="8"/>
        <rFont val="Arial"/>
        <family val="2"/>
      </rPr>
      <t>1)</t>
    </r>
    <r>
      <rPr>
        <sz val="10"/>
        <rFont val="Arial"/>
        <family val="2"/>
      </rPr>
      <t xml:space="preserve"> Ob die hier eingegebenen Förderbeiträge für die Berechnung der Finanzierungskosten und</t>
    </r>
  </si>
  <si>
    <t>Die Förderbeiträge werden neu hier eingegeben. Ob diese bei der Berechnung der Finanzierungskosten berücksichtigt werden oder nicht, kann auf dem Blatt Projekdaten gewählt werden.</t>
  </si>
  <si>
    <t>Finanzierungs- und Instandhaltungskosten</t>
  </si>
  <si>
    <t>Finanzie-rungskosten</t>
  </si>
  <si>
    <r>
      <t>Instandhaltungskosten</t>
    </r>
    <r>
      <rPr>
        <sz val="8"/>
        <rFont val="Arial"/>
        <family val="2"/>
      </rPr>
      <t xml:space="preserve">
(inkl. Überwachung)</t>
    </r>
  </si>
  <si>
    <t>Finanzierungskosten mit Förderbeiträgen</t>
  </si>
  <si>
    <t>ohne externe Kosten</t>
  </si>
  <si>
    <t>externe Kosten</t>
  </si>
  <si>
    <t>Finanzierungskosten</t>
  </si>
  <si>
    <t>Mittlere jährl. Kosten</t>
  </si>
  <si>
    <t>Finanzie-rungs-kosten</t>
  </si>
  <si>
    <t>Externe Kosten</t>
  </si>
  <si>
    <t>Approximative Kosten für Über-wachung und Instandhaltung</t>
  </si>
  <si>
    <t>Mehr Zeilen für die Erfassung der Anlagen und Eingabe der Überwachungs- und Instandhaltungskosten jeweils auf der selben Zeile.</t>
  </si>
  <si>
    <r>
      <t>Instandhaltungs-kosten</t>
    </r>
    <r>
      <rPr>
        <sz val="8"/>
        <rFont val="Arial"/>
        <family val="2"/>
      </rPr>
      <t xml:space="preserve"> (inkl. Überw.)</t>
    </r>
  </si>
  <si>
    <r>
      <t>Instandhaltungskosten</t>
    </r>
    <r>
      <rPr>
        <sz val="8"/>
        <rFont val="Arial"/>
        <family val="2"/>
      </rPr>
      <t xml:space="preserve"> (inkl. Überwachung)</t>
    </r>
  </si>
  <si>
    <t>- Externe Kosten berücksichtigen oder nicht</t>
  </si>
  <si>
    <t>Berücksichtigung der externen Kosten (KEPZ)</t>
  </si>
  <si>
    <t xml:space="preserve">Externe Kosten: </t>
  </si>
  <si>
    <t>Externe Kosten berücksichtigen</t>
  </si>
  <si>
    <t>Externe Kosten nicht berücksichtigen</t>
  </si>
  <si>
    <t>Total externe Kosten (KEPZ)</t>
  </si>
  <si>
    <t>Berücksichtigung externe Kosten</t>
  </si>
  <si>
    <t>Energiepreise, Kostensteige-rungsraten und Kalkulations-zinssatz können bei Bedarf überschrieben werden</t>
  </si>
  <si>
    <t>Kalkulationszinssatz, real:</t>
  </si>
  <si>
    <t>Energiepreissteigerung (linear)</t>
  </si>
  <si>
    <r>
      <t>Wirtschaftlichkeit</t>
    </r>
    <r>
      <rPr>
        <sz val="9"/>
        <rFont val="Arial"/>
        <family val="2"/>
      </rPr>
      <t xml:space="preserve"> (alle Preise inkl. MWSt. und CO</t>
    </r>
    <r>
      <rPr>
        <vertAlign val="subscript"/>
        <sz val="9"/>
        <rFont val="Arial"/>
        <family val="2"/>
      </rPr>
      <t>2</t>
    </r>
    <r>
      <rPr>
        <sz val="9"/>
        <rFont val="Arial"/>
        <family val="2"/>
      </rPr>
      <t>-Abgabe)</t>
    </r>
  </si>
  <si>
    <t>Preise</t>
  </si>
  <si>
    <t>Grunddaten Wirtschaftlichkeit und Ökologie</t>
  </si>
  <si>
    <t>Diverse Vorgaben</t>
  </si>
  <si>
    <r>
      <t>Umweltdaten</t>
    </r>
    <r>
      <rPr>
        <b/>
        <sz val="8"/>
        <rFont val="Arial Narrow"/>
        <family val="2"/>
      </rPr>
      <t xml:space="preserve"> (Primärenergiefaktoren, Treibhausgasemissionen, Umweltbelastungspunkte)</t>
    </r>
  </si>
  <si>
    <t>Neu in Version 2.1</t>
  </si>
  <si>
    <t>Die Energiepreise wurden aktualisiert</t>
  </si>
  <si>
    <t>Die Umweltdaten wurden überprüft und teilweise angepasst</t>
  </si>
  <si>
    <t>Die Darstellung wurde teilweise überarbeitet</t>
  </si>
  <si>
    <t>Kälteverbund XY</t>
  </si>
  <si>
    <t>Neuer Abwassertank (Abwasser-WP)</t>
  </si>
  <si>
    <t>Zusätzliche Pfade für Direktnutzung von Wärme bzw. Kälte aus einem Wärme- bzw. Kälteverbund. Damit kann z.B. eine Contracting-Lösung mit einer konventionell betriebenen Anlage verglichen werden.</t>
  </si>
  <si>
    <t>Zusätzlicher Energieträger: Kälteverbund (siehe unten)</t>
  </si>
  <si>
    <t>Zusätzlicher Energieträger: Kälteverbund (siehe oben)</t>
  </si>
  <si>
    <t>- Direkte Nutzung der Wärme aus einem Wärmeverbund ergänzt
- Anschluss an einen Kälteverbund ergänzt
- Fehlende Berücksichtigung der Anergienutzung bei der MINERGIE-Berechnung korrigiert
- Fehler bei der MINERGIE-Berechnung der Fernwärme für die Varianten 2 bis 4 korrigiert
- Grunddaten überprüft und angepasst sowie Darstellung auf Blatt Grunddaten überarbeitet</t>
  </si>
  <si>
    <t>2.1</t>
  </si>
  <si>
    <r>
      <t>Umweltbelastungspunkte (UBP)</t>
    </r>
    <r>
      <rPr>
        <sz val="10"/>
        <rFont val="Arial"/>
        <family val="2"/>
      </rPr>
      <t>, aufgeteilt in Erstellung</t>
    </r>
    <r>
      <rPr>
        <sz val="10"/>
        <rFont val="Arial"/>
        <family val="2"/>
      </rPr>
      <t xml:space="preserve"> und Betrieb</t>
    </r>
  </si>
  <si>
    <t>Fernwärme XY</t>
  </si>
  <si>
    <t>Versickerungsgalerie/-brunnen</t>
  </si>
  <si>
    <t>Schnitzel-/Pelletsilo</t>
  </si>
  <si>
    <t>Schnitzel-/pelletsförderung</t>
  </si>
  <si>
    <t>Hydr. Einbindung Wärmeerzeugung</t>
  </si>
  <si>
    <t>Hydr. Einbindung Kälteerzeugung</t>
  </si>
  <si>
    <t>Gasmotor-Wärmepumpe</t>
  </si>
  <si>
    <t>Absorbtionskälteanlage</t>
  </si>
  <si>
    <t>Kältegruppen</t>
  </si>
  <si>
    <t>KVS-WRG Lüftung</t>
  </si>
  <si>
    <t>Lüftungsgeräte / Monobloc</t>
  </si>
  <si>
    <t>SIA, 2015</t>
  </si>
  <si>
    <t>Neu in Version 2.2</t>
  </si>
  <si>
    <t>Die Vorgaben für die Nutzungsdauern und die Instandhaltungs-kosten wurden überprüft und teilweise angepasst</t>
  </si>
  <si>
    <t>Die Positionen in der Gruppe "4. Wärme- / Kälteerzeugung" wurden der Struktur der Blätter EV_Var… angepasst</t>
  </si>
  <si>
    <t>2.2</t>
  </si>
  <si>
    <t>Energiepreis-zuschlag (KEPZ)</t>
  </si>
  <si>
    <t>Arbeitspreis inkl. Zuschlag</t>
  </si>
  <si>
    <t>Preisanteil Netznutzung</t>
  </si>
  <si>
    <t>Auswahlliste Biogas</t>
  </si>
  <si>
    <t>Bei Biogas wird neu zwischen "Durchschnitt CH" und "Energie
360° (naturemade star)" unterschieden</t>
  </si>
  <si>
    <t>Es wurde eine zusätzliche Produktewahl für Biogas hinzugefügt</t>
  </si>
  <si>
    <t>Heizöl, Erdgas, Biogas</t>
  </si>
  <si>
    <t>Holz</t>
  </si>
  <si>
    <r>
      <t xml:space="preserve">- Blatt Projektdaten: Auswahl Biogas-Produkt eingefügt
- Blatt Grunddaten: Grunddaten überprüft und angepasst, Biogas - Energie 360° eingefügt
- Blätter EV_Var..: Fehlerhinweis (rote Schrift) bei fehlender Angabe Leistungsbedarf Elektrizität
- Blätter DK_Var..: Vorgaben Nutzungsdauern und Instandhaltungskosten überprüft und angepasst
- Blätter DK_Var3&amp;4: Falsche Verknüpfung der Variantenbezeichnung korrigiert
</t>
    </r>
    <r>
      <rPr>
        <i/>
        <sz val="10"/>
        <rFont val="Arial"/>
        <family val="2"/>
      </rPr>
      <t>- Fehler bei Grenzwertberechnung Minergie Neubau und Minergie Umbau korrigiert
- Falsche Minergie-Gewichtung für Biogas korrigiert (1.0 statt 0.7)</t>
    </r>
  </si>
  <si>
    <t>Informationen zur Anwendung</t>
  </si>
  <si>
    <t>Die Basisdaten wie Primärener-giefaktoren, Grenzwerte, etc. werden bei Bedarf durch den Herausgeber angepasst.</t>
  </si>
  <si>
    <t>Ausserdem ist dem Auftraggeber jeweils eine elektronische Version im Originalformat (MS Excel) abzugeben.</t>
  </si>
  <si>
    <t>Auswahlliste Elektriziät</t>
  </si>
  <si>
    <t xml:space="preserve"> Wirtschaftlichkeitsrechnung</t>
  </si>
  <si>
    <t>Auswahlliste Externe Kosten</t>
  </si>
  <si>
    <t>Auswahlliste Förderbeiträge</t>
  </si>
  <si>
    <t xml:space="preserve">Kalkulationszinssatz (real): </t>
  </si>
  <si>
    <t xml:space="preserve">Instandhaltungskostensteigerung (real): </t>
  </si>
  <si>
    <t>Verbundwärme/-kälte</t>
  </si>
  <si>
    <t>Verbundwärme/
-kälte</t>
  </si>
  <si>
    <t>Quellenangaben</t>
  </si>
  <si>
    <t>(wählbar im Blatt "Grunddaten")</t>
  </si>
  <si>
    <t>Stadt Zürich - Verwaltungsmix</t>
  </si>
  <si>
    <t>Auswahlliste Fernwärme</t>
  </si>
  <si>
    <t>Biogas-Produkt Selektor:</t>
  </si>
  <si>
    <r>
      <t>m</t>
    </r>
    <r>
      <rPr>
        <vertAlign val="superscript"/>
        <sz val="10"/>
        <color theme="0" tint="-0.249977111117893"/>
        <rFont val="Arial"/>
        <family val="2"/>
      </rPr>
      <t>3</t>
    </r>
  </si>
  <si>
    <r>
      <t>m</t>
    </r>
    <r>
      <rPr>
        <vertAlign val="superscript"/>
        <sz val="10"/>
        <color theme="0" tint="-0.249977111117893"/>
        <rFont val="Arial"/>
        <family val="2"/>
      </rPr>
      <t>2</t>
    </r>
  </si>
  <si>
    <r>
      <t>m</t>
    </r>
    <r>
      <rPr>
        <vertAlign val="superscript"/>
        <sz val="10"/>
        <color theme="0" tint="-0.24994659260841701"/>
        <rFont val="Arial"/>
        <family val="2"/>
      </rPr>
      <t>3</t>
    </r>
  </si>
  <si>
    <r>
      <t>m</t>
    </r>
    <r>
      <rPr>
        <vertAlign val="superscript"/>
        <sz val="10"/>
        <color theme="0" tint="-0.24994659260841701"/>
        <rFont val="Arial"/>
        <family val="2"/>
      </rPr>
      <t>2</t>
    </r>
  </si>
  <si>
    <t>Wirtschaftlichkeitsrechnung</t>
  </si>
  <si>
    <t>Detailkosten zur Wirtschaftlichkeitsrechnung</t>
  </si>
  <si>
    <t>Resultate und Berechnungen</t>
  </si>
  <si>
    <t>Gemeinde</t>
  </si>
  <si>
    <t>Mittlere jährliche Kosten</t>
  </si>
  <si>
    <t>Betrachtungsdauer</t>
  </si>
  <si>
    <t>Betrachtungs-</t>
  </si>
  <si>
    <t>Instandhaltungskosten</t>
  </si>
  <si>
    <t>Jahre</t>
  </si>
  <si>
    <t>Finanzierungskosten *</t>
  </si>
  <si>
    <t>Gestehungskosten *</t>
  </si>
  <si>
    <t>Energiequelle</t>
  </si>
  <si>
    <t>Energienutzung</t>
  </si>
  <si>
    <t>Jährliche Kosten *</t>
  </si>
  <si>
    <t>* Mittelwert über Betrach-</t>
  </si>
  <si>
    <t>Mittelwert über</t>
  </si>
  <si>
    <t>Das vorliegende Werkzeug dient zur Erstellung eines Variantenvergleichs zwischen ver-schiedenen möglichen Energieversorgungssystemen eines Gebäudes oder Areals. Der Variantenvergleich wird in der Vorstudien- oder zu Beginn der Vorprojektphase erstellt und dient als Grundlage für den Systementscheid.
Es können bis zu vier Systemvarianten miteinander verglichen und dokumentiert werden. Deren Festlegung ist mit dem Auftraggeber abzusprechen.</t>
  </si>
  <si>
    <t>Produktewahl Elektrizität (Strommix), Fernwärme und Biogas</t>
  </si>
  <si>
    <t>Berücksichtigung von Förderbeiträgen</t>
  </si>
  <si>
    <t xml:space="preserve">Sämtliche Grunddaten für die Berechnung der wirtschaftlichen und ökologischen Vergleichs-zahlen mit Quellenangaben
</t>
  </si>
  <si>
    <t>der Gestehungspreise berücksichtigt werden oder nicht, kann mit einem Selektor auf dem Blatt "Grunddaten" eingestellt werden.</t>
  </si>
  <si>
    <t>Berechnung von Zwischenergebnissen sowie aller numerischen Daten, welche auf dem Blatt "Ergebnisse" dargestellt werden.</t>
  </si>
  <si>
    <t>Neu in Version 3.0</t>
  </si>
  <si>
    <t>Die Eingaben betreffend Berücksichtigung Förderbeiträge und externe Kosten wurden vom das Blatt Projektdaten hierher verschoben.</t>
  </si>
  <si>
    <t>Die Eingaben betreffend Berücksichtigung Förderbeiträge und externe Kosten wurden auf das Blatt Grunddaten verschoben, da es sich nicht um projektspezifische Vorgaben handelt.</t>
  </si>
  <si>
    <t>Das Ampelsystem auf der Übersichtsseite basiert neu nicht mehr auf der Differenz zwischen grösster und kleinster Zahl sondern auf der Abweichung vom Minimum.</t>
  </si>
  <si>
    <t>Dieses Blatt entfällt. Alle Ergebnisse der Wirtschaftlichkeitsrech-nung sind neu auf dem Blatt Berechungen enthalten.</t>
  </si>
  <si>
    <t>Strombedarf Lüftung + Vereisungsschutz</t>
  </si>
  <si>
    <r>
      <t>Q</t>
    </r>
    <r>
      <rPr>
        <vertAlign val="subscript"/>
        <sz val="10"/>
        <rFont val="Arial"/>
        <family val="2"/>
      </rPr>
      <t>e,L</t>
    </r>
  </si>
  <si>
    <t>Strombedarf Klima und Befeuchtung</t>
  </si>
  <si>
    <r>
      <t>Q</t>
    </r>
    <r>
      <rPr>
        <vertAlign val="subscript"/>
        <sz val="10"/>
        <rFont val="Arial"/>
        <family val="2"/>
      </rPr>
      <t>e,K</t>
    </r>
  </si>
  <si>
    <t>Strombedarf Wärme und Kälteförderung</t>
  </si>
  <si>
    <r>
      <t>Q</t>
    </r>
    <r>
      <rPr>
        <vertAlign val="subscript"/>
        <sz val="10"/>
        <rFont val="Arial"/>
        <family val="2"/>
      </rPr>
      <t>e,B</t>
    </r>
  </si>
  <si>
    <r>
      <t>Eingaben für Berechnung Grenzwert E</t>
    </r>
    <r>
      <rPr>
        <b/>
        <vertAlign val="subscript"/>
        <sz val="10"/>
        <rFont val="Arial"/>
        <family val="2"/>
      </rPr>
      <t>hlwk,li</t>
    </r>
  </si>
  <si>
    <r>
      <t>Eingaben für Berechnung E</t>
    </r>
    <r>
      <rPr>
        <b/>
        <vertAlign val="subscript"/>
        <sz val="10"/>
        <rFont val="Arial Narrow"/>
        <family val="2"/>
      </rPr>
      <t>hlwk</t>
    </r>
    <r>
      <rPr>
        <b/>
        <sz val="10"/>
        <rFont val="Arial Narrow"/>
        <family val="2"/>
      </rPr>
      <t xml:space="preserve"> nach MuKEn 2014 und Minergie</t>
    </r>
  </si>
  <si>
    <t>Neubau (MuKEn 2014, Minergie)</t>
  </si>
  <si>
    <t>Erneuerung (Minergie)</t>
  </si>
  <si>
    <t xml:space="preserve">Grenzwert für </t>
  </si>
  <si>
    <r>
      <t>Auswahlliste Grenzwert E</t>
    </r>
    <r>
      <rPr>
        <vertAlign val="subscript"/>
        <sz val="10"/>
        <color theme="0" tint="-0.249977111117893"/>
        <rFont val="Arial"/>
        <family val="2"/>
      </rPr>
      <t>hlwk,li</t>
    </r>
  </si>
  <si>
    <t>Strombedarf für Beleuchtung, Geräte, ...</t>
  </si>
  <si>
    <r>
      <t>Grenzwerte E</t>
    </r>
    <r>
      <rPr>
        <b/>
        <vertAlign val="subscript"/>
        <sz val="10"/>
        <rFont val="Arial"/>
        <family val="2"/>
      </rPr>
      <t>hlwk,li</t>
    </r>
  </si>
  <si>
    <t>www.minergie.ch/de/zertifizieren/minergie</t>
  </si>
  <si>
    <t>Nationale Gewichtungsfaktoren</t>
  </si>
  <si>
    <r>
      <t>Energiebedarf E</t>
    </r>
    <r>
      <rPr>
        <b/>
        <vertAlign val="subscript"/>
        <sz val="10"/>
        <rFont val="Arial Narrow"/>
        <family val="2"/>
      </rPr>
      <t>hlwk</t>
    </r>
    <r>
      <rPr>
        <b/>
        <sz val="10"/>
        <rFont val="Arial Narrow"/>
        <family val="2"/>
      </rPr>
      <t xml:space="preserve"> (MuKEn 2014, Minergie)</t>
    </r>
  </si>
  <si>
    <r>
      <t>Energiebedarf E</t>
    </r>
    <r>
      <rPr>
        <b/>
        <vertAlign val="subscript"/>
        <sz val="12"/>
        <rFont val="Arial Narrow"/>
        <family val="2"/>
      </rPr>
      <t>hlwk</t>
    </r>
  </si>
  <si>
    <t>Anpassung an Minergie 2017: Die Resultate der (unveränderten)  Berechnung gelten neu nicht mehr als Minergie-Kennzahl sondern als Zusatzanforderung an den gewichteten Energiebedarf für Hei-zung, Warmwasser, Lüftung und Klimatisierung. Bei Neubauten entspricht dies gleichzeitig der Anforderung nach MuKEn 2014.</t>
  </si>
  <si>
    <t>Stadt Zürich</t>
  </si>
  <si>
    <r>
      <t>Energiebedarf E</t>
    </r>
    <r>
      <rPr>
        <vertAlign val="subscript"/>
        <sz val="10"/>
        <rFont val="Arial Narrow"/>
        <family val="2"/>
      </rPr>
      <t>hwlk</t>
    </r>
    <r>
      <rPr>
        <sz val="10"/>
        <rFont val="Arial Narrow"/>
        <family val="2"/>
      </rPr>
      <t xml:space="preserve"> (Minergie, MuKEn)</t>
    </r>
  </si>
  <si>
    <t xml:space="preserve">Objekt </t>
  </si>
  <si>
    <t xml:space="preserve">Bauvorhaben </t>
  </si>
  <si>
    <t xml:space="preserve">Version </t>
  </si>
  <si>
    <t xml:space="preserve">Firma </t>
  </si>
  <si>
    <t xml:space="preserve">Datum </t>
  </si>
  <si>
    <t xml:space="preserve">Name </t>
  </si>
  <si>
    <t>Raumheizung (inkl. Lüftung)</t>
  </si>
  <si>
    <t>Brauchwarmwasser (inkl. Speicher- und Verteilverluste)</t>
  </si>
  <si>
    <t>Elektrizitätsverbraucher</t>
  </si>
  <si>
    <t xml:space="preserve">Elektrizität </t>
  </si>
  <si>
    <t xml:space="preserve">Fernwärme </t>
  </si>
  <si>
    <t xml:space="preserve">Biogas </t>
  </si>
  <si>
    <t>Ersteller</t>
  </si>
  <si>
    <t>Zahlenvergleich: 10..20/25..50* % über Minimum</t>
  </si>
  <si>
    <t>Zahlenvergleich: &gt; 20/50* % über Minimum</t>
  </si>
  <si>
    <t>Zahlenvergleich: &lt; 10/25* % über Minimum</t>
  </si>
  <si>
    <t>* Grenzen bei 10 und 20%: Jährliche Kosten und Primärenergiebedarf (gesamt)     Grenzen bei 25 und 50%: Alle übrigen Werte</t>
  </si>
  <si>
    <t>3.0</t>
  </si>
  <si>
    <t>© Stadt Zürich, Amt für Hochbauten - Alle Rechte vorbehalten</t>
  </si>
  <si>
    <t>Kurzbeschrieb</t>
  </si>
  <si>
    <t>Datenstand:</t>
  </si>
  <si>
    <t>CH-Verbrauchermix</t>
  </si>
  <si>
    <t>Biogas - Durchschnitt CH</t>
  </si>
  <si>
    <t>Durchschnitt CH (KVA)</t>
  </si>
  <si>
    <t>Lokales Produkt A</t>
  </si>
  <si>
    <t>Lokales Produkt B</t>
  </si>
  <si>
    <t>Lokales Produkt C</t>
  </si>
  <si>
    <t>Varianten</t>
  </si>
  <si>
    <t>Biogas - Energie360°</t>
  </si>
  <si>
    <t>ewz Produkte</t>
  </si>
  <si>
    <t>Zusammensetzung:</t>
  </si>
  <si>
    <t>Ökobilanz:</t>
  </si>
  <si>
    <t>Produktreglement zu den
Minergie-Gebäudestandards</t>
  </si>
  <si>
    <t>Brennstoffwahl</t>
  </si>
  <si>
    <t>Objekt und Bauvorhaben</t>
  </si>
  <si>
    <r>
      <t>Angaben zur Berechnung des Grenzwerts E</t>
    </r>
    <r>
      <rPr>
        <vertAlign val="subscript"/>
        <sz val="10"/>
        <rFont val="Arial"/>
        <family val="2"/>
      </rPr>
      <t>hlwk,li</t>
    </r>
  </si>
  <si>
    <r>
      <t>Energiebedarf E</t>
    </r>
    <r>
      <rPr>
        <b/>
        <vertAlign val="subscript"/>
        <sz val="10"/>
        <rFont val="Arial"/>
        <family val="2"/>
      </rPr>
      <t>hwlk</t>
    </r>
    <r>
      <rPr>
        <b/>
        <sz val="10"/>
        <rFont val="Arial"/>
        <family val="2"/>
      </rPr>
      <t xml:space="preserve"> nach MINERGIE bzw. MuKEn 2014</t>
    </r>
    <r>
      <rPr>
        <sz val="10"/>
        <rFont val="Arial"/>
        <family val="2"/>
      </rPr>
      <t>, aufgeteilt nach Energieträgern und Vergleich mit dem Grenzwert</t>
    </r>
  </si>
  <si>
    <t>Objekt, Bauvorhaben, Version und Datum werden neu auf allen Blättern oben rechts angezeigt.</t>
  </si>
  <si>
    <r>
      <t>- Diverse Anpassungen am Layout (aufgrund Umbau auf KBOB-Anwendung)
- Die Wahl der Berücksichtigung externer Kosten und Förderbeiträge erfolgt neu im Blatt Grunddaten
- Blatt WR_Übersicht entfällt. Die entsprechenden Zahlen sind neu im Blatt Berechnungen enthalten
- Blatt Ergebnisse: Ampelsystem auf der Übersichtsseite basiert neu auf Abweichungen vom Minimum
- Blatt DK_Var1: Fehlenden Bezug in Zelle B16 eingefügt
- Blätter DK_Var2..4: Falsche Formatierung Zellen D333 und D340 korrigiert
- Blätter WR_Var..: Berechnungfehler bei Preissteigerung lokales Biogasprodukt behoben
- Grunddaten aktualisiert
- Anpassungen an Minergie 2017: Bisherige Minergie-Kennzahl ist neu Zusatzanforderung E</t>
    </r>
    <r>
      <rPr>
        <vertAlign val="subscript"/>
        <sz val="10"/>
        <rFont val="Arial"/>
        <family val="2"/>
      </rPr>
      <t>hlwk</t>
    </r>
    <r>
      <rPr>
        <sz val="10"/>
        <rFont val="Arial"/>
        <family val="2"/>
      </rPr>
      <t xml:space="preserve">
- Minimaler Biogas-Anteil im Erdgas (Energie 360°) berücksichtigt</t>
    </r>
  </si>
  <si>
    <t>ewz.econatur</t>
  </si>
  <si>
    <t>ewz.natur</t>
  </si>
  <si>
    <t>ewz.pronatur</t>
  </si>
  <si>
    <t>Strombezug durch die Dienstabteilungen der Stadt Zürich gemäss Stadtratsbeschluss Nr. 1014/2019:</t>
  </si>
  <si>
    <t>www.ewz.ch</t>
  </si>
  <si>
    <t>Durchschnitt Netze CH</t>
  </si>
  <si>
    <t>KBOB Empfehlung "Ökobilanzdaten im Baubereich" 2009/1:2022</t>
  </si>
  <si>
    <t>www.kbob.ch → Themen und Leistungen → Nachhaltiges Bauen → Ökobilanzdaten im Baubereich</t>
  </si>
  <si>
    <t>ewz - Stadt Zürich, Umweltdeklarationen 2021 für Stromprodukte</t>
  </si>
  <si>
    <t>www.erz.ch/zuerichwaerme → Wissen rund um Fernwärme → Zahlen und Fakten zur Fernwärme von ERZ</t>
  </si>
  <si>
    <t>Richtlinie zur Berechnung der Wirtschaftlichkeit energetischer Massnahmen</t>
  </si>
  <si>
    <t>Tarif NNB</t>
  </si>
  <si>
    <t>Vergütung Stromrücklieferung Stadt Zürich (EEA-Tarif)</t>
  </si>
  <si>
    <t>[UBP'21/a]</t>
  </si>
  <si>
    <t>SIA 2032:2020 Anhang D mit KBOB-Daten 2022 und ergänzt mit UBP</t>
  </si>
  <si>
    <t>Aussenwand unter Terrain, ungedämmt</t>
  </si>
  <si>
    <t>Betondecke, 25cm</t>
  </si>
  <si>
    <t xml:space="preserve">Solarstromanlage (1 m2 = </t>
  </si>
  <si>
    <t>kWp)</t>
  </si>
  <si>
    <t>Wärmeerzeuger, spez. Leistungsbedarf</t>
  </si>
  <si>
    <r>
      <t>W/m</t>
    </r>
    <r>
      <rPr>
        <vertAlign val="superscript"/>
        <sz val="9"/>
        <rFont val="Arial"/>
        <family val="2"/>
      </rPr>
      <t>2</t>
    </r>
  </si>
  <si>
    <t>Erdsonden, spez. Leistungsbedarf</t>
  </si>
  <si>
    <t>Sonnenkollektoren, Flachkollektor für Warmwasser MFH</t>
  </si>
  <si>
    <t>Version 2022.1</t>
  </si>
  <si>
    <t>Richtlinie zur Berechnung der Wirtschaftlichkeit energetischer Massnahmen, Basis STRB 651/2022</t>
  </si>
  <si>
    <t>www.stadt-zuerich.ch/ → Suche → Richtlinie Energiepreise Gebäudebereich 2023</t>
  </si>
  <si>
    <t>Stadt Zürich erz</t>
  </si>
  <si>
    <t>www.stadt-zuerich.ch/ → Suche → Richtlinie Energiepreise Gebäudebereich 2024</t>
  </si>
  <si>
    <t>KBOB Empfehlung "Ökobilanzdaten im Baubereich" 2009/1:2022 Version 4</t>
  </si>
  <si>
    <t>www.kbob.ch → Themen und Leistungen → Ökobilanzdaten im Baubereich</t>
  </si>
  <si>
    <t>Energie: Mittelwert 2021 - 2024; übrige Werte: 2024</t>
  </si>
  <si>
    <t>Anteile der Energieträger gemäss KBOB Empfehlung "Ökobilanzdaten im Baubereich" 2009/1:2022 Version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</si>
</sst>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1">
    <numFmt numFmtId="43" formatCode="_ * #,##0.00_ ;_ * \-#,##0.00_ ;_ * &quot;-&quot;??_ ;_ @_ "/>
    <numFmt numFmtId="164" formatCode="&quot;Fr.&quot;\ #,##0.00;[Red]&quot;Fr.&quot;\ \-#,##0.00"/>
    <numFmt numFmtId="165" formatCode="0.0\ &quot;%&quot;"/>
    <numFmt numFmtId="166" formatCode="#,##0\ &quot;Fr.  &quot;"/>
    <numFmt numFmtId="167" formatCode="#,##0\ &quot;Fr. &quot;"/>
    <numFmt numFmtId="168" formatCode="#,##0\ &quot;Jahre&quot;"/>
    <numFmt numFmtId="169" formatCode="0\ &quot;Jahre&quot;"/>
    <numFmt numFmtId="170" formatCode="0.0\ &quot;Fr./100 kg&quot;"/>
    <numFmt numFmtId="171" formatCode="0.0\ &quot;%)&quot;"/>
    <numFmt numFmtId="172" formatCode="#,##0\ &quot;kg/a&quot;"/>
    <numFmt numFmtId="173" formatCode="0.0000"/>
    <numFmt numFmtId="174" formatCode="0.00\ &quot;%&quot;"/>
    <numFmt numFmtId="175" formatCode="0.000"/>
    <numFmt numFmtId="176" formatCode="#,##0\ &quot;Fr.&quot;"/>
    <numFmt numFmtId="177" formatCode="#,##0\ &quot;kWh/a &quot;"/>
    <numFmt numFmtId="178" formatCode="0.0"/>
    <numFmt numFmtId="179" formatCode="\ \ \ \ &quot; &quot;"/>
    <numFmt numFmtId="180" formatCode="#,##0\ &quot;Fr.       &quot;"/>
    <numFmt numFmtId="181" formatCode="0.0\ &quot;m&quot;"/>
    <numFmt numFmtId="182" formatCode="#,##0.0"/>
    <numFmt numFmtId="183" formatCode="0.0%"/>
    <numFmt numFmtId="184" formatCode="&quot;Anteil: &quot;0%"/>
    <numFmt numFmtId="185" formatCode="_ * #,##0_ ;_ * \-#,##0_ ;_ * &quot;-&quot;??_ ;_ @_ "/>
    <numFmt numFmtId="186" formatCode="_ * #,##0.0000_ ;_ * \-#,##0.0000_ ;_ * &quot;-&quot;??_ ;_ @_ "/>
    <numFmt numFmtId="187" formatCode="#,##0\.\-"/>
    <numFmt numFmtId="188" formatCode="0.0\ \m\3"/>
    <numFmt numFmtId="189" formatCode="0.\-"/>
    <numFmt numFmtId="190" formatCode="&quot;ᴓ &quot;#,##0"/>
    <numFmt numFmtId="191" formatCode="_ * #,##0.0_ ;_ * \-#,##0.0_ ;_ * &quot;-&quot;??_ ;_ @_ "/>
    <numFmt numFmtId="192" formatCode="#,##0\ &quot;kW&quot;"/>
    <numFmt numFmtId="193" formatCode="\+\ #,##0\ &quot;kWh/a&quot;;\-\ #,##0\ &quot;kWh/a&quot;"/>
    <numFmt numFmtId="194" formatCode="0%;\-0%;0%"/>
    <numFmt numFmtId="195" formatCode="#,##0\.\-\ \ "/>
    <numFmt numFmtId="196" formatCode="0.00%\ \ "/>
    <numFmt numFmtId="197" formatCode="0.0\ \ "/>
    <numFmt numFmtId="198" formatCode="0.0%\ "/>
    <numFmt numFmtId="199" formatCode="0\ \ "/>
    <numFmt numFmtId="200" formatCode="&quot;ᴓ &quot;#,##0\ \ "/>
    <numFmt numFmtId="201" formatCode="0.00%\ \ \ "/>
    <numFmt numFmtId="202" formatCode="#,##0&quot; Jahre&quot;"/>
    <numFmt numFmtId="203" formatCode="mmmm\ yyyy"/>
  </numFmts>
  <fonts count="135" x14ac:knownFonts="1">
    <font>
      <sz val="10"/>
      <name val="Arial"/>
    </font>
    <font>
      <sz val="10"/>
      <color theme="1"/>
      <name val="Arial"/>
      <family val="2"/>
    </font>
    <font>
      <sz val="10"/>
      <color theme="1"/>
      <name val="Arial"/>
      <family val="2"/>
    </font>
    <font>
      <sz val="10"/>
      <color theme="1"/>
      <name val="Arial"/>
      <family val="2"/>
    </font>
    <font>
      <sz val="11"/>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8"/>
      <name val="Arial"/>
      <family val="2"/>
    </font>
    <font>
      <sz val="11"/>
      <name val="Arial"/>
      <family val="2"/>
    </font>
    <font>
      <b/>
      <sz val="12"/>
      <name val="Arial"/>
      <family val="2"/>
    </font>
    <font>
      <sz val="10"/>
      <name val="Arial"/>
      <family val="2"/>
    </font>
    <font>
      <b/>
      <sz val="11"/>
      <name val="Arial"/>
      <family val="2"/>
    </font>
    <font>
      <sz val="9"/>
      <name val="Arial"/>
      <family val="2"/>
    </font>
    <font>
      <sz val="10"/>
      <name val="Arial Narrow"/>
      <family val="2"/>
    </font>
    <font>
      <vertAlign val="subscript"/>
      <sz val="10"/>
      <name val="Arial Narrow"/>
      <family val="2"/>
    </font>
    <font>
      <b/>
      <sz val="10"/>
      <name val="Arial"/>
      <family val="2"/>
    </font>
    <font>
      <sz val="9"/>
      <color indexed="81"/>
      <name val="Tahoma"/>
      <family val="2"/>
    </font>
    <font>
      <b/>
      <sz val="10"/>
      <name val="Arial Narrow"/>
      <family val="2"/>
    </font>
    <font>
      <sz val="10"/>
      <name val="MS Sans Serif"/>
      <family val="2"/>
    </font>
    <font>
      <sz val="10"/>
      <name val="Helv"/>
    </font>
    <font>
      <sz val="8"/>
      <name val="Arial"/>
      <family val="2"/>
    </font>
    <font>
      <sz val="10"/>
      <color theme="0" tint="-0.34998626667073579"/>
      <name val="Arial"/>
      <family val="2"/>
    </font>
    <font>
      <b/>
      <sz val="11"/>
      <color rgb="FF00B050"/>
      <name val="Wingdings"/>
      <charset val="2"/>
    </font>
    <font>
      <b/>
      <sz val="11"/>
      <color rgb="FFFFFF00"/>
      <name val="Wingdings"/>
      <charset val="2"/>
    </font>
    <font>
      <b/>
      <sz val="11"/>
      <color rgb="FFFF0000"/>
      <name val="Wingdings"/>
      <charset val="2"/>
    </font>
    <font>
      <sz val="11"/>
      <color theme="1"/>
      <name val="Calibri"/>
      <family val="2"/>
      <scheme val="minor"/>
    </font>
    <font>
      <sz val="10"/>
      <color theme="1"/>
      <name val="Arial"/>
      <family val="2"/>
    </font>
    <font>
      <sz val="10"/>
      <color indexed="8"/>
      <name val="Arial"/>
      <family val="2"/>
    </font>
    <font>
      <sz val="10"/>
      <color indexed="9"/>
      <name val="Arial"/>
      <family val="2"/>
    </font>
    <font>
      <sz val="8"/>
      <color indexed="8"/>
      <name val="Arial"/>
      <family val="2"/>
    </font>
    <font>
      <sz val="8"/>
      <color indexed="9"/>
      <name val="Arial"/>
      <family val="2"/>
    </font>
    <font>
      <sz val="8"/>
      <color indexed="10"/>
      <name val="Arial"/>
      <family val="2"/>
    </font>
    <font>
      <b/>
      <sz val="8"/>
      <name val="Arial"/>
      <family val="2"/>
    </font>
    <font>
      <sz val="14"/>
      <name val="Arial"/>
      <family val="2"/>
    </font>
    <font>
      <b/>
      <sz val="8"/>
      <color indexed="9"/>
      <name val="Arial"/>
      <family val="2"/>
    </font>
    <font>
      <sz val="12"/>
      <color indexed="18"/>
      <name val="Arial"/>
      <family val="2"/>
    </font>
    <font>
      <b/>
      <vertAlign val="subscript"/>
      <sz val="10"/>
      <name val="Arial"/>
      <family val="2"/>
    </font>
    <font>
      <vertAlign val="subscript"/>
      <sz val="10"/>
      <name val="Arial"/>
      <family val="2"/>
    </font>
    <font>
      <b/>
      <sz val="12"/>
      <name val="Arial Narrow"/>
      <family val="2"/>
    </font>
    <font>
      <vertAlign val="superscript"/>
      <sz val="10"/>
      <name val="Arial"/>
      <family val="2"/>
    </font>
    <font>
      <vertAlign val="superscript"/>
      <sz val="10"/>
      <name val="Arial Narrow"/>
      <family val="2"/>
    </font>
    <font>
      <sz val="10"/>
      <color rgb="FFFF0000"/>
      <name val="Arial"/>
      <family val="2"/>
    </font>
    <font>
      <sz val="10"/>
      <color theme="0" tint="-0.249977111117893"/>
      <name val="Arial"/>
      <family val="2"/>
    </font>
    <font>
      <sz val="9"/>
      <color theme="0" tint="-0.34998626667073579"/>
      <name val="Arial"/>
      <family val="2"/>
    </font>
    <font>
      <sz val="10"/>
      <color theme="1" tint="0.34998626667073579"/>
      <name val="Arial Narrow"/>
      <family val="2"/>
    </font>
    <font>
      <b/>
      <sz val="11"/>
      <color rgb="FF00B050"/>
      <name val="Arial"/>
      <family val="2"/>
    </font>
    <font>
      <b/>
      <sz val="10"/>
      <color rgb="FF00B050"/>
      <name val="Arial"/>
      <family val="2"/>
    </font>
    <font>
      <i/>
      <sz val="10"/>
      <name val="Arial"/>
      <family val="2"/>
    </font>
    <font>
      <sz val="10"/>
      <color rgb="FF002060"/>
      <name val="Calibri"/>
      <family val="2"/>
      <scheme val="minor"/>
    </font>
    <font>
      <sz val="8.5"/>
      <name val="Arial"/>
      <family val="2"/>
    </font>
    <font>
      <sz val="12"/>
      <name val="Arial"/>
      <family val="2"/>
    </font>
    <font>
      <vertAlign val="superscript"/>
      <sz val="8"/>
      <name val="Arial"/>
      <family val="2"/>
    </font>
    <font>
      <b/>
      <sz val="10"/>
      <color theme="0"/>
      <name val="Arial"/>
      <family val="2"/>
    </font>
    <font>
      <u/>
      <sz val="10"/>
      <color theme="10"/>
      <name val="Arial"/>
      <family val="2"/>
    </font>
    <font>
      <sz val="10"/>
      <color theme="0" tint="-0.499984740745262"/>
      <name val="Arial"/>
      <family val="2"/>
    </font>
    <font>
      <sz val="10"/>
      <color theme="1" tint="0.34998626667073579"/>
      <name val="Arial"/>
      <family val="2"/>
    </font>
    <font>
      <sz val="10"/>
      <color theme="0"/>
      <name val="Arial Narrow"/>
      <family val="2"/>
    </font>
    <font>
      <sz val="10"/>
      <name val="Arial"/>
      <family val="2"/>
    </font>
    <font>
      <b/>
      <sz val="9"/>
      <name val="Arial"/>
      <family val="2"/>
    </font>
    <font>
      <sz val="9"/>
      <color indexed="8"/>
      <name val="Arial"/>
      <family val="2"/>
    </font>
    <font>
      <sz val="9"/>
      <color indexed="9"/>
      <name val="Arial"/>
      <family val="2"/>
    </font>
    <font>
      <sz val="10"/>
      <color theme="0" tint="-4.9989318521683403E-2"/>
      <name val="Arial"/>
      <family val="2"/>
    </font>
    <font>
      <vertAlign val="subscript"/>
      <sz val="9"/>
      <name val="Arial"/>
      <family val="2"/>
    </font>
    <font>
      <sz val="9"/>
      <name val="Arial Narrow"/>
      <family val="2"/>
    </font>
    <font>
      <vertAlign val="subscript"/>
      <sz val="9"/>
      <name val="Arial Narrow"/>
      <family val="2"/>
    </font>
    <font>
      <vertAlign val="superscript"/>
      <sz val="9"/>
      <name val="Arial"/>
      <family val="2"/>
    </font>
    <font>
      <sz val="8"/>
      <color theme="1"/>
      <name val="Arial"/>
      <family val="2"/>
    </font>
    <font>
      <sz val="14"/>
      <color theme="1"/>
      <name val="Arial"/>
      <family val="2"/>
    </font>
    <font>
      <b/>
      <sz val="8"/>
      <color theme="1"/>
      <name val="Arial"/>
      <family val="2"/>
    </font>
    <font>
      <sz val="8"/>
      <color theme="0" tint="-0.34998626667073579"/>
      <name val="Arial"/>
      <family val="2"/>
    </font>
    <font>
      <b/>
      <sz val="9"/>
      <color theme="0" tint="-0.249977111117893"/>
      <name val="Arial Narrow"/>
      <family val="2"/>
    </font>
    <font>
      <sz val="9"/>
      <color theme="0" tint="-0.249977111117893"/>
      <name val="Arial"/>
      <family val="2"/>
    </font>
    <font>
      <b/>
      <sz val="9"/>
      <color theme="0" tint="-0.249977111117893"/>
      <name val="Arial"/>
      <family val="2"/>
    </font>
    <font>
      <sz val="10"/>
      <name val="Arial"/>
      <family val="2"/>
    </font>
    <font>
      <sz val="9"/>
      <name val="Symbol"/>
      <family val="1"/>
      <charset val="2"/>
    </font>
    <font>
      <b/>
      <sz val="9"/>
      <color indexed="81"/>
      <name val="Tahoma"/>
      <family val="2"/>
    </font>
    <font>
      <sz val="9"/>
      <color theme="9" tint="-0.499984740745262"/>
      <name val="Arial"/>
      <family val="2"/>
    </font>
    <font>
      <sz val="9"/>
      <name val="Calibri"/>
      <family val="2"/>
    </font>
    <font>
      <u/>
      <sz val="8"/>
      <name val="Arial"/>
      <family val="2"/>
    </font>
    <font>
      <sz val="8"/>
      <color theme="0" tint="-0.249977111117893"/>
      <name val="Arial"/>
      <family val="2"/>
    </font>
    <font>
      <b/>
      <sz val="8"/>
      <color theme="0" tint="-0.249977111117893"/>
      <name val="Arial"/>
      <family val="2"/>
    </font>
    <font>
      <sz val="8"/>
      <color theme="9" tint="-0.499984740745262"/>
      <name val="Arial"/>
      <family val="2"/>
    </font>
    <font>
      <b/>
      <sz val="8"/>
      <color theme="9" tint="-0.499984740745262"/>
      <name val="Arial"/>
      <family val="2"/>
    </font>
    <font>
      <sz val="7"/>
      <name val="Arial"/>
      <family val="2"/>
    </font>
    <font>
      <sz val="10"/>
      <color theme="9" tint="-0.499984740745262"/>
      <name val="Arial Narrow"/>
      <family val="2"/>
    </font>
    <font>
      <sz val="8"/>
      <color rgb="FFFF0000"/>
      <name val="Arial"/>
      <family val="2"/>
    </font>
    <font>
      <sz val="8"/>
      <name val="Tahoma"/>
      <family val="2"/>
    </font>
    <font>
      <sz val="8"/>
      <color theme="1"/>
      <name val="Tahoma"/>
      <family val="2"/>
    </font>
    <font>
      <sz val="9"/>
      <name val="Tahoma"/>
      <family val="2"/>
    </font>
    <font>
      <b/>
      <sz val="10"/>
      <name val="Tahoma"/>
      <family val="2"/>
    </font>
    <font>
      <i/>
      <sz val="9"/>
      <name val="Tahoma"/>
      <family val="2"/>
    </font>
    <font>
      <sz val="9"/>
      <color indexed="81"/>
      <name val="Symbol"/>
      <family val="1"/>
      <charset val="2"/>
    </font>
    <font>
      <u/>
      <sz val="9"/>
      <color indexed="81"/>
      <name val="Tahoma"/>
      <family val="2"/>
    </font>
    <font>
      <b/>
      <sz val="8"/>
      <color rgb="FFFF0000"/>
      <name val="Arial"/>
      <family val="2"/>
    </font>
    <font>
      <sz val="10"/>
      <color theme="1" tint="0.499984740745262"/>
      <name val="Arial"/>
      <family val="2"/>
    </font>
    <font>
      <sz val="10"/>
      <color theme="0" tint="-0.249977111117893"/>
      <name val="Webdings"/>
      <family val="1"/>
      <charset val="2"/>
    </font>
    <font>
      <sz val="9"/>
      <color indexed="81"/>
      <name val="Webdings"/>
      <family val="1"/>
      <charset val="2"/>
    </font>
    <font>
      <sz val="10"/>
      <color theme="10"/>
      <name val="Arial"/>
      <family val="2"/>
    </font>
    <font>
      <sz val="9"/>
      <color rgb="FFFF0000"/>
      <name val="Arial"/>
      <family val="2"/>
    </font>
    <font>
      <b/>
      <sz val="8"/>
      <name val="Arial Narrow"/>
      <family val="2"/>
    </font>
    <font>
      <u/>
      <sz val="9"/>
      <color theme="10"/>
      <name val="Arial"/>
      <family val="2"/>
    </font>
    <font>
      <sz val="9"/>
      <color indexed="81"/>
      <name val="Segoe UI"/>
      <family val="2"/>
    </font>
    <font>
      <b/>
      <sz val="9"/>
      <color rgb="FFFF0000"/>
      <name val="Arial"/>
      <family val="2"/>
    </font>
    <font>
      <sz val="10"/>
      <color rgb="FF002060"/>
      <name val="Arial"/>
      <family val="2"/>
    </font>
    <font>
      <sz val="7.5"/>
      <name val="Arial Narrow"/>
      <family val="2"/>
    </font>
    <font>
      <sz val="10"/>
      <color rgb="FF002060"/>
      <name val="Arial Narrow"/>
      <family val="2"/>
    </font>
    <font>
      <sz val="10"/>
      <color theme="0" tint="-0.14999847407452621"/>
      <name val="Arial"/>
      <family val="2"/>
    </font>
    <font>
      <sz val="10"/>
      <color theme="0" tint="-0.14999847407452621"/>
      <name val="Arial Narrow"/>
      <family val="2"/>
    </font>
    <font>
      <sz val="10"/>
      <color theme="0" tint="-0.249977111117893"/>
      <name val="Arial Narrow"/>
      <family val="2"/>
    </font>
    <font>
      <sz val="9"/>
      <color theme="0" tint="-0.24994659260841701"/>
      <name val="Arial"/>
      <family val="2"/>
    </font>
    <font>
      <sz val="10"/>
      <color theme="0" tint="-0.24994659260841701"/>
      <name val="Arial"/>
      <family val="2"/>
    </font>
    <font>
      <sz val="10"/>
      <color theme="0" tint="-0.24994659260841701"/>
      <name val="Arial Narrow"/>
      <family val="2"/>
    </font>
    <font>
      <b/>
      <sz val="10"/>
      <color theme="0" tint="-0.24994659260841701"/>
      <name val="Arial"/>
      <family val="2"/>
    </font>
    <font>
      <vertAlign val="superscript"/>
      <sz val="10"/>
      <color theme="0" tint="-0.249977111117893"/>
      <name val="Arial"/>
      <family val="2"/>
    </font>
    <font>
      <vertAlign val="superscript"/>
      <sz val="10"/>
      <color theme="0" tint="-0.24994659260841701"/>
      <name val="Arial"/>
      <family val="2"/>
    </font>
    <font>
      <b/>
      <sz val="10"/>
      <color theme="1"/>
      <name val="Arial"/>
      <family val="2"/>
    </font>
    <font>
      <sz val="10"/>
      <color theme="0"/>
      <name val="Arial"/>
      <family val="2"/>
    </font>
    <font>
      <sz val="10"/>
      <color theme="2"/>
      <name val="Arial"/>
      <family val="2"/>
    </font>
    <font>
      <i/>
      <sz val="10"/>
      <color theme="1" tint="0.34998626667073579"/>
      <name val="Arial"/>
      <family val="2"/>
    </font>
    <font>
      <i/>
      <sz val="10"/>
      <color theme="1" tint="0.34998626667073579"/>
      <name val="Arial Narrow"/>
      <family val="2"/>
    </font>
    <font>
      <sz val="11"/>
      <color theme="1" tint="0.34998626667073579"/>
      <name val="Wingdings"/>
      <charset val="2"/>
    </font>
    <font>
      <b/>
      <i/>
      <sz val="10"/>
      <color theme="1" tint="0.34998626667073579"/>
      <name val="Arial"/>
      <family val="2"/>
    </font>
    <font>
      <b/>
      <sz val="11"/>
      <color theme="1" tint="0.34998626667073579"/>
      <name val="Wingdings"/>
      <charset val="2"/>
    </font>
    <font>
      <b/>
      <sz val="10"/>
      <color theme="1" tint="0.34998626667073579"/>
      <name val="Arial Narrow"/>
      <family val="2"/>
    </font>
    <font>
      <b/>
      <vertAlign val="subscript"/>
      <sz val="10"/>
      <name val="Arial Narrow"/>
      <family val="2"/>
    </font>
    <font>
      <vertAlign val="subscript"/>
      <sz val="10"/>
      <color theme="0" tint="-0.249977111117893"/>
      <name val="Arial"/>
      <family val="2"/>
    </font>
    <font>
      <b/>
      <vertAlign val="subscript"/>
      <sz val="12"/>
      <name val="Arial Narrow"/>
      <family val="2"/>
    </font>
    <font>
      <sz val="10"/>
      <color theme="1"/>
      <name val="Arial Narrow"/>
      <family val="2"/>
    </font>
    <font>
      <b/>
      <sz val="11"/>
      <name val="Arial Narrow"/>
      <family val="2"/>
    </font>
    <font>
      <b/>
      <sz val="13"/>
      <name val="Arial"/>
      <family val="2"/>
    </font>
    <font>
      <b/>
      <sz val="14"/>
      <name val="Arial"/>
      <family val="2"/>
    </font>
    <font>
      <u/>
      <sz val="9"/>
      <color theme="10"/>
      <name val="Arial Narrow"/>
      <family val="2"/>
    </font>
    <font>
      <u/>
      <sz val="8"/>
      <color theme="10"/>
      <name val="Arial"/>
      <family val="2"/>
    </font>
  </fonts>
  <fills count="24">
    <fill>
      <patternFill patternType="none"/>
    </fill>
    <fill>
      <patternFill patternType="gray125"/>
    </fill>
    <fill>
      <patternFill patternType="solid">
        <fgColor theme="4" tint="0.59999389629810485"/>
        <bgColor indexed="64"/>
      </patternFill>
    </fill>
    <fill>
      <patternFill patternType="solid">
        <fgColor theme="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rgb="FFFFFF99"/>
        <bgColor indexed="64"/>
      </patternFill>
    </fill>
    <fill>
      <patternFill patternType="solid">
        <fgColor indexed="9"/>
        <bgColor indexed="64"/>
      </patternFill>
    </fill>
    <fill>
      <patternFill patternType="solid">
        <fgColor rgb="FFFFFF99"/>
        <bgColor indexed="22"/>
      </patternFill>
    </fill>
    <fill>
      <patternFill patternType="solid">
        <fgColor theme="0" tint="-4.9989318521683403E-2"/>
        <bgColor indexed="64"/>
      </patternFill>
    </fill>
    <fill>
      <patternFill patternType="solid">
        <fgColor rgb="FFFFFF00"/>
        <bgColor indexed="64"/>
      </patternFill>
    </fill>
    <fill>
      <patternFill patternType="solid">
        <fgColor theme="2"/>
        <bgColor indexed="22"/>
      </patternFill>
    </fill>
    <fill>
      <patternFill patternType="solid">
        <fgColor rgb="FF66FFFF"/>
        <bgColor indexed="64"/>
      </patternFill>
    </fill>
    <fill>
      <patternFill patternType="solid">
        <fgColor rgb="FF0070C0"/>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00B050"/>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E4DFEC"/>
        <bgColor indexed="64"/>
      </patternFill>
    </fill>
    <fill>
      <patternFill patternType="solid">
        <fgColor theme="9"/>
        <bgColor indexed="64"/>
      </patternFill>
    </fill>
    <fill>
      <patternFill patternType="solid">
        <fgColor theme="6" tint="0.79998168889431442"/>
        <bgColor indexed="64"/>
      </patternFill>
    </fill>
    <fill>
      <patternFill patternType="solid">
        <fgColor theme="0" tint="-0.249977111117893"/>
        <bgColor indexed="64"/>
      </patternFill>
    </fill>
    <fill>
      <patternFill patternType="solid">
        <fgColor theme="0"/>
        <bgColor indexed="64"/>
      </patternFill>
    </fill>
  </fills>
  <borders count="412">
    <border>
      <left/>
      <right/>
      <top/>
      <bottom/>
      <diagonal/>
    </border>
    <border>
      <left style="medium">
        <color indexed="64"/>
      </left>
      <right/>
      <top style="medium">
        <color indexed="64"/>
      </top>
      <bottom/>
      <diagonal/>
    </border>
    <border>
      <left/>
      <right/>
      <top style="medium">
        <color indexed="64"/>
      </top>
      <bottom style="hair">
        <color indexed="64"/>
      </bottom>
      <diagonal/>
    </border>
    <border>
      <left style="medium">
        <color indexed="64"/>
      </left>
      <right/>
      <top/>
      <bottom/>
      <diagonal/>
    </border>
    <border>
      <left/>
      <right/>
      <top/>
      <bottom style="hair">
        <color indexed="64"/>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top style="medium">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bottom style="hair">
        <color indexed="64"/>
      </bottom>
      <diagonal/>
    </border>
    <border>
      <left/>
      <right style="medium">
        <color indexed="64"/>
      </right>
      <top/>
      <bottom style="hair">
        <color indexed="64"/>
      </bottom>
      <diagonal/>
    </border>
    <border>
      <left style="medium">
        <color indexed="64"/>
      </left>
      <right/>
      <top style="medium">
        <color indexed="64"/>
      </top>
      <bottom style="hair">
        <color indexed="64"/>
      </bottom>
      <diagonal/>
    </border>
    <border>
      <left/>
      <right style="medium">
        <color indexed="64"/>
      </right>
      <top style="medium">
        <color indexed="64"/>
      </top>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thin">
        <color indexed="64"/>
      </left>
      <right style="hair">
        <color indexed="64"/>
      </right>
      <top/>
      <bottom style="hair">
        <color indexed="64"/>
      </bottom>
      <diagonal/>
    </border>
    <border>
      <left/>
      <right style="hair">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auto="1"/>
      </top>
      <bottom style="thin">
        <color auto="1"/>
      </bottom>
      <diagonal/>
    </border>
    <border>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hair">
        <color indexed="64"/>
      </top>
      <bottom/>
      <diagonal/>
    </border>
    <border>
      <left/>
      <right style="medium">
        <color indexed="64"/>
      </right>
      <top style="hair">
        <color indexed="64"/>
      </top>
      <bottom/>
      <diagonal/>
    </border>
    <border>
      <left/>
      <right/>
      <top style="hair">
        <color indexed="64"/>
      </top>
      <bottom/>
      <diagonal/>
    </border>
    <border>
      <left/>
      <right style="medium">
        <color indexed="64"/>
      </right>
      <top style="medium">
        <color indexed="64"/>
      </top>
      <bottom style="hair">
        <color indexed="64"/>
      </bottom>
      <diagonal/>
    </border>
    <border>
      <left/>
      <right style="thin">
        <color indexed="64"/>
      </right>
      <top/>
      <bottom/>
      <diagonal/>
    </border>
    <border>
      <left/>
      <right style="medium">
        <color indexed="64"/>
      </right>
      <top style="thin">
        <color indexed="64"/>
      </top>
      <bottom style="thin">
        <color indexed="64"/>
      </bottom>
      <diagonal/>
    </border>
    <border>
      <left/>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style="thin">
        <color theme="0" tint="-0.34998626667073579"/>
      </right>
      <top style="hair">
        <color theme="0" tint="-0.34998626667073579"/>
      </top>
      <bottom style="hair">
        <color theme="0" tint="-0.34998626667073579"/>
      </bottom>
      <diagonal/>
    </border>
    <border>
      <left/>
      <right/>
      <top style="hair">
        <color theme="0" tint="-0.499984740745262"/>
      </top>
      <bottom style="hair">
        <color theme="0" tint="-0.499984740745262"/>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hair">
        <color auto="1"/>
      </left>
      <right style="thin">
        <color auto="1"/>
      </right>
      <top/>
      <bottom style="hair">
        <color auto="1"/>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auto="1"/>
      </right>
      <top style="thin">
        <color indexed="64"/>
      </top>
      <bottom style="thin">
        <color indexed="64"/>
      </bottom>
      <diagonal/>
    </border>
    <border>
      <left style="thin">
        <color rgb="FF0070C0"/>
      </left>
      <right style="thin">
        <color rgb="FF0070C0"/>
      </right>
      <top style="thin">
        <color rgb="FF0070C0"/>
      </top>
      <bottom/>
      <diagonal/>
    </border>
    <border>
      <left style="thin">
        <color rgb="FF0070C0"/>
      </left>
      <right style="thin">
        <color rgb="FF0070C0"/>
      </right>
      <top/>
      <bottom/>
      <diagonal/>
    </border>
    <border>
      <left style="thin">
        <color rgb="FF0070C0"/>
      </left>
      <right style="thin">
        <color rgb="FF0070C0"/>
      </right>
      <top/>
      <bottom style="thin">
        <color rgb="FF0070C0"/>
      </bottom>
      <diagonal/>
    </border>
    <border>
      <left style="thin">
        <color rgb="FF0070C0"/>
      </left>
      <right/>
      <top/>
      <bottom/>
      <diagonal/>
    </border>
    <border>
      <left/>
      <right style="thin">
        <color rgb="FF0070C0"/>
      </right>
      <top/>
      <bottom/>
      <diagonal/>
    </border>
    <border>
      <left style="thin">
        <color rgb="FF0070C0"/>
      </left>
      <right/>
      <top/>
      <bottom style="thin">
        <color rgb="FF0070C0"/>
      </bottom>
      <diagonal/>
    </border>
    <border>
      <left/>
      <right style="thin">
        <color rgb="FF0070C0"/>
      </right>
      <top/>
      <bottom style="thin">
        <color rgb="FF0070C0"/>
      </bottom>
      <diagonal/>
    </border>
    <border>
      <left style="thin">
        <color rgb="FF0070C0"/>
      </left>
      <right/>
      <top style="thin">
        <color rgb="FF0070C0"/>
      </top>
      <bottom/>
      <diagonal/>
    </border>
    <border>
      <left/>
      <right style="thin">
        <color rgb="FF0070C0"/>
      </right>
      <top style="thin">
        <color rgb="FF0070C0"/>
      </top>
      <bottom/>
      <diagonal/>
    </border>
    <border>
      <left/>
      <right/>
      <top/>
      <bottom style="thin">
        <color rgb="FF0070C0"/>
      </bottom>
      <diagonal/>
    </border>
    <border>
      <left/>
      <right/>
      <top style="thin">
        <color rgb="FF0070C0"/>
      </top>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top style="hair">
        <color theme="0" tint="-0.499984740745262"/>
      </top>
      <bottom style="hair">
        <color theme="0" tint="-0.499984740745262"/>
      </bottom>
      <diagonal/>
    </border>
    <border>
      <left/>
      <right style="thin">
        <color theme="0" tint="-0.499984740745262"/>
      </right>
      <top style="hair">
        <color theme="0" tint="-0.499984740745262"/>
      </top>
      <bottom style="hair">
        <color theme="0" tint="-0.499984740745262"/>
      </bottom>
      <diagonal/>
    </border>
    <border>
      <left/>
      <right/>
      <top style="hair">
        <color theme="0" tint="-0.499984740745262"/>
      </top>
      <bottom/>
      <diagonal/>
    </border>
    <border>
      <left/>
      <right style="thin">
        <color theme="0" tint="-0.499984740745262"/>
      </right>
      <top style="hair">
        <color theme="0" tint="-0.499984740745262"/>
      </top>
      <bottom/>
      <diagonal/>
    </border>
    <border>
      <left/>
      <right style="thin">
        <color theme="0" tint="-0.499984740745262"/>
      </right>
      <top/>
      <bottom/>
      <diagonal/>
    </border>
    <border>
      <left/>
      <right/>
      <top/>
      <bottom style="hair">
        <color theme="0" tint="-0.499984740745262"/>
      </bottom>
      <diagonal/>
    </border>
    <border>
      <left/>
      <right style="thin">
        <color theme="0" tint="-0.499984740745262"/>
      </right>
      <top/>
      <bottom style="hair">
        <color theme="0" tint="-0.499984740745262"/>
      </bottom>
      <diagonal/>
    </border>
    <border>
      <left style="hair">
        <color theme="0" tint="-0.499984740745262"/>
      </left>
      <right/>
      <top style="hair">
        <color theme="0" tint="-0.499984740745262"/>
      </top>
      <bottom/>
      <diagonal/>
    </border>
    <border>
      <left/>
      <right style="hair">
        <color theme="0" tint="-0.499984740745262"/>
      </right>
      <top style="hair">
        <color theme="0" tint="-0.499984740745262"/>
      </top>
      <bottom/>
      <diagonal/>
    </border>
    <border>
      <left style="hair">
        <color theme="0" tint="-0.499984740745262"/>
      </left>
      <right/>
      <top/>
      <bottom style="hair">
        <color theme="0" tint="-0.499984740745262"/>
      </bottom>
      <diagonal/>
    </border>
    <border>
      <left/>
      <right style="hair">
        <color theme="0" tint="-0.499984740745262"/>
      </right>
      <top/>
      <bottom style="hair">
        <color theme="0" tint="-0.499984740745262"/>
      </bottom>
      <diagonal/>
    </border>
    <border>
      <left/>
      <right style="hair">
        <color indexed="64"/>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style="hair">
        <color auto="1"/>
      </left>
      <right/>
      <top/>
      <bottom/>
      <diagonal/>
    </border>
    <border>
      <left style="hair">
        <color auto="1"/>
      </left>
      <right/>
      <top/>
      <bottom style="hair">
        <color indexed="64"/>
      </bottom>
      <diagonal/>
    </border>
    <border>
      <left style="hair">
        <color auto="1"/>
      </left>
      <right/>
      <top style="hair">
        <color indexed="64"/>
      </top>
      <bottom/>
      <diagonal/>
    </border>
    <border>
      <left style="hair">
        <color auto="1"/>
      </left>
      <right/>
      <top style="hair">
        <color indexed="64"/>
      </top>
      <bottom style="hair">
        <color indexed="64"/>
      </bottom>
      <diagonal/>
    </border>
    <border>
      <left/>
      <right/>
      <top style="thin">
        <color theme="0" tint="-0.499984740745262"/>
      </top>
      <bottom/>
      <diagonal/>
    </border>
    <border>
      <left/>
      <right style="thin">
        <color theme="0" tint="-0.499984740745262"/>
      </right>
      <top style="thin">
        <color theme="0" tint="-0.499984740745262"/>
      </top>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style="thin">
        <color theme="0" tint="-0.499984740745262"/>
      </top>
      <bottom style="thin">
        <color theme="0" tint="-0.499984740745262"/>
      </bottom>
      <diagonal/>
    </border>
    <border>
      <left/>
      <right/>
      <top style="dotted">
        <color theme="0" tint="-0.24994659260841701"/>
      </top>
      <bottom style="dotted">
        <color theme="0" tint="-0.24994659260841701"/>
      </bottom>
      <diagonal/>
    </border>
    <border>
      <left/>
      <right style="dotted">
        <color theme="0" tint="-0.24994659260841701"/>
      </right>
      <top style="dotted">
        <color theme="0" tint="-0.24994659260841701"/>
      </top>
      <bottom style="dotted">
        <color theme="0" tint="-0.24994659260841701"/>
      </bottom>
      <diagonal/>
    </border>
    <border>
      <left style="hair">
        <color theme="0" tint="-0.14993743705557422"/>
      </left>
      <right style="hair">
        <color theme="0" tint="-0.14993743705557422"/>
      </right>
      <top/>
      <bottom style="hair">
        <color theme="0" tint="-0.14993743705557422"/>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style="hair">
        <color theme="0" tint="-0.24994659260841701"/>
      </bottom>
      <diagonal/>
    </border>
    <border>
      <left style="thin">
        <color theme="0" tint="-0.24994659260841701"/>
      </left>
      <right style="thin">
        <color theme="0" tint="-0.24994659260841701"/>
      </right>
      <top style="hair">
        <color theme="0" tint="-0.24994659260841701"/>
      </top>
      <bottom style="hair">
        <color theme="0" tint="-0.24994659260841701"/>
      </bottom>
      <diagonal/>
    </border>
    <border>
      <left/>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style="hair">
        <color theme="0" tint="-0.24994659260841701"/>
      </bottom>
      <diagonal/>
    </border>
    <border>
      <left/>
      <right/>
      <top/>
      <bottom style="hair">
        <color theme="0" tint="-0.24994659260841701"/>
      </bottom>
      <diagonal/>
    </border>
    <border>
      <left/>
      <right style="thin">
        <color theme="0" tint="-0.24994659260841701"/>
      </right>
      <top/>
      <bottom style="hair">
        <color theme="0" tint="-0.24994659260841701"/>
      </bottom>
      <diagonal/>
    </border>
    <border>
      <left style="thin">
        <color theme="0" tint="-0.24994659260841701"/>
      </left>
      <right/>
      <top style="hair">
        <color theme="0" tint="-0.24994659260841701"/>
      </top>
      <bottom/>
      <diagonal/>
    </border>
    <border>
      <left/>
      <right/>
      <top style="hair">
        <color theme="0" tint="-0.24994659260841701"/>
      </top>
      <bottom/>
      <diagonal/>
    </border>
    <border>
      <left/>
      <right style="thin">
        <color theme="0" tint="-0.24994659260841701"/>
      </right>
      <top style="hair">
        <color theme="0" tint="-0.24994659260841701"/>
      </top>
      <bottom/>
      <diagonal/>
    </border>
    <border>
      <left style="thin">
        <color theme="0" tint="-0.24994659260841701"/>
      </left>
      <right/>
      <top style="hair">
        <color theme="0" tint="-0.24994659260841701"/>
      </top>
      <bottom style="hair">
        <color theme="0" tint="-0.24994659260841701"/>
      </bottom>
      <diagonal/>
    </border>
    <border>
      <left/>
      <right/>
      <top style="hair">
        <color theme="0" tint="-0.24994659260841701"/>
      </top>
      <bottom style="hair">
        <color theme="0" tint="-0.24994659260841701"/>
      </bottom>
      <diagonal/>
    </border>
    <border>
      <left/>
      <right style="thin">
        <color theme="0" tint="-0.24994659260841701"/>
      </right>
      <top style="hair">
        <color theme="0" tint="-0.24994659260841701"/>
      </top>
      <bottom style="hair">
        <color theme="0" tint="-0.24994659260841701"/>
      </bottom>
      <diagonal/>
    </border>
    <border>
      <left style="thin">
        <color theme="0" tint="-0.24994659260841701"/>
      </left>
      <right/>
      <top style="hair">
        <color theme="0" tint="-0.24994659260841701"/>
      </top>
      <bottom style="thin">
        <color theme="0" tint="-0.24994659260841701"/>
      </bottom>
      <diagonal/>
    </border>
    <border>
      <left/>
      <right/>
      <top style="hair">
        <color theme="0" tint="-0.24994659260841701"/>
      </top>
      <bottom style="thin">
        <color theme="0" tint="-0.24994659260841701"/>
      </bottom>
      <diagonal/>
    </border>
    <border>
      <left/>
      <right style="thin">
        <color theme="0" tint="-0.24994659260841701"/>
      </right>
      <top style="hair">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medium">
        <color theme="0" tint="-0.24994659260841701"/>
      </bottom>
      <diagonal/>
    </border>
    <border>
      <left/>
      <right/>
      <top style="thin">
        <color theme="0" tint="-0.24994659260841701"/>
      </top>
      <bottom style="medium">
        <color theme="0" tint="-0.24994659260841701"/>
      </bottom>
      <diagonal/>
    </border>
    <border>
      <left/>
      <right style="thin">
        <color theme="0" tint="-0.24994659260841701"/>
      </right>
      <top style="thin">
        <color theme="0" tint="-0.24994659260841701"/>
      </top>
      <bottom style="medium">
        <color theme="0" tint="-0.24994659260841701"/>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style="thin">
        <color theme="0" tint="-0.24994659260841701"/>
      </left>
      <right style="thin">
        <color theme="0" tint="-0.24994659260841701"/>
      </right>
      <top/>
      <bottom style="hair">
        <color theme="0" tint="-0.24994659260841701"/>
      </bottom>
      <diagonal/>
    </border>
    <border>
      <left style="thin">
        <color theme="0" tint="-0.24994659260841701"/>
      </left>
      <right style="thin">
        <color theme="0" tint="-0.24994659260841701"/>
      </right>
      <top style="hair">
        <color theme="0" tint="-0.24994659260841701"/>
      </top>
      <bottom style="thin">
        <color theme="0" tint="-0.24994659260841701"/>
      </bottom>
      <diagonal/>
    </border>
    <border>
      <left style="thin">
        <color theme="0" tint="-0.24994659260841701"/>
      </left>
      <right/>
      <top style="thin">
        <color theme="0" tint="-0.24994659260841701"/>
      </top>
      <bottom style="hair">
        <color theme="0" tint="-0.24994659260841701"/>
      </bottom>
      <diagonal/>
    </border>
    <border>
      <left/>
      <right/>
      <top style="thin">
        <color theme="0" tint="-0.24994659260841701"/>
      </top>
      <bottom style="hair">
        <color theme="0" tint="-0.24994659260841701"/>
      </bottom>
      <diagonal/>
    </border>
    <border>
      <left/>
      <right style="thin">
        <color theme="0" tint="-0.24994659260841701"/>
      </right>
      <top style="thin">
        <color theme="0" tint="-0.24994659260841701"/>
      </top>
      <bottom style="hair">
        <color theme="0" tint="-0.24994659260841701"/>
      </bottom>
      <diagonal/>
    </border>
    <border>
      <left style="thin">
        <color theme="0" tint="-0.499984740745262"/>
      </left>
      <right/>
      <top style="hair">
        <color theme="0" tint="-0.499984740745262"/>
      </top>
      <bottom/>
      <diagonal/>
    </border>
    <border>
      <left style="thin">
        <color theme="0" tint="-0.499984740745262"/>
      </left>
      <right/>
      <top/>
      <bottom style="hair">
        <color theme="0" tint="-0.499984740745262"/>
      </bottom>
      <diagonal/>
    </border>
    <border>
      <left style="thin">
        <color theme="0" tint="-0.499984740745262"/>
      </left>
      <right/>
      <top/>
      <bottom/>
      <diagonal/>
    </border>
    <border>
      <left style="thin">
        <color theme="0" tint="-0.499984740745262"/>
      </left>
      <right/>
      <top style="thin">
        <color theme="0" tint="-0.499984740745262"/>
      </top>
      <bottom/>
      <diagonal/>
    </border>
    <border>
      <left style="thin">
        <color theme="0" tint="-0.499984740745262"/>
      </left>
      <right/>
      <top/>
      <bottom style="thin">
        <color theme="0" tint="-0.499984740745262"/>
      </bottom>
      <diagonal/>
    </border>
    <border>
      <left style="dotted">
        <color theme="0" tint="-0.499984740745262"/>
      </left>
      <right/>
      <top style="thin">
        <color theme="0" tint="-0.499984740745262"/>
      </top>
      <bottom/>
      <diagonal/>
    </border>
    <border>
      <left/>
      <right style="dotted">
        <color theme="0" tint="-0.499984740745262"/>
      </right>
      <top style="thin">
        <color theme="0" tint="-0.499984740745262"/>
      </top>
      <bottom/>
      <diagonal/>
    </border>
    <border>
      <left style="dotted">
        <color theme="0" tint="-0.499984740745262"/>
      </left>
      <right/>
      <top style="hair">
        <color theme="0" tint="-0.499984740745262"/>
      </top>
      <bottom/>
      <diagonal/>
    </border>
    <border>
      <left/>
      <right style="dotted">
        <color theme="0" tint="-0.499984740745262"/>
      </right>
      <top style="hair">
        <color theme="0" tint="-0.499984740745262"/>
      </top>
      <bottom/>
      <diagonal/>
    </border>
    <border>
      <left style="dotted">
        <color theme="0" tint="-0.499984740745262"/>
      </left>
      <right/>
      <top/>
      <bottom style="hair">
        <color theme="0" tint="-0.499984740745262"/>
      </bottom>
      <diagonal/>
    </border>
    <border>
      <left/>
      <right style="dotted">
        <color theme="0" tint="-0.499984740745262"/>
      </right>
      <top/>
      <bottom style="hair">
        <color theme="0" tint="-0.499984740745262"/>
      </bottom>
      <diagonal/>
    </border>
    <border>
      <left/>
      <right style="dotted">
        <color theme="0" tint="-0.499984740745262"/>
      </right>
      <top/>
      <bottom/>
      <diagonal/>
    </border>
    <border>
      <left style="dotted">
        <color theme="0" tint="-0.499984740745262"/>
      </left>
      <right/>
      <top/>
      <bottom style="thin">
        <color theme="0" tint="-0.499984740745262"/>
      </bottom>
      <diagonal/>
    </border>
    <border>
      <left style="thin">
        <color rgb="FF0070C0"/>
      </left>
      <right/>
      <top style="thin">
        <color rgb="FF0070C0"/>
      </top>
      <bottom style="thin">
        <color rgb="FF0070C0"/>
      </bottom>
      <diagonal/>
    </border>
    <border>
      <left/>
      <right style="thin">
        <color rgb="FF0070C0"/>
      </right>
      <top style="thin">
        <color rgb="FF0070C0"/>
      </top>
      <bottom style="thin">
        <color rgb="FF0070C0"/>
      </bottom>
      <diagonal/>
    </border>
    <border>
      <left/>
      <right/>
      <top style="thin">
        <color rgb="FF0070C0"/>
      </top>
      <bottom style="thin">
        <color rgb="FF0070C0"/>
      </bottom>
      <diagonal/>
    </border>
    <border>
      <left style="hair">
        <color theme="0" tint="-0.14993743705557422"/>
      </left>
      <right style="hair">
        <color theme="0" tint="-0.14993743705557422"/>
      </right>
      <top/>
      <bottom style="thin">
        <color theme="0" tint="-0.14993743705557422"/>
      </bottom>
      <diagonal/>
    </border>
    <border>
      <left/>
      <right style="hair">
        <color indexed="64"/>
      </right>
      <top/>
      <bottom style="thin">
        <color theme="0" tint="-0.499984740745262"/>
      </bottom>
      <diagonal/>
    </border>
    <border>
      <left style="hair">
        <color auto="1"/>
      </left>
      <right/>
      <top/>
      <bottom style="thin">
        <color theme="0" tint="-0.499984740745262"/>
      </bottom>
      <diagonal/>
    </border>
    <border>
      <left/>
      <right style="hair">
        <color indexed="64"/>
      </right>
      <top style="hair">
        <color indexed="64"/>
      </top>
      <bottom style="thin">
        <color theme="0" tint="-0.499984740745262"/>
      </bottom>
      <diagonal/>
    </border>
    <border>
      <left style="hair">
        <color auto="1"/>
      </left>
      <right/>
      <top style="hair">
        <color indexed="64"/>
      </top>
      <bottom style="thin">
        <color theme="0" tint="-0.499984740745262"/>
      </bottom>
      <diagonal/>
    </border>
    <border>
      <left style="thin">
        <color theme="0" tint="-0.499984740745262"/>
      </left>
      <right style="hair">
        <color indexed="64"/>
      </right>
      <top/>
      <bottom/>
      <diagonal/>
    </border>
    <border>
      <left style="hair">
        <color indexed="64"/>
      </left>
      <right style="thin">
        <color theme="0" tint="-0.499984740745262"/>
      </right>
      <top/>
      <bottom/>
      <diagonal/>
    </border>
    <border>
      <left style="thin">
        <color theme="0" tint="-0.499984740745262"/>
      </left>
      <right style="hair">
        <color indexed="64"/>
      </right>
      <top/>
      <bottom style="thin">
        <color theme="0" tint="-0.499984740745262"/>
      </bottom>
      <diagonal/>
    </border>
    <border>
      <left style="hair">
        <color indexed="64"/>
      </left>
      <right style="thin">
        <color theme="0" tint="-0.499984740745262"/>
      </right>
      <top/>
      <bottom style="thin">
        <color theme="0" tint="-0.499984740745262"/>
      </bottom>
      <diagonal/>
    </border>
    <border>
      <left style="thin">
        <color theme="0" tint="-0.499984740745262"/>
      </left>
      <right style="hair">
        <color indexed="64"/>
      </right>
      <top style="hair">
        <color indexed="64"/>
      </top>
      <bottom style="hair">
        <color indexed="64"/>
      </bottom>
      <diagonal/>
    </border>
    <border>
      <left style="thin">
        <color theme="0" tint="-0.499984740745262"/>
      </left>
      <right style="hair">
        <color indexed="64"/>
      </right>
      <top style="hair">
        <color indexed="64"/>
      </top>
      <bottom style="thin">
        <color theme="0" tint="-0.499984740745262"/>
      </bottom>
      <diagonal/>
    </border>
    <border>
      <left style="thin">
        <color theme="0" tint="-0.499984740745262"/>
      </left>
      <right style="hair">
        <color indexed="64"/>
      </right>
      <top style="hair">
        <color indexed="64"/>
      </top>
      <bottom/>
      <diagonal/>
    </border>
    <border>
      <left style="thin">
        <color theme="0" tint="-0.499984740745262"/>
      </left>
      <right/>
      <top style="thin">
        <color theme="0" tint="-0.499984740745262"/>
      </top>
      <bottom style="hair">
        <color theme="0" tint="-0.499984740745262"/>
      </bottom>
      <diagonal/>
    </border>
    <border>
      <left/>
      <right/>
      <top style="thin">
        <color theme="0" tint="-0.499984740745262"/>
      </top>
      <bottom style="hair">
        <color theme="0" tint="-0.499984740745262"/>
      </bottom>
      <diagonal/>
    </border>
    <border>
      <left/>
      <right style="thin">
        <color theme="0" tint="-0.499984740745262"/>
      </right>
      <top style="thin">
        <color theme="0" tint="-0.499984740745262"/>
      </top>
      <bottom style="hair">
        <color theme="0" tint="-0.499984740745262"/>
      </bottom>
      <diagonal/>
    </border>
    <border>
      <left style="hair">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hair">
        <color auto="1"/>
      </right>
      <top style="hair">
        <color theme="0" tint="-0.499984740745262"/>
      </top>
      <bottom/>
      <diagonal/>
    </border>
    <border>
      <left style="hair">
        <color auto="1"/>
      </left>
      <right style="hair">
        <color theme="0" tint="-0.499984740745262"/>
      </right>
      <top style="hair">
        <color theme="0" tint="-0.499984740745262"/>
      </top>
      <bottom/>
      <diagonal/>
    </border>
    <border>
      <left style="hair">
        <color theme="0" tint="-0.499984740745262"/>
      </left>
      <right style="hair">
        <color auto="1"/>
      </right>
      <top/>
      <bottom/>
      <diagonal/>
    </border>
    <border>
      <left style="hair">
        <color auto="1"/>
      </left>
      <right style="hair">
        <color theme="0" tint="-0.499984740745262"/>
      </right>
      <top/>
      <bottom/>
      <diagonal/>
    </border>
    <border>
      <left style="hair">
        <color theme="0" tint="-0.499984740745262"/>
      </left>
      <right style="hair">
        <color auto="1"/>
      </right>
      <top/>
      <bottom style="thin">
        <color theme="0" tint="-0.499984740745262"/>
      </bottom>
      <diagonal/>
    </border>
    <border>
      <left style="hair">
        <color auto="1"/>
      </left>
      <right style="hair">
        <color theme="0" tint="-0.499984740745262"/>
      </right>
      <top/>
      <bottom style="thin">
        <color theme="0" tint="-0.499984740745262"/>
      </bottom>
      <diagonal/>
    </border>
    <border>
      <left style="hair">
        <color theme="0" tint="-0.499984740745262"/>
      </left>
      <right/>
      <top style="thin">
        <color theme="0" tint="-0.499984740745262"/>
      </top>
      <bottom/>
      <diagonal/>
    </border>
    <border>
      <left/>
      <right style="hair">
        <color theme="0" tint="-0.499984740745262"/>
      </right>
      <top style="thin">
        <color theme="0" tint="-0.499984740745262"/>
      </top>
      <bottom/>
      <diagonal/>
    </border>
    <border>
      <left style="hair">
        <color theme="0" tint="-0.499984740745262"/>
      </left>
      <right/>
      <top/>
      <bottom/>
      <diagonal/>
    </border>
    <border>
      <left/>
      <right style="hair">
        <color theme="0" tint="-0.499984740745262"/>
      </right>
      <top/>
      <bottom/>
      <diagonal/>
    </border>
    <border>
      <left style="hair">
        <color theme="0" tint="-0.499984740745262"/>
      </left>
      <right/>
      <top/>
      <bottom style="thin">
        <color theme="0" tint="-0.499984740745262"/>
      </bottom>
      <diagonal/>
    </border>
    <border>
      <left/>
      <right style="hair">
        <color theme="0" tint="-0.499984740745262"/>
      </right>
      <top/>
      <bottom style="thin">
        <color theme="0" tint="-0.499984740745262"/>
      </bottom>
      <diagonal/>
    </border>
    <border>
      <left style="hair">
        <color theme="0" tint="-0.499984740745262"/>
      </left>
      <right style="hair">
        <color auto="1"/>
      </right>
      <top style="hair">
        <color indexed="64"/>
      </top>
      <bottom/>
      <diagonal/>
    </border>
    <border>
      <left style="hair">
        <color auto="1"/>
      </left>
      <right style="hair">
        <color theme="0" tint="-0.499984740745262"/>
      </right>
      <top style="hair">
        <color indexed="64"/>
      </top>
      <bottom/>
      <diagonal/>
    </border>
    <border>
      <left style="hair">
        <color theme="0" tint="-0.499984740745262"/>
      </left>
      <right style="hair">
        <color auto="1"/>
      </right>
      <top style="hair">
        <color auto="1"/>
      </top>
      <bottom style="hair">
        <color auto="1"/>
      </bottom>
      <diagonal/>
    </border>
    <border>
      <left style="hair">
        <color auto="1"/>
      </left>
      <right style="hair">
        <color theme="0" tint="-0.499984740745262"/>
      </right>
      <top style="hair">
        <color auto="1"/>
      </top>
      <bottom style="hair">
        <color auto="1"/>
      </bottom>
      <diagonal/>
    </border>
    <border>
      <left style="hair">
        <color theme="0" tint="-0.499984740745262"/>
      </left>
      <right style="hair">
        <color auto="1"/>
      </right>
      <top style="hair">
        <color auto="1"/>
      </top>
      <bottom style="thin">
        <color theme="0" tint="-0.499984740745262"/>
      </bottom>
      <diagonal/>
    </border>
    <border>
      <left style="hair">
        <color auto="1"/>
      </left>
      <right style="hair">
        <color theme="0" tint="-0.499984740745262"/>
      </right>
      <top style="hair">
        <color auto="1"/>
      </top>
      <bottom style="thin">
        <color theme="0" tint="-0.499984740745262"/>
      </bottom>
      <diagonal/>
    </border>
    <border>
      <left/>
      <right style="hair">
        <color theme="0" tint="-0.499984740745262"/>
      </right>
      <top style="hair">
        <color theme="0" tint="-0.499984740745262"/>
      </top>
      <bottom style="hair">
        <color theme="0" tint="-0.499984740745262"/>
      </bottom>
      <diagonal/>
    </border>
    <border>
      <left style="thin">
        <color theme="0" tint="-0.499984740745262"/>
      </left>
      <right style="hair">
        <color indexed="64"/>
      </right>
      <top/>
      <bottom style="hair">
        <color indexed="64"/>
      </bottom>
      <diagonal/>
    </border>
    <border>
      <left style="hair">
        <color theme="0" tint="-0.499984740745262"/>
      </left>
      <right style="hair">
        <color auto="1"/>
      </right>
      <top/>
      <bottom style="hair">
        <color auto="1"/>
      </bottom>
      <diagonal/>
    </border>
    <border>
      <left style="hair">
        <color auto="1"/>
      </left>
      <right style="hair">
        <color theme="0" tint="-0.499984740745262"/>
      </right>
      <top/>
      <bottom style="hair">
        <color auto="1"/>
      </bottom>
      <diagonal/>
    </border>
    <border>
      <left/>
      <right style="hair">
        <color theme="0" tint="-0.499984740745262"/>
      </right>
      <top style="hair">
        <color theme="0" tint="-0.499984740745262"/>
      </top>
      <bottom style="thin">
        <color theme="0" tint="-0.499984740745262"/>
      </bottom>
      <diagonal/>
    </border>
    <border>
      <left style="thin">
        <color theme="0" tint="-0.499984740745262"/>
      </left>
      <right style="hair">
        <color indexed="64"/>
      </right>
      <top style="hair">
        <color theme="0" tint="-0.499984740745262"/>
      </top>
      <bottom style="hair">
        <color indexed="64"/>
      </bottom>
      <diagonal/>
    </border>
    <border>
      <left style="hair">
        <color auto="1"/>
      </left>
      <right/>
      <top style="hair">
        <color theme="0" tint="-0.499984740745262"/>
      </top>
      <bottom style="hair">
        <color indexed="64"/>
      </bottom>
      <diagonal/>
    </border>
    <border>
      <left style="hair">
        <color theme="0" tint="-0.499984740745262"/>
      </left>
      <right style="hair">
        <color auto="1"/>
      </right>
      <top style="hair">
        <color theme="0" tint="-0.499984740745262"/>
      </top>
      <bottom style="hair">
        <color auto="1"/>
      </bottom>
      <diagonal/>
    </border>
    <border>
      <left style="hair">
        <color auto="1"/>
      </left>
      <right style="hair">
        <color theme="0" tint="-0.499984740745262"/>
      </right>
      <top style="hair">
        <color theme="0" tint="-0.499984740745262"/>
      </top>
      <bottom style="hair">
        <color auto="1"/>
      </bottom>
      <diagonal/>
    </border>
    <border>
      <left/>
      <right style="hair">
        <color indexed="64"/>
      </right>
      <top style="hair">
        <color theme="0" tint="-0.499984740745262"/>
      </top>
      <bottom style="hair">
        <color indexed="64"/>
      </bottom>
      <diagonal/>
    </border>
    <border>
      <left style="hair">
        <color theme="0" tint="-0.499984740745262"/>
      </left>
      <right/>
      <top style="thin">
        <color theme="0" tint="-0.499984740745262"/>
      </top>
      <bottom style="hair">
        <color theme="0" tint="-0.499984740745262"/>
      </bottom>
      <diagonal/>
    </border>
    <border>
      <left/>
      <right style="hair">
        <color theme="0" tint="-0.499984740745262"/>
      </right>
      <top style="thin">
        <color theme="0" tint="-0.499984740745262"/>
      </top>
      <bottom style="hair">
        <color theme="0" tint="-0.499984740745262"/>
      </bottom>
      <diagonal/>
    </border>
    <border>
      <left style="thin">
        <color theme="0" tint="-0.499984740745262"/>
      </left>
      <right style="hair">
        <color indexed="64"/>
      </right>
      <top style="thin">
        <color theme="0" tint="-0.499984740745262"/>
      </top>
      <bottom style="hair">
        <color theme="0" tint="-0.499984740745262"/>
      </bottom>
      <diagonal/>
    </border>
    <border>
      <left style="hair">
        <color auto="1"/>
      </left>
      <right/>
      <top style="thin">
        <color theme="0" tint="-0.499984740745262"/>
      </top>
      <bottom style="hair">
        <color theme="0" tint="-0.499984740745262"/>
      </bottom>
      <diagonal/>
    </border>
    <border>
      <left style="hair">
        <color theme="0" tint="-0.499984740745262"/>
      </left>
      <right style="hair">
        <color auto="1"/>
      </right>
      <top style="thin">
        <color theme="0" tint="-0.499984740745262"/>
      </top>
      <bottom style="hair">
        <color theme="0" tint="-0.499984740745262"/>
      </bottom>
      <diagonal/>
    </border>
    <border>
      <left style="hair">
        <color auto="1"/>
      </left>
      <right style="hair">
        <color theme="0" tint="-0.499984740745262"/>
      </right>
      <top style="thin">
        <color theme="0" tint="-0.499984740745262"/>
      </top>
      <bottom style="hair">
        <color theme="0" tint="-0.499984740745262"/>
      </bottom>
      <diagonal/>
    </border>
    <border>
      <left/>
      <right style="hair">
        <color indexed="64"/>
      </right>
      <top style="thin">
        <color theme="0" tint="-0.499984740745262"/>
      </top>
      <bottom style="hair">
        <color theme="0" tint="-0.499984740745262"/>
      </bottom>
      <diagonal/>
    </border>
    <border>
      <left style="hair">
        <color theme="0" tint="-0.499984740745262"/>
      </left>
      <right/>
      <top style="hair">
        <color theme="0" tint="-0.499984740745262"/>
      </top>
      <bottom style="hair">
        <color theme="0" tint="-0.499984740745262"/>
      </bottom>
      <diagonal/>
    </border>
    <border>
      <left style="thin">
        <color theme="0" tint="-0.499984740745262"/>
      </left>
      <right style="hair">
        <color indexed="64"/>
      </right>
      <top style="hair">
        <color theme="0" tint="-0.499984740745262"/>
      </top>
      <bottom style="hair">
        <color theme="0" tint="-0.499984740745262"/>
      </bottom>
      <diagonal/>
    </border>
    <border>
      <left style="hair">
        <color auto="1"/>
      </left>
      <right/>
      <top style="hair">
        <color theme="0" tint="-0.499984740745262"/>
      </top>
      <bottom style="hair">
        <color theme="0" tint="-0.499984740745262"/>
      </bottom>
      <diagonal/>
    </border>
    <border>
      <left style="hair">
        <color theme="0" tint="-0.499984740745262"/>
      </left>
      <right style="hair">
        <color auto="1"/>
      </right>
      <top style="hair">
        <color theme="0" tint="-0.499984740745262"/>
      </top>
      <bottom style="hair">
        <color theme="0" tint="-0.499984740745262"/>
      </bottom>
      <diagonal/>
    </border>
    <border>
      <left style="hair">
        <color auto="1"/>
      </left>
      <right style="hair">
        <color theme="0" tint="-0.499984740745262"/>
      </right>
      <top style="hair">
        <color theme="0" tint="-0.499984740745262"/>
      </top>
      <bottom style="hair">
        <color theme="0" tint="-0.499984740745262"/>
      </bottom>
      <diagonal/>
    </border>
    <border>
      <left/>
      <right style="hair">
        <color indexed="64"/>
      </right>
      <top style="hair">
        <color theme="0" tint="-0.499984740745262"/>
      </top>
      <bottom style="hair">
        <color theme="0" tint="-0.499984740745262"/>
      </bottom>
      <diagonal/>
    </border>
    <border>
      <left/>
      <right/>
      <top style="hair">
        <color theme="0" tint="-0.499984740745262"/>
      </top>
      <bottom style="thin">
        <color theme="0" tint="-0.499984740745262"/>
      </bottom>
      <diagonal/>
    </border>
    <border>
      <left/>
      <right style="thin">
        <color theme="0" tint="-0.499984740745262"/>
      </right>
      <top style="hair">
        <color theme="0" tint="-0.499984740745262"/>
      </top>
      <bottom style="thin">
        <color theme="0" tint="-0.499984740745262"/>
      </bottom>
      <diagonal/>
    </border>
    <border>
      <left style="thin">
        <color theme="0" tint="-0.499984740745262"/>
      </left>
      <right/>
      <top style="hair">
        <color theme="0" tint="-0.499984740745262"/>
      </top>
      <bottom style="thin">
        <color theme="0" tint="-0.499984740745262"/>
      </bottom>
      <diagonal/>
    </border>
    <border>
      <left style="hair">
        <color theme="0" tint="-0.499984740745262"/>
      </left>
      <right/>
      <top style="hair">
        <color theme="0" tint="-0.499984740745262"/>
      </top>
      <bottom style="thin">
        <color theme="0" tint="-0.499984740745262"/>
      </bottom>
      <diagonal/>
    </border>
    <border>
      <left style="thin">
        <color theme="0" tint="-0.499984740745262"/>
      </left>
      <right style="hair">
        <color indexed="64"/>
      </right>
      <top style="hair">
        <color theme="0" tint="-0.499984740745262"/>
      </top>
      <bottom style="thin">
        <color theme="0" tint="-0.499984740745262"/>
      </bottom>
      <diagonal/>
    </border>
    <border>
      <left style="hair">
        <color auto="1"/>
      </left>
      <right/>
      <top style="hair">
        <color theme="0" tint="-0.499984740745262"/>
      </top>
      <bottom style="thin">
        <color theme="0" tint="-0.499984740745262"/>
      </bottom>
      <diagonal/>
    </border>
    <border>
      <left style="hair">
        <color theme="0" tint="-0.499984740745262"/>
      </left>
      <right style="hair">
        <color auto="1"/>
      </right>
      <top style="hair">
        <color theme="0" tint="-0.499984740745262"/>
      </top>
      <bottom style="thin">
        <color theme="0" tint="-0.499984740745262"/>
      </bottom>
      <diagonal/>
    </border>
    <border>
      <left style="hair">
        <color auto="1"/>
      </left>
      <right style="hair">
        <color theme="0" tint="-0.499984740745262"/>
      </right>
      <top style="hair">
        <color theme="0" tint="-0.499984740745262"/>
      </top>
      <bottom style="thin">
        <color theme="0" tint="-0.499984740745262"/>
      </bottom>
      <diagonal/>
    </border>
    <border>
      <left/>
      <right style="hair">
        <color indexed="64"/>
      </right>
      <top style="hair">
        <color theme="0" tint="-0.499984740745262"/>
      </top>
      <bottom style="thin">
        <color theme="0" tint="-0.499984740745262"/>
      </bottom>
      <diagonal/>
    </border>
    <border>
      <left style="hair">
        <color auto="1"/>
      </left>
      <right style="thin">
        <color theme="0" tint="-0.499984740745262"/>
      </right>
      <top style="hair">
        <color theme="0" tint="-0.499984740745262"/>
      </top>
      <bottom style="thin">
        <color theme="0" tint="-0.499984740745262"/>
      </bottom>
      <diagonal/>
    </border>
    <border>
      <left style="hair">
        <color indexed="64"/>
      </left>
      <right style="thin">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style="hair">
        <color theme="0" tint="-0.499984740745262"/>
      </left>
      <right style="hair">
        <color theme="0" tint="-0.499984740745262"/>
      </right>
      <top style="thin">
        <color theme="0" tint="-0.499984740745262"/>
      </top>
      <bottom/>
      <diagonal/>
    </border>
    <border>
      <left style="hair">
        <color theme="0" tint="-0.499984740745262"/>
      </left>
      <right style="thin">
        <color theme="0" tint="-0.499984740745262"/>
      </right>
      <top style="thin">
        <color theme="0" tint="-0.499984740745262"/>
      </top>
      <bottom/>
      <diagonal/>
    </border>
    <border>
      <left style="hair">
        <color theme="0" tint="-0.499984740745262"/>
      </left>
      <right style="hair">
        <color theme="0" tint="-0.499984740745262"/>
      </right>
      <top/>
      <bottom style="thin">
        <color theme="0" tint="-0.499984740745262"/>
      </bottom>
      <diagonal/>
    </border>
    <border>
      <left style="hair">
        <color theme="0" tint="-0.499984740745262"/>
      </left>
      <right style="thin">
        <color theme="0" tint="-0.499984740745262"/>
      </right>
      <top/>
      <bottom style="thin">
        <color theme="0" tint="-0.499984740745262"/>
      </bottom>
      <diagonal/>
    </border>
    <border>
      <left style="hair">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hair">
        <color indexed="64"/>
      </left>
      <right style="hair">
        <color indexed="64"/>
      </right>
      <top style="thin">
        <color theme="0" tint="-0.499984740745262"/>
      </top>
      <bottom style="thin">
        <color theme="0" tint="-0.499984740745262"/>
      </bottom>
      <diagonal/>
    </border>
    <border>
      <left style="thin">
        <color theme="0" tint="-0.499984740745262"/>
      </left>
      <right style="hair">
        <color indexed="64"/>
      </right>
      <top style="thin">
        <color theme="0" tint="-0.499984740745262"/>
      </top>
      <bottom style="thin">
        <color theme="0" tint="-0.499984740745262"/>
      </bottom>
      <diagonal/>
    </border>
    <border>
      <left style="hair">
        <color indexed="64"/>
      </left>
      <right/>
      <top style="thin">
        <color theme="0" tint="-0.499984740745262"/>
      </top>
      <bottom style="thin">
        <color theme="0" tint="-0.499984740745262"/>
      </bottom>
      <diagonal/>
    </border>
    <border>
      <left style="hair">
        <color theme="0" tint="-0.499984740745262"/>
      </left>
      <right style="hair">
        <color theme="0" tint="-0.499984740745262"/>
      </right>
      <top style="thin">
        <color theme="0" tint="-0.499984740745262"/>
      </top>
      <bottom style="thin">
        <color theme="0" tint="-0.499984740745262"/>
      </bottom>
      <diagonal/>
    </border>
    <border>
      <left/>
      <right style="dotted">
        <color theme="0" tint="-0.499984740745262"/>
      </right>
      <top/>
      <bottom style="thin">
        <color theme="0" tint="-0.499984740745262"/>
      </bottom>
      <diagonal/>
    </border>
    <border>
      <left style="thin">
        <color theme="0" tint="-0.24994659260841701"/>
      </left>
      <right style="thin">
        <color theme="0" tint="-0.14996795556505021"/>
      </right>
      <top style="thin">
        <color theme="0" tint="-0.24994659260841701"/>
      </top>
      <bottom style="thin">
        <color theme="0" tint="-0.14996795556505021"/>
      </bottom>
      <diagonal/>
    </border>
    <border>
      <left style="thin">
        <color theme="0" tint="-0.14996795556505021"/>
      </left>
      <right style="thin">
        <color theme="0" tint="-0.14996795556505021"/>
      </right>
      <top style="thin">
        <color theme="0" tint="-0.24994659260841701"/>
      </top>
      <bottom style="thin">
        <color theme="0" tint="-0.14996795556505021"/>
      </bottom>
      <diagonal/>
    </border>
    <border>
      <left style="thin">
        <color theme="0" tint="-0.14996795556505021"/>
      </left>
      <right style="thin">
        <color theme="0" tint="-0.24994659260841701"/>
      </right>
      <top style="thin">
        <color theme="0" tint="-0.24994659260841701"/>
      </top>
      <bottom style="thin">
        <color theme="0" tint="-0.14996795556505021"/>
      </bottom>
      <diagonal/>
    </border>
    <border>
      <left style="thin">
        <color theme="0" tint="-0.24994659260841701"/>
      </left>
      <right style="thin">
        <color theme="0" tint="-0.14996795556505021"/>
      </right>
      <top style="thin">
        <color theme="0" tint="-0.14996795556505021"/>
      </top>
      <bottom style="thin">
        <color theme="0" tint="-0.24994659260841701"/>
      </bottom>
      <diagonal/>
    </border>
    <border>
      <left style="thin">
        <color theme="0" tint="-0.14996795556505021"/>
      </left>
      <right style="thin">
        <color theme="0" tint="-0.14996795556505021"/>
      </right>
      <top style="thin">
        <color theme="0" tint="-0.14996795556505021"/>
      </top>
      <bottom style="thin">
        <color theme="0" tint="-0.24994659260841701"/>
      </bottom>
      <diagonal/>
    </border>
    <border>
      <left style="thin">
        <color theme="0" tint="-0.14996795556505021"/>
      </left>
      <right style="thin">
        <color theme="0" tint="-0.24994659260841701"/>
      </right>
      <top style="thin">
        <color theme="0" tint="-0.1499679555650502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14996795556505021"/>
      </bottom>
      <diagonal/>
    </border>
    <border>
      <left style="thin">
        <color theme="0" tint="-0.24994659260841701"/>
      </left>
      <right style="thin">
        <color theme="0" tint="-0.24994659260841701"/>
      </right>
      <top style="thin">
        <color theme="0" tint="-0.14996795556505021"/>
      </top>
      <bottom style="thin">
        <color theme="0" tint="-0.24994659260841701"/>
      </bottom>
      <diagonal/>
    </border>
    <border>
      <left style="thin">
        <color theme="0" tint="-0.24994659260841701"/>
      </left>
      <right style="hair">
        <color theme="0" tint="-0.14993743705557422"/>
      </right>
      <top/>
      <bottom style="thin">
        <color theme="0" tint="-0.14993743705557422"/>
      </bottom>
      <diagonal/>
    </border>
    <border>
      <left style="hair">
        <color theme="0" tint="-0.14993743705557422"/>
      </left>
      <right style="thin">
        <color theme="0" tint="-0.24994659260841701"/>
      </right>
      <top/>
      <bottom style="thin">
        <color theme="0" tint="-0.14993743705557422"/>
      </bottom>
      <diagonal/>
    </border>
    <border>
      <left style="thin">
        <color theme="0" tint="-0.24994659260841701"/>
      </left>
      <right style="hair">
        <color theme="0" tint="-0.14993743705557422"/>
      </right>
      <top/>
      <bottom style="hair">
        <color theme="0" tint="-0.14993743705557422"/>
      </bottom>
      <diagonal/>
    </border>
    <border>
      <left style="hair">
        <color theme="0" tint="-0.14993743705557422"/>
      </left>
      <right style="thin">
        <color theme="0" tint="-0.24994659260841701"/>
      </right>
      <top/>
      <bottom style="hair">
        <color theme="0" tint="-0.14993743705557422"/>
      </bottom>
      <diagonal/>
    </border>
    <border>
      <left style="thin">
        <color theme="0" tint="-0.24994659260841701"/>
      </left>
      <right style="hair">
        <color theme="0" tint="-0.14993743705557422"/>
      </right>
      <top style="hair">
        <color theme="0" tint="-0.14993743705557422"/>
      </top>
      <bottom style="thin">
        <color theme="0" tint="-0.24994659260841701"/>
      </bottom>
      <diagonal/>
    </border>
    <border>
      <left style="hair">
        <color theme="0" tint="-0.14993743705557422"/>
      </left>
      <right style="hair">
        <color theme="0" tint="-0.14993743705557422"/>
      </right>
      <top style="hair">
        <color theme="0" tint="-0.14993743705557422"/>
      </top>
      <bottom style="thin">
        <color theme="0" tint="-0.24994659260841701"/>
      </bottom>
      <diagonal/>
    </border>
    <border>
      <left style="hair">
        <color theme="0" tint="-0.14993743705557422"/>
      </left>
      <right style="thin">
        <color theme="0" tint="-0.24994659260841701"/>
      </right>
      <top style="hair">
        <color theme="0" tint="-0.14993743705557422"/>
      </top>
      <bottom style="thin">
        <color theme="0" tint="-0.24994659260841701"/>
      </bottom>
      <diagonal/>
    </border>
    <border>
      <left style="thin">
        <color theme="0" tint="-0.24994659260841701"/>
      </left>
      <right style="thin">
        <color theme="0" tint="-0.24994659260841701"/>
      </right>
      <top/>
      <bottom style="thin">
        <color theme="0" tint="-0.14993743705557422"/>
      </bottom>
      <diagonal/>
    </border>
    <border>
      <left style="thin">
        <color theme="0" tint="-0.24994659260841701"/>
      </left>
      <right style="thin">
        <color theme="0" tint="-0.24994659260841701"/>
      </right>
      <top style="hair">
        <color theme="0" tint="-0.1498458815271462"/>
      </top>
      <bottom/>
      <diagonal/>
    </border>
    <border>
      <left style="thin">
        <color theme="0" tint="-0.24994659260841701"/>
      </left>
      <right style="thin">
        <color theme="0" tint="-0.24994659260841701"/>
      </right>
      <top style="thin">
        <color theme="0" tint="-0.14993743705557422"/>
      </top>
      <bottom style="hair">
        <color theme="0" tint="-0.24994659260841701"/>
      </bottom>
      <diagonal/>
    </border>
    <border>
      <left style="thin">
        <color theme="0" tint="-0.24994659260841701"/>
      </left>
      <right style="hair">
        <color theme="0" tint="-0.14993743705557422"/>
      </right>
      <top style="thin">
        <color theme="0" tint="-0.14993743705557422"/>
      </top>
      <bottom style="hair">
        <color theme="0" tint="-0.24994659260841701"/>
      </bottom>
      <diagonal/>
    </border>
    <border>
      <left style="hair">
        <color theme="0" tint="-0.14993743705557422"/>
      </left>
      <right style="hair">
        <color theme="0" tint="-0.14993743705557422"/>
      </right>
      <top style="thin">
        <color theme="0" tint="-0.14993743705557422"/>
      </top>
      <bottom style="hair">
        <color theme="0" tint="-0.24994659260841701"/>
      </bottom>
      <diagonal/>
    </border>
    <border>
      <left style="hair">
        <color theme="0" tint="-0.14993743705557422"/>
      </left>
      <right style="thin">
        <color theme="0" tint="-0.24994659260841701"/>
      </right>
      <top style="thin">
        <color theme="0" tint="-0.14993743705557422"/>
      </top>
      <bottom style="hair">
        <color theme="0" tint="-0.24994659260841701"/>
      </bottom>
      <diagonal/>
    </border>
    <border>
      <left style="thin">
        <color theme="0" tint="-0.24994659260841701"/>
      </left>
      <right style="hair">
        <color theme="0" tint="-0.14993743705557422"/>
      </right>
      <top style="hair">
        <color theme="0" tint="-0.24994659260841701"/>
      </top>
      <bottom style="hair">
        <color theme="0" tint="-0.24994659260841701"/>
      </bottom>
      <diagonal/>
    </border>
    <border>
      <left style="hair">
        <color theme="0" tint="-0.14993743705557422"/>
      </left>
      <right style="hair">
        <color theme="0" tint="-0.14993743705557422"/>
      </right>
      <top style="hair">
        <color theme="0" tint="-0.24994659260841701"/>
      </top>
      <bottom style="hair">
        <color theme="0" tint="-0.24994659260841701"/>
      </bottom>
      <diagonal/>
    </border>
    <border>
      <left style="hair">
        <color theme="0" tint="-0.14993743705557422"/>
      </left>
      <right style="thin">
        <color theme="0" tint="-0.24994659260841701"/>
      </right>
      <top style="hair">
        <color theme="0" tint="-0.24994659260841701"/>
      </top>
      <bottom style="hair">
        <color theme="0" tint="-0.24994659260841701"/>
      </bottom>
      <diagonal/>
    </border>
    <border>
      <left style="thin">
        <color theme="0" tint="-0.24994659260841701"/>
      </left>
      <right style="hair">
        <color theme="0" tint="-0.14993743705557422"/>
      </right>
      <top/>
      <bottom style="hair">
        <color theme="0" tint="-0.24994659260841701"/>
      </bottom>
      <diagonal/>
    </border>
    <border>
      <left style="hair">
        <color theme="0" tint="-0.14993743705557422"/>
      </left>
      <right style="hair">
        <color theme="0" tint="-0.14993743705557422"/>
      </right>
      <top/>
      <bottom style="hair">
        <color theme="0" tint="-0.24994659260841701"/>
      </bottom>
      <diagonal/>
    </border>
    <border>
      <left style="hair">
        <color theme="0" tint="-0.14993743705557422"/>
      </left>
      <right style="thin">
        <color theme="0" tint="-0.24994659260841701"/>
      </right>
      <top/>
      <bottom style="hair">
        <color theme="0" tint="-0.24994659260841701"/>
      </bottom>
      <diagonal/>
    </border>
    <border>
      <left style="thin">
        <color theme="0" tint="-0.24994659260841701"/>
      </left>
      <right style="thin">
        <color theme="0" tint="-0.24994659260841701"/>
      </right>
      <top style="hair">
        <color theme="0" tint="-0.24994659260841701"/>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style="hair">
        <color indexed="64"/>
      </top>
      <bottom style="hair">
        <color indexed="64"/>
      </bottom>
      <diagonal/>
    </border>
    <border>
      <left/>
      <right/>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style="thin">
        <color theme="1" tint="0.499984740745262"/>
      </right>
      <top style="hair">
        <color indexed="64"/>
      </top>
      <bottom style="hair">
        <color indexed="64"/>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style="hair">
        <color indexed="64"/>
      </right>
      <top/>
      <bottom/>
      <diagonal/>
    </border>
    <border>
      <left style="hair">
        <color indexed="64"/>
      </left>
      <right style="thin">
        <color theme="1" tint="0.499984740745262"/>
      </right>
      <top/>
      <bottom/>
      <diagonal/>
    </border>
    <border>
      <left style="thin">
        <color theme="1" tint="0.499984740745262"/>
      </left>
      <right style="hair">
        <color indexed="64"/>
      </right>
      <top style="thin">
        <color theme="1" tint="0.499984740745262"/>
      </top>
      <bottom style="thin">
        <color theme="1" tint="0.499984740745262"/>
      </bottom>
      <diagonal/>
    </border>
    <border>
      <left style="hair">
        <color indexed="64"/>
      </left>
      <right style="hair">
        <color indexed="64"/>
      </right>
      <top style="thin">
        <color theme="1" tint="0.499984740745262"/>
      </top>
      <bottom style="thin">
        <color theme="1" tint="0.499984740745262"/>
      </bottom>
      <diagonal/>
    </border>
    <border>
      <left style="hair">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indexed="64"/>
      </right>
      <top style="thin">
        <color theme="1" tint="0.499984740745262"/>
      </top>
      <bottom style="thin">
        <color theme="1" tint="0.499984740745262"/>
      </bottom>
      <diagonal/>
    </border>
    <border>
      <left style="thin">
        <color indexed="64"/>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hair">
        <color theme="1" tint="0.499984740745262"/>
      </bottom>
      <diagonal/>
    </border>
    <border>
      <left/>
      <right/>
      <top style="thin">
        <color theme="1" tint="0.499984740745262"/>
      </top>
      <bottom style="hair">
        <color theme="1" tint="0.499984740745262"/>
      </bottom>
      <diagonal/>
    </border>
    <border>
      <left/>
      <right style="thin">
        <color theme="1" tint="0.499984740745262"/>
      </right>
      <top style="thin">
        <color theme="1" tint="0.499984740745262"/>
      </top>
      <bottom style="hair">
        <color theme="1" tint="0.499984740745262"/>
      </bottom>
      <diagonal/>
    </border>
    <border>
      <left style="thin">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indexed="64"/>
      </right>
      <top style="thin">
        <color theme="1" tint="0.499984740745262"/>
      </top>
      <bottom style="hair">
        <color theme="1" tint="0.499984740745262"/>
      </bottom>
      <diagonal/>
    </border>
    <border>
      <left style="hair">
        <color auto="1"/>
      </left>
      <right style="hair">
        <color auto="1"/>
      </right>
      <top style="thin">
        <color theme="1" tint="0.499984740745262"/>
      </top>
      <bottom style="hair">
        <color theme="1" tint="0.499984740745262"/>
      </bottom>
      <diagonal/>
    </border>
    <border>
      <left style="hair">
        <color indexed="64"/>
      </left>
      <right style="thin">
        <color theme="1" tint="0.499984740745262"/>
      </right>
      <top style="thin">
        <color theme="1" tint="0.499984740745262"/>
      </top>
      <bottom style="hair">
        <color theme="1" tint="0.499984740745262"/>
      </bottom>
      <diagonal/>
    </border>
    <border>
      <left style="thin">
        <color theme="1" tint="0.499984740745262"/>
      </left>
      <right/>
      <top style="hair">
        <color theme="1" tint="0.499984740745262"/>
      </top>
      <bottom style="hair">
        <color theme="1" tint="0.499984740745262"/>
      </bottom>
      <diagonal/>
    </border>
    <border>
      <left/>
      <right/>
      <top style="hair">
        <color theme="1" tint="0.499984740745262"/>
      </top>
      <bottom style="hair">
        <color theme="1" tint="0.499984740745262"/>
      </bottom>
      <diagonal/>
    </border>
    <border>
      <left/>
      <right style="thin">
        <color theme="1" tint="0.499984740745262"/>
      </right>
      <top style="hair">
        <color theme="1" tint="0.499984740745262"/>
      </top>
      <bottom style="hair">
        <color theme="1" tint="0.499984740745262"/>
      </bottom>
      <diagonal/>
    </border>
    <border>
      <left style="thin">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indexed="64"/>
      </right>
      <top style="hair">
        <color theme="1" tint="0.499984740745262"/>
      </top>
      <bottom style="hair">
        <color theme="1" tint="0.499984740745262"/>
      </bottom>
      <diagonal/>
    </border>
    <border>
      <left style="hair">
        <color auto="1"/>
      </left>
      <right/>
      <top style="hair">
        <color theme="1" tint="0.499984740745262"/>
      </top>
      <bottom style="hair">
        <color theme="1" tint="0.499984740745262"/>
      </bottom>
      <diagonal/>
    </border>
    <border>
      <left/>
      <right style="hair">
        <color indexed="64"/>
      </right>
      <top style="hair">
        <color theme="1" tint="0.499984740745262"/>
      </top>
      <bottom style="hair">
        <color theme="1" tint="0.499984740745262"/>
      </bottom>
      <diagonal/>
    </border>
    <border>
      <left style="hair">
        <color indexed="64"/>
      </left>
      <right style="thin">
        <color theme="1" tint="0.499984740745262"/>
      </right>
      <top style="hair">
        <color theme="1" tint="0.499984740745262"/>
      </top>
      <bottom style="hair">
        <color theme="1" tint="0.499984740745262"/>
      </bottom>
      <diagonal/>
    </border>
    <border>
      <left style="thin">
        <color theme="1" tint="0.499984740745262"/>
      </left>
      <right/>
      <top style="hair">
        <color theme="1" tint="0.499984740745262"/>
      </top>
      <bottom style="thin">
        <color theme="1" tint="0.499984740745262"/>
      </bottom>
      <diagonal/>
    </border>
    <border>
      <left/>
      <right/>
      <top style="hair">
        <color theme="1" tint="0.499984740745262"/>
      </top>
      <bottom style="thin">
        <color theme="1" tint="0.499984740745262"/>
      </bottom>
      <diagonal/>
    </border>
    <border>
      <left/>
      <right style="thin">
        <color theme="1" tint="0.499984740745262"/>
      </right>
      <top style="hair">
        <color theme="1" tint="0.499984740745262"/>
      </top>
      <bottom style="thin">
        <color theme="1" tint="0.499984740745262"/>
      </bottom>
      <diagonal/>
    </border>
    <border>
      <left style="thin">
        <color theme="1" tint="0.499984740745262"/>
      </left>
      <right style="thin">
        <color theme="1" tint="0.499984740745262"/>
      </right>
      <top style="hair">
        <color theme="1" tint="0.499984740745262"/>
      </top>
      <bottom style="thin">
        <color theme="1" tint="0.499984740745262"/>
      </bottom>
      <diagonal/>
    </border>
    <border>
      <left style="thin">
        <color theme="1" tint="0.499984740745262"/>
      </left>
      <right style="hair">
        <color indexed="64"/>
      </right>
      <top style="hair">
        <color theme="1" tint="0.499984740745262"/>
      </top>
      <bottom style="thin">
        <color theme="1" tint="0.499984740745262"/>
      </bottom>
      <diagonal/>
    </border>
    <border>
      <left style="hair">
        <color auto="1"/>
      </left>
      <right/>
      <top style="hair">
        <color theme="1" tint="0.499984740745262"/>
      </top>
      <bottom style="thin">
        <color theme="1" tint="0.499984740745262"/>
      </bottom>
      <diagonal/>
    </border>
    <border>
      <left/>
      <right style="hair">
        <color indexed="64"/>
      </right>
      <top style="hair">
        <color theme="1" tint="0.499984740745262"/>
      </top>
      <bottom style="thin">
        <color theme="1" tint="0.499984740745262"/>
      </bottom>
      <diagonal/>
    </border>
    <border>
      <left style="hair">
        <color indexed="64"/>
      </left>
      <right style="thin">
        <color theme="1" tint="0.499984740745262"/>
      </right>
      <top style="hair">
        <color theme="1" tint="0.499984740745262"/>
      </top>
      <bottom style="thin">
        <color theme="1" tint="0.499984740745262"/>
      </bottom>
      <diagonal/>
    </border>
    <border>
      <left style="thin">
        <color theme="1" tint="0.499984740745262"/>
      </left>
      <right/>
      <top style="thin">
        <color theme="1" tint="0.499984740745262"/>
      </top>
      <bottom style="hair">
        <color indexed="64"/>
      </bottom>
      <diagonal/>
    </border>
    <border>
      <left/>
      <right/>
      <top style="thin">
        <color theme="1" tint="0.499984740745262"/>
      </top>
      <bottom style="hair">
        <color indexed="64"/>
      </bottom>
      <diagonal/>
    </border>
    <border>
      <left/>
      <right style="thin">
        <color theme="1" tint="0.499984740745262"/>
      </right>
      <top style="thin">
        <color theme="1" tint="0.499984740745262"/>
      </top>
      <bottom style="hair">
        <color indexed="64"/>
      </bottom>
      <diagonal/>
    </border>
    <border>
      <left style="thin">
        <color theme="1" tint="0.499984740745262"/>
      </left>
      <right/>
      <top style="hair">
        <color indexed="64"/>
      </top>
      <bottom style="thin">
        <color theme="1" tint="0.499984740745262"/>
      </bottom>
      <diagonal/>
    </border>
    <border>
      <left/>
      <right/>
      <top style="hair">
        <color indexed="64"/>
      </top>
      <bottom style="thin">
        <color theme="1" tint="0.499984740745262"/>
      </bottom>
      <diagonal/>
    </border>
    <border>
      <left/>
      <right style="thin">
        <color theme="1" tint="0.499984740745262"/>
      </right>
      <top style="hair">
        <color indexed="64"/>
      </top>
      <bottom style="thin">
        <color theme="1" tint="0.499984740745262"/>
      </bottom>
      <diagonal/>
    </border>
    <border>
      <left/>
      <right style="hair">
        <color indexed="64"/>
      </right>
      <top style="thin">
        <color theme="1" tint="0.499984740745262"/>
      </top>
      <bottom style="thin">
        <color theme="1" tint="0.499984740745262"/>
      </bottom>
      <diagonal/>
    </border>
    <border>
      <left style="thin">
        <color theme="1" tint="0.499984740745262"/>
      </left>
      <right style="hair">
        <color theme="1" tint="0.499984740745262"/>
      </right>
      <top/>
      <bottom/>
      <diagonal/>
    </border>
    <border>
      <left style="hair">
        <color theme="1" tint="0.499984740745262"/>
      </left>
      <right style="hair">
        <color theme="1" tint="0.499984740745262"/>
      </right>
      <top/>
      <bottom/>
      <diagonal/>
    </border>
    <border>
      <left style="hair">
        <color theme="1" tint="0.499984740745262"/>
      </left>
      <right style="thin">
        <color theme="1" tint="0.499984740745262"/>
      </right>
      <top/>
      <bottom/>
      <diagonal/>
    </border>
    <border>
      <left style="thin">
        <color theme="1" tint="0.499984740745262"/>
      </left>
      <right style="hair">
        <color theme="1" tint="0.499984740745262"/>
      </right>
      <top style="thin">
        <color theme="1" tint="0.499984740745262"/>
      </top>
      <bottom style="thin">
        <color theme="1" tint="0.499984740745262"/>
      </bottom>
      <diagonal/>
    </border>
    <border>
      <left style="hair">
        <color theme="1" tint="0.499984740745262"/>
      </left>
      <right style="hair">
        <color theme="1" tint="0.499984740745262"/>
      </right>
      <top style="thin">
        <color theme="1" tint="0.499984740745262"/>
      </top>
      <bottom style="thin">
        <color theme="1" tint="0.499984740745262"/>
      </bottom>
      <diagonal/>
    </border>
    <border>
      <left style="hair">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hair">
        <color theme="1" tint="0.499984740745262"/>
      </top>
      <bottom/>
      <diagonal/>
    </border>
    <border>
      <left/>
      <right/>
      <top style="hair">
        <color theme="1" tint="0.499984740745262"/>
      </top>
      <bottom/>
      <diagonal/>
    </border>
    <border>
      <left/>
      <right style="thin">
        <color theme="1" tint="0.499984740745262"/>
      </right>
      <top style="hair">
        <color theme="1" tint="0.499984740745262"/>
      </top>
      <bottom/>
      <diagonal/>
    </border>
    <border>
      <left style="thin">
        <color theme="1" tint="0.499984740745262"/>
      </left>
      <right/>
      <top/>
      <bottom style="hair">
        <color theme="1" tint="0.499984740745262"/>
      </bottom>
      <diagonal/>
    </border>
    <border>
      <left/>
      <right/>
      <top/>
      <bottom style="hair">
        <color theme="1" tint="0.499984740745262"/>
      </bottom>
      <diagonal/>
    </border>
    <border>
      <left/>
      <right style="thin">
        <color theme="1" tint="0.499984740745262"/>
      </right>
      <top/>
      <bottom style="hair">
        <color theme="1" tint="0.499984740745262"/>
      </bottom>
      <diagonal/>
    </border>
    <border>
      <left/>
      <right style="hair">
        <color indexed="64"/>
      </right>
      <top/>
      <bottom style="thin">
        <color theme="1" tint="0.499984740745262"/>
      </bottom>
      <diagonal/>
    </border>
    <border>
      <left style="hair">
        <color auto="1"/>
      </left>
      <right/>
      <top/>
      <bottom style="thin">
        <color theme="1" tint="0.499984740745262"/>
      </bottom>
      <diagonal/>
    </border>
    <border>
      <left style="hair">
        <color auto="1"/>
      </left>
      <right/>
      <top style="thin">
        <color theme="1" tint="0.499984740745262"/>
      </top>
      <bottom style="thin">
        <color theme="1" tint="0.499984740745262"/>
      </bottom>
      <diagonal/>
    </border>
    <border>
      <left/>
      <right style="hair">
        <color indexed="64"/>
      </right>
      <top style="thin">
        <color theme="1" tint="0.499984740745262"/>
      </top>
      <bottom style="hair">
        <color theme="1" tint="0.499984740745262"/>
      </bottom>
      <diagonal/>
    </border>
    <border>
      <left style="hair">
        <color auto="1"/>
      </left>
      <right/>
      <top style="thin">
        <color theme="1" tint="0.499984740745262"/>
      </top>
      <bottom style="hair">
        <color theme="1" tint="0.499984740745262"/>
      </bottom>
      <diagonal/>
    </border>
    <border>
      <left/>
      <right style="hair">
        <color indexed="64"/>
      </right>
      <top style="hair">
        <color theme="1" tint="0.499984740745262"/>
      </top>
      <bottom/>
      <diagonal/>
    </border>
    <border>
      <left style="hair">
        <color auto="1"/>
      </left>
      <right/>
      <top style="hair">
        <color theme="1" tint="0.499984740745262"/>
      </top>
      <bottom/>
      <diagonal/>
    </border>
    <border>
      <left/>
      <right style="hair">
        <color indexed="64"/>
      </right>
      <top/>
      <bottom style="hair">
        <color theme="1" tint="0.499984740745262"/>
      </bottom>
      <diagonal/>
    </border>
    <border>
      <left style="hair">
        <color auto="1"/>
      </left>
      <right/>
      <top/>
      <bottom style="hair">
        <color theme="1" tint="0.499984740745262"/>
      </bottom>
      <diagonal/>
    </border>
    <border>
      <left style="hair">
        <color theme="1" tint="0.499984740745262"/>
      </left>
      <right/>
      <top/>
      <bottom/>
      <diagonal/>
    </border>
    <border>
      <left/>
      <right style="hair">
        <color theme="1" tint="0.499984740745262"/>
      </right>
      <top/>
      <bottom/>
      <diagonal/>
    </border>
    <border>
      <left style="hair">
        <color theme="1" tint="0.499984740745262"/>
      </left>
      <right/>
      <top style="thin">
        <color theme="1" tint="0.499984740745262"/>
      </top>
      <bottom style="hair">
        <color indexed="64"/>
      </bottom>
      <diagonal/>
    </border>
    <border>
      <left/>
      <right style="hair">
        <color theme="1" tint="0.499984740745262"/>
      </right>
      <top style="thin">
        <color theme="1" tint="0.499984740745262"/>
      </top>
      <bottom style="hair">
        <color indexed="64"/>
      </bottom>
      <diagonal/>
    </border>
    <border>
      <left style="hair">
        <color theme="1" tint="0.499984740745262"/>
      </left>
      <right/>
      <top style="hair">
        <color indexed="64"/>
      </top>
      <bottom style="hair">
        <color indexed="64"/>
      </bottom>
      <diagonal/>
    </border>
    <border>
      <left/>
      <right style="hair">
        <color theme="1" tint="0.499984740745262"/>
      </right>
      <top style="hair">
        <color indexed="64"/>
      </top>
      <bottom style="hair">
        <color indexed="64"/>
      </bottom>
      <diagonal/>
    </border>
    <border>
      <left style="hair">
        <color theme="1" tint="0.499984740745262"/>
      </left>
      <right/>
      <top style="hair">
        <color indexed="64"/>
      </top>
      <bottom style="thin">
        <color theme="1" tint="0.499984740745262"/>
      </bottom>
      <diagonal/>
    </border>
    <border>
      <left/>
      <right style="hair">
        <color theme="1" tint="0.499984740745262"/>
      </right>
      <top style="hair">
        <color indexed="64"/>
      </top>
      <bottom style="thin">
        <color theme="1" tint="0.499984740745262"/>
      </bottom>
      <diagonal/>
    </border>
    <border>
      <left style="hair">
        <color theme="1" tint="0.499984740745262"/>
      </left>
      <right/>
      <top/>
      <bottom style="thin">
        <color theme="1" tint="0.499984740745262"/>
      </bottom>
      <diagonal/>
    </border>
    <border>
      <left/>
      <right style="hair">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indexed="64"/>
      </right>
      <top/>
      <bottom/>
      <diagonal/>
    </border>
    <border>
      <left style="thin">
        <color theme="1" tint="0.499984740745262"/>
      </left>
      <right style="hair">
        <color theme="1" tint="0.499984740745262"/>
      </right>
      <top/>
      <bottom style="thin">
        <color theme="1" tint="0.499984740745262"/>
      </bottom>
      <diagonal/>
    </border>
    <border>
      <left style="hair">
        <color theme="1" tint="0.499984740745262"/>
      </left>
      <right style="hair">
        <color theme="1" tint="0.499984740745262"/>
      </right>
      <top/>
      <bottom style="thin">
        <color theme="1" tint="0.499984740745262"/>
      </bottom>
      <diagonal/>
    </border>
    <border>
      <left style="hair">
        <color theme="1" tint="0.499984740745262"/>
      </left>
      <right style="thin">
        <color theme="1" tint="0.499984740745262"/>
      </right>
      <top/>
      <bottom style="thin">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right style="hair">
        <color theme="1" tint="0.499984740745262"/>
      </right>
      <top style="thin">
        <color theme="1" tint="0.499984740745262"/>
      </top>
      <bottom style="hair">
        <color theme="1" tint="0.499984740745262"/>
      </bottom>
      <diagonal/>
    </border>
    <border>
      <left/>
      <right style="hair">
        <color theme="1" tint="0.499984740745262"/>
      </right>
      <top style="hair">
        <color theme="1" tint="0.499984740745262"/>
      </top>
      <bottom style="hair">
        <color theme="1" tint="0.499984740745262"/>
      </bottom>
      <diagonal/>
    </border>
    <border>
      <left style="thin">
        <color theme="1" tint="0.499984740745262"/>
      </left>
      <right style="thin">
        <color theme="1" tint="0.499984740745262"/>
      </right>
      <top style="hair">
        <color theme="1" tint="0.499984740745262"/>
      </top>
      <bottom/>
      <diagonal/>
    </border>
    <border>
      <left/>
      <right style="hair">
        <color theme="1" tint="0.499984740745262"/>
      </right>
      <top style="hair">
        <color theme="1" tint="0.499984740745262"/>
      </top>
      <bottom/>
      <diagonal/>
    </border>
    <border>
      <left style="hair">
        <color theme="1" tint="0.499984740745262"/>
      </left>
      <right style="thin">
        <color theme="1" tint="0.499984740745262"/>
      </right>
      <top style="hair">
        <color theme="1" tint="0.499984740745262"/>
      </top>
      <bottom/>
      <diagonal/>
    </border>
    <border>
      <left style="thin">
        <color theme="1" tint="0.499984740745262"/>
      </left>
      <right style="thin">
        <color theme="1" tint="0.499984740745262"/>
      </right>
      <top/>
      <bottom style="hair">
        <color theme="1" tint="0.499984740745262"/>
      </bottom>
      <diagonal/>
    </border>
    <border>
      <left style="thin">
        <color theme="1" tint="0.499984740745262"/>
      </left>
      <right/>
      <top/>
      <bottom style="hair">
        <color indexed="64"/>
      </bottom>
      <diagonal/>
    </border>
    <border>
      <left style="thin">
        <color theme="1" tint="0.499984740745262"/>
      </left>
      <right style="thin">
        <color theme="1" tint="0.499984740745262"/>
      </right>
      <top style="thin">
        <color theme="1" tint="0.499984740745262"/>
      </top>
      <bottom style="hair">
        <color indexed="64"/>
      </bottom>
      <diagonal/>
    </border>
    <border>
      <left style="thin">
        <color theme="1" tint="0.499984740745262"/>
      </left>
      <right style="thin">
        <color theme="1" tint="0.499984740745262"/>
      </right>
      <top style="hair">
        <color indexed="64"/>
      </top>
      <bottom style="hair">
        <color indexed="64"/>
      </bottom>
      <diagonal/>
    </border>
    <border>
      <left style="thin">
        <color theme="1" tint="0.499984740745262"/>
      </left>
      <right style="thin">
        <color theme="1" tint="0.499984740745262"/>
      </right>
      <top style="hair">
        <color indexed="64"/>
      </top>
      <bottom style="thin">
        <color theme="1" tint="0.499984740745262"/>
      </bottom>
      <diagonal/>
    </border>
    <border>
      <left style="thin">
        <color theme="1" tint="0.499984740745262"/>
      </left>
      <right style="thin">
        <color theme="1" tint="0.499984740745262"/>
      </right>
      <top/>
      <bottom style="hair">
        <color indexed="64"/>
      </bottom>
      <diagonal/>
    </border>
    <border>
      <left style="hair">
        <color auto="1"/>
      </left>
      <right style="hair">
        <color auto="1"/>
      </right>
      <top style="thin">
        <color theme="1" tint="0.499984740745262"/>
      </top>
      <bottom style="hair">
        <color auto="1"/>
      </bottom>
      <diagonal/>
    </border>
    <border>
      <left style="hair">
        <color indexed="64"/>
      </left>
      <right style="thin">
        <color theme="1" tint="0.499984740745262"/>
      </right>
      <top style="thin">
        <color theme="1" tint="0.499984740745262"/>
      </top>
      <bottom style="hair">
        <color indexed="64"/>
      </bottom>
      <diagonal/>
    </border>
    <border>
      <left style="hair">
        <color indexed="64"/>
      </left>
      <right style="thin">
        <color theme="1" tint="0.499984740745262"/>
      </right>
      <top/>
      <bottom style="hair">
        <color indexed="64"/>
      </bottom>
      <diagonal/>
    </border>
    <border>
      <left style="thin">
        <color theme="1" tint="0.499984740745262"/>
      </left>
      <right style="hair">
        <color indexed="64"/>
      </right>
      <top style="hair">
        <color indexed="64"/>
      </top>
      <bottom style="hair">
        <color indexed="64"/>
      </bottom>
      <diagonal/>
    </border>
    <border>
      <left style="thin">
        <color theme="1" tint="0.499984740745262"/>
      </left>
      <right style="hair">
        <color indexed="64"/>
      </right>
      <top style="hair">
        <color indexed="64"/>
      </top>
      <bottom style="thin">
        <color theme="1" tint="0.499984740745262"/>
      </bottom>
      <diagonal/>
    </border>
    <border>
      <left style="hair">
        <color indexed="64"/>
      </left>
      <right style="thin">
        <color theme="1" tint="0.499984740745262"/>
      </right>
      <top/>
      <bottom style="thin">
        <color theme="1"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hair">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thin">
        <color theme="1" tint="0.499984740745262"/>
      </top>
      <bottom/>
      <diagonal/>
    </border>
    <border>
      <left style="hair">
        <color theme="1" tint="0.499984740745262"/>
      </left>
      <right style="thin">
        <color theme="1" tint="0.499984740745262"/>
      </right>
      <top/>
      <bottom style="hair">
        <color theme="1" tint="0.499984740745262"/>
      </bottom>
      <diagonal/>
    </border>
    <border>
      <left style="hair">
        <color auto="1"/>
      </left>
      <right/>
      <top style="hair">
        <color indexed="64"/>
      </top>
      <bottom style="thin">
        <color theme="1" tint="0.499984740745262"/>
      </bottom>
      <diagonal/>
    </border>
    <border>
      <left/>
      <right style="hair">
        <color indexed="64"/>
      </right>
      <top style="hair">
        <color indexed="64"/>
      </top>
      <bottom style="thin">
        <color theme="1" tint="0.499984740745262"/>
      </bottom>
      <diagonal/>
    </border>
    <border>
      <left style="hair">
        <color theme="1" tint="0.499984740745262"/>
      </left>
      <right/>
      <top style="thin">
        <color theme="1" tint="0.499984740745262"/>
      </top>
      <bottom style="thin">
        <color theme="1" tint="0.499984740745262"/>
      </bottom>
      <diagonal/>
    </border>
    <border>
      <left/>
      <right style="hair">
        <color theme="1" tint="0.499984740745262"/>
      </right>
      <top style="thin">
        <color theme="1" tint="0.499984740745262"/>
      </top>
      <bottom style="thin">
        <color theme="1" tint="0.499984740745262"/>
      </bottom>
      <diagonal/>
    </border>
    <border>
      <left style="thin">
        <color theme="1" tint="0.499984740745262"/>
      </left>
      <right style="hair">
        <color theme="1" tint="0.499984740745262"/>
      </right>
      <top style="thin">
        <color theme="1" tint="0.499984740745262"/>
      </top>
      <bottom/>
      <diagonal/>
    </border>
    <border>
      <left style="hair">
        <color theme="1" tint="0.499984740745262"/>
      </left>
      <right style="hair">
        <color theme="1" tint="0.499984740745262"/>
      </right>
      <top style="thin">
        <color theme="1" tint="0.499984740745262"/>
      </top>
      <bottom/>
      <diagonal/>
    </border>
    <border>
      <left style="thin">
        <color theme="1" tint="0.499984740745262"/>
      </left>
      <right/>
      <top style="hair">
        <color theme="1" tint="0.499984740745262"/>
      </top>
      <bottom style="hair">
        <color indexed="64"/>
      </bottom>
      <diagonal/>
    </border>
    <border>
      <left/>
      <right style="thin">
        <color theme="1" tint="0.499984740745262"/>
      </right>
      <top style="hair">
        <color theme="1" tint="0.499984740745262"/>
      </top>
      <bottom style="hair">
        <color indexed="64"/>
      </bottom>
      <diagonal/>
    </border>
    <border>
      <left/>
      <right/>
      <top style="hair">
        <color theme="1" tint="0.499984740745262"/>
      </top>
      <bottom style="hair">
        <color indexed="64"/>
      </bottom>
      <diagonal/>
    </border>
    <border>
      <left style="hair">
        <color theme="1" tint="0.499984740745262"/>
      </left>
      <right/>
      <top style="thin">
        <color theme="1" tint="0.499984740745262"/>
      </top>
      <bottom/>
      <diagonal/>
    </border>
    <border>
      <left/>
      <right style="hair">
        <color theme="1" tint="0.499984740745262"/>
      </right>
      <top style="hair">
        <color theme="1" tint="0.499984740745262"/>
      </top>
      <bottom style="hair">
        <color indexed="64"/>
      </bottom>
      <diagonal/>
    </border>
    <border>
      <left style="hair">
        <color theme="1" tint="0.499984740745262"/>
      </left>
      <right/>
      <top style="hair">
        <color theme="1" tint="0.499984740745262"/>
      </top>
      <bottom/>
      <diagonal/>
    </border>
    <border>
      <left style="thin">
        <color rgb="FF0000FF"/>
      </left>
      <right/>
      <top/>
      <bottom style="thin">
        <color rgb="FF0000FF"/>
      </bottom>
      <diagonal/>
    </border>
    <border>
      <left/>
      <right/>
      <top/>
      <bottom style="thin">
        <color rgb="FF0000FF"/>
      </bottom>
      <diagonal/>
    </border>
    <border>
      <left style="thin">
        <color rgb="FF0070C0"/>
      </left>
      <right/>
      <top/>
      <bottom style="thin">
        <color rgb="FF0000FF"/>
      </bottom>
      <diagonal/>
    </border>
    <border>
      <left/>
      <right style="thin">
        <color rgb="FF0070C0"/>
      </right>
      <top/>
      <bottom style="thin">
        <color rgb="FF0000FF"/>
      </bottom>
      <diagonal/>
    </border>
    <border>
      <left/>
      <right/>
      <top style="hair">
        <color theme="0" tint="-0.499984740745262"/>
      </top>
      <bottom style="hair">
        <color indexed="64"/>
      </bottom>
      <diagonal/>
    </border>
    <border>
      <left/>
      <right/>
      <top style="hair">
        <color indexed="64"/>
      </top>
      <bottom style="hair">
        <color theme="0" tint="-0.499984740745262"/>
      </bottom>
      <diagonal/>
    </border>
    <border>
      <left style="hair">
        <color theme="0" tint="-0.14993743705557422"/>
      </left>
      <right style="thin">
        <color theme="0" tint="-0.24994659260841701"/>
      </right>
      <top style="hair">
        <color theme="0" tint="-0.24994659260841701"/>
      </top>
      <bottom/>
      <diagonal/>
    </border>
    <border>
      <left style="hair">
        <color theme="0" tint="-0.14993743705557422"/>
      </left>
      <right style="hair">
        <color theme="0" tint="-0.14993743705557422"/>
      </right>
      <top style="hair">
        <color theme="0" tint="-0.24994659260841701"/>
      </top>
      <bottom/>
      <diagonal/>
    </border>
    <border>
      <left style="thin">
        <color theme="0" tint="-0.24994659260841701"/>
      </left>
      <right style="hair">
        <color theme="0" tint="-0.14993743705557422"/>
      </right>
      <top style="hair">
        <color theme="0" tint="-0.24994659260841701"/>
      </top>
      <bottom/>
      <diagonal/>
    </border>
    <border>
      <left style="dotted">
        <color theme="0" tint="-0.499984740745262"/>
      </left>
      <right/>
      <top/>
      <bottom/>
      <diagonal/>
    </border>
    <border>
      <left style="hair">
        <color theme="0" tint="-0.499984740745262"/>
      </left>
      <right/>
      <top style="thin">
        <color theme="0" tint="-0.499984740745262"/>
      </top>
      <bottom style="thin">
        <color theme="0" tint="-0.499984740745262"/>
      </bottom>
      <diagonal/>
    </border>
    <border>
      <left/>
      <right style="hair">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dotted">
        <color theme="0" tint="-0.499984740745262"/>
      </right>
      <top style="thin">
        <color theme="0" tint="-0.499984740745262"/>
      </top>
      <bottom style="hair">
        <color theme="0" tint="-0.499984740745262"/>
      </bottom>
      <diagonal/>
    </border>
    <border>
      <left/>
      <right style="dotted">
        <color theme="0" tint="-0.499984740745262"/>
      </right>
      <top style="hair">
        <color theme="0" tint="-0.499984740745262"/>
      </top>
      <bottom style="thin">
        <color theme="0" tint="-0.499984740745262"/>
      </bottom>
      <diagonal/>
    </border>
    <border>
      <left style="dotted">
        <color theme="0" tint="-0.499984740745262"/>
      </left>
      <right/>
      <top style="hair">
        <color theme="0" tint="-0.499984740745262"/>
      </top>
      <bottom style="hair">
        <color theme="0" tint="-0.499984740745262"/>
      </bottom>
      <diagonal/>
    </border>
    <border>
      <left/>
      <right style="dotted">
        <color theme="0" tint="-0.499984740745262"/>
      </right>
      <top style="hair">
        <color theme="0" tint="-0.499984740745262"/>
      </top>
      <bottom style="hair">
        <color theme="0" tint="-0.499984740745262"/>
      </bottom>
      <diagonal/>
    </border>
  </borders>
  <cellStyleXfs count="10">
    <xf numFmtId="0" fontId="0" fillId="0" borderId="0"/>
    <xf numFmtId="0" fontId="20" fillId="0" borderId="0"/>
    <xf numFmtId="0" fontId="21" fillId="0" borderId="0"/>
    <xf numFmtId="0" fontId="27" fillId="0" borderId="0"/>
    <xf numFmtId="0" fontId="55" fillId="0" borderId="0" applyNumberFormat="0" applyFill="0" applyBorder="0" applyAlignment="0" applyProtection="0">
      <alignment vertical="top"/>
      <protection locked="0"/>
    </xf>
    <xf numFmtId="9" fontId="59" fillId="0" borderId="0" applyFont="0" applyFill="0" applyBorder="0" applyAlignment="0" applyProtection="0"/>
    <xf numFmtId="43" fontId="75" fillId="0" borderId="0" applyFont="0" applyFill="0" applyBorder="0" applyAlignment="0" applyProtection="0"/>
    <xf numFmtId="0" fontId="9" fillId="0" borderId="0"/>
    <xf numFmtId="188" fontId="9" fillId="6" borderId="5" applyNumberFormat="0" applyFont="0" applyBorder="0" applyAlignment="0">
      <alignment horizontal="center"/>
      <protection locked="0"/>
    </xf>
    <xf numFmtId="0" fontId="12" fillId="0" borderId="0"/>
  </cellStyleXfs>
  <cellXfs count="2864">
    <xf numFmtId="0" fontId="0" fillId="0" borderId="0" xfId="0"/>
    <xf numFmtId="0" fontId="0" fillId="0" borderId="0" xfId="0" applyAlignment="1">
      <alignment vertical="center"/>
    </xf>
    <xf numFmtId="0" fontId="0" fillId="0" borderId="0" xfId="0" applyBorder="1"/>
    <xf numFmtId="0" fontId="0" fillId="3" borderId="0" xfId="0" applyFill="1" applyBorder="1"/>
    <xf numFmtId="0" fontId="23" fillId="3" borderId="0" xfId="0" applyFont="1" applyFill="1" applyBorder="1" applyAlignment="1">
      <alignment horizontal="right"/>
    </xf>
    <xf numFmtId="3" fontId="0" fillId="3" borderId="0" xfId="0" applyNumberFormat="1" applyFill="1" applyBorder="1" applyAlignment="1">
      <alignment horizontal="right" indent="1"/>
    </xf>
    <xf numFmtId="0" fontId="15" fillId="3" borderId="0" xfId="0" applyFont="1" applyFill="1" applyBorder="1" applyAlignment="1">
      <alignment horizontal="left"/>
    </xf>
    <xf numFmtId="3" fontId="0" fillId="3" borderId="0" xfId="0" applyNumberFormat="1" applyFill="1" applyBorder="1" applyAlignment="1">
      <alignment horizontal="right" indent="3"/>
    </xf>
    <xf numFmtId="3" fontId="12" fillId="3" borderId="0" xfId="0" applyNumberFormat="1" applyFont="1" applyFill="1" applyBorder="1" applyAlignment="1">
      <alignment horizontal="right" indent="3"/>
    </xf>
    <xf numFmtId="0" fontId="13" fillId="4" borderId="0" xfId="0" applyFont="1" applyFill="1" applyBorder="1" applyAlignment="1">
      <alignment horizontal="left" vertical="center"/>
    </xf>
    <xf numFmtId="0" fontId="15" fillId="3" borderId="0" xfId="0" applyFont="1" applyFill="1" applyBorder="1" applyAlignment="1">
      <alignment horizontal="center" vertical="top"/>
    </xf>
    <xf numFmtId="0" fontId="0" fillId="5" borderId="0" xfId="0" applyFill="1" applyBorder="1" applyAlignment="1">
      <alignment vertical="center"/>
    </xf>
    <xf numFmtId="0" fontId="12" fillId="0" borderId="0" xfId="0" applyFont="1" applyBorder="1" applyAlignment="1">
      <alignment vertical="center"/>
    </xf>
    <xf numFmtId="0" fontId="0" fillId="0" borderId="0" xfId="0" applyFill="1" applyBorder="1"/>
    <xf numFmtId="0" fontId="13" fillId="4" borderId="0" xfId="0" applyFont="1" applyFill="1" applyBorder="1" applyAlignment="1">
      <alignment horizontal="left" vertical="center"/>
    </xf>
    <xf numFmtId="0" fontId="12" fillId="5" borderId="0" xfId="0" applyFont="1" applyFill="1" applyBorder="1" applyAlignment="1">
      <alignment vertical="center"/>
    </xf>
    <xf numFmtId="0" fontId="0" fillId="5" borderId="0" xfId="0" applyFill="1" applyBorder="1"/>
    <xf numFmtId="0" fontId="0" fillId="2" borderId="0" xfId="0" applyFill="1" applyBorder="1" applyAlignment="1">
      <alignment vertical="center"/>
    </xf>
    <xf numFmtId="0" fontId="15" fillId="2" borderId="0" xfId="0" applyFont="1" applyFill="1" applyBorder="1" applyAlignment="1">
      <alignment horizontal="left" vertical="center"/>
    </xf>
    <xf numFmtId="0" fontId="11" fillId="0" borderId="0" xfId="0" applyFont="1" applyBorder="1" applyAlignment="1">
      <alignment horizontal="left" vertical="center"/>
    </xf>
    <xf numFmtId="0" fontId="17" fillId="5" borderId="0" xfId="0" applyFont="1" applyFill="1" applyBorder="1" applyAlignment="1">
      <alignment vertical="center"/>
    </xf>
    <xf numFmtId="49" fontId="12" fillId="0" borderId="0" xfId="0" applyNumberFormat="1" applyFont="1" applyAlignment="1">
      <alignment vertical="center"/>
    </xf>
    <xf numFmtId="49" fontId="0" fillId="0" borderId="0" xfId="0" applyNumberFormat="1"/>
    <xf numFmtId="0" fontId="12" fillId="0" borderId="0" xfId="1" applyFont="1" applyFill="1" applyProtection="1">
      <protection hidden="1"/>
    </xf>
    <xf numFmtId="0" fontId="29" fillId="0" borderId="0" xfId="1" applyFont="1" applyFill="1" applyProtection="1">
      <protection hidden="1"/>
    </xf>
    <xf numFmtId="0" fontId="30" fillId="0" borderId="0" xfId="1" applyFont="1" applyFill="1" applyProtection="1">
      <protection hidden="1"/>
    </xf>
    <xf numFmtId="0" fontId="29" fillId="0" borderId="0" xfId="1" applyFont="1" applyFill="1" applyBorder="1" applyProtection="1">
      <protection hidden="1"/>
    </xf>
    <xf numFmtId="0" fontId="30" fillId="0" borderId="0" xfId="1" applyFont="1" applyFill="1" applyBorder="1" applyProtection="1">
      <protection hidden="1"/>
    </xf>
    <xf numFmtId="0" fontId="31" fillId="0" borderId="0" xfId="1" applyFont="1" applyFill="1" applyBorder="1" applyProtection="1">
      <protection hidden="1"/>
    </xf>
    <xf numFmtId="0" fontId="32" fillId="0" borderId="0" xfId="1" applyFont="1" applyFill="1" applyBorder="1" applyProtection="1">
      <protection hidden="1"/>
    </xf>
    <xf numFmtId="0" fontId="22" fillId="0" borderId="0" xfId="1" applyFont="1" applyFill="1" applyBorder="1" applyProtection="1"/>
    <xf numFmtId="0" fontId="12" fillId="0" borderId="0" xfId="1" applyFont="1" applyFill="1" applyBorder="1" applyProtection="1"/>
    <xf numFmtId="0" fontId="22" fillId="0" borderId="0" xfId="1" applyFont="1" applyProtection="1">
      <protection hidden="1"/>
    </xf>
    <xf numFmtId="0" fontId="12" fillId="0" borderId="0" xfId="1" applyFont="1" applyProtection="1">
      <protection hidden="1"/>
    </xf>
    <xf numFmtId="0" fontId="22" fillId="0" borderId="0" xfId="1" applyFont="1" applyBorder="1" applyProtection="1">
      <protection hidden="1"/>
    </xf>
    <xf numFmtId="14" fontId="22" fillId="0" borderId="0" xfId="1" applyNumberFormat="1" applyFont="1" applyAlignment="1" applyProtection="1">
      <alignment horizontal="right"/>
      <protection hidden="1"/>
    </xf>
    <xf numFmtId="0" fontId="22" fillId="0" borderId="0" xfId="1" applyFont="1" applyAlignment="1" applyProtection="1">
      <alignment vertical="center"/>
      <protection hidden="1"/>
    </xf>
    <xf numFmtId="0" fontId="30" fillId="0" borderId="0" xfId="1" applyFont="1" applyFill="1" applyAlignment="1" applyProtection="1">
      <alignment vertical="center"/>
      <protection hidden="1"/>
    </xf>
    <xf numFmtId="0" fontId="34" fillId="0" borderId="0" xfId="1" applyFont="1" applyBorder="1" applyAlignment="1" applyProtection="1">
      <alignment vertical="center"/>
      <protection hidden="1"/>
    </xf>
    <xf numFmtId="0" fontId="34" fillId="0" borderId="0" xfId="1" applyFont="1" applyAlignment="1" applyProtection="1">
      <alignment vertical="center"/>
      <protection hidden="1"/>
    </xf>
    <xf numFmtId="0" fontId="12" fillId="0" borderId="0" xfId="1" applyFont="1" applyProtection="1"/>
    <xf numFmtId="0" fontId="22" fillId="0" borderId="0" xfId="1" applyFont="1" applyBorder="1" applyProtection="1"/>
    <xf numFmtId="0" fontId="22" fillId="0" borderId="0" xfId="1" applyFont="1" applyAlignment="1" applyProtection="1">
      <protection hidden="1"/>
    </xf>
    <xf numFmtId="0" fontId="12" fillId="0" borderId="0" xfId="1" applyFont="1" applyBorder="1" applyProtection="1">
      <protection hidden="1"/>
    </xf>
    <xf numFmtId="0" fontId="22" fillId="0" borderId="0" xfId="1" applyNumberFormat="1" applyFont="1" applyBorder="1" applyProtection="1">
      <protection hidden="1"/>
    </xf>
    <xf numFmtId="172" fontId="22" fillId="0" borderId="0" xfId="1" applyNumberFormat="1" applyFont="1" applyBorder="1" applyProtection="1">
      <protection hidden="1"/>
    </xf>
    <xf numFmtId="0" fontId="35" fillId="0" borderId="0" xfId="1" applyFont="1" applyProtection="1">
      <protection hidden="1"/>
    </xf>
    <xf numFmtId="0" fontId="17" fillId="0" borderId="0" xfId="1" applyFont="1" applyBorder="1" applyProtection="1">
      <protection hidden="1"/>
    </xf>
    <xf numFmtId="0" fontId="35" fillId="0" borderId="0" xfId="1" applyFont="1" applyAlignment="1" applyProtection="1">
      <alignment horizontal="left"/>
      <protection hidden="1"/>
    </xf>
    <xf numFmtId="0" fontId="13" fillId="0" borderId="0" xfId="1" applyFont="1" applyBorder="1" applyProtection="1"/>
    <xf numFmtId="0" fontId="10" fillId="0" borderId="0" xfId="1" applyFont="1" applyProtection="1">
      <protection hidden="1"/>
    </xf>
    <xf numFmtId="0" fontId="13" fillId="4" borderId="0" xfId="0" applyFont="1" applyFill="1" applyBorder="1" applyAlignment="1">
      <alignment horizontal="left" vertical="center"/>
    </xf>
    <xf numFmtId="0" fontId="40" fillId="0" borderId="0" xfId="0" applyFont="1" applyBorder="1" applyAlignment="1">
      <alignment horizontal="left" vertical="center"/>
    </xf>
    <xf numFmtId="0" fontId="0" fillId="0" borderId="0" xfId="0" applyAlignment="1">
      <alignment vertical="top"/>
    </xf>
    <xf numFmtId="0" fontId="0" fillId="0" borderId="0" xfId="0" applyFill="1" applyAlignment="1">
      <alignment vertical="center"/>
    </xf>
    <xf numFmtId="0" fontId="0" fillId="0" borderId="0" xfId="0" applyFill="1" applyBorder="1" applyAlignment="1">
      <alignment vertical="center"/>
    </xf>
    <xf numFmtId="0" fontId="13" fillId="4" borderId="0" xfId="0" applyFont="1" applyFill="1" applyBorder="1" applyAlignment="1">
      <alignment horizontal="left" vertical="center"/>
    </xf>
    <xf numFmtId="0" fontId="12" fillId="0" borderId="0" xfId="1" applyFont="1" applyFill="1" applyAlignment="1" applyProtection="1">
      <alignment vertical="center"/>
      <protection hidden="1"/>
    </xf>
    <xf numFmtId="0" fontId="12" fillId="0" borderId="0" xfId="0" applyFont="1"/>
    <xf numFmtId="0" fontId="13" fillId="4" borderId="0" xfId="0" applyFont="1" applyFill="1" applyBorder="1" applyAlignment="1">
      <alignment horizontal="left" vertical="center"/>
    </xf>
    <xf numFmtId="0" fontId="17" fillId="0" borderId="0" xfId="0" applyFont="1" applyFill="1" applyBorder="1" applyAlignment="1">
      <alignment vertical="center"/>
    </xf>
    <xf numFmtId="0" fontId="25" fillId="0" borderId="0" xfId="0" applyFont="1" applyFill="1" applyBorder="1" applyAlignment="1">
      <alignment horizontal="center" vertical="center"/>
    </xf>
    <xf numFmtId="49" fontId="19" fillId="0" borderId="0" xfId="0" applyNumberFormat="1" applyFont="1" applyFill="1" applyBorder="1" applyAlignment="1">
      <alignment horizontal="left" vertical="center" wrapText="1"/>
    </xf>
    <xf numFmtId="0" fontId="26" fillId="0" borderId="0" xfId="0" applyFont="1" applyFill="1" applyBorder="1" applyAlignment="1">
      <alignment horizontal="center" vertical="center"/>
    </xf>
    <xf numFmtId="0" fontId="24" fillId="0" borderId="0" xfId="0" applyFont="1" applyFill="1" applyBorder="1" applyAlignment="1">
      <alignment horizontal="center" vertical="center"/>
    </xf>
    <xf numFmtId="0" fontId="0" fillId="0" borderId="46" xfId="0" applyBorder="1"/>
    <xf numFmtId="3" fontId="0" fillId="6" borderId="0" xfId="0" applyNumberFormat="1" applyFill="1" applyProtection="1">
      <protection locked="0"/>
    </xf>
    <xf numFmtId="0" fontId="50" fillId="0" borderId="0" xfId="0" applyFont="1" applyAlignment="1">
      <alignment horizontal="center" vertical="top"/>
    </xf>
    <xf numFmtId="0" fontId="17" fillId="0" borderId="0" xfId="0" applyFont="1"/>
    <xf numFmtId="0" fontId="11" fillId="0" borderId="0" xfId="0" applyFont="1"/>
    <xf numFmtId="0" fontId="0" fillId="0" borderId="49" xfId="0" applyBorder="1" applyAlignment="1">
      <alignment vertical="center"/>
    </xf>
    <xf numFmtId="0" fontId="0" fillId="0" borderId="52" xfId="0" applyBorder="1" applyAlignment="1">
      <alignment vertical="center"/>
    </xf>
    <xf numFmtId="0" fontId="17" fillId="0" borderId="56" xfId="0" applyFont="1" applyBorder="1" applyAlignment="1">
      <alignment vertical="center"/>
    </xf>
    <xf numFmtId="0" fontId="17" fillId="0" borderId="57" xfId="0" applyFont="1" applyBorder="1" applyAlignment="1">
      <alignment vertical="center"/>
    </xf>
    <xf numFmtId="0" fontId="17" fillId="10" borderId="0" xfId="0" applyFont="1" applyFill="1" applyAlignment="1">
      <alignment vertical="center"/>
    </xf>
    <xf numFmtId="0" fontId="17" fillId="0" borderId="55" xfId="0" applyFont="1" applyBorder="1" applyAlignment="1">
      <alignment horizontal="center" vertical="center"/>
    </xf>
    <xf numFmtId="0" fontId="17" fillId="0" borderId="56" xfId="0" applyFont="1" applyBorder="1" applyAlignment="1">
      <alignment horizontal="center" vertical="center"/>
    </xf>
    <xf numFmtId="0" fontId="10" fillId="0" borderId="0" xfId="1" applyFont="1" applyBorder="1" applyAlignment="1" applyProtection="1">
      <alignment horizontal="right"/>
      <protection hidden="1"/>
    </xf>
    <xf numFmtId="170" fontId="11" fillId="3" borderId="0" xfId="1" applyNumberFormat="1" applyFont="1" applyFill="1" applyBorder="1" applyAlignment="1" applyProtection="1">
      <alignment horizontal="left"/>
      <protection hidden="1"/>
    </xf>
    <xf numFmtId="0" fontId="33" fillId="0" borderId="0" xfId="1" applyFont="1" applyFill="1" applyAlignment="1" applyProtection="1">
      <alignment horizontal="left"/>
    </xf>
    <xf numFmtId="0" fontId="22" fillId="0" borderId="0" xfId="1" applyFont="1" applyProtection="1"/>
    <xf numFmtId="14" fontId="22" fillId="0" borderId="0" xfId="1" applyNumberFormat="1" applyFont="1" applyAlignment="1" applyProtection="1">
      <alignment horizontal="right"/>
    </xf>
    <xf numFmtId="0" fontId="0" fillId="0" borderId="0" xfId="0"/>
    <xf numFmtId="0" fontId="0" fillId="0" borderId="0" xfId="0"/>
    <xf numFmtId="14" fontId="0" fillId="0" borderId="49" xfId="0" applyNumberFormat="1" applyBorder="1" applyAlignment="1">
      <alignment horizontal="center" vertical="center"/>
    </xf>
    <xf numFmtId="14" fontId="0" fillId="0" borderId="52" xfId="0" applyNumberFormat="1" applyBorder="1" applyAlignment="1">
      <alignment horizontal="center" vertical="center"/>
    </xf>
    <xf numFmtId="0" fontId="17" fillId="0" borderId="0" xfId="0" applyFont="1" applyAlignment="1">
      <alignment vertical="top"/>
    </xf>
    <xf numFmtId="0" fontId="12" fillId="0" borderId="0" xfId="0" applyFont="1" applyAlignment="1">
      <alignment horizontal="left" vertical="top"/>
    </xf>
    <xf numFmtId="0" fontId="17" fillId="0" borderId="0" xfId="0" applyFont="1" applyAlignment="1">
      <alignment vertical="center"/>
    </xf>
    <xf numFmtId="0" fontId="12" fillId="0" borderId="0" xfId="0" applyFont="1" applyAlignment="1">
      <alignment vertical="top" wrapText="1"/>
    </xf>
    <xf numFmtId="0" fontId="12" fillId="0" borderId="0" xfId="0" applyFont="1" applyAlignment="1">
      <alignment vertical="top"/>
    </xf>
    <xf numFmtId="0" fontId="0" fillId="0" borderId="0" xfId="0"/>
    <xf numFmtId="0" fontId="55" fillId="0" borderId="0" xfId="4" applyFill="1" applyBorder="1" applyAlignment="1" applyProtection="1">
      <alignment vertical="center"/>
      <protection hidden="1"/>
    </xf>
    <xf numFmtId="0" fontId="56" fillId="0" borderId="45" xfId="0" applyFont="1" applyBorder="1" applyAlignment="1">
      <alignment vertical="center"/>
    </xf>
    <xf numFmtId="0" fontId="56" fillId="0" borderId="0" xfId="0" applyFont="1" applyAlignment="1">
      <alignment vertical="center"/>
    </xf>
    <xf numFmtId="0" fontId="56" fillId="0" borderId="0" xfId="0" applyFont="1" applyBorder="1" applyAlignment="1">
      <alignment vertical="center"/>
    </xf>
    <xf numFmtId="0" fontId="56" fillId="0" borderId="0" xfId="0" applyFont="1"/>
    <xf numFmtId="0" fontId="56" fillId="0" borderId="0" xfId="0" applyFont="1" applyBorder="1"/>
    <xf numFmtId="178" fontId="56" fillId="0" borderId="0" xfId="0" applyNumberFormat="1" applyFont="1" applyBorder="1" applyAlignment="1">
      <alignment horizontal="left" vertical="center"/>
    </xf>
    <xf numFmtId="0" fontId="56" fillId="0" borderId="43" xfId="0" applyFont="1" applyBorder="1" applyAlignment="1">
      <alignment vertical="center"/>
    </xf>
    <xf numFmtId="3" fontId="56" fillId="0" borderId="44" xfId="0" applyNumberFormat="1" applyFont="1" applyBorder="1" applyAlignment="1">
      <alignment vertical="center"/>
    </xf>
    <xf numFmtId="0" fontId="12" fillId="0" borderId="0" xfId="0" applyFont="1" applyFill="1" applyAlignment="1">
      <alignment vertical="center" wrapText="1"/>
    </xf>
    <xf numFmtId="0" fontId="12" fillId="12" borderId="0" xfId="0" applyFont="1" applyFill="1"/>
    <xf numFmtId="0" fontId="0" fillId="12" borderId="0" xfId="0" applyFill="1"/>
    <xf numFmtId="0" fontId="12" fillId="6" borderId="0" xfId="0" applyFont="1" applyFill="1"/>
    <xf numFmtId="0" fontId="0" fillId="6" borderId="0" xfId="0" applyFill="1"/>
    <xf numFmtId="0" fontId="12" fillId="5" borderId="0" xfId="0" applyFont="1" applyFill="1"/>
    <xf numFmtId="0" fontId="0" fillId="5" borderId="0" xfId="0" applyFill="1"/>
    <xf numFmtId="0" fontId="12" fillId="2" borderId="0" xfId="0" applyFont="1" applyFill="1"/>
    <xf numFmtId="0" fontId="0" fillId="2" borderId="0" xfId="0" applyFill="1"/>
    <xf numFmtId="0" fontId="0" fillId="0" borderId="0" xfId="0"/>
    <xf numFmtId="14" fontId="12" fillId="10" borderId="24" xfId="0" applyNumberFormat="1" applyFont="1" applyFill="1" applyBorder="1" applyAlignment="1">
      <alignment horizontal="center" vertical="center"/>
    </xf>
    <xf numFmtId="0" fontId="0" fillId="0" borderId="0" xfId="0"/>
    <xf numFmtId="0" fontId="14" fillId="0" borderId="0" xfId="1" applyFont="1" applyFill="1" applyAlignment="1" applyProtection="1">
      <alignment vertical="center"/>
      <protection hidden="1"/>
    </xf>
    <xf numFmtId="0" fontId="61" fillId="0" borderId="0" xfId="1" applyFont="1" applyFill="1" applyAlignment="1" applyProtection="1">
      <alignment vertical="center"/>
      <protection hidden="1"/>
    </xf>
    <xf numFmtId="0" fontId="62" fillId="0" borderId="0" xfId="1" applyFont="1" applyFill="1" applyAlignment="1" applyProtection="1">
      <alignment vertical="center"/>
      <protection hidden="1"/>
    </xf>
    <xf numFmtId="0" fontId="29" fillId="0" borderId="0" xfId="1" applyFont="1" applyFill="1" applyAlignment="1" applyProtection="1">
      <alignment vertical="center"/>
      <protection hidden="1"/>
    </xf>
    <xf numFmtId="0" fontId="14" fillId="0" borderId="0" xfId="1" applyFont="1" applyFill="1" applyAlignment="1" applyProtection="1">
      <alignment vertical="top"/>
      <protection hidden="1"/>
    </xf>
    <xf numFmtId="0" fontId="14" fillId="0" borderId="0" xfId="1" applyFont="1" applyFill="1" applyBorder="1" applyAlignment="1" applyProtection="1">
      <alignment vertical="top"/>
      <protection hidden="1"/>
    </xf>
    <xf numFmtId="0" fontId="14" fillId="0" borderId="0" xfId="1" applyFont="1" applyFill="1" applyBorder="1" applyAlignment="1" applyProtection="1">
      <alignment vertical="center"/>
      <protection hidden="1"/>
    </xf>
    <xf numFmtId="0" fontId="14" fillId="0" borderId="0" xfId="1" applyFont="1" applyFill="1" applyAlignment="1" applyProtection="1">
      <alignment vertical="center"/>
      <protection hidden="1"/>
    </xf>
    <xf numFmtId="0" fontId="0" fillId="0" borderId="0" xfId="0"/>
    <xf numFmtId="0" fontId="0" fillId="0" borderId="0" xfId="0" applyProtection="1"/>
    <xf numFmtId="0" fontId="68" fillId="0" borderId="0" xfId="1" applyFont="1" applyProtection="1"/>
    <xf numFmtId="0" fontId="68" fillId="0" borderId="0" xfId="1" applyFont="1" applyFill="1" applyProtection="1"/>
    <xf numFmtId="0" fontId="68" fillId="0" borderId="0" xfId="1" applyFont="1" applyFill="1" applyAlignment="1" applyProtection="1">
      <alignment horizontal="center"/>
    </xf>
    <xf numFmtId="0" fontId="4" fillId="0" borderId="0" xfId="1" applyFont="1" applyProtection="1"/>
    <xf numFmtId="0" fontId="68" fillId="0" borderId="0" xfId="1" applyFont="1" applyAlignment="1" applyProtection="1">
      <alignment horizontal="center"/>
    </xf>
    <xf numFmtId="0" fontId="69" fillId="0" borderId="0" xfId="1" applyFont="1" applyFill="1" applyAlignment="1" applyProtection="1">
      <alignment horizontal="left"/>
    </xf>
    <xf numFmtId="0" fontId="68" fillId="0" borderId="0" xfId="1" applyFont="1" applyFill="1" applyAlignment="1" applyProtection="1">
      <alignment vertical="center"/>
    </xf>
    <xf numFmtId="0" fontId="70" fillId="0" borderId="0" xfId="1" applyFont="1" applyFill="1" applyAlignment="1" applyProtection="1">
      <alignment vertical="center"/>
    </xf>
    <xf numFmtId="171" fontId="68" fillId="0" borderId="0" xfId="1" applyNumberFormat="1" applyFont="1" applyFill="1" applyBorder="1" applyAlignment="1" applyProtection="1">
      <alignment horizontal="center"/>
    </xf>
    <xf numFmtId="173" fontId="68" fillId="0" borderId="0" xfId="1" applyNumberFormat="1" applyFont="1" applyFill="1" applyBorder="1" applyAlignment="1" applyProtection="1">
      <alignment horizontal="center"/>
    </xf>
    <xf numFmtId="0" fontId="68" fillId="0" borderId="0" xfId="1" applyFont="1" applyAlignment="1" applyProtection="1">
      <alignment vertical="center"/>
    </xf>
    <xf numFmtId="0" fontId="68" fillId="0" borderId="0" xfId="1" applyFont="1" applyFill="1" applyAlignment="1" applyProtection="1">
      <alignment horizontal="center" vertical="center"/>
    </xf>
    <xf numFmtId="174" fontId="68" fillId="0" borderId="0" xfId="1" applyNumberFormat="1" applyFont="1" applyFill="1" applyBorder="1" applyAlignment="1" applyProtection="1">
      <alignment horizontal="center" vertical="center"/>
    </xf>
    <xf numFmtId="3" fontId="68" fillId="0" borderId="0" xfId="1" applyNumberFormat="1" applyFont="1" applyFill="1" applyAlignment="1" applyProtection="1">
      <alignment horizontal="center" vertical="center"/>
    </xf>
    <xf numFmtId="167" fontId="70" fillId="0" borderId="0" xfId="1" applyNumberFormat="1" applyFont="1" applyFill="1" applyBorder="1" applyAlignment="1" applyProtection="1">
      <alignment horizontal="right" vertical="center"/>
    </xf>
    <xf numFmtId="2" fontId="70" fillId="0" borderId="0" xfId="1" applyNumberFormat="1" applyFont="1" applyFill="1" applyAlignment="1" applyProtection="1">
      <alignment vertical="center"/>
    </xf>
    <xf numFmtId="0" fontId="68" fillId="7" borderId="0" xfId="1" applyFont="1" applyFill="1" applyAlignment="1" applyProtection="1">
      <alignment vertical="center"/>
    </xf>
    <xf numFmtId="0" fontId="68" fillId="0" borderId="0" xfId="1" applyFont="1" applyFill="1" applyBorder="1" applyAlignment="1" applyProtection="1">
      <alignment vertical="center"/>
    </xf>
    <xf numFmtId="167" fontId="34" fillId="0" borderId="0" xfId="1" applyNumberFormat="1" applyFont="1" applyBorder="1" applyAlignment="1" applyProtection="1">
      <alignment vertical="center"/>
      <protection hidden="1"/>
    </xf>
    <xf numFmtId="167" fontId="34" fillId="0" borderId="0" xfId="1" applyNumberFormat="1" applyFont="1" applyBorder="1" applyAlignment="1" applyProtection="1">
      <alignment horizontal="right" vertical="center"/>
      <protection hidden="1"/>
    </xf>
    <xf numFmtId="180" fontId="22" fillId="0" borderId="0" xfId="1" applyNumberFormat="1" applyFont="1" applyBorder="1" applyAlignment="1" applyProtection="1">
      <alignment vertical="center"/>
      <protection hidden="1"/>
    </xf>
    <xf numFmtId="0" fontId="68" fillId="0" borderId="0" xfId="1" applyFont="1" applyAlignment="1" applyProtection="1">
      <alignment horizontal="left"/>
    </xf>
    <xf numFmtId="0" fontId="0" fillId="0" borderId="0" xfId="0" applyProtection="1">
      <protection hidden="1"/>
    </xf>
    <xf numFmtId="0" fontId="52" fillId="0" borderId="0" xfId="1" applyFont="1" applyFill="1" applyAlignment="1" applyProtection="1">
      <alignment horizontal="left"/>
      <protection hidden="1"/>
    </xf>
    <xf numFmtId="168" fontId="34" fillId="0" borderId="0" xfId="1" applyNumberFormat="1" applyFont="1" applyFill="1" applyBorder="1" applyAlignment="1" applyProtection="1">
      <alignment horizontal="center"/>
      <protection hidden="1"/>
    </xf>
    <xf numFmtId="0" fontId="9" fillId="0" borderId="0" xfId="1" applyFont="1" applyFill="1" applyBorder="1" applyAlignment="1" applyProtection="1">
      <alignment horizontal="right"/>
      <protection hidden="1"/>
    </xf>
    <xf numFmtId="10" fontId="31" fillId="0" borderId="0" xfId="1" applyNumberFormat="1" applyFont="1" applyFill="1" applyBorder="1" applyAlignment="1" applyProtection="1">
      <alignment horizontal="center"/>
      <protection hidden="1"/>
    </xf>
    <xf numFmtId="0" fontId="71" fillId="0" borderId="0" xfId="1" applyFont="1" applyAlignment="1" applyProtection="1">
      <alignment horizontal="left" vertical="center"/>
    </xf>
    <xf numFmtId="0" fontId="71" fillId="0" borderId="0" xfId="1" applyFont="1" applyAlignment="1" applyProtection="1">
      <alignment vertical="center"/>
      <protection hidden="1"/>
    </xf>
    <xf numFmtId="0" fontId="73" fillId="0" borderId="0" xfId="1" applyFont="1" applyFill="1" applyAlignment="1" applyProtection="1">
      <alignment vertical="center"/>
      <protection hidden="1"/>
    </xf>
    <xf numFmtId="0" fontId="73" fillId="0" borderId="0" xfId="1" applyFont="1" applyFill="1" applyAlignment="1" applyProtection="1">
      <alignment vertical="top"/>
      <protection hidden="1"/>
    </xf>
    <xf numFmtId="0" fontId="73" fillId="0" borderId="0" xfId="1" applyFont="1" applyFill="1" applyBorder="1" applyAlignment="1" applyProtection="1">
      <alignment vertical="top"/>
      <protection hidden="1"/>
    </xf>
    <xf numFmtId="0" fontId="12" fillId="0" borderId="61" xfId="0" applyFont="1" applyBorder="1"/>
    <xf numFmtId="0" fontId="12" fillId="0" borderId="62" xfId="0" applyFont="1" applyBorder="1"/>
    <xf numFmtId="0" fontId="0" fillId="0" borderId="0" xfId="0"/>
    <xf numFmtId="178" fontId="56" fillId="0" borderId="93" xfId="0" applyNumberFormat="1" applyFont="1" applyBorder="1" applyAlignment="1">
      <alignment vertical="center"/>
    </xf>
    <xf numFmtId="0" fontId="56" fillId="0" borderId="94" xfId="0" applyFont="1" applyBorder="1" applyAlignment="1">
      <alignment vertical="center"/>
    </xf>
    <xf numFmtId="3" fontId="0" fillId="6" borderId="23" xfId="0" applyNumberFormat="1" applyFill="1" applyBorder="1" applyProtection="1">
      <protection locked="0"/>
    </xf>
    <xf numFmtId="3" fontId="0" fillId="6" borderId="24" xfId="0" applyNumberFormat="1" applyFill="1" applyBorder="1" applyProtection="1">
      <protection locked="0"/>
    </xf>
    <xf numFmtId="0" fontId="0" fillId="0" borderId="0" xfId="0" applyFill="1"/>
    <xf numFmtId="3" fontId="0" fillId="0" borderId="22" xfId="0" applyNumberFormat="1" applyFill="1" applyBorder="1" applyProtection="1"/>
    <xf numFmtId="0" fontId="0" fillId="3" borderId="0" xfId="0" applyFill="1" applyProtection="1"/>
    <xf numFmtId="0" fontId="0" fillId="3" borderId="0" xfId="0" applyFill="1" applyAlignment="1" applyProtection="1">
      <alignment horizontal="left"/>
    </xf>
    <xf numFmtId="0" fontId="0" fillId="0" borderId="0" xfId="0" applyFill="1" applyProtection="1"/>
    <xf numFmtId="0" fontId="11" fillId="3" borderId="0" xfId="1" applyNumberFormat="1" applyFont="1" applyFill="1" applyBorder="1" applyAlignment="1" applyProtection="1">
      <alignment horizontal="left"/>
      <protection hidden="1"/>
    </xf>
    <xf numFmtId="49" fontId="0" fillId="0" borderId="48" xfId="0" applyNumberFormat="1" applyBorder="1" applyAlignment="1">
      <alignment horizontal="center" vertical="center"/>
    </xf>
    <xf numFmtId="49" fontId="0" fillId="0" borderId="51" xfId="0" applyNumberFormat="1" applyBorder="1" applyAlignment="1">
      <alignment horizontal="center" vertical="center"/>
    </xf>
    <xf numFmtId="49" fontId="12" fillId="10" borderId="25" xfId="0" applyNumberFormat="1" applyFont="1" applyFill="1" applyBorder="1" applyAlignment="1">
      <alignment horizontal="center" vertical="center"/>
    </xf>
    <xf numFmtId="0" fontId="0" fillId="0" borderId="50" xfId="0" applyBorder="1" applyAlignment="1">
      <alignment vertical="center" wrapText="1"/>
    </xf>
    <xf numFmtId="0" fontId="0" fillId="0" borderId="53" xfId="0" applyBorder="1" applyAlignment="1">
      <alignment vertical="center" wrapText="1"/>
    </xf>
    <xf numFmtId="0" fontId="14" fillId="0" borderId="0" xfId="1" applyFont="1" applyFill="1" applyAlignment="1" applyProtection="1">
      <alignment vertical="top"/>
      <protection hidden="1"/>
    </xf>
    <xf numFmtId="0" fontId="32" fillId="0" borderId="0" xfId="1" applyFont="1" applyProtection="1">
      <protection hidden="1"/>
    </xf>
    <xf numFmtId="0" fontId="9" fillId="0" borderId="0" xfId="1" applyFont="1" applyProtection="1">
      <protection hidden="1"/>
    </xf>
    <xf numFmtId="0" fontId="9" fillId="0" borderId="0" xfId="1" applyFont="1" applyAlignment="1" applyProtection="1">
      <alignment vertical="center"/>
      <protection hidden="1"/>
    </xf>
    <xf numFmtId="0" fontId="71" fillId="0" borderId="99" xfId="1" applyFont="1" applyBorder="1" applyAlignment="1" applyProtection="1">
      <alignment horizontal="center" vertical="center"/>
    </xf>
    <xf numFmtId="0" fontId="71" fillId="0" borderId="100" xfId="1" applyFont="1" applyBorder="1" applyAlignment="1" applyProtection="1">
      <alignment horizontal="center" vertical="center"/>
    </xf>
    <xf numFmtId="164" fontId="68" fillId="0" borderId="0" xfId="1" applyNumberFormat="1" applyFont="1" applyFill="1" applyBorder="1" applyAlignment="1" applyProtection="1">
      <alignment horizontal="center" vertical="center"/>
    </xf>
    <xf numFmtId="0" fontId="14" fillId="0" borderId="0" xfId="1" applyFont="1" applyFill="1" applyAlignment="1" applyProtection="1">
      <alignment vertical="top"/>
      <protection hidden="1"/>
    </xf>
    <xf numFmtId="0" fontId="14" fillId="0" borderId="0" xfId="1" applyFont="1" applyFill="1" applyBorder="1" applyAlignment="1" applyProtection="1">
      <alignment horizontal="center" vertical="top" wrapText="1"/>
      <protection hidden="1"/>
    </xf>
    <xf numFmtId="0" fontId="0" fillId="0" borderId="0" xfId="0"/>
    <xf numFmtId="0" fontId="68" fillId="0" borderId="0" xfId="1" applyFont="1" applyFill="1" applyAlignment="1" applyProtection="1">
      <alignment horizontal="left"/>
    </xf>
    <xf numFmtId="0" fontId="44" fillId="0" borderId="0" xfId="0" applyFont="1"/>
    <xf numFmtId="0" fontId="44" fillId="0" borderId="0" xfId="1" applyFont="1" applyFill="1" applyAlignment="1" applyProtection="1">
      <alignment vertical="center"/>
      <protection hidden="1"/>
    </xf>
    <xf numFmtId="0" fontId="44" fillId="0" borderId="0" xfId="1" applyFont="1" applyFill="1" applyProtection="1">
      <protection hidden="1"/>
    </xf>
    <xf numFmtId="0" fontId="81" fillId="0" borderId="101" xfId="1" applyFont="1" applyFill="1" applyBorder="1" applyAlignment="1" applyProtection="1">
      <alignment vertical="center"/>
    </xf>
    <xf numFmtId="0" fontId="73" fillId="0" borderId="102" xfId="1" applyFont="1" applyFill="1" applyBorder="1" applyAlignment="1" applyProtection="1">
      <alignment vertical="top"/>
      <protection hidden="1"/>
    </xf>
    <xf numFmtId="0" fontId="73" fillId="0" borderId="103" xfId="1" applyFont="1" applyFill="1" applyBorder="1" applyAlignment="1" applyProtection="1">
      <alignment vertical="top"/>
      <protection hidden="1"/>
    </xf>
    <xf numFmtId="0" fontId="73" fillId="0" borderId="104" xfId="1" applyFont="1" applyFill="1" applyBorder="1" applyAlignment="1" applyProtection="1">
      <alignment vertical="top"/>
      <protection hidden="1"/>
    </xf>
    <xf numFmtId="0" fontId="81" fillId="0" borderId="105" xfId="1" applyFont="1" applyFill="1" applyBorder="1" applyAlignment="1" applyProtection="1">
      <alignment horizontal="center" vertical="center"/>
    </xf>
    <xf numFmtId="0" fontId="81" fillId="0" borderId="106" xfId="1" applyFont="1" applyFill="1" applyBorder="1" applyAlignment="1" applyProtection="1">
      <alignment vertical="center"/>
    </xf>
    <xf numFmtId="0" fontId="68" fillId="0" borderId="0" xfId="1" applyNumberFormat="1" applyFont="1" applyFill="1" applyBorder="1" applyAlignment="1" applyProtection="1">
      <alignment horizontal="center" vertical="center"/>
    </xf>
    <xf numFmtId="0" fontId="70" fillId="0" borderId="0" xfId="1" applyNumberFormat="1" applyFont="1" applyFill="1" applyBorder="1" applyAlignment="1" applyProtection="1">
      <alignment horizontal="center" vertical="center"/>
    </xf>
    <xf numFmtId="0" fontId="68" fillId="0" borderId="0" xfId="1" applyNumberFormat="1" applyFont="1" applyFill="1" applyProtection="1"/>
    <xf numFmtId="0" fontId="68" fillId="0" borderId="0" xfId="1" applyNumberFormat="1" applyFont="1" applyFill="1" applyAlignment="1" applyProtection="1">
      <alignment horizontal="center"/>
    </xf>
    <xf numFmtId="0" fontId="68" fillId="0" borderId="0" xfId="1" applyNumberFormat="1" applyFont="1" applyProtection="1"/>
    <xf numFmtId="0" fontId="68" fillId="0" borderId="0" xfId="1" applyNumberFormat="1" applyFont="1" applyAlignment="1" applyProtection="1">
      <alignment horizontal="center"/>
    </xf>
    <xf numFmtId="0" fontId="34" fillId="0" borderId="0" xfId="1" applyNumberFormat="1" applyFont="1" applyAlignment="1" applyProtection="1">
      <alignment vertical="center"/>
      <protection hidden="1"/>
    </xf>
    <xf numFmtId="0" fontId="81" fillId="0" borderId="103" xfId="1" applyFont="1" applyFill="1" applyBorder="1" applyAlignment="1" applyProtection="1">
      <alignment vertical="center"/>
    </xf>
    <xf numFmtId="0" fontId="81" fillId="0" borderId="107" xfId="1" applyFont="1" applyBorder="1" applyAlignment="1" applyProtection="1">
      <alignment vertical="center"/>
      <protection hidden="1"/>
    </xf>
    <xf numFmtId="0" fontId="81" fillId="0" borderId="0" xfId="1" applyFont="1" applyBorder="1" applyAlignment="1" applyProtection="1">
      <alignment vertical="center"/>
      <protection hidden="1"/>
    </xf>
    <xf numFmtId="0" fontId="81" fillId="0" borderId="108" xfId="1" applyFont="1" applyBorder="1" applyAlignment="1" applyProtection="1">
      <alignment vertical="center"/>
      <protection hidden="1"/>
    </xf>
    <xf numFmtId="0" fontId="81" fillId="0" borderId="102" xfId="1" applyFont="1" applyFill="1" applyBorder="1" applyAlignment="1" applyProtection="1">
      <alignment horizontal="center" vertical="center"/>
    </xf>
    <xf numFmtId="0" fontId="81" fillId="0" borderId="104" xfId="1" applyFont="1" applyFill="1" applyBorder="1" applyAlignment="1" applyProtection="1">
      <alignment vertical="center"/>
    </xf>
    <xf numFmtId="185" fontId="81" fillId="0" borderId="115" xfId="6" applyNumberFormat="1" applyFont="1" applyFill="1" applyBorder="1" applyAlignment="1" applyProtection="1">
      <alignment vertical="center"/>
    </xf>
    <xf numFmtId="185" fontId="81" fillId="0" borderId="116" xfId="6" applyNumberFormat="1" applyFont="1" applyFill="1" applyBorder="1" applyAlignment="1" applyProtection="1">
      <alignment vertical="center"/>
    </xf>
    <xf numFmtId="185" fontId="81" fillId="0" borderId="112" xfId="6" applyNumberFormat="1" applyFont="1" applyFill="1" applyBorder="1" applyAlignment="1" applyProtection="1">
      <alignment vertical="center"/>
    </xf>
    <xf numFmtId="185" fontId="81" fillId="0" borderId="113" xfId="6" applyNumberFormat="1" applyFont="1" applyFill="1" applyBorder="1" applyAlignment="1" applyProtection="1">
      <alignment vertical="center"/>
    </xf>
    <xf numFmtId="0" fontId="81" fillId="0" borderId="102" xfId="1" applyFont="1" applyFill="1" applyBorder="1" applyAlignment="1" applyProtection="1">
      <alignment vertical="center"/>
    </xf>
    <xf numFmtId="185" fontId="81" fillId="0" borderId="121" xfId="6" applyNumberFormat="1" applyFont="1" applyFill="1" applyBorder="1" applyAlignment="1" applyProtection="1">
      <alignment vertical="center"/>
    </xf>
    <xf numFmtId="185" fontId="81" fillId="0" borderId="122" xfId="6" applyNumberFormat="1" applyFont="1" applyFill="1" applyBorder="1" applyAlignment="1" applyProtection="1">
      <alignment vertical="center"/>
    </xf>
    <xf numFmtId="185" fontId="81" fillId="0" borderId="123" xfId="6" applyNumberFormat="1" applyFont="1" applyFill="1" applyBorder="1" applyAlignment="1" applyProtection="1">
      <alignment vertical="center"/>
    </xf>
    <xf numFmtId="0" fontId="81" fillId="0" borderId="0" xfId="1" applyFont="1" applyFill="1" applyAlignment="1" applyProtection="1">
      <alignment horizontal="left"/>
    </xf>
    <xf numFmtId="0" fontId="82" fillId="0" borderId="0" xfId="1" applyFont="1" applyFill="1" applyAlignment="1" applyProtection="1">
      <alignment horizontal="left"/>
    </xf>
    <xf numFmtId="0" fontId="70" fillId="0" borderId="0" xfId="1" applyFont="1" applyFill="1" applyAlignment="1" applyProtection="1">
      <alignment horizontal="left"/>
    </xf>
    <xf numFmtId="0" fontId="68" fillId="0" borderId="0" xfId="1" applyFont="1" applyFill="1" applyAlignment="1" applyProtection="1"/>
    <xf numFmtId="0" fontId="68" fillId="0" borderId="0" xfId="1" applyFont="1" applyAlignment="1" applyProtection="1"/>
    <xf numFmtId="0" fontId="32" fillId="0" borderId="0" xfId="1" applyFont="1" applyAlignment="1" applyProtection="1">
      <protection hidden="1"/>
    </xf>
    <xf numFmtId="0" fontId="9" fillId="0" borderId="0" xfId="1" applyFont="1" applyAlignment="1" applyProtection="1">
      <protection hidden="1"/>
    </xf>
    <xf numFmtId="0" fontId="9" fillId="0" borderId="0" xfId="1" applyFont="1" applyAlignment="1" applyProtection="1">
      <alignment horizontal="left"/>
      <protection hidden="1"/>
    </xf>
    <xf numFmtId="0" fontId="32" fillId="0" borderId="0" xfId="1" applyFont="1" applyAlignment="1" applyProtection="1">
      <alignment vertical="center"/>
      <protection hidden="1"/>
    </xf>
    <xf numFmtId="0" fontId="32" fillId="0" borderId="0" xfId="1" applyNumberFormat="1" applyFont="1" applyProtection="1">
      <protection hidden="1"/>
    </xf>
    <xf numFmtId="0" fontId="9" fillId="0" borderId="0" xfId="1" applyNumberFormat="1" applyFont="1" applyProtection="1">
      <protection hidden="1"/>
    </xf>
    <xf numFmtId="43" fontId="9" fillId="0" borderId="0" xfId="1" applyNumberFormat="1" applyFont="1" applyProtection="1">
      <protection hidden="1"/>
    </xf>
    <xf numFmtId="0" fontId="9" fillId="0" borderId="0" xfId="1" applyNumberFormat="1" applyFont="1" applyAlignment="1" applyProtection="1">
      <alignment vertical="center"/>
      <protection hidden="1"/>
    </xf>
    <xf numFmtId="0" fontId="68" fillId="0" borderId="0" xfId="1" applyNumberFormat="1" applyFont="1" applyAlignment="1" applyProtection="1">
      <alignment vertical="center"/>
    </xf>
    <xf numFmtId="0" fontId="32" fillId="0" borderId="0" xfId="1" applyNumberFormat="1" applyFont="1" applyAlignment="1" applyProtection="1">
      <alignment vertical="center"/>
      <protection hidden="1"/>
    </xf>
    <xf numFmtId="0" fontId="9" fillId="0" borderId="0" xfId="1" applyFont="1" applyProtection="1"/>
    <xf numFmtId="0" fontId="32" fillId="0" borderId="0" xfId="1" applyFont="1" applyProtection="1"/>
    <xf numFmtId="2" fontId="81" fillId="0" borderId="107" xfId="1" applyNumberFormat="1" applyFont="1" applyFill="1" applyBorder="1" applyAlignment="1" applyProtection="1">
      <alignment vertical="top"/>
      <protection hidden="1"/>
    </xf>
    <xf numFmtId="2" fontId="81" fillId="0" borderId="0" xfId="1" applyNumberFormat="1" applyFont="1" applyFill="1" applyBorder="1" applyAlignment="1" applyProtection="1">
      <alignment vertical="top"/>
      <protection hidden="1"/>
    </xf>
    <xf numFmtId="2" fontId="81" fillId="0" borderId="108" xfId="1" applyNumberFormat="1" applyFont="1" applyFill="1" applyBorder="1" applyAlignment="1" applyProtection="1">
      <alignment vertical="top"/>
      <protection hidden="1"/>
    </xf>
    <xf numFmtId="2" fontId="81" fillId="0" borderId="112" xfId="1" applyNumberFormat="1" applyFont="1" applyFill="1" applyBorder="1" applyAlignment="1" applyProtection="1">
      <alignment vertical="top"/>
      <protection hidden="1"/>
    </xf>
    <xf numFmtId="2" fontId="81" fillId="0" borderId="113" xfId="1" applyNumberFormat="1" applyFont="1" applyFill="1" applyBorder="1" applyAlignment="1" applyProtection="1">
      <alignment vertical="top"/>
      <protection hidden="1"/>
    </xf>
    <xf numFmtId="2" fontId="81" fillId="0" borderId="114" xfId="1" applyNumberFormat="1" applyFont="1" applyFill="1" applyBorder="1" applyAlignment="1" applyProtection="1">
      <alignment vertical="top"/>
      <protection hidden="1"/>
    </xf>
    <xf numFmtId="2" fontId="81" fillId="0" borderId="115" xfId="1" applyNumberFormat="1" applyFont="1" applyFill="1" applyBorder="1" applyAlignment="1" applyProtection="1">
      <alignment vertical="top"/>
      <protection hidden="1"/>
    </xf>
    <xf numFmtId="2" fontId="81" fillId="0" borderId="116" xfId="1" applyNumberFormat="1" applyFont="1" applyFill="1" applyBorder="1" applyAlignment="1" applyProtection="1">
      <alignment vertical="top"/>
      <protection hidden="1"/>
    </xf>
    <xf numFmtId="2" fontId="81" fillId="0" borderId="117" xfId="1" applyNumberFormat="1" applyFont="1" applyFill="1" applyBorder="1" applyAlignment="1" applyProtection="1">
      <alignment vertical="top"/>
      <protection hidden="1"/>
    </xf>
    <xf numFmtId="2" fontId="81" fillId="0" borderId="118" xfId="1" applyNumberFormat="1" applyFont="1" applyFill="1" applyBorder="1" applyAlignment="1" applyProtection="1">
      <alignment vertical="top"/>
      <protection hidden="1"/>
    </xf>
    <xf numFmtId="2" fontId="81" fillId="0" borderId="119" xfId="1" applyNumberFormat="1" applyFont="1" applyFill="1" applyBorder="1" applyAlignment="1" applyProtection="1">
      <alignment vertical="top"/>
      <protection hidden="1"/>
    </xf>
    <xf numFmtId="2" fontId="81" fillId="0" borderId="120" xfId="1" applyNumberFormat="1" applyFont="1" applyFill="1" applyBorder="1" applyAlignment="1" applyProtection="1">
      <alignment vertical="top"/>
      <protection hidden="1"/>
    </xf>
    <xf numFmtId="2" fontId="81" fillId="0" borderId="121" xfId="1" applyNumberFormat="1" applyFont="1" applyFill="1" applyBorder="1" applyAlignment="1" applyProtection="1">
      <alignment vertical="top"/>
      <protection hidden="1"/>
    </xf>
    <xf numFmtId="2" fontId="81" fillId="0" borderId="122" xfId="1" applyNumberFormat="1" applyFont="1" applyFill="1" applyBorder="1" applyAlignment="1" applyProtection="1">
      <alignment vertical="top"/>
      <protection hidden="1"/>
    </xf>
    <xf numFmtId="2" fontId="81" fillId="0" borderId="123" xfId="1" applyNumberFormat="1" applyFont="1" applyFill="1" applyBorder="1" applyAlignment="1" applyProtection="1">
      <alignment vertical="top"/>
      <protection hidden="1"/>
    </xf>
    <xf numFmtId="185" fontId="81" fillId="0" borderId="116" xfId="6" applyNumberFormat="1" applyFont="1" applyBorder="1" applyAlignment="1" applyProtection="1">
      <alignment vertical="center"/>
    </xf>
    <xf numFmtId="185" fontId="81" fillId="0" borderId="116" xfId="6" applyNumberFormat="1" applyFont="1" applyBorder="1" applyAlignment="1" applyProtection="1">
      <alignment vertical="center"/>
      <protection hidden="1"/>
    </xf>
    <xf numFmtId="185" fontId="81" fillId="0" borderId="117" xfId="6" applyNumberFormat="1" applyFont="1" applyBorder="1" applyAlignment="1" applyProtection="1">
      <alignment vertical="center"/>
      <protection hidden="1"/>
    </xf>
    <xf numFmtId="185" fontId="81" fillId="0" borderId="113" xfId="6" applyNumberFormat="1" applyFont="1" applyBorder="1" applyAlignment="1" applyProtection="1">
      <alignment vertical="center"/>
    </xf>
    <xf numFmtId="185" fontId="81" fillId="0" borderId="113" xfId="6" applyNumberFormat="1" applyFont="1" applyBorder="1" applyAlignment="1" applyProtection="1">
      <alignment vertical="center"/>
      <protection hidden="1"/>
    </xf>
    <xf numFmtId="185" fontId="81" fillId="0" borderId="114" xfId="6" applyNumberFormat="1" applyFont="1" applyBorder="1" applyAlignment="1" applyProtection="1">
      <alignment vertical="center"/>
      <protection hidden="1"/>
    </xf>
    <xf numFmtId="185" fontId="81" fillId="0" borderId="118" xfId="6" applyNumberFormat="1" applyFont="1" applyFill="1" applyBorder="1" applyAlignment="1" applyProtection="1">
      <alignment vertical="center"/>
    </xf>
    <xf numFmtId="185" fontId="81" fillId="0" borderId="119" xfId="6" applyNumberFormat="1" applyFont="1" applyFill="1" applyBorder="1" applyAlignment="1" applyProtection="1">
      <alignment vertical="center"/>
    </xf>
    <xf numFmtId="185" fontId="81" fillId="0" borderId="119" xfId="6" applyNumberFormat="1" applyFont="1" applyBorder="1" applyAlignment="1" applyProtection="1">
      <alignment vertical="center"/>
    </xf>
    <xf numFmtId="185" fontId="81" fillId="0" borderId="119" xfId="6" applyNumberFormat="1" applyFont="1" applyBorder="1" applyAlignment="1" applyProtection="1">
      <alignment vertical="center"/>
      <protection hidden="1"/>
    </xf>
    <xf numFmtId="185" fontId="81" fillId="0" borderId="120" xfId="6" applyNumberFormat="1" applyFont="1" applyBorder="1" applyAlignment="1" applyProtection="1">
      <alignment vertical="center"/>
      <protection hidden="1"/>
    </xf>
    <xf numFmtId="185" fontId="81" fillId="0" borderId="120" xfId="6" applyNumberFormat="1" applyFont="1" applyFill="1" applyBorder="1" applyAlignment="1" applyProtection="1">
      <alignment vertical="center"/>
    </xf>
    <xf numFmtId="185" fontId="82" fillId="0" borderId="125" xfId="6" applyNumberFormat="1" applyFont="1" applyFill="1" applyBorder="1" applyAlignment="1" applyProtection="1">
      <alignment vertical="center"/>
    </xf>
    <xf numFmtId="185" fontId="82" fillId="0" borderId="126" xfId="6" applyNumberFormat="1" applyFont="1" applyFill="1" applyBorder="1" applyAlignment="1" applyProtection="1">
      <alignment vertical="center"/>
    </xf>
    <xf numFmtId="185" fontId="82" fillId="0" borderId="127" xfId="6" applyNumberFormat="1" applyFont="1" applyFill="1" applyBorder="1" applyAlignment="1" applyProtection="1">
      <alignment vertical="center"/>
    </xf>
    <xf numFmtId="191" fontId="81" fillId="0" borderId="105" xfId="6" applyNumberFormat="1" applyFont="1" applyBorder="1" applyAlignment="1" applyProtection="1">
      <alignment vertical="center"/>
      <protection hidden="1"/>
    </xf>
    <xf numFmtId="191" fontId="81" fillId="0" borderId="101" xfId="6" applyNumberFormat="1" applyFont="1" applyBorder="1" applyAlignment="1" applyProtection="1">
      <alignment vertical="center"/>
      <protection hidden="1"/>
    </xf>
    <xf numFmtId="185" fontId="81" fillId="0" borderId="105" xfId="6" applyNumberFormat="1" applyFont="1" applyBorder="1" applyAlignment="1" applyProtection="1">
      <alignment vertical="center"/>
      <protection hidden="1"/>
    </xf>
    <xf numFmtId="185" fontId="81" fillId="0" borderId="101" xfId="6" applyNumberFormat="1" applyFont="1" applyBorder="1" applyAlignment="1" applyProtection="1">
      <alignment vertical="center"/>
      <protection hidden="1"/>
    </xf>
    <xf numFmtId="0" fontId="9" fillId="0" borderId="0" xfId="1" applyNumberFormat="1" applyFont="1" applyFill="1" applyAlignment="1" applyProtection="1">
      <alignment vertical="center"/>
      <protection hidden="1"/>
    </xf>
    <xf numFmtId="185" fontId="81" fillId="0" borderId="0" xfId="6" applyNumberFormat="1" applyFont="1" applyBorder="1" applyAlignment="1" applyProtection="1">
      <alignment vertical="center"/>
      <protection hidden="1"/>
    </xf>
    <xf numFmtId="191" fontId="81" fillId="0" borderId="0" xfId="6" applyNumberFormat="1" applyFont="1" applyBorder="1" applyAlignment="1" applyProtection="1">
      <alignment vertical="center"/>
      <protection hidden="1"/>
    </xf>
    <xf numFmtId="191" fontId="81" fillId="0" borderId="98" xfId="6" applyNumberFormat="1" applyFont="1" applyBorder="1" applyAlignment="1" applyProtection="1">
      <alignment vertical="center"/>
      <protection hidden="1"/>
    </xf>
    <xf numFmtId="185" fontId="82" fillId="9" borderId="124" xfId="6" applyNumberFormat="1" applyFont="1" applyFill="1" applyBorder="1" applyAlignment="1" applyProtection="1">
      <alignment vertical="center"/>
      <protection hidden="1"/>
    </xf>
    <xf numFmtId="185" fontId="81" fillId="9" borderId="96" xfId="6" applyNumberFormat="1" applyFont="1" applyFill="1" applyBorder="1" applyAlignment="1" applyProtection="1">
      <alignment vertical="center"/>
      <protection hidden="1"/>
    </xf>
    <xf numFmtId="185" fontId="81" fillId="9" borderId="105" xfId="6" applyNumberFormat="1" applyFont="1" applyFill="1" applyBorder="1" applyAlignment="1" applyProtection="1">
      <alignment vertical="center"/>
      <protection hidden="1"/>
    </xf>
    <xf numFmtId="185" fontId="81" fillId="9" borderId="98" xfId="6" applyNumberFormat="1" applyFont="1" applyFill="1" applyBorder="1" applyAlignment="1" applyProtection="1">
      <alignment vertical="center"/>
      <protection hidden="1"/>
    </xf>
    <xf numFmtId="191" fontId="81" fillId="0" borderId="107" xfId="6" applyNumberFormat="1" applyFont="1" applyBorder="1" applyAlignment="1" applyProtection="1">
      <alignment vertical="center"/>
      <protection hidden="1"/>
    </xf>
    <xf numFmtId="185" fontId="82" fillId="9" borderId="98" xfId="6" applyNumberFormat="1" applyFont="1" applyFill="1" applyBorder="1" applyAlignment="1" applyProtection="1">
      <alignment vertical="center"/>
      <protection hidden="1"/>
    </xf>
    <xf numFmtId="185" fontId="81" fillId="9" borderId="97" xfId="6" applyNumberFormat="1" applyFont="1" applyFill="1" applyBorder="1" applyAlignment="1" applyProtection="1">
      <alignment vertical="center"/>
      <protection hidden="1"/>
    </xf>
    <xf numFmtId="0" fontId="81" fillId="0" borderId="103" xfId="1" applyFont="1" applyBorder="1" applyAlignment="1" applyProtection="1">
      <alignment horizontal="center"/>
      <protection hidden="1"/>
    </xf>
    <xf numFmtId="0" fontId="81" fillId="0" borderId="104" xfId="1" applyFont="1" applyBorder="1" applyAlignment="1" applyProtection="1">
      <alignment horizontal="center"/>
      <protection hidden="1"/>
    </xf>
    <xf numFmtId="0" fontId="81" fillId="0" borderId="128" xfId="1" applyFont="1" applyBorder="1" applyAlignment="1" applyProtection="1">
      <alignment horizontal="center"/>
      <protection hidden="1"/>
    </xf>
    <xf numFmtId="0" fontId="82" fillId="0" borderId="0" xfId="1" applyFont="1" applyProtection="1"/>
    <xf numFmtId="0" fontId="11" fillId="3" borderId="0" xfId="1" applyFont="1" applyFill="1" applyAlignment="1" applyProtection="1">
      <alignment horizontal="left"/>
      <protection hidden="1"/>
    </xf>
    <xf numFmtId="0" fontId="0" fillId="0" borderId="0" xfId="0"/>
    <xf numFmtId="0" fontId="13" fillId="4" borderId="0" xfId="0" applyFont="1" applyFill="1" applyBorder="1" applyAlignment="1">
      <alignment horizontal="left" vertical="center"/>
    </xf>
    <xf numFmtId="0" fontId="22" fillId="0" borderId="0" xfId="1" applyFont="1" applyFill="1" applyAlignment="1" applyProtection="1">
      <protection hidden="1"/>
    </xf>
    <xf numFmtId="0" fontId="22" fillId="0" borderId="0" xfId="1" applyFont="1" applyFill="1" applyBorder="1" applyProtection="1">
      <protection hidden="1"/>
    </xf>
    <xf numFmtId="168" fontId="34" fillId="0" borderId="0" xfId="1" applyNumberFormat="1" applyFont="1" applyFill="1" applyAlignment="1" applyProtection="1">
      <alignment horizontal="center"/>
      <protection hidden="1"/>
    </xf>
    <xf numFmtId="0" fontId="22" fillId="0" borderId="0" xfId="1" applyFont="1" applyFill="1" applyAlignment="1" applyProtection="1">
      <alignment horizontal="right"/>
      <protection hidden="1"/>
    </xf>
    <xf numFmtId="0" fontId="22" fillId="0" borderId="0" xfId="1" applyFont="1" applyFill="1" applyProtection="1">
      <protection hidden="1"/>
    </xf>
    <xf numFmtId="0" fontId="85" fillId="0" borderId="0" xfId="1" applyFont="1" applyProtection="1">
      <protection hidden="1"/>
    </xf>
    <xf numFmtId="0" fontId="9" fillId="0" borderId="0" xfId="1" applyFont="1" applyBorder="1" applyProtection="1">
      <protection hidden="1"/>
    </xf>
    <xf numFmtId="0" fontId="81" fillId="0" borderId="0" xfId="1" applyFont="1" applyBorder="1" applyProtection="1">
      <protection hidden="1"/>
    </xf>
    <xf numFmtId="183" fontId="81" fillId="0" borderId="0" xfId="5" applyNumberFormat="1" applyFont="1" applyProtection="1">
      <protection hidden="1"/>
    </xf>
    <xf numFmtId="0" fontId="82" fillId="0" borderId="42" xfId="1" applyFont="1" applyBorder="1" applyProtection="1"/>
    <xf numFmtId="0" fontId="81" fillId="0" borderId="42" xfId="1" applyFont="1" applyBorder="1" applyProtection="1">
      <protection hidden="1"/>
    </xf>
    <xf numFmtId="185" fontId="81" fillId="0" borderId="102" xfId="6" applyNumberFormat="1" applyFont="1" applyBorder="1" applyAlignment="1" applyProtection="1">
      <alignment vertical="center"/>
      <protection hidden="1"/>
    </xf>
    <xf numFmtId="185" fontId="81" fillId="0" borderId="103" xfId="6" applyNumberFormat="1" applyFont="1" applyBorder="1" applyAlignment="1" applyProtection="1">
      <alignment vertical="center"/>
      <protection hidden="1"/>
    </xf>
    <xf numFmtId="185" fontId="81" fillId="0" borderId="124" xfId="6" applyNumberFormat="1" applyFont="1" applyBorder="1" applyAlignment="1" applyProtection="1">
      <alignment vertical="center"/>
      <protection hidden="1"/>
    </xf>
    <xf numFmtId="176" fontId="31" fillId="0" borderId="0" xfId="1" applyNumberFormat="1" applyFont="1" applyFill="1" applyBorder="1" applyAlignment="1" applyProtection="1">
      <alignment vertical="center"/>
      <protection hidden="1"/>
    </xf>
    <xf numFmtId="0" fontId="9" fillId="0" borderId="0" xfId="1" applyFont="1" applyBorder="1" applyAlignment="1" applyProtection="1">
      <alignment vertical="center"/>
      <protection hidden="1"/>
    </xf>
    <xf numFmtId="165" fontId="9" fillId="0" borderId="0" xfId="1" applyNumberFormat="1" applyFont="1" applyBorder="1" applyAlignment="1" applyProtection="1">
      <alignment vertical="center"/>
      <protection hidden="1"/>
    </xf>
    <xf numFmtId="0" fontId="81" fillId="0" borderId="0" xfId="1" applyFont="1" applyFill="1" applyBorder="1" applyAlignment="1" applyProtection="1">
      <alignment vertical="center"/>
    </xf>
    <xf numFmtId="0" fontId="68" fillId="0" borderId="0" xfId="1" applyFont="1" applyFill="1" applyBorder="1" applyProtection="1"/>
    <xf numFmtId="0" fontId="68" fillId="0" borderId="0" xfId="1" applyFont="1" applyBorder="1" applyProtection="1"/>
    <xf numFmtId="0" fontId="81" fillId="0" borderId="101" xfId="1" applyFont="1" applyBorder="1" applyProtection="1">
      <protection hidden="1"/>
    </xf>
    <xf numFmtId="0" fontId="12" fillId="0" borderId="0" xfId="9"/>
    <xf numFmtId="49" fontId="12" fillId="0" borderId="0" xfId="9" applyNumberFormat="1"/>
    <xf numFmtId="49" fontId="12" fillId="3" borderId="0" xfId="9" applyNumberFormat="1" applyFill="1" applyAlignment="1">
      <alignment vertical="center"/>
    </xf>
    <xf numFmtId="0" fontId="12" fillId="3" borderId="0" xfId="9" applyFill="1" applyAlignment="1">
      <alignment vertical="center"/>
    </xf>
    <xf numFmtId="49" fontId="12" fillId="0" borderId="0" xfId="9" applyNumberFormat="1" applyAlignment="1">
      <alignment vertical="center"/>
    </xf>
    <xf numFmtId="0" fontId="12" fillId="0" borderId="0" xfId="9" applyAlignment="1">
      <alignment vertical="center"/>
    </xf>
    <xf numFmtId="0" fontId="12" fillId="0" borderId="0" xfId="9" applyAlignment="1"/>
    <xf numFmtId="0" fontId="12" fillId="0" borderId="0" xfId="9" applyFill="1" applyAlignment="1">
      <alignment vertical="center"/>
    </xf>
    <xf numFmtId="49" fontId="12" fillId="0" borderId="29" xfId="9" applyNumberFormat="1" applyFill="1" applyBorder="1" applyAlignment="1">
      <alignment vertical="center"/>
    </xf>
    <xf numFmtId="3" fontId="12" fillId="0" borderId="29" xfId="9" applyNumberFormat="1" applyFill="1" applyBorder="1" applyAlignment="1">
      <alignment vertical="center"/>
    </xf>
    <xf numFmtId="0" fontId="12" fillId="0" borderId="29" xfId="9" applyFont="1" applyFill="1" applyBorder="1" applyAlignment="1">
      <alignment horizontal="left" vertical="center"/>
    </xf>
    <xf numFmtId="0" fontId="12" fillId="0" borderId="29" xfId="9" applyFont="1" applyFill="1" applyBorder="1" applyAlignment="1">
      <alignment vertical="center"/>
    </xf>
    <xf numFmtId="3" fontId="12" fillId="6" borderId="29" xfId="9" applyNumberFormat="1" applyFont="1" applyFill="1" applyBorder="1" applyAlignment="1" applyProtection="1">
      <alignment vertical="center"/>
      <protection locked="0"/>
    </xf>
    <xf numFmtId="0" fontId="15" fillId="0" borderId="29" xfId="9" applyFont="1" applyFill="1" applyBorder="1" applyAlignment="1">
      <alignment vertical="center"/>
    </xf>
    <xf numFmtId="0" fontId="12" fillId="0" borderId="29" xfId="9" applyFill="1" applyBorder="1" applyAlignment="1">
      <alignment vertical="center"/>
    </xf>
    <xf numFmtId="3" fontId="12" fillId="6" borderId="29" xfId="9" applyNumberFormat="1" applyFill="1" applyBorder="1" applyAlignment="1" applyProtection="1">
      <alignment vertical="center"/>
      <protection locked="0"/>
    </xf>
    <xf numFmtId="0" fontId="12" fillId="0" borderId="10" xfId="9" applyFill="1" applyBorder="1" applyAlignment="1">
      <alignment vertical="center"/>
    </xf>
    <xf numFmtId="49" fontId="12" fillId="0" borderId="0" xfId="9" applyNumberFormat="1" applyFill="1" applyAlignment="1">
      <alignment vertical="center"/>
    </xf>
    <xf numFmtId="0" fontId="12" fillId="0" borderId="11" xfId="9" applyFill="1" applyBorder="1" applyAlignment="1">
      <alignment vertical="center"/>
    </xf>
    <xf numFmtId="0" fontId="12" fillId="0" borderId="41" xfId="9" applyFill="1" applyBorder="1" applyAlignment="1">
      <alignment vertical="center"/>
    </xf>
    <xf numFmtId="0" fontId="15" fillId="0" borderId="31" xfId="9" applyFont="1" applyFill="1" applyBorder="1" applyAlignment="1">
      <alignment horizontal="right" vertical="center" wrapText="1"/>
    </xf>
    <xf numFmtId="0" fontId="15" fillId="0" borderId="32" xfId="9" applyFont="1" applyFill="1" applyBorder="1" applyAlignment="1">
      <alignment wrapText="1"/>
    </xf>
    <xf numFmtId="0" fontId="15" fillId="0" borderId="33" xfId="9" applyFont="1" applyFill="1" applyBorder="1" applyAlignment="1">
      <alignment horizontal="right" vertical="center" wrapText="1"/>
    </xf>
    <xf numFmtId="2" fontId="15" fillId="18" borderId="34" xfId="1" applyNumberFormat="1" applyFont="1" applyFill="1" applyBorder="1" applyAlignment="1" applyProtection="1">
      <alignment vertical="top"/>
      <protection hidden="1"/>
    </xf>
    <xf numFmtId="0" fontId="86" fillId="6" borderId="34" xfId="9" applyFont="1" applyFill="1" applyBorder="1" applyAlignment="1" applyProtection="1">
      <alignment horizontal="right" vertical="center" wrapText="1"/>
      <protection locked="0"/>
    </xf>
    <xf numFmtId="0" fontId="15" fillId="0" borderId="35" xfId="9" applyFont="1" applyFill="1" applyBorder="1" applyAlignment="1">
      <alignment wrapText="1"/>
    </xf>
    <xf numFmtId="2" fontId="15" fillId="0" borderId="0" xfId="9" applyNumberFormat="1" applyFont="1" applyFill="1" applyBorder="1" applyAlignment="1">
      <alignment vertical="center"/>
    </xf>
    <xf numFmtId="0" fontId="12" fillId="0" borderId="5" xfId="9" applyFill="1" applyBorder="1" applyAlignment="1">
      <alignment vertical="center"/>
    </xf>
    <xf numFmtId="0" fontId="12" fillId="0" borderId="36" xfId="9" applyFont="1" applyFill="1" applyBorder="1" applyAlignment="1">
      <alignment horizontal="left" vertical="center"/>
    </xf>
    <xf numFmtId="0" fontId="12" fillId="0" borderId="38" xfId="9" applyFont="1" applyFill="1" applyBorder="1" applyAlignment="1">
      <alignment horizontal="left" vertical="center"/>
    </xf>
    <xf numFmtId="0" fontId="12" fillId="0" borderId="37" xfId="9" applyFill="1" applyBorder="1" applyAlignment="1">
      <alignment vertical="center"/>
    </xf>
    <xf numFmtId="0" fontId="12" fillId="0" borderId="16" xfId="9" applyFont="1" applyFill="1" applyBorder="1" applyAlignment="1">
      <alignment vertical="center"/>
    </xf>
    <xf numFmtId="0" fontId="15" fillId="0" borderId="32" xfId="9" applyFont="1" applyFill="1" applyBorder="1" applyAlignment="1">
      <alignment vertical="center" wrapText="1"/>
    </xf>
    <xf numFmtId="0" fontId="15" fillId="0" borderId="13" xfId="9" applyFont="1" applyFill="1" applyBorder="1" applyAlignment="1">
      <alignment vertical="center"/>
    </xf>
    <xf numFmtId="3" fontId="15" fillId="0" borderId="14" xfId="9" applyNumberFormat="1" applyFont="1" applyFill="1" applyBorder="1" applyAlignment="1">
      <alignment horizontal="right" vertical="center"/>
    </xf>
    <xf numFmtId="2" fontId="86" fillId="6" borderId="16" xfId="9" applyNumberFormat="1" applyFont="1" applyFill="1" applyBorder="1" applyAlignment="1" applyProtection="1">
      <alignment horizontal="center" vertical="center"/>
      <protection locked="0"/>
    </xf>
    <xf numFmtId="9" fontId="15" fillId="0" borderId="0" xfId="9" applyNumberFormat="1" applyFont="1" applyFill="1" applyBorder="1" applyAlignment="1" applyProtection="1">
      <alignment horizontal="right" vertical="center"/>
    </xf>
    <xf numFmtId="49" fontId="12" fillId="0" borderId="29" xfId="9" applyNumberFormat="1" applyFill="1" applyBorder="1" applyAlignment="1">
      <alignment horizontal="left" vertical="center"/>
    </xf>
    <xf numFmtId="3" fontId="12" fillId="0" borderId="29" xfId="9" applyNumberFormat="1" applyFill="1" applyBorder="1" applyAlignment="1">
      <alignment horizontal="right" vertical="center"/>
    </xf>
    <xf numFmtId="0" fontId="56" fillId="0" borderId="0" xfId="9" applyFont="1" applyBorder="1" applyAlignment="1">
      <alignment vertical="center"/>
    </xf>
    <xf numFmtId="49" fontId="12" fillId="0" borderId="27" xfId="9" applyNumberFormat="1" applyFill="1" applyBorder="1" applyAlignment="1">
      <alignment vertical="center"/>
    </xf>
    <xf numFmtId="49" fontId="12" fillId="0" borderId="11" xfId="9" applyNumberFormat="1" applyFill="1" applyBorder="1" applyAlignment="1">
      <alignment vertical="center"/>
    </xf>
    <xf numFmtId="49" fontId="12" fillId="0" borderId="5" xfId="9" applyNumberFormat="1" applyFill="1" applyBorder="1" applyAlignment="1">
      <alignment vertical="center"/>
    </xf>
    <xf numFmtId="49" fontId="12" fillId="0" borderId="29" xfId="9" applyNumberFormat="1" applyFont="1" applyFill="1" applyBorder="1" applyAlignment="1">
      <alignment vertical="center"/>
    </xf>
    <xf numFmtId="0" fontId="12" fillId="0" borderId="29" xfId="9" applyFont="1" applyFill="1" applyBorder="1" applyAlignment="1">
      <alignment horizontal="right" vertical="center" indent="1"/>
    </xf>
    <xf numFmtId="3" fontId="12" fillId="0" borderId="29" xfId="9" applyNumberFormat="1" applyFont="1" applyFill="1" applyBorder="1" applyAlignment="1">
      <alignment vertical="center"/>
    </xf>
    <xf numFmtId="0" fontId="12" fillId="0" borderId="40" xfId="9" applyFill="1" applyBorder="1" applyAlignment="1">
      <alignment vertical="center"/>
    </xf>
    <xf numFmtId="0" fontId="12" fillId="0" borderId="12" xfId="9" applyFill="1" applyBorder="1" applyAlignment="1">
      <alignment vertical="center"/>
    </xf>
    <xf numFmtId="49" fontId="12" fillId="0" borderId="0" xfId="9" applyNumberFormat="1" applyFill="1" applyBorder="1" applyAlignment="1">
      <alignment vertical="center"/>
    </xf>
    <xf numFmtId="0" fontId="12" fillId="0" borderId="0" xfId="9" applyFill="1" applyBorder="1" applyAlignment="1">
      <alignment vertical="center"/>
    </xf>
    <xf numFmtId="0" fontId="12" fillId="0" borderId="28" xfId="9" applyFill="1" applyBorder="1" applyAlignment="1">
      <alignment vertical="center"/>
    </xf>
    <xf numFmtId="49" fontId="12" fillId="0" borderId="7" xfId="9" applyNumberFormat="1" applyFill="1" applyBorder="1" applyAlignment="1">
      <alignment vertical="center"/>
    </xf>
    <xf numFmtId="0" fontId="15" fillId="0" borderId="29" xfId="9" applyFont="1" applyFill="1" applyBorder="1" applyAlignment="1">
      <alignment vertical="center" wrapText="1"/>
    </xf>
    <xf numFmtId="0" fontId="15" fillId="0" borderId="35" xfId="9" applyFont="1" applyFill="1" applyBorder="1" applyAlignment="1">
      <alignment vertical="center" wrapText="1"/>
    </xf>
    <xf numFmtId="0" fontId="56" fillId="0" borderId="0" xfId="9" applyFont="1" applyAlignment="1">
      <alignment vertical="center"/>
    </xf>
    <xf numFmtId="1" fontId="15" fillId="18" borderId="34" xfId="1" applyNumberFormat="1" applyFont="1" applyFill="1" applyBorder="1" applyAlignment="1" applyProtection="1">
      <alignment vertical="top"/>
      <protection hidden="1"/>
    </xf>
    <xf numFmtId="0" fontId="81" fillId="0" borderId="110" xfId="1" applyFont="1" applyBorder="1" applyProtection="1">
      <protection hidden="1"/>
    </xf>
    <xf numFmtId="183" fontId="81" fillId="0" borderId="110" xfId="5" applyNumberFormat="1" applyFont="1" applyBorder="1" applyProtection="1">
      <protection hidden="1"/>
    </xf>
    <xf numFmtId="183" fontId="81" fillId="0" borderId="101" xfId="5" applyNumberFormat="1" applyFont="1" applyBorder="1" applyProtection="1">
      <protection hidden="1"/>
    </xf>
    <xf numFmtId="183" fontId="81" fillId="0" borderId="110" xfId="1" applyNumberFormat="1" applyFont="1" applyBorder="1" applyProtection="1">
      <protection hidden="1"/>
    </xf>
    <xf numFmtId="176" fontId="9" fillId="0" borderId="0" xfId="1" applyNumberFormat="1" applyFont="1" applyProtection="1">
      <protection hidden="1"/>
    </xf>
    <xf numFmtId="0" fontId="71" fillId="0" borderId="129" xfId="1" applyFont="1" applyBorder="1" applyAlignment="1" applyProtection="1">
      <alignment horizontal="center" vertical="center"/>
    </xf>
    <xf numFmtId="187" fontId="71" fillId="0" borderId="107" xfId="1" applyNumberFormat="1" applyFont="1" applyBorder="1" applyAlignment="1" applyProtection="1">
      <alignment horizontal="center" vertical="center"/>
    </xf>
    <xf numFmtId="187" fontId="71" fillId="0" borderId="107" xfId="1" applyNumberFormat="1" applyFont="1" applyFill="1" applyBorder="1" applyAlignment="1" applyProtection="1">
      <alignment horizontal="center" vertical="center"/>
    </xf>
    <xf numFmtId="0" fontId="32" fillId="0" borderId="0" xfId="1" applyFont="1" applyFill="1" applyAlignment="1" applyProtection="1">
      <alignment vertical="center"/>
      <protection hidden="1"/>
    </xf>
    <xf numFmtId="0" fontId="9" fillId="0" borderId="0" xfId="1" applyFont="1" applyFill="1" applyAlignment="1" applyProtection="1">
      <alignment vertical="center"/>
      <protection hidden="1"/>
    </xf>
    <xf numFmtId="0" fontId="22" fillId="0" borderId="0" xfId="1" applyFont="1" applyFill="1" applyAlignment="1" applyProtection="1">
      <alignment vertical="center"/>
      <protection hidden="1"/>
    </xf>
    <xf numFmtId="0" fontId="14" fillId="0" borderId="0" xfId="1" applyFont="1" applyFill="1" applyAlignment="1" applyProtection="1">
      <alignment vertical="top"/>
      <protection hidden="1"/>
    </xf>
    <xf numFmtId="0" fontId="14" fillId="0" borderId="0" xfId="1" applyFont="1" applyFill="1" applyBorder="1" applyAlignment="1" applyProtection="1">
      <alignment horizontal="center" vertical="top" wrapText="1"/>
      <protection hidden="1"/>
    </xf>
    <xf numFmtId="0" fontId="14" fillId="0" borderId="0" xfId="1" applyFont="1" applyFill="1" applyBorder="1" applyAlignment="1" applyProtection="1">
      <alignment horizontal="center"/>
      <protection hidden="1"/>
    </xf>
    <xf numFmtId="0" fontId="60" fillId="0" borderId="0" xfId="1" applyFont="1" applyFill="1" applyBorder="1" applyAlignment="1" applyProtection="1">
      <alignment horizontal="center" vertical="center"/>
      <protection hidden="1"/>
    </xf>
    <xf numFmtId="178" fontId="14" fillId="0" borderId="0" xfId="1" applyNumberFormat="1" applyFont="1" applyFill="1" applyBorder="1" applyAlignment="1" applyProtection="1">
      <alignment horizontal="center" vertical="center"/>
      <protection hidden="1"/>
    </xf>
    <xf numFmtId="0" fontId="73" fillId="0" borderId="105" xfId="1" applyFont="1" applyFill="1" applyBorder="1" applyAlignment="1" applyProtection="1">
      <alignment vertical="top"/>
      <protection hidden="1"/>
    </xf>
    <xf numFmtId="0" fontId="73" fillId="0" borderId="101" xfId="1" applyFont="1" applyFill="1" applyBorder="1" applyAlignment="1" applyProtection="1">
      <alignment vertical="top"/>
      <protection hidden="1"/>
    </xf>
    <xf numFmtId="0" fontId="73" fillId="0" borderId="106" xfId="1" applyFont="1" applyFill="1" applyBorder="1" applyAlignment="1" applyProtection="1">
      <alignment vertical="top"/>
      <protection hidden="1"/>
    </xf>
    <xf numFmtId="0" fontId="9" fillId="0" borderId="0" xfId="1" applyFont="1" applyFill="1" applyAlignment="1" applyProtection="1">
      <alignment horizontal="right"/>
      <protection hidden="1"/>
    </xf>
    <xf numFmtId="0" fontId="14" fillId="0" borderId="0" xfId="1" applyFont="1" applyFill="1" applyAlignment="1" applyProtection="1">
      <alignment vertical="top"/>
      <protection hidden="1"/>
    </xf>
    <xf numFmtId="0" fontId="82" fillId="0" borderId="101" xfId="1" applyFont="1" applyBorder="1" applyProtection="1">
      <protection hidden="1"/>
    </xf>
    <xf numFmtId="0" fontId="9" fillId="0" borderId="101" xfId="1" applyFont="1" applyBorder="1" applyProtection="1">
      <protection hidden="1"/>
    </xf>
    <xf numFmtId="0" fontId="81" fillId="0" borderId="103" xfId="1" applyFont="1" applyBorder="1" applyProtection="1">
      <protection hidden="1"/>
    </xf>
    <xf numFmtId="0" fontId="9" fillId="0" borderId="103" xfId="1" applyFont="1" applyBorder="1" applyProtection="1">
      <protection hidden="1"/>
    </xf>
    <xf numFmtId="183" fontId="81" fillId="0" borderId="0" xfId="5" applyNumberFormat="1" applyFont="1" applyBorder="1" applyProtection="1">
      <protection hidden="1"/>
    </xf>
    <xf numFmtId="183" fontId="81" fillId="0" borderId="103" xfId="1" applyNumberFormat="1" applyFont="1" applyBorder="1" applyProtection="1">
      <protection hidden="1"/>
    </xf>
    <xf numFmtId="0" fontId="68" fillId="0" borderId="103" xfId="1" applyFont="1" applyBorder="1" applyProtection="1"/>
    <xf numFmtId="0" fontId="9" fillId="0" borderId="110" xfId="1" applyFont="1" applyBorder="1" applyProtection="1">
      <protection hidden="1"/>
    </xf>
    <xf numFmtId="183" fontId="81" fillId="0" borderId="0" xfId="1" applyNumberFormat="1" applyFont="1" applyBorder="1" applyProtection="1">
      <protection hidden="1"/>
    </xf>
    <xf numFmtId="0" fontId="22" fillId="0" borderId="0" xfId="1" applyFont="1" applyBorder="1" applyAlignment="1" applyProtection="1">
      <alignment vertical="center"/>
      <protection hidden="1"/>
    </xf>
    <xf numFmtId="0" fontId="71" fillId="0" borderId="0" xfId="1" applyFont="1" applyBorder="1" applyAlignment="1" applyProtection="1">
      <alignment horizontal="center" vertical="center"/>
    </xf>
    <xf numFmtId="187" fontId="71" fillId="0" borderId="0" xfId="1" applyNumberFormat="1" applyFont="1" applyBorder="1" applyAlignment="1" applyProtection="1">
      <alignment horizontal="center" vertical="center"/>
    </xf>
    <xf numFmtId="3" fontId="68" fillId="0" borderId="0" xfId="1" applyNumberFormat="1" applyFont="1" applyFill="1" applyBorder="1" applyAlignment="1" applyProtection="1">
      <alignment horizontal="center" vertical="center"/>
    </xf>
    <xf numFmtId="0" fontId="68" fillId="0" borderId="0" xfId="1" applyFont="1" applyBorder="1" applyAlignment="1" applyProtection="1">
      <alignment vertical="center"/>
    </xf>
    <xf numFmtId="0" fontId="32" fillId="0" borderId="0" xfId="1" applyFont="1" applyBorder="1" applyAlignment="1" applyProtection="1">
      <alignment vertical="center"/>
      <protection hidden="1"/>
    </xf>
    <xf numFmtId="0" fontId="71" fillId="0" borderId="101" xfId="1" applyFont="1" applyBorder="1" applyProtection="1"/>
    <xf numFmtId="0" fontId="71" fillId="0" borderId="101" xfId="1" applyFont="1" applyBorder="1" applyAlignment="1" applyProtection="1">
      <alignment horizontal="center"/>
    </xf>
    <xf numFmtId="0" fontId="0" fillId="0" borderId="0" xfId="0"/>
    <xf numFmtId="49" fontId="56" fillId="0" borderId="0" xfId="0" applyNumberFormat="1" applyFont="1" applyBorder="1" applyAlignment="1">
      <alignment vertical="center"/>
    </xf>
    <xf numFmtId="2" fontId="9" fillId="0" borderId="0" xfId="1" applyNumberFormat="1" applyFont="1" applyProtection="1">
      <protection hidden="1"/>
    </xf>
    <xf numFmtId="0" fontId="17" fillId="0" borderId="0" xfId="9" applyFont="1" applyFill="1" applyBorder="1" applyAlignment="1">
      <alignment horizontal="center" vertical="center" wrapText="1"/>
    </xf>
    <xf numFmtId="0" fontId="0" fillId="0" borderId="0" xfId="0"/>
    <xf numFmtId="49" fontId="12" fillId="0" borderId="25" xfId="0" applyNumberFormat="1" applyFont="1" applyFill="1" applyBorder="1" applyAlignment="1">
      <alignment horizontal="center" vertical="center"/>
    </xf>
    <xf numFmtId="14" fontId="12" fillId="0" borderId="24" xfId="0" applyNumberFormat="1" applyFont="1" applyFill="1" applyBorder="1" applyAlignment="1">
      <alignment horizontal="center" vertical="center"/>
    </xf>
    <xf numFmtId="0" fontId="12" fillId="0" borderId="24" xfId="0" applyFont="1" applyFill="1" applyBorder="1" applyAlignment="1">
      <alignment vertical="center"/>
    </xf>
    <xf numFmtId="0" fontId="12" fillId="0" borderId="54" xfId="0" applyFont="1" applyFill="1" applyBorder="1" applyAlignment="1">
      <alignment vertical="center" wrapText="1"/>
    </xf>
    <xf numFmtId="0" fontId="17" fillId="0" borderId="0" xfId="9" applyFont="1" applyFill="1" applyBorder="1" applyAlignment="1">
      <alignment horizontal="center" vertical="center" wrapText="1"/>
    </xf>
    <xf numFmtId="0" fontId="34" fillId="0" borderId="0" xfId="1" applyFont="1" applyBorder="1" applyAlignment="1" applyProtection="1">
      <alignment horizontal="center" vertical="center"/>
      <protection hidden="1"/>
    </xf>
    <xf numFmtId="168" fontId="34" fillId="0" borderId="0" xfId="1" applyNumberFormat="1" applyFont="1" applyAlignment="1" applyProtection="1">
      <alignment horizontal="center"/>
      <protection hidden="1"/>
    </xf>
    <xf numFmtId="0" fontId="17" fillId="0" borderId="0" xfId="0" applyFont="1" applyProtection="1"/>
    <xf numFmtId="0" fontId="12" fillId="0" borderId="0" xfId="0" applyFont="1" applyProtection="1"/>
    <xf numFmtId="0" fontId="0" fillId="0" borderId="0" xfId="0" applyAlignment="1" applyProtection="1"/>
    <xf numFmtId="0" fontId="0" fillId="3" borderId="0" xfId="0" applyFill="1" applyAlignment="1" applyProtection="1"/>
    <xf numFmtId="0" fontId="17" fillId="3" borderId="0" xfId="0" applyFont="1" applyFill="1" applyAlignment="1" applyProtection="1"/>
    <xf numFmtId="0" fontId="12" fillId="3" borderId="0" xfId="0" applyFont="1" applyFill="1" applyProtection="1"/>
    <xf numFmtId="0" fontId="12" fillId="3" borderId="0" xfId="0" applyFont="1" applyFill="1" applyAlignment="1" applyProtection="1">
      <alignment horizontal="right"/>
    </xf>
    <xf numFmtId="0" fontId="63" fillId="0" borderId="0" xfId="0" applyFont="1" applyAlignment="1" applyProtection="1"/>
    <xf numFmtId="0" fontId="0" fillId="0" borderId="0" xfId="0" applyBorder="1" applyProtection="1"/>
    <xf numFmtId="0" fontId="45" fillId="0" borderId="0" xfId="0" applyFont="1" applyBorder="1" applyAlignment="1" applyProtection="1">
      <alignment vertical="center"/>
    </xf>
    <xf numFmtId="3" fontId="0" fillId="0" borderId="0" xfId="0" applyNumberFormat="1" applyProtection="1"/>
    <xf numFmtId="0" fontId="0" fillId="0" borderId="0" xfId="0" applyFill="1" applyAlignment="1" applyProtection="1"/>
    <xf numFmtId="0" fontId="12" fillId="3" borderId="0" xfId="0" applyFont="1" applyFill="1" applyBorder="1" applyProtection="1"/>
    <xf numFmtId="0" fontId="0" fillId="3" borderId="0" xfId="0" applyFill="1" applyBorder="1" applyProtection="1"/>
    <xf numFmtId="0" fontId="0" fillId="3" borderId="23" xfId="0" applyFill="1" applyBorder="1" applyProtection="1"/>
    <xf numFmtId="0" fontId="12" fillId="0" borderId="0" xfId="9" applyProtection="1"/>
    <xf numFmtId="49" fontId="12" fillId="0" borderId="0" xfId="9" applyNumberFormat="1" applyProtection="1"/>
    <xf numFmtId="0" fontId="50" fillId="0" borderId="0" xfId="9" applyFont="1" applyAlignment="1" applyProtection="1">
      <alignment horizontal="center" vertical="top" wrapText="1"/>
    </xf>
    <xf numFmtId="0" fontId="50" fillId="0" borderId="0" xfId="9" applyFont="1" applyAlignment="1" applyProtection="1">
      <alignment horizontal="center" vertical="top"/>
    </xf>
    <xf numFmtId="0" fontId="23" fillId="0" borderId="0" xfId="9" applyFont="1" applyBorder="1" applyAlignment="1" applyProtection="1">
      <alignment horizontal="right" vertical="center"/>
    </xf>
    <xf numFmtId="0" fontId="51" fillId="0" borderId="0" xfId="9" applyFont="1" applyProtection="1"/>
    <xf numFmtId="49" fontId="12" fillId="0" borderId="0" xfId="9" applyNumberFormat="1" applyAlignment="1" applyProtection="1">
      <alignment vertical="top"/>
    </xf>
    <xf numFmtId="0" fontId="12" fillId="0" borderId="0" xfId="9" applyAlignment="1" applyProtection="1">
      <alignment vertical="top"/>
    </xf>
    <xf numFmtId="0" fontId="10" fillId="0" borderId="0" xfId="9" applyNumberFormat="1" applyFont="1" applyAlignment="1" applyProtection="1">
      <alignment vertical="top"/>
    </xf>
    <xf numFmtId="49" fontId="13" fillId="3" borderId="0" xfId="9" applyNumberFormat="1" applyFont="1" applyFill="1" applyAlignment="1" applyProtection="1">
      <alignment vertical="center"/>
    </xf>
    <xf numFmtId="49" fontId="12" fillId="3" borderId="0" xfId="9" applyNumberFormat="1" applyFill="1" applyAlignment="1" applyProtection="1">
      <alignment vertical="center"/>
    </xf>
    <xf numFmtId="0" fontId="12" fillId="3" borderId="0" xfId="9" applyFill="1" applyAlignment="1" applyProtection="1">
      <alignment vertical="center"/>
    </xf>
    <xf numFmtId="0" fontId="12" fillId="3" borderId="0" xfId="9" applyFill="1" applyProtection="1"/>
    <xf numFmtId="49" fontId="12" fillId="0" borderId="0" xfId="9" applyNumberFormat="1" applyAlignment="1" applyProtection="1">
      <alignment vertical="center"/>
    </xf>
    <xf numFmtId="0" fontId="12" fillId="0" borderId="0" xfId="9" applyAlignment="1" applyProtection="1">
      <alignment vertical="center"/>
    </xf>
    <xf numFmtId="0" fontId="12" fillId="0" borderId="0" xfId="9" applyAlignment="1" applyProtection="1"/>
    <xf numFmtId="0" fontId="12" fillId="0" borderId="0" xfId="9" applyFill="1" applyAlignment="1" applyProtection="1">
      <alignment vertical="center"/>
    </xf>
    <xf numFmtId="49" fontId="12" fillId="0" borderId="29" xfId="9" applyNumberFormat="1" applyFill="1" applyBorder="1" applyAlignment="1" applyProtection="1">
      <alignment vertical="center"/>
    </xf>
    <xf numFmtId="3" fontId="12" fillId="0" borderId="29" xfId="9" applyNumberFormat="1" applyFill="1" applyBorder="1" applyAlignment="1" applyProtection="1">
      <alignment vertical="center"/>
    </xf>
    <xf numFmtId="0" fontId="12" fillId="0" borderId="29" xfId="9" applyFont="1" applyFill="1" applyBorder="1" applyAlignment="1" applyProtection="1">
      <alignment horizontal="left" vertical="center"/>
    </xf>
    <xf numFmtId="0" fontId="12" fillId="0" borderId="29" xfId="9" applyFont="1" applyFill="1" applyBorder="1" applyAlignment="1" applyProtection="1">
      <alignment vertical="center"/>
    </xf>
    <xf numFmtId="0" fontId="15" fillId="0" borderId="29" xfId="9" applyFont="1" applyFill="1" applyBorder="1" applyAlignment="1" applyProtection="1">
      <alignment horizontal="right" vertical="center"/>
    </xf>
    <xf numFmtId="0" fontId="15" fillId="0" borderId="29" xfId="9" applyFont="1" applyFill="1" applyBorder="1" applyAlignment="1" applyProtection="1">
      <alignment vertical="center"/>
    </xf>
    <xf numFmtId="0" fontId="12" fillId="0" borderId="29" xfId="9" applyFill="1" applyBorder="1" applyAlignment="1" applyProtection="1">
      <alignment vertical="center"/>
    </xf>
    <xf numFmtId="0" fontId="12" fillId="0" borderId="10" xfId="9" applyFill="1" applyBorder="1" applyAlignment="1" applyProtection="1">
      <alignment vertical="center"/>
    </xf>
    <xf numFmtId="49" fontId="12" fillId="0" borderId="0" xfId="9" applyNumberFormat="1" applyFill="1" applyAlignment="1" applyProtection="1">
      <alignment vertical="center"/>
    </xf>
    <xf numFmtId="0" fontId="12" fillId="0" borderId="11" xfId="9" applyFill="1" applyBorder="1" applyAlignment="1" applyProtection="1">
      <alignment vertical="center"/>
    </xf>
    <xf numFmtId="0" fontId="17" fillId="0" borderId="0" xfId="9" applyFont="1" applyFill="1" applyBorder="1" applyAlignment="1" applyProtection="1">
      <alignment horizontal="center" vertical="center" wrapText="1"/>
    </xf>
    <xf numFmtId="0" fontId="12" fillId="0" borderId="41" xfId="9" applyFill="1" applyBorder="1" applyAlignment="1" applyProtection="1">
      <alignment vertical="center"/>
    </xf>
    <xf numFmtId="0" fontId="15" fillId="0" borderId="31" xfId="9" applyFont="1" applyFill="1" applyBorder="1" applyAlignment="1" applyProtection="1">
      <alignment horizontal="right" vertical="center" wrapText="1"/>
    </xf>
    <xf numFmtId="0" fontId="15" fillId="0" borderId="32" xfId="9" applyFont="1" applyFill="1" applyBorder="1" applyAlignment="1" applyProtection="1">
      <alignment wrapText="1"/>
    </xf>
    <xf numFmtId="0" fontId="15" fillId="0" borderId="33" xfId="9" applyFont="1" applyFill="1" applyBorder="1" applyAlignment="1" applyProtection="1">
      <alignment horizontal="right" vertical="center" wrapText="1"/>
    </xf>
    <xf numFmtId="0" fontId="15" fillId="0" borderId="35" xfId="9" applyFont="1" applyFill="1" applyBorder="1" applyAlignment="1" applyProtection="1">
      <alignment wrapText="1"/>
    </xf>
    <xf numFmtId="2" fontId="15" fillId="0" borderId="0" xfId="9" applyNumberFormat="1" applyFont="1" applyFill="1" applyBorder="1" applyAlignment="1" applyProtection="1">
      <alignment vertical="center"/>
    </xf>
    <xf numFmtId="0" fontId="12" fillId="0" borderId="5" xfId="9" applyFill="1" applyBorder="1" applyAlignment="1" applyProtection="1">
      <alignment vertical="center"/>
    </xf>
    <xf numFmtId="0" fontId="12" fillId="0" borderId="36" xfId="9" applyFont="1" applyFill="1" applyBorder="1" applyAlignment="1" applyProtection="1">
      <alignment horizontal="left" vertical="center"/>
    </xf>
    <xf numFmtId="0" fontId="12" fillId="0" borderId="38" xfId="9" applyFont="1" applyFill="1" applyBorder="1" applyAlignment="1" applyProtection="1">
      <alignment horizontal="left" vertical="center"/>
    </xf>
    <xf numFmtId="0" fontId="12" fillId="0" borderId="37" xfId="9" applyFill="1" applyBorder="1" applyAlignment="1" applyProtection="1">
      <alignment vertical="center"/>
    </xf>
    <xf numFmtId="0" fontId="12" fillId="0" borderId="16" xfId="9" applyFont="1" applyFill="1" applyBorder="1" applyAlignment="1" applyProtection="1">
      <alignment vertical="center"/>
    </xf>
    <xf numFmtId="0" fontId="15" fillId="0" borderId="32" xfId="9" applyFont="1" applyFill="1" applyBorder="1" applyAlignment="1" applyProtection="1">
      <alignment vertical="center" wrapText="1"/>
    </xf>
    <xf numFmtId="0" fontId="15" fillId="0" borderId="13" xfId="9" applyFont="1" applyFill="1" applyBorder="1" applyAlignment="1" applyProtection="1">
      <alignment vertical="center"/>
    </xf>
    <xf numFmtId="3" fontId="15" fillId="0" borderId="14" xfId="9" applyNumberFormat="1" applyFont="1" applyFill="1" applyBorder="1" applyAlignment="1" applyProtection="1">
      <alignment horizontal="right" vertical="center"/>
    </xf>
    <xf numFmtId="49" fontId="12" fillId="0" borderId="29" xfId="9" applyNumberFormat="1" applyFill="1" applyBorder="1" applyAlignment="1" applyProtection="1">
      <alignment horizontal="left" vertical="center"/>
    </xf>
    <xf numFmtId="3" fontId="12" fillId="0" borderId="29" xfId="9" applyNumberFormat="1" applyFill="1" applyBorder="1" applyAlignment="1" applyProtection="1">
      <alignment horizontal="right" vertical="center"/>
    </xf>
    <xf numFmtId="0" fontId="12" fillId="0" borderId="0" xfId="9" applyFill="1" applyBorder="1" applyAlignment="1" applyProtection="1">
      <alignment vertical="center"/>
    </xf>
    <xf numFmtId="0" fontId="56" fillId="0" borderId="0" xfId="9" applyFont="1" applyBorder="1" applyAlignment="1" applyProtection="1">
      <alignment vertical="center"/>
    </xf>
    <xf numFmtId="49" fontId="12" fillId="0" borderId="27" xfId="9" applyNumberFormat="1" applyFill="1" applyBorder="1" applyAlignment="1" applyProtection="1">
      <alignment vertical="center"/>
    </xf>
    <xf numFmtId="49" fontId="12" fillId="0" borderId="11" xfId="9" applyNumberFormat="1" applyFill="1" applyBorder="1" applyAlignment="1" applyProtection="1">
      <alignment vertical="center"/>
    </xf>
    <xf numFmtId="49" fontId="12" fillId="0" borderId="5" xfId="9" applyNumberFormat="1" applyFill="1" applyBorder="1" applyAlignment="1" applyProtection="1">
      <alignment vertical="center"/>
    </xf>
    <xf numFmtId="49" fontId="12" fillId="0" borderId="29" xfId="9" applyNumberFormat="1" applyFont="1" applyFill="1" applyBorder="1" applyAlignment="1" applyProtection="1">
      <alignment vertical="center"/>
    </xf>
    <xf numFmtId="0" fontId="12" fillId="0" borderId="29" xfId="9" applyFont="1" applyFill="1" applyBorder="1" applyAlignment="1" applyProtection="1">
      <alignment horizontal="right" vertical="center" indent="1"/>
    </xf>
    <xf numFmtId="3" fontId="12" fillId="0" borderId="29" xfId="9" applyNumberFormat="1" applyFont="1" applyFill="1" applyBorder="1" applyAlignment="1" applyProtection="1">
      <alignment vertical="center"/>
    </xf>
    <xf numFmtId="0" fontId="12" fillId="0" borderId="40" xfId="9" applyFill="1" applyBorder="1" applyAlignment="1" applyProtection="1">
      <alignment vertical="center"/>
    </xf>
    <xf numFmtId="0" fontId="12" fillId="0" borderId="12" xfId="9" applyFill="1" applyBorder="1" applyAlignment="1" applyProtection="1">
      <alignment vertical="center"/>
    </xf>
    <xf numFmtId="49" fontId="12" fillId="0" borderId="0" xfId="9" applyNumberFormat="1" applyFill="1" applyBorder="1" applyAlignment="1" applyProtection="1">
      <alignment vertical="center"/>
    </xf>
    <xf numFmtId="0" fontId="12" fillId="0" borderId="28" xfId="9" applyFill="1" applyBorder="1" applyAlignment="1" applyProtection="1">
      <alignment vertical="center"/>
    </xf>
    <xf numFmtId="49" fontId="12" fillId="0" borderId="7" xfId="9" applyNumberFormat="1" applyFill="1" applyBorder="1" applyAlignment="1" applyProtection="1">
      <alignment vertical="center"/>
    </xf>
    <xf numFmtId="0" fontId="15" fillId="0" borderId="29" xfId="9" applyFont="1" applyFill="1" applyBorder="1" applyAlignment="1" applyProtection="1">
      <alignment vertical="center" wrapText="1"/>
    </xf>
    <xf numFmtId="0" fontId="15" fillId="0" borderId="35" xfId="9" applyFont="1" applyFill="1" applyBorder="1" applyAlignment="1" applyProtection="1">
      <alignment vertical="center" wrapText="1"/>
    </xf>
    <xf numFmtId="0" fontId="9" fillId="0" borderId="0" xfId="0" applyFont="1" applyProtection="1"/>
    <xf numFmtId="0" fontId="9" fillId="0" borderId="0" xfId="1" applyFont="1" applyFill="1" applyBorder="1" applyAlignment="1" applyProtection="1">
      <alignment vertical="center"/>
    </xf>
    <xf numFmtId="168" fontId="34" fillId="0" borderId="0" xfId="1" applyNumberFormat="1" applyFont="1" applyFill="1" applyBorder="1" applyAlignment="1" applyProtection="1">
      <alignment horizontal="center"/>
    </xf>
    <xf numFmtId="183" fontId="81" fillId="0" borderId="0" xfId="0" applyNumberFormat="1" applyFont="1" applyBorder="1" applyProtection="1"/>
    <xf numFmtId="177" fontId="82" fillId="0" borderId="0" xfId="1" applyNumberFormat="1" applyFont="1" applyFill="1" applyBorder="1" applyAlignment="1" applyProtection="1">
      <alignment horizontal="right" vertical="center"/>
    </xf>
    <xf numFmtId="0" fontId="0" fillId="0" borderId="0" xfId="0" applyProtection="1"/>
    <xf numFmtId="0" fontId="34" fillId="0" borderId="0" xfId="1" applyFont="1" applyBorder="1" applyAlignment="1" applyProtection="1">
      <alignment horizontal="center" vertical="center"/>
      <protection hidden="1"/>
    </xf>
    <xf numFmtId="168" fontId="34" fillId="0" borderId="0" xfId="1" applyNumberFormat="1" applyFont="1" applyFill="1" applyAlignment="1" applyProtection="1">
      <alignment horizontal="center"/>
      <protection hidden="1"/>
    </xf>
    <xf numFmtId="0" fontId="12" fillId="5" borderId="0" xfId="0" applyFont="1" applyFill="1" applyBorder="1" applyAlignment="1" applyProtection="1">
      <alignment vertical="center"/>
    </xf>
    <xf numFmtId="185" fontId="0" fillId="0" borderId="0" xfId="6" applyNumberFormat="1" applyFont="1"/>
    <xf numFmtId="3" fontId="0" fillId="0" borderId="0" xfId="0" applyNumberFormat="1"/>
    <xf numFmtId="0" fontId="12" fillId="10" borderId="24" xfId="0" applyFont="1" applyFill="1" applyBorder="1" applyAlignment="1">
      <alignment vertical="center" wrapText="1"/>
    </xf>
    <xf numFmtId="9" fontId="15" fillId="0" borderId="9" xfId="9" applyNumberFormat="1" applyFont="1" applyFill="1" applyBorder="1" applyAlignment="1" applyProtection="1">
      <alignment vertical="center"/>
    </xf>
    <xf numFmtId="9" fontId="15" fillId="0" borderId="10" xfId="9" applyNumberFormat="1" applyFont="1" applyFill="1" applyBorder="1" applyAlignment="1" applyProtection="1">
      <alignment vertical="center"/>
    </xf>
    <xf numFmtId="49" fontId="17" fillId="0" borderId="29" xfId="9" applyNumberFormat="1" applyFont="1" applyFill="1" applyBorder="1" applyAlignment="1" applyProtection="1">
      <alignment vertical="center"/>
    </xf>
    <xf numFmtId="49" fontId="17" fillId="0" borderId="29" xfId="9" applyNumberFormat="1" applyFont="1" applyFill="1" applyBorder="1" applyAlignment="1">
      <alignment vertical="center"/>
    </xf>
    <xf numFmtId="0" fontId="15" fillId="0" borderId="29" xfId="9" applyFont="1" applyFill="1" applyBorder="1" applyAlignment="1">
      <alignment horizontal="right" vertical="center"/>
    </xf>
    <xf numFmtId="9" fontId="58" fillId="0" borderId="29" xfId="9" applyNumberFormat="1" applyFont="1" applyFill="1" applyBorder="1" applyAlignment="1" applyProtection="1">
      <alignment vertical="center"/>
    </xf>
    <xf numFmtId="0" fontId="11" fillId="0" borderId="0" xfId="2" applyFont="1" applyAlignment="1" applyProtection="1">
      <alignment vertical="center"/>
      <protection hidden="1"/>
    </xf>
    <xf numFmtId="0" fontId="0" fillId="0" borderId="0" xfId="0" applyProtection="1"/>
    <xf numFmtId="0" fontId="13" fillId="0" borderId="0" xfId="1" applyFont="1" applyBorder="1" applyProtection="1">
      <protection hidden="1"/>
    </xf>
    <xf numFmtId="0" fontId="0" fillId="0" borderId="0" xfId="0"/>
    <xf numFmtId="0" fontId="0" fillId="0" borderId="0" xfId="0" applyProtection="1"/>
    <xf numFmtId="0" fontId="34" fillId="0" borderId="0" xfId="1" applyFont="1" applyBorder="1" applyAlignment="1" applyProtection="1">
      <alignment horizontal="center" vertical="center"/>
      <protection hidden="1"/>
    </xf>
    <xf numFmtId="168" fontId="34" fillId="0" borderId="0" xfId="1" applyNumberFormat="1" applyFont="1" applyFill="1" applyAlignment="1" applyProtection="1">
      <alignment horizontal="center"/>
      <protection hidden="1"/>
    </xf>
    <xf numFmtId="0" fontId="88" fillId="12" borderId="0" xfId="1" applyFont="1" applyFill="1" applyBorder="1" applyProtection="1">
      <protection hidden="1"/>
    </xf>
    <xf numFmtId="172" fontId="9" fillId="0" borderId="0" xfId="1" applyNumberFormat="1" applyFont="1" applyBorder="1" applyProtection="1">
      <protection hidden="1"/>
    </xf>
    <xf numFmtId="0" fontId="89" fillId="12" borderId="0" xfId="1" applyFont="1" applyFill="1" applyProtection="1">
      <protection hidden="1"/>
    </xf>
    <xf numFmtId="0" fontId="92" fillId="12" borderId="0" xfId="1" applyFont="1" applyFill="1" applyBorder="1" applyAlignment="1" applyProtection="1">
      <alignment horizontal="left" vertical="center" indent="2"/>
      <protection hidden="1"/>
    </xf>
    <xf numFmtId="0" fontId="90" fillId="12" borderId="0" xfId="1" applyFont="1" applyFill="1" applyBorder="1" applyAlignment="1" applyProtection="1">
      <alignment horizontal="center" vertical="center"/>
      <protection hidden="1"/>
    </xf>
    <xf numFmtId="187" fontId="90" fillId="12" borderId="0" xfId="1" applyNumberFormat="1" applyFont="1" applyFill="1" applyBorder="1" applyAlignment="1" applyProtection="1">
      <alignment horizontal="left" vertical="center"/>
      <protection hidden="1"/>
    </xf>
    <xf numFmtId="174" fontId="90" fillId="12" borderId="0" xfId="1" applyNumberFormat="1" applyFont="1" applyFill="1" applyBorder="1" applyAlignment="1" applyProtection="1">
      <alignment horizontal="left" vertical="center"/>
      <protection hidden="1"/>
    </xf>
    <xf numFmtId="3" fontId="90" fillId="12" borderId="0" xfId="1" applyNumberFormat="1" applyFont="1" applyFill="1" applyAlignment="1" applyProtection="1">
      <alignment horizontal="left" vertical="center"/>
      <protection hidden="1"/>
    </xf>
    <xf numFmtId="0" fontId="37" fillId="11" borderId="0" xfId="1" applyFont="1" applyFill="1" applyBorder="1" applyAlignment="1" applyProtection="1">
      <alignment horizontal="left"/>
      <protection hidden="1"/>
    </xf>
    <xf numFmtId="0" fontId="52" fillId="11" borderId="0" xfId="1" applyFont="1" applyFill="1" applyAlignment="1" applyProtection="1">
      <alignment horizontal="left"/>
      <protection hidden="1"/>
    </xf>
    <xf numFmtId="0" fontId="9" fillId="0" borderId="0" xfId="1" applyFont="1" applyFill="1" applyBorder="1" applyAlignment="1" applyProtection="1">
      <alignment vertical="center"/>
      <protection hidden="1"/>
    </xf>
    <xf numFmtId="0" fontId="68" fillId="0" borderId="0" xfId="1" applyFont="1" applyFill="1" applyAlignment="1" applyProtection="1">
      <alignment horizontal="center" vertical="center"/>
      <protection hidden="1"/>
    </xf>
    <xf numFmtId="0" fontId="68" fillId="0" borderId="0" xfId="1" applyFont="1" applyFill="1" applyAlignment="1" applyProtection="1">
      <alignment vertical="center"/>
      <protection hidden="1"/>
    </xf>
    <xf numFmtId="0" fontId="68" fillId="0" borderId="0" xfId="1" applyFont="1" applyFill="1" applyProtection="1">
      <protection hidden="1"/>
    </xf>
    <xf numFmtId="0" fontId="68" fillId="0" borderId="0" xfId="1" applyFont="1" applyProtection="1">
      <protection hidden="1"/>
    </xf>
    <xf numFmtId="0" fontId="68" fillId="0" borderId="0" xfId="1" applyFont="1" applyFill="1" applyBorder="1" applyProtection="1">
      <protection hidden="1"/>
    </xf>
    <xf numFmtId="0" fontId="68" fillId="0" borderId="0" xfId="1" applyFont="1" applyFill="1" applyAlignment="1" applyProtection="1">
      <alignment horizontal="center"/>
      <protection hidden="1"/>
    </xf>
    <xf numFmtId="0" fontId="81" fillId="0" borderId="0" xfId="1" applyFont="1" applyFill="1" applyBorder="1" applyAlignment="1" applyProtection="1">
      <alignment vertical="center"/>
      <protection hidden="1"/>
    </xf>
    <xf numFmtId="0" fontId="71" fillId="0" borderId="0" xfId="1" applyFont="1" applyAlignment="1" applyProtection="1">
      <alignment horizontal="left" vertical="center"/>
      <protection hidden="1"/>
    </xf>
    <xf numFmtId="167" fontId="70" fillId="0" borderId="0" xfId="1" applyNumberFormat="1" applyFont="1" applyFill="1" applyBorder="1" applyAlignment="1" applyProtection="1">
      <alignment horizontal="right" vertical="center"/>
      <protection hidden="1"/>
    </xf>
    <xf numFmtId="3" fontId="68" fillId="0" borderId="0" xfId="1" applyNumberFormat="1" applyFont="1" applyFill="1" applyAlignment="1" applyProtection="1">
      <alignment horizontal="center" vertical="center"/>
      <protection hidden="1"/>
    </xf>
    <xf numFmtId="2" fontId="70" fillId="0" borderId="0" xfId="1" applyNumberFormat="1" applyFont="1" applyFill="1" applyAlignment="1" applyProtection="1">
      <alignment vertical="center"/>
      <protection hidden="1"/>
    </xf>
    <xf numFmtId="0" fontId="0" fillId="0" borderId="0" xfId="0" applyBorder="1" applyProtection="1">
      <protection hidden="1"/>
    </xf>
    <xf numFmtId="0" fontId="71" fillId="0" borderId="0" xfId="1" applyFont="1" applyBorder="1" applyAlignment="1" applyProtection="1">
      <alignment horizontal="center" vertical="center"/>
      <protection hidden="1"/>
    </xf>
    <xf numFmtId="187" fontId="71" fillId="0" borderId="0" xfId="1" applyNumberFormat="1" applyFont="1" applyBorder="1" applyAlignment="1" applyProtection="1">
      <alignment horizontal="center" vertical="center"/>
      <protection hidden="1"/>
    </xf>
    <xf numFmtId="174" fontId="68" fillId="0" borderId="0" xfId="1" applyNumberFormat="1" applyFont="1" applyFill="1" applyBorder="1" applyAlignment="1" applyProtection="1">
      <alignment horizontal="center" vertical="center"/>
      <protection hidden="1"/>
    </xf>
    <xf numFmtId="3" fontId="68" fillId="0" borderId="0" xfId="1" applyNumberFormat="1" applyFont="1" applyFill="1" applyBorder="1" applyAlignment="1" applyProtection="1">
      <alignment horizontal="center" vertical="center"/>
      <protection hidden="1"/>
    </xf>
    <xf numFmtId="0" fontId="68" fillId="0" borderId="0" xfId="1" applyFont="1" applyFill="1" applyBorder="1" applyAlignment="1" applyProtection="1">
      <alignment vertical="center"/>
      <protection hidden="1"/>
    </xf>
    <xf numFmtId="0" fontId="68" fillId="0" borderId="0" xfId="1" applyFont="1" applyBorder="1" applyAlignment="1" applyProtection="1">
      <alignment vertical="center"/>
      <protection hidden="1"/>
    </xf>
    <xf numFmtId="0" fontId="68" fillId="0" borderId="0" xfId="1" applyFont="1" applyBorder="1" applyProtection="1">
      <protection hidden="1"/>
    </xf>
    <xf numFmtId="0" fontId="82" fillId="0" borderId="0" xfId="1" applyFont="1" applyFill="1" applyAlignment="1" applyProtection="1">
      <alignment horizontal="left"/>
      <protection hidden="1"/>
    </xf>
    <xf numFmtId="0" fontId="81" fillId="0" borderId="102" xfId="1" applyFont="1" applyFill="1" applyBorder="1" applyAlignment="1" applyProtection="1">
      <alignment vertical="center"/>
      <protection hidden="1"/>
    </xf>
    <xf numFmtId="0" fontId="81" fillId="0" borderId="103" xfId="1" applyFont="1" applyFill="1" applyBorder="1" applyAlignment="1" applyProtection="1">
      <alignment vertical="center"/>
      <protection hidden="1"/>
    </xf>
    <xf numFmtId="0" fontId="81" fillId="0" borderId="104" xfId="1" applyFont="1" applyFill="1" applyBorder="1" applyAlignment="1" applyProtection="1">
      <alignment vertical="center"/>
      <protection hidden="1"/>
    </xf>
    <xf numFmtId="0" fontId="9" fillId="0" borderId="0" xfId="0" applyFont="1" applyProtection="1">
      <protection hidden="1"/>
    </xf>
    <xf numFmtId="0" fontId="68" fillId="0" borderId="0" xfId="1" applyFont="1" applyAlignment="1" applyProtection="1">
      <alignment horizontal="center"/>
      <protection hidden="1"/>
    </xf>
    <xf numFmtId="0" fontId="70" fillId="0" borderId="0" xfId="1" applyFont="1" applyFill="1" applyAlignment="1" applyProtection="1">
      <alignment vertical="center"/>
      <protection hidden="1"/>
    </xf>
    <xf numFmtId="0" fontId="68" fillId="0" borderId="0" xfId="1" applyFont="1" applyAlignment="1" applyProtection="1">
      <alignment vertical="center"/>
      <protection hidden="1"/>
    </xf>
    <xf numFmtId="185" fontId="81" fillId="0" borderId="115" xfId="6" applyNumberFormat="1" applyFont="1" applyFill="1" applyBorder="1" applyAlignment="1" applyProtection="1">
      <alignment vertical="center"/>
      <protection hidden="1"/>
    </xf>
    <xf numFmtId="185" fontId="81" fillId="0" borderId="116" xfId="6" applyNumberFormat="1" applyFont="1" applyFill="1" applyBorder="1" applyAlignment="1" applyProtection="1">
      <alignment vertical="center"/>
      <protection hidden="1"/>
    </xf>
    <xf numFmtId="185" fontId="81" fillId="0" borderId="112" xfId="6" applyNumberFormat="1" applyFont="1" applyFill="1" applyBorder="1" applyAlignment="1" applyProtection="1">
      <alignment vertical="center"/>
      <protection hidden="1"/>
    </xf>
    <xf numFmtId="185" fontId="81" fillId="0" borderId="113" xfId="6" applyNumberFormat="1" applyFont="1" applyFill="1" applyBorder="1" applyAlignment="1" applyProtection="1">
      <alignment vertical="center"/>
      <protection hidden="1"/>
    </xf>
    <xf numFmtId="185" fontId="81" fillId="0" borderId="118" xfId="6" applyNumberFormat="1" applyFont="1" applyFill="1" applyBorder="1" applyAlignment="1" applyProtection="1">
      <alignment vertical="center"/>
      <protection hidden="1"/>
    </xf>
    <xf numFmtId="185" fontId="81" fillId="0" borderId="119" xfId="6" applyNumberFormat="1" applyFont="1" applyFill="1" applyBorder="1" applyAlignment="1" applyProtection="1">
      <alignment vertical="center"/>
      <protection hidden="1"/>
    </xf>
    <xf numFmtId="185" fontId="81" fillId="0" borderId="120" xfId="6" applyNumberFormat="1" applyFont="1" applyFill="1" applyBorder="1" applyAlignment="1" applyProtection="1">
      <alignment vertical="center"/>
      <protection hidden="1"/>
    </xf>
    <xf numFmtId="185" fontId="81" fillId="0" borderId="121" xfId="6" applyNumberFormat="1" applyFont="1" applyFill="1" applyBorder="1" applyAlignment="1" applyProtection="1">
      <alignment vertical="center"/>
      <protection hidden="1"/>
    </xf>
    <xf numFmtId="185" fontId="81" fillId="0" borderId="122" xfId="6" applyNumberFormat="1" applyFont="1" applyFill="1" applyBorder="1" applyAlignment="1" applyProtection="1">
      <alignment vertical="center"/>
      <protection hidden="1"/>
    </xf>
    <xf numFmtId="185" fontId="82" fillId="0" borderId="125" xfId="6" applyNumberFormat="1" applyFont="1" applyFill="1" applyBorder="1" applyAlignment="1" applyProtection="1">
      <alignment vertical="center"/>
      <protection hidden="1"/>
    </xf>
    <xf numFmtId="185" fontId="82" fillId="0" borderId="126" xfId="6" applyNumberFormat="1" applyFont="1" applyFill="1" applyBorder="1" applyAlignment="1" applyProtection="1">
      <alignment vertical="center"/>
      <protection hidden="1"/>
    </xf>
    <xf numFmtId="185" fontId="82" fillId="0" borderId="127" xfId="6" applyNumberFormat="1" applyFont="1" applyFill="1" applyBorder="1" applyAlignment="1" applyProtection="1">
      <alignment vertical="center"/>
      <protection hidden="1"/>
    </xf>
    <xf numFmtId="0" fontId="68" fillId="0" borderId="0" xfId="1" applyNumberFormat="1" applyFont="1" applyFill="1" applyProtection="1">
      <protection hidden="1"/>
    </xf>
    <xf numFmtId="0" fontId="68" fillId="0" borderId="0" xfId="1" applyNumberFormat="1" applyFont="1" applyFill="1" applyAlignment="1" applyProtection="1">
      <alignment horizontal="center"/>
      <protection hidden="1"/>
    </xf>
    <xf numFmtId="0" fontId="68" fillId="0" borderId="0" xfId="1" applyNumberFormat="1" applyFont="1" applyProtection="1">
      <protection hidden="1"/>
    </xf>
    <xf numFmtId="0" fontId="68" fillId="0" borderId="0" xfId="1" applyNumberFormat="1" applyFont="1" applyAlignment="1" applyProtection="1">
      <alignment horizontal="center"/>
      <protection hidden="1"/>
    </xf>
    <xf numFmtId="0" fontId="70" fillId="0" borderId="0" xfId="1" applyNumberFormat="1" applyFont="1" applyFill="1" applyBorder="1" applyAlignment="1" applyProtection="1">
      <alignment horizontal="center" vertical="center"/>
      <protection hidden="1"/>
    </xf>
    <xf numFmtId="0" fontId="68" fillId="0" borderId="0" xfId="1" applyNumberFormat="1" applyFont="1" applyFill="1" applyBorder="1" applyAlignment="1" applyProtection="1">
      <alignment horizontal="center" vertical="center"/>
      <protection hidden="1"/>
    </xf>
    <xf numFmtId="0" fontId="68" fillId="0" borderId="0" xfId="1" applyNumberFormat="1" applyFont="1" applyAlignment="1" applyProtection="1">
      <alignment vertical="center"/>
      <protection hidden="1"/>
    </xf>
    <xf numFmtId="0" fontId="68" fillId="7" borderId="0" xfId="1" applyFont="1" applyFill="1" applyAlignment="1" applyProtection="1">
      <alignment vertical="center"/>
      <protection hidden="1"/>
    </xf>
    <xf numFmtId="0" fontId="82" fillId="0" borderId="0" xfId="1" applyFont="1" applyProtection="1">
      <protection hidden="1"/>
    </xf>
    <xf numFmtId="164" fontId="68" fillId="0" borderId="0" xfId="1" applyNumberFormat="1" applyFont="1" applyFill="1" applyBorder="1" applyAlignment="1" applyProtection="1">
      <alignment horizontal="center" vertical="center"/>
      <protection hidden="1"/>
    </xf>
    <xf numFmtId="0" fontId="81" fillId="0" borderId="0" xfId="1" applyFont="1" applyFill="1" applyAlignment="1" applyProtection="1">
      <alignment horizontal="left"/>
      <protection hidden="1"/>
    </xf>
    <xf numFmtId="0" fontId="81" fillId="0" borderId="105" xfId="1" applyFont="1" applyFill="1" applyBorder="1" applyAlignment="1" applyProtection="1">
      <alignment horizontal="center" vertical="center"/>
      <protection hidden="1"/>
    </xf>
    <xf numFmtId="0" fontId="81" fillId="0" borderId="102" xfId="1" applyFont="1" applyFill="1" applyBorder="1" applyAlignment="1" applyProtection="1">
      <alignment horizontal="center" vertical="center"/>
      <protection hidden="1"/>
    </xf>
    <xf numFmtId="0" fontId="82" fillId="0" borderId="42" xfId="1" applyFont="1" applyBorder="1" applyProtection="1">
      <protection hidden="1"/>
    </xf>
    <xf numFmtId="183" fontId="81" fillId="0" borderId="0" xfId="0" applyNumberFormat="1" applyFont="1" applyBorder="1" applyProtection="1">
      <protection hidden="1"/>
    </xf>
    <xf numFmtId="177" fontId="82" fillId="0" borderId="0" xfId="1" applyNumberFormat="1" applyFont="1" applyFill="1" applyBorder="1" applyAlignment="1" applyProtection="1">
      <alignment horizontal="right" vertical="center"/>
      <protection hidden="1"/>
    </xf>
    <xf numFmtId="0" fontId="68" fillId="0" borderId="103" xfId="1" applyFont="1" applyBorder="1" applyProtection="1">
      <protection hidden="1"/>
    </xf>
    <xf numFmtId="178" fontId="78" fillId="0" borderId="0" xfId="1" applyNumberFormat="1" applyFont="1" applyFill="1" applyBorder="1" applyAlignment="1" applyProtection="1">
      <alignment horizontal="center" vertical="top"/>
      <protection hidden="1"/>
    </xf>
    <xf numFmtId="49" fontId="12" fillId="0" borderId="29" xfId="9" applyNumberFormat="1" applyFill="1" applyBorder="1" applyAlignment="1" applyProtection="1">
      <alignment horizontal="left" vertical="center"/>
      <protection hidden="1"/>
    </xf>
    <xf numFmtId="0" fontId="0" fillId="0" borderId="0" xfId="0"/>
    <xf numFmtId="0" fontId="0" fillId="0" borderId="0" xfId="0" applyProtection="1"/>
    <xf numFmtId="0" fontId="12" fillId="0" borderId="24" xfId="0" applyFont="1" applyFill="1" applyBorder="1" applyAlignment="1">
      <alignment vertical="center" wrapText="1"/>
    </xf>
    <xf numFmtId="0" fontId="12" fillId="0" borderId="54" xfId="0" quotePrefix="1" applyFont="1" applyFill="1" applyBorder="1" applyAlignment="1">
      <alignment vertical="center" wrapText="1"/>
    </xf>
    <xf numFmtId="0" fontId="0" fillId="0" borderId="0" xfId="0" applyProtection="1"/>
    <xf numFmtId="0" fontId="0" fillId="0" borderId="0" xfId="0"/>
    <xf numFmtId="185" fontId="81" fillId="0" borderId="122" xfId="6" applyNumberFormat="1" applyFont="1" applyBorder="1" applyAlignment="1" applyProtection="1">
      <alignment vertical="center"/>
      <protection hidden="1"/>
    </xf>
    <xf numFmtId="185" fontId="81" fillId="0" borderId="123" xfId="6" applyNumberFormat="1" applyFont="1" applyBorder="1" applyAlignment="1" applyProtection="1">
      <alignment vertical="center"/>
      <protection hidden="1"/>
    </xf>
    <xf numFmtId="185" fontId="81" fillId="0" borderId="122" xfId="6" applyNumberFormat="1" applyFont="1" applyBorder="1" applyAlignment="1" applyProtection="1">
      <alignment vertical="center"/>
    </xf>
    <xf numFmtId="0" fontId="81" fillId="0" borderId="131" xfId="1" applyFont="1" applyFill="1" applyBorder="1" applyAlignment="1" applyProtection="1">
      <alignment vertical="center"/>
    </xf>
    <xf numFmtId="0" fontId="68" fillId="0" borderId="132" xfId="1" applyFont="1" applyFill="1" applyBorder="1" applyProtection="1"/>
    <xf numFmtId="0" fontId="68" fillId="0" borderId="133" xfId="1" applyFont="1" applyFill="1" applyBorder="1" applyProtection="1"/>
    <xf numFmtId="0" fontId="81" fillId="0" borderId="121" xfId="1" applyFont="1" applyFill="1" applyBorder="1" applyAlignment="1" applyProtection="1">
      <alignment vertical="center"/>
    </xf>
    <xf numFmtId="0" fontId="68" fillId="0" borderId="122" xfId="1" applyFont="1" applyFill="1" applyBorder="1" applyProtection="1"/>
    <xf numFmtId="0" fontId="68" fillId="0" borderId="123" xfId="1" applyFont="1" applyFill="1" applyBorder="1" applyProtection="1"/>
    <xf numFmtId="0" fontId="71" fillId="0" borderId="99" xfId="1" applyFont="1" applyFill="1" applyBorder="1" applyProtection="1"/>
    <xf numFmtId="0" fontId="71" fillId="0" borderId="130" xfId="1" applyFont="1" applyFill="1" applyBorder="1" applyProtection="1"/>
    <xf numFmtId="0" fontId="0" fillId="0" borderId="0" xfId="0"/>
    <xf numFmtId="0" fontId="0" fillId="0" borderId="0" xfId="0" applyProtection="1"/>
    <xf numFmtId="0" fontId="12" fillId="6" borderId="29" xfId="9" applyFill="1" applyBorder="1" applyAlignment="1" applyProtection="1">
      <alignment vertical="center"/>
      <protection locked="0"/>
    </xf>
    <xf numFmtId="0" fontId="0" fillId="0" borderId="0" xfId="0"/>
    <xf numFmtId="0" fontId="0" fillId="0" borderId="0" xfId="0" applyProtection="1"/>
    <xf numFmtId="0" fontId="12" fillId="0" borderId="0" xfId="9" applyFont="1" applyAlignment="1" applyProtection="1">
      <alignment vertical="top"/>
    </xf>
    <xf numFmtId="0" fontId="10" fillId="0" borderId="0" xfId="1" applyFont="1" applyBorder="1" applyProtection="1">
      <protection hidden="1"/>
    </xf>
    <xf numFmtId="3" fontId="70" fillId="0" borderId="0" xfId="1" applyNumberFormat="1" applyFont="1" applyFill="1" applyAlignment="1" applyProtection="1">
      <alignment horizontal="center" vertical="center"/>
    </xf>
    <xf numFmtId="0" fontId="70" fillId="0" borderId="0" xfId="1" applyFont="1" applyAlignment="1" applyProtection="1">
      <alignment vertical="center"/>
    </xf>
    <xf numFmtId="0" fontId="36" fillId="0" borderId="0" xfId="1" applyFont="1" applyAlignment="1" applyProtection="1">
      <alignment vertical="center"/>
      <protection hidden="1"/>
    </xf>
    <xf numFmtId="0" fontId="12" fillId="0" borderId="19" xfId="9" applyFont="1" applyFill="1" applyBorder="1" applyAlignment="1" applyProtection="1">
      <alignment vertical="center"/>
    </xf>
    <xf numFmtId="0" fontId="15" fillId="0" borderId="36" xfId="9" applyFont="1" applyFill="1" applyBorder="1" applyAlignment="1" applyProtection="1">
      <alignment horizontal="left" vertical="center"/>
    </xf>
    <xf numFmtId="0" fontId="15" fillId="0" borderId="38" xfId="9" applyFont="1" applyFill="1" applyBorder="1" applyAlignment="1" applyProtection="1">
      <alignment horizontal="left" vertical="center"/>
    </xf>
    <xf numFmtId="0" fontId="15" fillId="0" borderId="37" xfId="9" applyFont="1" applyFill="1" applyBorder="1" applyAlignment="1" applyProtection="1">
      <alignment vertical="center"/>
    </xf>
    <xf numFmtId="0" fontId="12" fillId="0" borderId="0" xfId="9" applyFont="1" applyFill="1" applyBorder="1" applyAlignment="1" applyProtection="1">
      <alignment vertical="center"/>
    </xf>
    <xf numFmtId="0" fontId="12" fillId="0" borderId="19" xfId="9" applyFont="1" applyFill="1" applyBorder="1" applyAlignment="1">
      <alignment vertical="center"/>
    </xf>
    <xf numFmtId="0" fontId="15" fillId="0" borderId="36" xfId="9" applyFont="1" applyFill="1" applyBorder="1" applyAlignment="1">
      <alignment horizontal="left" vertical="center"/>
    </xf>
    <xf numFmtId="0" fontId="43" fillId="0" borderId="0" xfId="9" applyFont="1" applyFill="1" applyAlignment="1" applyProtection="1">
      <alignment horizontal="right" vertical="center"/>
    </xf>
    <xf numFmtId="0" fontId="17" fillId="0" borderId="0" xfId="0" applyFont="1" applyFill="1" applyAlignment="1">
      <alignment vertical="center"/>
    </xf>
    <xf numFmtId="0" fontId="12" fillId="10" borderId="54" xfId="0" quotePrefix="1" applyFont="1" applyFill="1" applyBorder="1" applyAlignment="1">
      <alignment vertical="center" wrapText="1"/>
    </xf>
    <xf numFmtId="0" fontId="0" fillId="0" borderId="0" xfId="0" applyProtection="1"/>
    <xf numFmtId="0" fontId="96" fillId="0" borderId="0" xfId="0" applyFont="1" applyAlignment="1" applyProtection="1">
      <alignment horizontal="right"/>
    </xf>
    <xf numFmtId="1" fontId="86" fillId="6" borderId="34" xfId="9" applyNumberFormat="1" applyFont="1" applyFill="1" applyBorder="1" applyAlignment="1" applyProtection="1">
      <alignment vertical="center"/>
      <protection locked="0"/>
    </xf>
    <xf numFmtId="0" fontId="0" fillId="0" borderId="0" xfId="0" applyProtection="1"/>
    <xf numFmtId="0" fontId="12" fillId="0" borderId="61" xfId="0" applyFont="1" applyBorder="1"/>
    <xf numFmtId="0" fontId="12" fillId="0" borderId="62" xfId="0" applyFont="1" applyBorder="1"/>
    <xf numFmtId="0" fontId="0" fillId="0" borderId="0" xfId="0"/>
    <xf numFmtId="3" fontId="0" fillId="0" borderId="0" xfId="0" applyNumberFormat="1" applyAlignment="1">
      <alignment vertical="center"/>
    </xf>
    <xf numFmtId="0" fontId="0" fillId="0" borderId="0" xfId="0"/>
    <xf numFmtId="0" fontId="0" fillId="0" borderId="0" xfId="0" applyProtection="1"/>
    <xf numFmtId="0" fontId="0" fillId="0" borderId="0" xfId="0" applyBorder="1" applyAlignment="1">
      <alignment horizontal="left" vertical="center" wrapText="1" indent="1"/>
    </xf>
    <xf numFmtId="0" fontId="12" fillId="0" borderId="0" xfId="0" applyFont="1" applyBorder="1" applyAlignment="1">
      <alignment horizontal="left" vertical="top" wrapText="1"/>
    </xf>
    <xf numFmtId="0" fontId="12" fillId="0" borderId="0" xfId="0" applyFont="1" applyBorder="1" applyAlignment="1">
      <alignment horizontal="right" indent="1"/>
    </xf>
    <xf numFmtId="0" fontId="0" fillId="0" borderId="0" xfId="0"/>
    <xf numFmtId="0" fontId="9" fillId="0" borderId="0" xfId="1" applyFont="1" applyAlignment="1" applyProtection="1">
      <alignment horizontal="right"/>
      <protection hidden="1"/>
    </xf>
    <xf numFmtId="0" fontId="0" fillId="0" borderId="0" xfId="0" applyProtection="1"/>
    <xf numFmtId="0" fontId="12" fillId="0" borderId="0" xfId="9" applyFill="1" applyAlignment="1">
      <alignment horizontal="right" vertical="center"/>
    </xf>
    <xf numFmtId="0" fontId="65" fillId="0" borderId="0" xfId="9" applyFont="1" applyFill="1" applyAlignment="1">
      <alignment horizontal="right" vertical="center"/>
    </xf>
    <xf numFmtId="9" fontId="15" fillId="6" borderId="29" xfId="5" applyFont="1" applyFill="1" applyBorder="1" applyAlignment="1" applyProtection="1">
      <alignment horizontal="right" vertical="center"/>
      <protection locked="0"/>
    </xf>
    <xf numFmtId="0" fontId="12" fillId="0" borderId="17" xfId="9" applyFill="1" applyBorder="1" applyAlignment="1" applyProtection="1">
      <alignment vertical="center"/>
    </xf>
    <xf numFmtId="0" fontId="65" fillId="0" borderId="0" xfId="9" applyFont="1" applyFill="1" applyAlignment="1" applyProtection="1">
      <alignment horizontal="right" vertical="center"/>
    </xf>
    <xf numFmtId="49" fontId="12" fillId="0" borderId="29" xfId="9" applyNumberFormat="1" applyFont="1" applyFill="1" applyBorder="1" applyAlignment="1" applyProtection="1">
      <alignment horizontal="left" vertical="center"/>
    </xf>
    <xf numFmtId="49" fontId="12" fillId="0" borderId="29" xfId="9" applyNumberFormat="1" applyFont="1" applyFill="1" applyBorder="1" applyAlignment="1">
      <alignment horizontal="left" vertical="center"/>
    </xf>
    <xf numFmtId="49" fontId="0" fillId="0" borderId="0" xfId="0" applyNumberFormat="1" applyBorder="1" applyAlignment="1">
      <alignment vertical="center"/>
    </xf>
    <xf numFmtId="0" fontId="0" fillId="0" borderId="0" xfId="0" applyProtection="1"/>
    <xf numFmtId="0" fontId="81" fillId="0" borderId="107" xfId="1" applyFont="1" applyFill="1" applyBorder="1" applyAlignment="1" applyProtection="1">
      <alignment vertical="center"/>
    </xf>
    <xf numFmtId="0" fontId="81" fillId="0" borderId="108" xfId="1" applyFont="1" applyFill="1" applyBorder="1" applyAlignment="1" applyProtection="1">
      <alignment vertical="center"/>
    </xf>
    <xf numFmtId="0" fontId="81" fillId="0" borderId="107" xfId="1" applyFont="1" applyFill="1" applyBorder="1" applyAlignment="1" applyProtection="1">
      <alignment vertical="center"/>
      <protection hidden="1"/>
    </xf>
    <xf numFmtId="0" fontId="81" fillId="0" borderId="108" xfId="1" applyFont="1" applyFill="1" applyBorder="1" applyAlignment="1" applyProtection="1">
      <alignment vertical="center"/>
      <protection hidden="1"/>
    </xf>
    <xf numFmtId="0" fontId="0" fillId="0" borderId="63" xfId="0" applyBorder="1"/>
    <xf numFmtId="0" fontId="0" fillId="0" borderId="64" xfId="0" applyBorder="1"/>
    <xf numFmtId="0" fontId="0" fillId="0" borderId="61" xfId="0" applyBorder="1"/>
    <xf numFmtId="0" fontId="0" fillId="0" borderId="62" xfId="0" applyBorder="1"/>
    <xf numFmtId="0" fontId="55" fillId="0" borderId="61" xfId="4" applyFill="1" applyBorder="1" applyAlignment="1" applyProtection="1">
      <alignment horizontal="center" vertical="center"/>
    </xf>
    <xf numFmtId="0" fontId="55" fillId="0" borderId="62" xfId="4" applyFill="1" applyBorder="1" applyAlignment="1" applyProtection="1">
      <alignment horizontal="center" vertical="center"/>
    </xf>
    <xf numFmtId="0" fontId="0" fillId="0" borderId="0" xfId="0"/>
    <xf numFmtId="0" fontId="55" fillId="0" borderId="0" xfId="4" applyAlignment="1" applyProtection="1"/>
    <xf numFmtId="0" fontId="97" fillId="0" borderId="0" xfId="4" applyFont="1" applyFill="1" applyAlignment="1" applyProtection="1">
      <alignment horizontal="left" vertical="center"/>
      <protection locked="0" hidden="1"/>
    </xf>
    <xf numFmtId="0" fontId="0" fillId="0" borderId="0" xfId="0" applyProtection="1">
      <protection locked="0"/>
    </xf>
    <xf numFmtId="3" fontId="17" fillId="0" borderId="29" xfId="9" applyNumberFormat="1" applyFont="1" applyFill="1" applyBorder="1" applyAlignment="1" applyProtection="1">
      <alignment vertical="center"/>
    </xf>
    <xf numFmtId="0" fontId="62" fillId="0" borderId="0" xfId="1" applyFont="1" applyFill="1" applyAlignment="1" applyProtection="1">
      <alignment vertical="center"/>
    </xf>
    <xf numFmtId="0" fontId="14" fillId="0" borderId="0" xfId="1" applyFont="1" applyFill="1" applyAlignment="1" applyProtection="1">
      <alignment vertical="center"/>
    </xf>
    <xf numFmtId="0" fontId="61" fillId="0" borderId="0" xfId="1" applyFont="1" applyFill="1" applyAlignment="1" applyProtection="1">
      <alignment vertical="center"/>
    </xf>
    <xf numFmtId="0" fontId="73" fillId="0" borderId="0" xfId="1" applyFont="1" applyFill="1" applyAlignment="1" applyProtection="1">
      <alignment vertical="center"/>
    </xf>
    <xf numFmtId="0" fontId="62" fillId="0" borderId="0" xfId="1" applyFont="1" applyFill="1" applyAlignment="1" applyProtection="1">
      <alignment horizontal="left" vertical="center" indent="1"/>
    </xf>
    <xf numFmtId="0" fontId="78" fillId="0" borderId="0" xfId="1" applyFont="1" applyFill="1" applyAlignment="1" applyProtection="1">
      <alignment horizontal="left" vertical="center" indent="1"/>
    </xf>
    <xf numFmtId="0" fontId="78" fillId="0" borderId="0" xfId="1" applyFont="1" applyFill="1" applyAlignment="1" applyProtection="1">
      <alignment vertical="center"/>
    </xf>
    <xf numFmtId="0" fontId="62" fillId="0" borderId="0" xfId="1" applyFont="1" applyFill="1" applyAlignment="1" applyProtection="1">
      <alignment horizontal="center" vertical="center"/>
    </xf>
    <xf numFmtId="0" fontId="61" fillId="0" borderId="0" xfId="1" applyFont="1" applyFill="1" applyAlignment="1" applyProtection="1">
      <alignment horizontal="center" vertical="center"/>
    </xf>
    <xf numFmtId="0" fontId="73" fillId="0" borderId="0" xfId="1" applyFont="1" applyFill="1" applyAlignment="1" applyProtection="1">
      <alignment horizontal="center" vertical="center"/>
    </xf>
    <xf numFmtId="0" fontId="14" fillId="0" borderId="0" xfId="1" applyFont="1" applyFill="1" applyAlignment="1" applyProtection="1">
      <alignment horizontal="center" vertical="center"/>
    </xf>
    <xf numFmtId="0" fontId="14" fillId="0" borderId="0" xfId="0" applyFont="1" applyFill="1" applyBorder="1" applyAlignment="1">
      <alignment horizontal="center" vertical="center"/>
    </xf>
    <xf numFmtId="3" fontId="14" fillId="0" borderId="0" xfId="0" applyNumberFormat="1" applyFont="1" applyFill="1" applyBorder="1" applyAlignment="1">
      <alignment horizontal="right" vertical="center"/>
    </xf>
    <xf numFmtId="0" fontId="17" fillId="3" borderId="137" xfId="0" applyFont="1" applyFill="1" applyBorder="1" applyAlignment="1">
      <alignment vertical="center"/>
    </xf>
    <xf numFmtId="0" fontId="14" fillId="3" borderId="88" xfId="1" applyFont="1" applyFill="1" applyBorder="1" applyAlignment="1" applyProtection="1">
      <alignment vertical="top"/>
      <protection hidden="1"/>
    </xf>
    <xf numFmtId="0" fontId="14" fillId="3" borderId="88" xfId="1" applyFont="1" applyFill="1" applyBorder="1" applyAlignment="1" applyProtection="1">
      <alignment vertical="center"/>
      <protection hidden="1"/>
    </xf>
    <xf numFmtId="0" fontId="14" fillId="3" borderId="89" xfId="1" applyFont="1" applyFill="1" applyBorder="1" applyAlignment="1" applyProtection="1">
      <alignment vertical="center"/>
      <protection hidden="1"/>
    </xf>
    <xf numFmtId="0" fontId="0" fillId="0" borderId="63" xfId="0" applyBorder="1"/>
    <xf numFmtId="0" fontId="0" fillId="0" borderId="64" xfId="0" applyBorder="1"/>
    <xf numFmtId="0" fontId="0" fillId="0" borderId="61" xfId="0" applyBorder="1"/>
    <xf numFmtId="0" fontId="0" fillId="0" borderId="62" xfId="0" applyBorder="1"/>
    <xf numFmtId="0" fontId="0" fillId="0" borderId="0" xfId="0"/>
    <xf numFmtId="3" fontId="17" fillId="0" borderId="29" xfId="9" applyNumberFormat="1" applyFont="1" applyFill="1" applyBorder="1" applyAlignment="1" applyProtection="1">
      <alignment horizontal="left" vertical="center" indent="1"/>
    </xf>
    <xf numFmtId="0" fontId="12" fillId="0" borderId="0" xfId="9" applyFont="1" applyFill="1" applyBorder="1" applyAlignment="1" applyProtection="1">
      <alignment horizontal="left" vertical="center"/>
    </xf>
    <xf numFmtId="0" fontId="0" fillId="0" borderId="0" xfId="0" applyProtection="1"/>
    <xf numFmtId="0" fontId="17" fillId="3" borderId="137" xfId="1" applyFont="1" applyFill="1" applyBorder="1" applyAlignment="1" applyProtection="1">
      <alignment vertical="center"/>
      <protection hidden="1"/>
    </xf>
    <xf numFmtId="0" fontId="0" fillId="0" borderId="0" xfId="0" applyProtection="1"/>
    <xf numFmtId="185" fontId="81" fillId="0" borderId="117" xfId="6" applyNumberFormat="1" applyFont="1" applyFill="1" applyBorder="1" applyAlignment="1" applyProtection="1">
      <alignment vertical="center"/>
    </xf>
    <xf numFmtId="2" fontId="81" fillId="0" borderId="105" xfId="1" applyNumberFormat="1" applyFont="1" applyFill="1" applyBorder="1" applyAlignment="1" applyProtection="1">
      <alignment vertical="top"/>
      <protection hidden="1"/>
    </xf>
    <xf numFmtId="2" fontId="81" fillId="0" borderId="101" xfId="1" applyNumberFormat="1" applyFont="1" applyFill="1" applyBorder="1" applyAlignment="1" applyProtection="1">
      <alignment vertical="top"/>
      <protection hidden="1"/>
    </xf>
    <xf numFmtId="2" fontId="81" fillId="0" borderId="106" xfId="1" applyNumberFormat="1" applyFont="1" applyFill="1" applyBorder="1" applyAlignment="1" applyProtection="1">
      <alignment vertical="top"/>
      <protection hidden="1"/>
    </xf>
    <xf numFmtId="2" fontId="81" fillId="0" borderId="131" xfId="1" applyNumberFormat="1" applyFont="1" applyFill="1" applyBorder="1" applyAlignment="1" applyProtection="1">
      <alignment vertical="top"/>
      <protection hidden="1"/>
    </xf>
    <xf numFmtId="2" fontId="81" fillId="0" borderId="132" xfId="1" applyNumberFormat="1" applyFont="1" applyFill="1" applyBorder="1" applyAlignment="1" applyProtection="1">
      <alignment vertical="top"/>
      <protection hidden="1"/>
    </xf>
    <xf numFmtId="2" fontId="81" fillId="0" borderId="133" xfId="1" applyNumberFormat="1" applyFont="1" applyFill="1" applyBorder="1" applyAlignment="1" applyProtection="1">
      <alignment vertical="top"/>
      <protection hidden="1"/>
    </xf>
    <xf numFmtId="0" fontId="22" fillId="0" borderId="0" xfId="1" applyFont="1" applyBorder="1" applyAlignment="1" applyProtection="1">
      <alignment horizontal="right"/>
    </xf>
    <xf numFmtId="0" fontId="0" fillId="0" borderId="61" xfId="0" applyBorder="1"/>
    <xf numFmtId="0" fontId="0" fillId="0" borderId="62" xfId="0" applyBorder="1"/>
    <xf numFmtId="0" fontId="0" fillId="0" borderId="0" xfId="0"/>
    <xf numFmtId="0" fontId="0" fillId="0" borderId="0" xfId="0" applyProtection="1"/>
    <xf numFmtId="185" fontId="81" fillId="0" borderId="104" xfId="6" applyNumberFormat="1" applyFont="1" applyBorder="1" applyAlignment="1" applyProtection="1">
      <alignment vertical="center"/>
      <protection hidden="1"/>
    </xf>
    <xf numFmtId="0" fontId="22" fillId="0" borderId="0" xfId="1" applyFont="1" applyBorder="1" applyAlignment="1" applyProtection="1">
      <alignment horizontal="right"/>
      <protection hidden="1"/>
    </xf>
    <xf numFmtId="49" fontId="11" fillId="3" borderId="0" xfId="1" applyNumberFormat="1" applyFont="1" applyFill="1" applyBorder="1" applyAlignment="1" applyProtection="1">
      <alignment horizontal="left"/>
      <protection hidden="1"/>
    </xf>
    <xf numFmtId="0" fontId="0" fillId="0" borderId="0" xfId="0" applyProtection="1"/>
    <xf numFmtId="178" fontId="14" fillId="18" borderId="0" xfId="1" applyNumberFormat="1" applyFont="1" applyFill="1" applyBorder="1" applyAlignment="1" applyProtection="1">
      <alignment vertical="center"/>
      <protection hidden="1"/>
    </xf>
    <xf numFmtId="0" fontId="0" fillId="0" borderId="63" xfId="0" applyBorder="1"/>
    <xf numFmtId="0" fontId="0" fillId="0" borderId="64" xfId="0" applyBorder="1"/>
    <xf numFmtId="0" fontId="0" fillId="0" borderId="61" xfId="0" applyBorder="1"/>
    <xf numFmtId="0" fontId="0" fillId="0" borderId="62" xfId="0" applyBorder="1"/>
    <xf numFmtId="0" fontId="0" fillId="0" borderId="0" xfId="0"/>
    <xf numFmtId="0" fontId="0" fillId="0" borderId="0" xfId="0" applyProtection="1"/>
    <xf numFmtId="0" fontId="9" fillId="8" borderId="4" xfId="1" applyNumberFormat="1" applyFont="1" applyFill="1" applyBorder="1" applyAlignment="1" applyProtection="1">
      <alignment vertical="center"/>
      <protection locked="0"/>
    </xf>
    <xf numFmtId="0" fontId="9" fillId="6" borderId="30" xfId="7" applyNumberFormat="1" applyFont="1" applyFill="1" applyBorder="1" applyAlignment="1" applyProtection="1">
      <alignment horizontal="left"/>
      <protection locked="0"/>
    </xf>
    <xf numFmtId="0" fontId="9" fillId="6" borderId="30" xfId="1" applyNumberFormat="1" applyFont="1" applyFill="1" applyBorder="1" applyAlignment="1" applyProtection="1">
      <alignment vertical="center"/>
      <protection locked="0"/>
    </xf>
    <xf numFmtId="0" fontId="9" fillId="6" borderId="30" xfId="7" applyNumberFormat="1" applyFont="1" applyFill="1" applyBorder="1" applyAlignment="1" applyProtection="1">
      <alignment vertical="center"/>
      <protection locked="0"/>
    </xf>
    <xf numFmtId="178" fontId="100" fillId="0" borderId="0" xfId="1" applyNumberFormat="1" applyFont="1" applyFill="1" applyBorder="1" applyAlignment="1" applyProtection="1">
      <alignment horizontal="center" vertical="center"/>
      <protection hidden="1"/>
    </xf>
    <xf numFmtId="0" fontId="100" fillId="0" borderId="0" xfId="1" applyFont="1" applyFill="1" applyAlignment="1" applyProtection="1">
      <alignment vertical="top"/>
      <protection hidden="1"/>
    </xf>
    <xf numFmtId="0" fontId="0" fillId="0" borderId="61" xfId="0" applyBorder="1"/>
    <xf numFmtId="0" fontId="0" fillId="0" borderId="62" xfId="0" applyBorder="1"/>
    <xf numFmtId="0" fontId="0" fillId="0" borderId="0" xfId="0"/>
    <xf numFmtId="0" fontId="99" fillId="4" borderId="61" xfId="4" applyFont="1" applyFill="1" applyBorder="1" applyAlignment="1" applyProtection="1">
      <alignment horizontal="center" vertical="center"/>
      <protection locked="0" hidden="1"/>
    </xf>
    <xf numFmtId="0" fontId="99" fillId="4" borderId="62" xfId="4" applyFont="1" applyFill="1" applyBorder="1" applyAlignment="1" applyProtection="1">
      <alignment horizontal="center" vertical="center"/>
      <protection locked="0" hidden="1"/>
    </xf>
    <xf numFmtId="0" fontId="15" fillId="0" borderId="0" xfId="0" applyFont="1"/>
    <xf numFmtId="0" fontId="107" fillId="0" borderId="0" xfId="0" applyFont="1" applyAlignment="1">
      <alignment horizontal="center" vertical="top" wrapText="1"/>
    </xf>
    <xf numFmtId="0" fontId="106" fillId="0" borderId="0" xfId="0" applyFont="1" applyAlignment="1">
      <alignment vertical="top"/>
    </xf>
    <xf numFmtId="0" fontId="105" fillId="0" borderId="0" xfId="0" applyFont="1" applyAlignment="1">
      <alignment horizontal="center" vertical="top"/>
    </xf>
    <xf numFmtId="0" fontId="0" fillId="0" borderId="0" xfId="0" applyProtection="1"/>
    <xf numFmtId="0" fontId="0" fillId="0" borderId="0" xfId="0" applyBorder="1" applyAlignment="1">
      <alignment horizontal="center"/>
    </xf>
    <xf numFmtId="0" fontId="0" fillId="0" borderId="0" xfId="0"/>
    <xf numFmtId="186" fontId="14" fillId="0" borderId="0" xfId="6" applyNumberFormat="1" applyFont="1" applyFill="1" applyAlignment="1" applyProtection="1">
      <alignment vertical="center"/>
      <protection hidden="1"/>
    </xf>
    <xf numFmtId="0" fontId="0" fillId="0" borderId="0" xfId="0" applyProtection="1"/>
    <xf numFmtId="0" fontId="73" fillId="0" borderId="0" xfId="1" applyFont="1" applyFill="1" applyBorder="1" applyAlignment="1" applyProtection="1">
      <alignment vertical="center"/>
      <protection hidden="1"/>
    </xf>
    <xf numFmtId="0" fontId="0" fillId="3" borderId="0" xfId="0" applyFill="1" applyAlignment="1" applyProtection="1">
      <alignment vertical="center"/>
    </xf>
    <xf numFmtId="0" fontId="17" fillId="3" borderId="0" xfId="0" applyFont="1" applyFill="1" applyAlignment="1" applyProtection="1">
      <alignment horizontal="right" vertical="center"/>
    </xf>
    <xf numFmtId="183" fontId="78" fillId="6" borderId="0" xfId="5" applyNumberFormat="1" applyFont="1" applyFill="1" applyBorder="1" applyAlignment="1" applyProtection="1">
      <alignment horizontal="center" vertical="center"/>
      <protection locked="0"/>
    </xf>
    <xf numFmtId="0" fontId="0" fillId="0" borderId="0" xfId="0" applyBorder="1" applyAlignment="1" applyProtection="1"/>
    <xf numFmtId="0" fontId="14" fillId="3" borderId="0" xfId="1" applyFont="1" applyFill="1" applyBorder="1" applyAlignment="1" applyProtection="1">
      <alignment vertical="top"/>
      <protection hidden="1"/>
    </xf>
    <xf numFmtId="0" fontId="14" fillId="3" borderId="0" xfId="1" applyFont="1" applyFill="1" applyBorder="1" applyAlignment="1" applyProtection="1">
      <alignment vertical="center"/>
      <protection hidden="1"/>
    </xf>
    <xf numFmtId="0" fontId="104" fillId="3" borderId="0" xfId="1" applyFont="1" applyFill="1" applyBorder="1" applyAlignment="1" applyProtection="1">
      <alignment vertical="top"/>
      <protection hidden="1"/>
    </xf>
    <xf numFmtId="0" fontId="60" fillId="3" borderId="0" xfId="1" applyFont="1" applyFill="1" applyBorder="1" applyAlignment="1" applyProtection="1">
      <alignment vertical="top"/>
      <protection hidden="1"/>
    </xf>
    <xf numFmtId="0" fontId="17" fillId="3" borderId="0" xfId="0" applyFont="1" applyFill="1" applyBorder="1" applyAlignment="1" applyProtection="1"/>
    <xf numFmtId="0" fontId="0" fillId="3" borderId="0" xfId="0" applyFill="1" applyBorder="1" applyAlignment="1" applyProtection="1"/>
    <xf numFmtId="0" fontId="12" fillId="3" borderId="0" xfId="0" applyFont="1" applyFill="1" applyBorder="1" applyAlignment="1" applyProtection="1">
      <alignment horizontal="right"/>
    </xf>
    <xf numFmtId="0" fontId="63" fillId="3" borderId="0" xfId="0" applyFont="1" applyFill="1" applyBorder="1" applyAlignment="1" applyProtection="1"/>
    <xf numFmtId="0" fontId="0" fillId="0" borderId="0" xfId="0" applyProtection="1"/>
    <xf numFmtId="0" fontId="0" fillId="3" borderId="137" xfId="0" applyFill="1" applyBorder="1" applyProtection="1"/>
    <xf numFmtId="0" fontId="0" fillId="3" borderId="88" xfId="0" applyFill="1" applyBorder="1" applyAlignment="1" applyProtection="1"/>
    <xf numFmtId="0" fontId="0" fillId="3" borderId="88" xfId="0" applyFill="1" applyBorder="1" applyProtection="1"/>
    <xf numFmtId="0" fontId="12" fillId="3" borderId="88" xfId="0" applyFont="1" applyFill="1" applyBorder="1" applyAlignment="1" applyProtection="1">
      <alignment horizontal="right"/>
    </xf>
    <xf numFmtId="0" fontId="0" fillId="3" borderId="89" xfId="0" applyFill="1" applyBorder="1" applyProtection="1"/>
    <xf numFmtId="0" fontId="17" fillId="3" borderId="136" xfId="0" applyFont="1" applyFill="1" applyBorder="1" applyAlignment="1" applyProtection="1"/>
    <xf numFmtId="0" fontId="0" fillId="3" borderId="74" xfId="0" applyFill="1" applyBorder="1" applyAlignment="1" applyProtection="1"/>
    <xf numFmtId="0" fontId="0" fillId="3" borderId="136" xfId="0" applyFill="1" applyBorder="1" applyProtection="1"/>
    <xf numFmtId="0" fontId="0" fillId="3" borderId="74" xfId="0" applyFill="1" applyBorder="1" applyProtection="1"/>
    <xf numFmtId="0" fontId="0" fillId="3" borderId="136" xfId="0" applyFill="1" applyBorder="1" applyAlignment="1" applyProtection="1"/>
    <xf numFmtId="0" fontId="0" fillId="3" borderId="138" xfId="0" applyFill="1" applyBorder="1" applyProtection="1"/>
    <xf numFmtId="0" fontId="0" fillId="3" borderId="90" xfId="0" applyFill="1" applyBorder="1" applyAlignment="1" applyProtection="1"/>
    <xf numFmtId="0" fontId="0" fillId="3" borderId="90" xfId="0" applyFill="1" applyBorder="1" applyProtection="1"/>
    <xf numFmtId="0" fontId="12" fillId="3" borderId="90" xfId="0" applyFont="1" applyFill="1" applyBorder="1" applyAlignment="1" applyProtection="1">
      <alignment horizontal="right"/>
    </xf>
    <xf numFmtId="0" fontId="0" fillId="3" borderId="91" xfId="0" applyFill="1" applyBorder="1" applyProtection="1"/>
    <xf numFmtId="0" fontId="14" fillId="3" borderId="136" xfId="1" applyFont="1" applyFill="1" applyBorder="1" applyAlignment="1" applyProtection="1">
      <alignment vertical="top"/>
      <protection hidden="1"/>
    </xf>
    <xf numFmtId="0" fontId="14" fillId="3" borderId="74" xfId="1" applyFont="1" applyFill="1" applyBorder="1" applyAlignment="1" applyProtection="1">
      <alignment vertical="top"/>
      <protection hidden="1"/>
    </xf>
    <xf numFmtId="0" fontId="14" fillId="3" borderId="90" xfId="1" applyFont="1" applyFill="1" applyBorder="1" applyAlignment="1" applyProtection="1">
      <alignment vertical="center"/>
      <protection hidden="1"/>
    </xf>
    <xf numFmtId="0" fontId="60" fillId="3" borderId="137" xfId="1" applyFont="1" applyFill="1" applyBorder="1" applyAlignment="1" applyProtection="1">
      <alignment vertical="top"/>
      <protection hidden="1"/>
    </xf>
    <xf numFmtId="0" fontId="60" fillId="3" borderId="88" xfId="1" applyFont="1" applyFill="1" applyBorder="1" applyAlignment="1" applyProtection="1">
      <alignment vertical="top"/>
      <protection hidden="1"/>
    </xf>
    <xf numFmtId="0" fontId="14" fillId="3" borderId="89" xfId="1" applyFont="1" applyFill="1" applyBorder="1" applyAlignment="1" applyProtection="1">
      <alignment vertical="top"/>
      <protection hidden="1"/>
    </xf>
    <xf numFmtId="0" fontId="60" fillId="3" borderId="136" xfId="1" applyFont="1" applyFill="1" applyBorder="1" applyAlignment="1" applyProtection="1">
      <alignment vertical="top"/>
      <protection hidden="1"/>
    </xf>
    <xf numFmtId="0" fontId="60" fillId="3" borderId="138" xfId="1" applyFont="1" applyFill="1" applyBorder="1" applyAlignment="1" applyProtection="1">
      <alignment vertical="top"/>
      <protection hidden="1"/>
    </xf>
    <xf numFmtId="0" fontId="60" fillId="3" borderId="90" xfId="1" applyFont="1" applyFill="1" applyBorder="1" applyAlignment="1" applyProtection="1">
      <alignment vertical="top"/>
      <protection hidden="1"/>
    </xf>
    <xf numFmtId="0" fontId="14" fillId="3" borderId="91" xfId="1" applyFont="1" applyFill="1" applyBorder="1" applyAlignment="1" applyProtection="1">
      <alignment vertical="top"/>
      <protection hidden="1"/>
    </xf>
    <xf numFmtId="0" fontId="104" fillId="3" borderId="136" xfId="1" applyFont="1" applyFill="1" applyBorder="1" applyAlignment="1" applyProtection="1">
      <alignment vertical="top"/>
      <protection hidden="1"/>
    </xf>
    <xf numFmtId="178" fontId="14" fillId="18" borderId="88" xfId="1" applyNumberFormat="1" applyFont="1" applyFill="1" applyBorder="1" applyAlignment="1" applyProtection="1">
      <alignment vertical="center"/>
      <protection hidden="1"/>
    </xf>
    <xf numFmtId="178" fontId="14" fillId="18" borderId="172" xfId="1" applyNumberFormat="1" applyFont="1" applyFill="1" applyBorder="1" applyAlignment="1" applyProtection="1">
      <alignment vertical="center"/>
      <protection hidden="1"/>
    </xf>
    <xf numFmtId="178" fontId="78" fillId="6" borderId="173" xfId="1" applyNumberFormat="1" applyFont="1" applyFill="1" applyBorder="1" applyAlignment="1" applyProtection="1">
      <alignment vertical="center"/>
      <protection locked="0"/>
    </xf>
    <xf numFmtId="178" fontId="14" fillId="18" borderId="174" xfId="1" applyNumberFormat="1" applyFont="1" applyFill="1" applyBorder="1" applyAlignment="1" applyProtection="1">
      <alignment vertical="center"/>
      <protection hidden="1"/>
    </xf>
    <xf numFmtId="178" fontId="78" fillId="6" borderId="175" xfId="1" applyNumberFormat="1" applyFont="1" applyFill="1" applyBorder="1" applyAlignment="1" applyProtection="1">
      <alignment vertical="center"/>
      <protection locked="0"/>
    </xf>
    <xf numFmtId="178" fontId="14" fillId="18" borderId="176" xfId="1" applyNumberFormat="1" applyFont="1" applyFill="1" applyBorder="1" applyAlignment="1" applyProtection="1">
      <alignment vertical="center"/>
      <protection hidden="1"/>
    </xf>
    <xf numFmtId="178" fontId="78" fillId="6" borderId="177" xfId="1" applyNumberFormat="1" applyFont="1" applyFill="1" applyBorder="1" applyAlignment="1" applyProtection="1">
      <alignment vertical="center"/>
      <protection locked="0"/>
    </xf>
    <xf numFmtId="178" fontId="78" fillId="6" borderId="88" xfId="1" applyNumberFormat="1" applyFont="1" applyFill="1" applyBorder="1" applyAlignment="1" applyProtection="1">
      <alignment vertical="center"/>
      <protection locked="0"/>
    </xf>
    <xf numFmtId="178" fontId="78" fillId="6" borderId="0" xfId="1" applyNumberFormat="1" applyFont="1" applyFill="1" applyBorder="1" applyAlignment="1" applyProtection="1">
      <alignment vertical="center"/>
      <protection locked="0"/>
    </xf>
    <xf numFmtId="178" fontId="78" fillId="6" borderId="90" xfId="1" applyNumberFormat="1" applyFont="1" applyFill="1" applyBorder="1" applyAlignment="1" applyProtection="1">
      <alignment vertical="center"/>
      <protection locked="0"/>
    </xf>
    <xf numFmtId="0" fontId="14" fillId="3" borderId="72" xfId="1" applyFont="1" applyFill="1" applyBorder="1" applyAlignment="1" applyProtection="1">
      <alignment vertical="center"/>
      <protection hidden="1"/>
    </xf>
    <xf numFmtId="0" fontId="14" fillId="3" borderId="73" xfId="1" applyFont="1" applyFill="1" applyBorder="1" applyAlignment="1" applyProtection="1">
      <alignment vertical="top"/>
      <protection hidden="1"/>
    </xf>
    <xf numFmtId="178" fontId="14" fillId="18" borderId="77" xfId="1" applyNumberFormat="1" applyFont="1" applyFill="1" applyBorder="1" applyAlignment="1" applyProtection="1">
      <alignment vertical="center"/>
      <protection hidden="1"/>
    </xf>
    <xf numFmtId="178" fontId="78" fillId="6" borderId="78" xfId="1" applyNumberFormat="1" applyFont="1" applyFill="1" applyBorder="1" applyAlignment="1" applyProtection="1">
      <alignment vertical="center"/>
      <protection locked="0"/>
    </xf>
    <xf numFmtId="178" fontId="14" fillId="18" borderId="72" xfId="1" applyNumberFormat="1" applyFont="1" applyFill="1" applyBorder="1" applyAlignment="1" applyProtection="1">
      <alignment vertical="center"/>
      <protection hidden="1"/>
    </xf>
    <xf numFmtId="178" fontId="78" fillId="6" borderId="72" xfId="1" applyNumberFormat="1" applyFont="1" applyFill="1" applyBorder="1" applyAlignment="1" applyProtection="1">
      <alignment vertical="center"/>
      <protection locked="0"/>
    </xf>
    <xf numFmtId="0" fontId="14" fillId="3" borderId="75" xfId="1" applyFont="1" applyFill="1" applyBorder="1" applyAlignment="1" applyProtection="1">
      <alignment vertical="center"/>
      <protection hidden="1"/>
    </xf>
    <xf numFmtId="0" fontId="14" fillId="3" borderId="76" xfId="1" applyFont="1" applyFill="1" applyBorder="1" applyAlignment="1" applyProtection="1">
      <alignment vertical="top"/>
      <protection hidden="1"/>
    </xf>
    <xf numFmtId="178" fontId="78" fillId="6" borderId="80" xfId="1" applyNumberFormat="1" applyFont="1" applyFill="1" applyBorder="1" applyAlignment="1" applyProtection="1">
      <alignment vertical="center"/>
      <protection locked="0"/>
    </xf>
    <xf numFmtId="178" fontId="78" fillId="6" borderId="75" xfId="1" applyNumberFormat="1" applyFont="1" applyFill="1" applyBorder="1" applyAlignment="1" applyProtection="1">
      <alignment vertical="center"/>
      <protection locked="0"/>
    </xf>
    <xf numFmtId="178" fontId="14" fillId="3" borderId="163" xfId="1" applyNumberFormat="1" applyFont="1" applyFill="1" applyBorder="1" applyAlignment="1" applyProtection="1">
      <alignment vertical="center"/>
      <protection hidden="1"/>
    </xf>
    <xf numFmtId="178" fontId="78" fillId="6" borderId="195" xfId="1" applyNumberFormat="1" applyFont="1" applyFill="1" applyBorder="1" applyAlignment="1" applyProtection="1">
      <alignment vertical="center"/>
      <protection locked="0"/>
    </xf>
    <xf numFmtId="178" fontId="78" fillId="3" borderId="163" xfId="1" applyNumberFormat="1" applyFont="1" applyFill="1" applyBorder="1" applyAlignment="1" applyProtection="1">
      <alignment vertical="center"/>
      <protection hidden="1"/>
    </xf>
    <xf numFmtId="178" fontId="14" fillId="3" borderId="194" xfId="1" applyNumberFormat="1" applyFont="1" applyFill="1" applyBorder="1" applyAlignment="1" applyProtection="1">
      <alignment vertical="center"/>
      <protection hidden="1"/>
    </xf>
    <xf numFmtId="178" fontId="78" fillId="3" borderId="195" xfId="1" applyNumberFormat="1" applyFont="1" applyFill="1" applyBorder="1" applyAlignment="1" applyProtection="1">
      <alignment vertical="center"/>
      <protection hidden="1"/>
    </xf>
    <xf numFmtId="178" fontId="78" fillId="6" borderId="164" xfId="1" applyNumberFormat="1" applyFont="1" applyFill="1" applyBorder="1" applyAlignment="1" applyProtection="1">
      <alignment horizontal="center" vertical="center"/>
      <protection locked="0"/>
    </xf>
    <xf numFmtId="178" fontId="14" fillId="3" borderId="47" xfId="1" applyNumberFormat="1" applyFont="1" applyFill="1" applyBorder="1" applyAlignment="1" applyProtection="1">
      <alignment vertical="center"/>
      <protection hidden="1"/>
    </xf>
    <xf numFmtId="178" fontId="78" fillId="6" borderId="184" xfId="1" applyNumberFormat="1" applyFont="1" applyFill="1" applyBorder="1" applyAlignment="1" applyProtection="1">
      <alignment vertical="center"/>
      <protection locked="0"/>
    </xf>
    <xf numFmtId="178" fontId="78" fillId="3" borderId="47" xfId="1" applyNumberFormat="1" applyFont="1" applyFill="1" applyBorder="1" applyAlignment="1" applyProtection="1">
      <alignment vertical="center"/>
      <protection hidden="1"/>
    </xf>
    <xf numFmtId="178" fontId="14" fillId="3" borderId="201" xfId="1" applyNumberFormat="1" applyFont="1" applyFill="1" applyBorder="1" applyAlignment="1" applyProtection="1">
      <alignment vertical="center"/>
      <protection hidden="1"/>
    </xf>
    <xf numFmtId="178" fontId="78" fillId="3" borderId="184" xfId="1" applyNumberFormat="1" applyFont="1" applyFill="1" applyBorder="1" applyAlignment="1" applyProtection="1">
      <alignment vertical="center"/>
      <protection hidden="1"/>
    </xf>
    <xf numFmtId="178" fontId="78" fillId="6" borderId="71" xfId="1" applyNumberFormat="1" applyFont="1" applyFill="1" applyBorder="1" applyAlignment="1" applyProtection="1">
      <alignment horizontal="center" vertical="center"/>
      <protection locked="0"/>
    </xf>
    <xf numFmtId="178" fontId="78" fillId="6" borderId="47" xfId="1" applyNumberFormat="1" applyFont="1" applyFill="1" applyBorder="1" applyAlignment="1" applyProtection="1">
      <alignment vertical="center"/>
      <protection locked="0"/>
    </xf>
    <xf numFmtId="178" fontId="100" fillId="3" borderId="47" xfId="1" applyNumberFormat="1" applyFont="1" applyFill="1" applyBorder="1" applyAlignment="1" applyProtection="1">
      <alignment vertical="center"/>
      <protection hidden="1"/>
    </xf>
    <xf numFmtId="178" fontId="100" fillId="3" borderId="201" xfId="1" applyNumberFormat="1" applyFont="1" applyFill="1" applyBorder="1" applyAlignment="1" applyProtection="1">
      <alignment vertical="center"/>
      <protection hidden="1"/>
    </xf>
    <xf numFmtId="178" fontId="100" fillId="3" borderId="184" xfId="1" applyNumberFormat="1" applyFont="1" applyFill="1" applyBorder="1" applyAlignment="1" applyProtection="1">
      <alignment vertical="center"/>
      <protection hidden="1"/>
    </xf>
    <xf numFmtId="178" fontId="14" fillId="3" borderId="184" xfId="1" applyNumberFormat="1" applyFont="1" applyFill="1" applyBorder="1" applyAlignment="1" applyProtection="1">
      <alignment vertical="center"/>
      <protection hidden="1"/>
    </xf>
    <xf numFmtId="178" fontId="14" fillId="3" borderId="207" xfId="1" applyNumberFormat="1" applyFont="1" applyFill="1" applyBorder="1" applyAlignment="1" applyProtection="1">
      <alignment vertical="center"/>
      <protection hidden="1"/>
    </xf>
    <xf numFmtId="178" fontId="14" fillId="3" borderId="210" xfId="1" applyNumberFormat="1" applyFont="1" applyFill="1" applyBorder="1" applyAlignment="1" applyProtection="1">
      <alignment vertical="center"/>
      <protection hidden="1"/>
    </xf>
    <xf numFmtId="178" fontId="14" fillId="3" borderId="188" xfId="1" applyNumberFormat="1" applyFont="1" applyFill="1" applyBorder="1" applyAlignment="1" applyProtection="1">
      <alignment vertical="center"/>
      <protection hidden="1"/>
    </xf>
    <xf numFmtId="178" fontId="78" fillId="6" borderId="163" xfId="1" applyNumberFormat="1" applyFont="1" applyFill="1" applyBorder="1" applyAlignment="1" applyProtection="1">
      <alignment vertical="center"/>
      <protection locked="0"/>
    </xf>
    <xf numFmtId="178" fontId="78" fillId="3" borderId="201" xfId="1" applyNumberFormat="1" applyFont="1" applyFill="1" applyBorder="1" applyAlignment="1" applyProtection="1">
      <alignment vertical="center"/>
      <protection hidden="1"/>
    </xf>
    <xf numFmtId="178" fontId="78" fillId="3" borderId="207" xfId="1" applyNumberFormat="1" applyFont="1" applyFill="1" applyBorder="1" applyAlignment="1" applyProtection="1">
      <alignment vertical="center"/>
      <protection hidden="1"/>
    </xf>
    <xf numFmtId="178" fontId="78" fillId="3" borderId="210" xfId="1" applyNumberFormat="1" applyFont="1" applyFill="1" applyBorder="1" applyAlignment="1" applyProtection="1">
      <alignment vertical="center"/>
      <protection hidden="1"/>
    </xf>
    <xf numFmtId="178" fontId="78" fillId="3" borderId="188" xfId="1" applyNumberFormat="1" applyFont="1" applyFill="1" applyBorder="1" applyAlignment="1" applyProtection="1">
      <alignment vertical="center"/>
      <protection hidden="1"/>
    </xf>
    <xf numFmtId="0" fontId="78" fillId="6" borderId="141" xfId="1" applyFont="1" applyFill="1" applyBorder="1" applyAlignment="1" applyProtection="1">
      <alignment horizontal="left" vertical="top" indent="1"/>
      <protection locked="0"/>
    </xf>
    <xf numFmtId="0" fontId="78" fillId="6" borderId="72" xfId="1" applyFont="1" applyFill="1" applyBorder="1" applyAlignment="1" applyProtection="1">
      <alignment horizontal="left" vertical="top" indent="1"/>
      <protection locked="0"/>
    </xf>
    <xf numFmtId="0" fontId="78" fillId="6" borderId="142" xfId="1" applyFont="1" applyFill="1" applyBorder="1" applyAlignment="1" applyProtection="1">
      <alignment horizontal="left" vertical="top" indent="1"/>
      <protection locked="0"/>
    </xf>
    <xf numFmtId="0" fontId="78" fillId="6" borderId="72" xfId="4" applyFont="1" applyFill="1" applyBorder="1" applyAlignment="1" applyProtection="1">
      <alignment horizontal="left" vertical="top" indent="1"/>
      <protection locked="0"/>
    </xf>
    <xf numFmtId="0" fontId="78" fillId="6" borderId="73" xfId="4" applyFont="1" applyFill="1" applyBorder="1" applyAlignment="1" applyProtection="1">
      <alignment horizontal="left" vertical="top" indent="1"/>
      <protection locked="0"/>
    </xf>
    <xf numFmtId="0" fontId="78" fillId="6" borderId="143" xfId="1" applyFont="1" applyFill="1" applyBorder="1" applyAlignment="1" applyProtection="1">
      <alignment horizontal="left" vertical="top" indent="1"/>
      <protection locked="0"/>
    </xf>
    <xf numFmtId="0" fontId="78" fillId="6" borderId="75" xfId="1" applyFont="1" applyFill="1" applyBorder="1" applyAlignment="1" applyProtection="1">
      <alignment horizontal="left" vertical="top" indent="1"/>
      <protection locked="0"/>
    </xf>
    <xf numFmtId="0" fontId="78" fillId="6" borderId="75" xfId="4" applyFont="1" applyFill="1" applyBorder="1" applyAlignment="1" applyProtection="1">
      <alignment horizontal="left" vertical="top" indent="1"/>
      <protection locked="0"/>
    </xf>
    <xf numFmtId="0" fontId="78" fillId="6" borderId="76" xfId="4" applyFont="1" applyFill="1" applyBorder="1" applyAlignment="1" applyProtection="1">
      <alignment horizontal="left" vertical="top" indent="1"/>
      <protection locked="0"/>
    </xf>
    <xf numFmtId="0" fontId="78" fillId="6" borderId="146" xfId="1" applyFont="1" applyFill="1" applyBorder="1" applyAlignment="1" applyProtection="1">
      <alignment horizontal="left" vertical="top" indent="1"/>
      <protection locked="0"/>
    </xf>
    <xf numFmtId="0" fontId="78" fillId="6" borderId="90" xfId="1" applyFont="1" applyFill="1" applyBorder="1" applyAlignment="1" applyProtection="1">
      <alignment horizontal="left" vertical="top" indent="1"/>
      <protection locked="0"/>
    </xf>
    <xf numFmtId="0" fontId="78" fillId="6" borderId="90" xfId="4" applyFont="1" applyFill="1" applyBorder="1" applyAlignment="1" applyProtection="1">
      <alignment horizontal="left" vertical="top" indent="1"/>
      <protection locked="0"/>
    </xf>
    <xf numFmtId="0" fontId="78" fillId="6" borderId="91" xfId="4" applyFont="1" applyFill="1" applyBorder="1" applyAlignment="1" applyProtection="1">
      <alignment horizontal="left" vertical="top" indent="1"/>
      <protection locked="0"/>
    </xf>
    <xf numFmtId="0" fontId="14" fillId="3" borderId="88" xfId="0" applyFont="1" applyFill="1" applyBorder="1" applyAlignment="1">
      <alignment vertical="center"/>
    </xf>
    <xf numFmtId="0" fontId="14" fillId="3" borderId="138" xfId="0" applyFont="1" applyFill="1" applyBorder="1" applyAlignment="1">
      <alignment vertical="center"/>
    </xf>
    <xf numFmtId="0" fontId="14" fillId="3" borderId="90" xfId="0" applyFont="1" applyFill="1" applyBorder="1" applyAlignment="1">
      <alignment vertical="center"/>
    </xf>
    <xf numFmtId="0" fontId="14" fillId="3" borderId="137" xfId="0" applyFont="1" applyFill="1" applyBorder="1" applyAlignment="1">
      <alignment vertical="top"/>
    </xf>
    <xf numFmtId="0" fontId="14" fillId="3" borderId="162" xfId="0" applyFont="1" applyFill="1" applyBorder="1" applyAlignment="1">
      <alignment vertical="center"/>
    </xf>
    <xf numFmtId="0" fontId="14" fillId="3" borderId="163" xfId="0" applyFont="1" applyFill="1" applyBorder="1" applyAlignment="1">
      <alignment vertical="center"/>
    </xf>
    <xf numFmtId="0" fontId="14" fillId="3" borderId="70" xfId="0" applyFont="1" applyFill="1" applyBorder="1" applyAlignment="1">
      <alignment vertical="center"/>
    </xf>
    <xf numFmtId="0" fontId="14" fillId="3" borderId="47" xfId="0" applyFont="1" applyFill="1" applyBorder="1" applyAlignment="1">
      <alignment vertical="center"/>
    </xf>
    <xf numFmtId="0" fontId="14" fillId="3" borderId="70" xfId="0" quotePrefix="1" applyFont="1" applyFill="1" applyBorder="1" applyAlignment="1">
      <alignment horizontal="left" vertical="center"/>
    </xf>
    <xf numFmtId="0" fontId="14" fillId="3" borderId="209" xfId="0" applyFont="1" applyFill="1" applyBorder="1" applyAlignment="1">
      <alignment vertical="center"/>
    </xf>
    <xf numFmtId="0" fontId="14" fillId="3" borderId="207" xfId="0" applyFont="1" applyFill="1" applyBorder="1" applyAlignment="1">
      <alignment vertical="center"/>
    </xf>
    <xf numFmtId="0" fontId="14" fillId="3" borderId="162" xfId="1" applyFont="1" applyFill="1" applyBorder="1" applyAlignment="1">
      <alignment vertical="center"/>
    </xf>
    <xf numFmtId="0" fontId="14" fillId="3" borderId="163" xfId="1" applyFont="1" applyFill="1" applyBorder="1" applyAlignment="1">
      <alignment vertical="center"/>
    </xf>
    <xf numFmtId="0" fontId="14" fillId="3" borderId="70" xfId="1" applyFont="1" applyFill="1" applyBorder="1" applyAlignment="1">
      <alignment vertical="center"/>
    </xf>
    <xf numFmtId="0" fontId="14" fillId="3" borderId="47" xfId="1" applyFont="1" applyFill="1" applyBorder="1" applyAlignment="1">
      <alignment vertical="center"/>
    </xf>
    <xf numFmtId="0" fontId="14" fillId="3" borderId="209" xfId="1" applyFont="1" applyFill="1" applyBorder="1" applyAlignment="1">
      <alignment vertical="center"/>
    </xf>
    <xf numFmtId="0" fontId="14" fillId="3" borderId="207" xfId="1" applyFont="1" applyFill="1" applyBorder="1" applyAlignment="1">
      <alignment vertical="center"/>
    </xf>
    <xf numFmtId="0" fontId="14" fillId="3" borderId="162" xfId="1" applyFont="1" applyFill="1" applyBorder="1" applyAlignment="1" applyProtection="1">
      <alignment vertical="center"/>
      <protection hidden="1"/>
    </xf>
    <xf numFmtId="0" fontId="14" fillId="3" borderId="163" xfId="1" applyFont="1" applyFill="1" applyBorder="1" applyAlignment="1" applyProtection="1">
      <alignment vertical="center"/>
      <protection hidden="1"/>
    </xf>
    <xf numFmtId="0" fontId="61" fillId="3" borderId="163" xfId="1" applyFont="1" applyFill="1" applyBorder="1" applyAlignment="1" applyProtection="1">
      <alignment vertical="center"/>
      <protection hidden="1"/>
    </xf>
    <xf numFmtId="0" fontId="14" fillId="3" borderId="70" xfId="1" applyFont="1" applyFill="1" applyBorder="1" applyAlignment="1" applyProtection="1">
      <alignment vertical="center"/>
      <protection hidden="1"/>
    </xf>
    <xf numFmtId="0" fontId="14" fillId="3" borderId="47" xfId="1" applyFont="1" applyFill="1" applyBorder="1" applyAlignment="1" applyProtection="1">
      <alignment vertical="center"/>
      <protection hidden="1"/>
    </xf>
    <xf numFmtId="0" fontId="61" fillId="3" borderId="47" xfId="1" applyFont="1" applyFill="1" applyBorder="1" applyAlignment="1" applyProtection="1">
      <alignment vertical="center"/>
      <protection hidden="1"/>
    </xf>
    <xf numFmtId="0" fontId="14" fillId="3" borderId="209" xfId="1" applyFont="1" applyFill="1" applyBorder="1" applyAlignment="1" applyProtection="1">
      <alignment vertical="center"/>
      <protection hidden="1"/>
    </xf>
    <xf numFmtId="0" fontId="14" fillId="3" borderId="207" xfId="1" applyFont="1" applyFill="1" applyBorder="1" applyAlignment="1" applyProtection="1">
      <alignment vertical="center"/>
      <protection hidden="1"/>
    </xf>
    <xf numFmtId="0" fontId="61" fillId="3" borderId="207" xfId="1" applyFont="1" applyFill="1" applyBorder="1" applyAlignment="1" applyProtection="1">
      <alignment vertical="center"/>
      <protection hidden="1"/>
    </xf>
    <xf numFmtId="0" fontId="14" fillId="3" borderId="75" xfId="1" applyFont="1" applyFill="1" applyBorder="1" applyAlignment="1" applyProtection="1">
      <alignment vertical="top"/>
      <protection hidden="1"/>
    </xf>
    <xf numFmtId="0" fontId="0" fillId="0" borderId="0" xfId="0" applyProtection="1"/>
    <xf numFmtId="178" fontId="14" fillId="18" borderId="90" xfId="1" applyNumberFormat="1" applyFont="1" applyFill="1" applyBorder="1" applyAlignment="1" applyProtection="1">
      <alignment vertical="center"/>
      <protection hidden="1"/>
    </xf>
    <xf numFmtId="0" fontId="0" fillId="0" borderId="0" xfId="0" applyProtection="1"/>
    <xf numFmtId="0" fontId="12" fillId="0" borderId="0" xfId="1" applyFont="1" applyFill="1" applyBorder="1" applyProtection="1">
      <protection hidden="1"/>
    </xf>
    <xf numFmtId="0" fontId="14" fillId="3" borderId="162" xfId="1" applyFont="1" applyFill="1" applyBorder="1" applyAlignment="1" applyProtection="1">
      <alignment horizontal="left" vertical="center" indent="1"/>
      <protection hidden="1"/>
    </xf>
    <xf numFmtId="0" fontId="14" fillId="3" borderId="163" xfId="1" applyFont="1" applyFill="1" applyBorder="1" applyAlignment="1" applyProtection="1">
      <alignment horizontal="left" vertical="center" indent="1"/>
      <protection hidden="1"/>
    </xf>
    <xf numFmtId="0" fontId="14" fillId="3" borderId="209" xfId="1" applyFont="1" applyFill="1" applyBorder="1" applyAlignment="1" applyProtection="1">
      <alignment horizontal="left" vertical="center" indent="1"/>
      <protection hidden="1"/>
    </xf>
    <xf numFmtId="0" fontId="14" fillId="3" borderId="207" xfId="1" applyFont="1" applyFill="1" applyBorder="1" applyAlignment="1" applyProtection="1">
      <alignment horizontal="left" vertical="center" indent="1"/>
      <protection hidden="1"/>
    </xf>
    <xf numFmtId="0" fontId="60" fillId="3" borderId="137" xfId="1" applyFont="1" applyFill="1" applyBorder="1" applyAlignment="1" applyProtection="1">
      <alignment horizontal="left" vertical="center" indent="1"/>
      <protection hidden="1"/>
    </xf>
    <xf numFmtId="0" fontId="60" fillId="3" borderId="88" xfId="1" applyFont="1" applyFill="1" applyBorder="1" applyAlignment="1" applyProtection="1">
      <alignment horizontal="left" vertical="center" indent="1"/>
      <protection hidden="1"/>
    </xf>
    <xf numFmtId="0" fontId="14" fillId="3" borderId="88" xfId="1" applyFont="1" applyFill="1" applyBorder="1" applyAlignment="1" applyProtection="1">
      <alignment horizontal="left" vertical="center" indent="1"/>
      <protection hidden="1"/>
    </xf>
    <xf numFmtId="0" fontId="60" fillId="3" borderId="139" xfId="1" applyFont="1" applyFill="1" applyBorder="1" applyAlignment="1" applyProtection="1">
      <alignment horizontal="left" vertical="center" indent="1"/>
      <protection hidden="1"/>
    </xf>
    <xf numFmtId="0" fontId="14" fillId="3" borderId="140" xfId="1" applyFont="1" applyFill="1" applyBorder="1" applyAlignment="1" applyProtection="1">
      <alignment vertical="center"/>
      <protection hidden="1"/>
    </xf>
    <xf numFmtId="0" fontId="14" fillId="3" borderId="89" xfId="1" applyFont="1" applyFill="1" applyBorder="1" applyAlignment="1" applyProtection="1">
      <alignment horizontal="left" vertical="center" indent="1"/>
      <protection hidden="1"/>
    </xf>
    <xf numFmtId="0" fontId="14" fillId="3" borderId="134" xfId="1" applyFont="1" applyFill="1" applyBorder="1" applyAlignment="1" applyProtection="1">
      <alignment horizontal="left" vertical="center" indent="1"/>
      <protection hidden="1"/>
    </xf>
    <xf numFmtId="0" fontId="14" fillId="3" borderId="72" xfId="1" applyFont="1" applyFill="1" applyBorder="1" applyAlignment="1" applyProtection="1">
      <alignment horizontal="center" vertical="center"/>
      <protection hidden="1"/>
    </xf>
    <xf numFmtId="0" fontId="14" fillId="3" borderId="136" xfId="1" applyFont="1" applyFill="1" applyBorder="1" applyAlignment="1" applyProtection="1">
      <alignment horizontal="left" vertical="top" indent="2"/>
      <protection hidden="1"/>
    </xf>
    <xf numFmtId="0" fontId="14" fillId="3" borderId="0" xfId="1" applyFont="1" applyFill="1" applyBorder="1" applyAlignment="1" applyProtection="1">
      <alignment horizontal="center" vertical="center"/>
      <protection hidden="1"/>
    </xf>
    <xf numFmtId="0" fontId="14" fillId="3" borderId="136" xfId="1" applyFont="1" applyFill="1" applyBorder="1" applyAlignment="1" applyProtection="1">
      <alignment horizontal="left" vertical="center" indent="1"/>
      <protection hidden="1"/>
    </xf>
    <xf numFmtId="0" fontId="14" fillId="3" borderId="0" xfId="1" applyFont="1" applyFill="1" applyBorder="1" applyAlignment="1" applyProtection="1">
      <alignment horizontal="left" vertical="center" indent="2"/>
      <protection hidden="1"/>
    </xf>
    <xf numFmtId="0" fontId="14" fillId="3" borderId="72" xfId="1" applyFont="1" applyFill="1" applyBorder="1" applyAlignment="1" applyProtection="1">
      <alignment horizontal="left" vertical="center"/>
      <protection hidden="1"/>
    </xf>
    <xf numFmtId="0" fontId="14" fillId="3" borderId="136" xfId="1" applyFont="1" applyFill="1" applyBorder="1" applyAlignment="1" applyProtection="1">
      <alignment horizontal="left" vertical="center"/>
      <protection hidden="1"/>
    </xf>
    <xf numFmtId="0" fontId="14" fillId="3" borderId="0" xfId="1" applyFont="1" applyFill="1" applyBorder="1" applyAlignment="1" applyProtection="1">
      <alignment horizontal="left" vertical="center"/>
      <protection hidden="1"/>
    </xf>
    <xf numFmtId="0" fontId="14" fillId="3" borderId="136" xfId="1" applyFont="1" applyFill="1" applyBorder="1" applyAlignment="1" applyProtection="1">
      <alignment horizontal="left" vertical="center" wrapText="1" indent="1"/>
      <protection hidden="1"/>
    </xf>
    <xf numFmtId="0" fontId="14" fillId="3" borderId="0" xfId="1" applyFont="1" applyFill="1" applyBorder="1" applyAlignment="1" applyProtection="1">
      <alignment horizontal="left" vertical="center" wrapText="1" indent="1"/>
      <protection hidden="1"/>
    </xf>
    <xf numFmtId="0" fontId="14" fillId="3" borderId="72" xfId="1" applyFont="1" applyFill="1" applyBorder="1" applyAlignment="1" applyProtection="1">
      <alignment horizontal="left" vertical="center" indent="2"/>
      <protection hidden="1"/>
    </xf>
    <xf numFmtId="0" fontId="78" fillId="3" borderId="136" xfId="1" applyFont="1" applyFill="1" applyBorder="1" applyAlignment="1" applyProtection="1">
      <alignment horizontal="left" vertical="center" indent="1"/>
      <protection hidden="1"/>
    </xf>
    <xf numFmtId="0" fontId="78" fillId="3" borderId="0" xfId="1" applyFont="1" applyFill="1" applyBorder="1" applyAlignment="1" applyProtection="1">
      <alignment horizontal="left" vertical="center" indent="1"/>
      <protection hidden="1"/>
    </xf>
    <xf numFmtId="0" fontId="14" fillId="3" borderId="138" xfId="1" applyFont="1" applyFill="1" applyBorder="1" applyAlignment="1" applyProtection="1">
      <alignment horizontal="left" vertical="center" wrapText="1" indent="1"/>
      <protection hidden="1"/>
    </xf>
    <xf numFmtId="0" fontId="14" fillId="3" borderId="90" xfId="1" applyFont="1" applyFill="1" applyBorder="1" applyAlignment="1" applyProtection="1">
      <alignment horizontal="left" vertical="center" wrapText="1" indent="1"/>
      <protection hidden="1"/>
    </xf>
    <xf numFmtId="0" fontId="96" fillId="0" borderId="0" xfId="0" applyFont="1" applyAlignment="1" applyProtection="1"/>
    <xf numFmtId="0" fontId="50" fillId="0" borderId="0" xfId="0" applyFont="1" applyAlignment="1" applyProtection="1">
      <alignment horizontal="center" vertical="top"/>
      <protection hidden="1"/>
    </xf>
    <xf numFmtId="0" fontId="0" fillId="0" borderId="0" xfId="0" applyAlignment="1" applyProtection="1">
      <alignment vertical="center"/>
      <protection hidden="1"/>
    </xf>
    <xf numFmtId="0" fontId="10" fillId="0" borderId="0" xfId="0" applyFont="1" applyAlignment="1" applyProtection="1">
      <alignment horizontal="right" vertical="center"/>
      <protection hidden="1"/>
    </xf>
    <xf numFmtId="0" fontId="112" fillId="0" borderId="0" xfId="9" applyFont="1" applyBorder="1" applyAlignment="1">
      <alignment vertical="center"/>
    </xf>
    <xf numFmtId="0" fontId="112" fillId="0" borderId="0" xfId="9" applyFont="1" applyBorder="1" applyAlignment="1" applyProtection="1">
      <alignment vertical="center"/>
    </xf>
    <xf numFmtId="0" fontId="114" fillId="0" borderId="102" xfId="9" applyFont="1" applyBorder="1" applyAlignment="1">
      <alignment vertical="center"/>
    </xf>
    <xf numFmtId="0" fontId="112" fillId="0" borderId="103" xfId="9" applyFont="1" applyBorder="1" applyAlignment="1">
      <alignment vertical="center"/>
    </xf>
    <xf numFmtId="0" fontId="112" fillId="0" borderId="104" xfId="9" applyFont="1" applyBorder="1" applyAlignment="1">
      <alignment vertical="center"/>
    </xf>
    <xf numFmtId="0" fontId="112" fillId="0" borderId="110" xfId="9" applyFont="1" applyBorder="1" applyAlignment="1">
      <alignment vertical="center"/>
    </xf>
    <xf numFmtId="0" fontId="112" fillId="0" borderId="111" xfId="9" applyFont="1" applyBorder="1" applyAlignment="1">
      <alignment vertical="center"/>
    </xf>
    <xf numFmtId="0" fontId="112" fillId="0" borderId="109" xfId="9" applyFont="1" applyBorder="1" applyAlignment="1">
      <alignment vertical="center"/>
    </xf>
    <xf numFmtId="0" fontId="112" fillId="0" borderId="107" xfId="9" applyFont="1" applyBorder="1" applyAlignment="1">
      <alignment vertical="center"/>
    </xf>
    <xf numFmtId="0" fontId="112" fillId="0" borderId="108" xfId="9" applyFont="1" applyBorder="1" applyAlignment="1">
      <alignment vertical="center"/>
    </xf>
    <xf numFmtId="0" fontId="112" fillId="0" borderId="105" xfId="9" applyFont="1" applyBorder="1" applyAlignment="1">
      <alignment vertical="center"/>
    </xf>
    <xf numFmtId="0" fontId="112" fillId="0" borderId="101" xfId="9" applyFont="1" applyBorder="1" applyAlignment="1">
      <alignment vertical="center"/>
    </xf>
    <xf numFmtId="0" fontId="112" fillId="0" borderId="106" xfId="9" applyFont="1" applyBorder="1" applyAlignment="1">
      <alignment vertical="center"/>
    </xf>
    <xf numFmtId="0" fontId="108" fillId="0" borderId="0" xfId="9" applyFont="1" applyBorder="1" applyAlignment="1">
      <alignment vertical="center"/>
    </xf>
    <xf numFmtId="0" fontId="108" fillId="0" borderId="0" xfId="9" applyFont="1" applyAlignment="1" applyProtection="1">
      <alignment vertical="center"/>
    </xf>
    <xf numFmtId="0" fontId="108" fillId="0" borderId="0" xfId="9" applyFont="1" applyBorder="1" applyAlignment="1" applyProtection="1">
      <alignment vertical="center"/>
    </xf>
    <xf numFmtId="0" fontId="108" fillId="0" borderId="0" xfId="9" applyFont="1" applyAlignment="1">
      <alignment vertical="center"/>
    </xf>
    <xf numFmtId="49" fontId="17" fillId="0" borderId="0" xfId="0" applyNumberFormat="1" applyFont="1" applyFill="1" applyAlignment="1" applyProtection="1">
      <alignment horizontal="left" vertical="center" indent="1"/>
      <protection hidden="1"/>
    </xf>
    <xf numFmtId="49" fontId="17" fillId="0" borderId="0" xfId="0" applyNumberFormat="1" applyFont="1" applyFill="1" applyAlignment="1" applyProtection="1">
      <alignment vertical="center"/>
      <protection hidden="1"/>
    </xf>
    <xf numFmtId="49" fontId="17" fillId="21" borderId="0" xfId="0" applyNumberFormat="1" applyFont="1" applyFill="1" applyAlignment="1" applyProtection="1">
      <alignment horizontal="left" vertical="center" indent="1"/>
      <protection hidden="1"/>
    </xf>
    <xf numFmtId="49" fontId="0" fillId="21" borderId="0" xfId="0" applyNumberFormat="1" applyFill="1" applyProtection="1">
      <protection hidden="1"/>
    </xf>
    <xf numFmtId="49" fontId="17" fillId="21" borderId="0" xfId="0" applyNumberFormat="1" applyFont="1" applyFill="1" applyAlignment="1" applyProtection="1">
      <alignment vertical="center"/>
      <protection hidden="1"/>
    </xf>
    <xf numFmtId="0" fontId="12" fillId="21" borderId="0" xfId="9" applyFill="1" applyProtection="1"/>
    <xf numFmtId="0" fontId="12" fillId="21" borderId="0" xfId="9" applyFill="1" applyAlignment="1" applyProtection="1">
      <alignment vertical="top"/>
    </xf>
    <xf numFmtId="0" fontId="74" fillId="0" borderId="102" xfId="1" applyFont="1" applyFill="1" applyBorder="1" applyAlignment="1" applyProtection="1">
      <alignment vertical="center"/>
      <protection hidden="1"/>
    </xf>
    <xf numFmtId="0" fontId="73" fillId="0" borderId="103" xfId="1" applyFont="1" applyFill="1" applyBorder="1" applyAlignment="1" applyProtection="1">
      <alignment vertical="center"/>
      <protection hidden="1"/>
    </xf>
    <xf numFmtId="0" fontId="73" fillId="0" borderId="104" xfId="1" applyFont="1" applyFill="1" applyBorder="1" applyAlignment="1" applyProtection="1">
      <alignment vertical="center"/>
      <protection hidden="1"/>
    </xf>
    <xf numFmtId="0" fontId="73" fillId="0" borderId="109" xfId="1" applyFont="1" applyFill="1" applyBorder="1" applyAlignment="1" applyProtection="1">
      <alignment vertical="top"/>
      <protection hidden="1"/>
    </xf>
    <xf numFmtId="0" fontId="73" fillId="0" borderId="110" xfId="1" applyFont="1" applyFill="1" applyBorder="1" applyAlignment="1" applyProtection="1">
      <alignment vertical="top"/>
      <protection hidden="1"/>
    </xf>
    <xf numFmtId="0" fontId="73" fillId="0" borderId="111" xfId="1" applyFont="1" applyFill="1" applyBorder="1" applyAlignment="1" applyProtection="1">
      <alignment vertical="top"/>
      <protection hidden="1"/>
    </xf>
    <xf numFmtId="0" fontId="73" fillId="0" borderId="107" xfId="1" applyFont="1" applyFill="1" applyBorder="1" applyAlignment="1" applyProtection="1">
      <alignment vertical="top"/>
      <protection hidden="1"/>
    </xf>
    <xf numFmtId="0" fontId="73" fillId="0" borderId="108" xfId="1" applyFont="1" applyFill="1" applyBorder="1" applyAlignment="1" applyProtection="1">
      <alignment vertical="top"/>
      <protection hidden="1"/>
    </xf>
    <xf numFmtId="0" fontId="114" fillId="0" borderId="102" xfId="0" applyFont="1" applyBorder="1" applyAlignment="1" applyProtection="1">
      <alignment horizontal="left" vertical="center"/>
    </xf>
    <xf numFmtId="0" fontId="114" fillId="0" borderId="103" xfId="0" applyFont="1" applyBorder="1" applyAlignment="1" applyProtection="1">
      <alignment horizontal="left" vertical="center"/>
    </xf>
    <xf numFmtId="0" fontId="114" fillId="0" borderId="104" xfId="0" applyFont="1" applyBorder="1" applyAlignment="1" applyProtection="1">
      <alignment horizontal="left" vertical="center"/>
    </xf>
    <xf numFmtId="0" fontId="109" fillId="0" borderId="0" xfId="0" applyFont="1" applyBorder="1" applyAlignment="1" applyProtection="1">
      <alignment horizontal="left" vertical="center"/>
    </xf>
    <xf numFmtId="0" fontId="15" fillId="0" borderId="0" xfId="0" applyFont="1" applyBorder="1" applyAlignment="1" applyProtection="1"/>
    <xf numFmtId="0" fontId="15" fillId="0" borderId="0" xfId="0" applyFont="1" applyBorder="1" applyProtection="1"/>
    <xf numFmtId="0" fontId="72" fillId="0" borderId="150" xfId="1" applyFont="1" applyFill="1" applyBorder="1" applyAlignment="1" applyProtection="1">
      <alignment horizontal="center" vertical="center"/>
      <protection hidden="1"/>
    </xf>
    <xf numFmtId="0" fontId="72" fillId="0" borderId="241" xfId="1" applyFont="1" applyFill="1" applyBorder="1" applyAlignment="1" applyProtection="1">
      <alignment horizontal="center" vertical="center"/>
      <protection hidden="1"/>
    </xf>
    <xf numFmtId="0" fontId="72" fillId="0" borderId="242" xfId="1" applyFont="1" applyFill="1" applyBorder="1" applyAlignment="1" applyProtection="1">
      <alignment horizontal="center" vertical="center"/>
      <protection hidden="1"/>
    </xf>
    <xf numFmtId="178" fontId="73" fillId="0" borderId="249" xfId="1" applyNumberFormat="1" applyFont="1" applyFill="1" applyBorder="1" applyAlignment="1" applyProtection="1">
      <alignment horizontal="center" vertical="center"/>
      <protection hidden="1"/>
    </xf>
    <xf numFmtId="178" fontId="73" fillId="0" borderId="97" xfId="1" applyNumberFormat="1" applyFont="1" applyFill="1" applyBorder="1" applyAlignment="1" applyProtection="1">
      <alignment horizontal="center" vertical="center"/>
      <protection hidden="1"/>
    </xf>
    <xf numFmtId="178" fontId="73" fillId="0" borderId="100" xfId="1" applyNumberFormat="1" applyFont="1" applyFill="1" applyBorder="1" applyAlignment="1" applyProtection="1">
      <alignment horizontal="center" vertical="center"/>
      <protection hidden="1"/>
    </xf>
    <xf numFmtId="178" fontId="73" fillId="0" borderId="129" xfId="1" applyNumberFormat="1" applyFont="1" applyFill="1" applyBorder="1" applyAlignment="1" applyProtection="1">
      <alignment horizontal="center" vertical="center"/>
      <protection hidden="1"/>
    </xf>
    <xf numFmtId="178" fontId="73" fillId="0" borderId="99" xfId="1" applyNumberFormat="1" applyFont="1" applyFill="1" applyBorder="1" applyAlignment="1" applyProtection="1">
      <alignment horizontal="center" vertical="center"/>
      <protection hidden="1"/>
    </xf>
    <xf numFmtId="178" fontId="73" fillId="0" borderId="130" xfId="1" applyNumberFormat="1" applyFont="1" applyFill="1" applyBorder="1" applyAlignment="1" applyProtection="1">
      <alignment horizontal="center" vertical="center"/>
      <protection hidden="1"/>
    </xf>
    <xf numFmtId="178" fontId="73" fillId="0" borderId="260" xfId="1" applyNumberFormat="1" applyFont="1" applyFill="1" applyBorder="1" applyAlignment="1" applyProtection="1">
      <alignment horizontal="center" vertical="center"/>
      <protection hidden="1"/>
    </xf>
    <xf numFmtId="0" fontId="74" fillId="0" borderId="102" xfId="1" applyFont="1" applyFill="1" applyBorder="1" applyAlignment="1" applyProtection="1">
      <alignment vertical="top"/>
      <protection hidden="1"/>
    </xf>
    <xf numFmtId="49" fontId="73" fillId="0" borderId="111" xfId="1" applyNumberFormat="1" applyFont="1" applyFill="1" applyBorder="1" applyAlignment="1" applyProtection="1">
      <alignment horizontal="right" vertical="top"/>
      <protection hidden="1"/>
    </xf>
    <xf numFmtId="0" fontId="111" fillId="0" borderId="102" xfId="1" applyFont="1" applyFill="1" applyBorder="1" applyAlignment="1" applyProtection="1">
      <alignment vertical="top"/>
      <protection hidden="1"/>
    </xf>
    <xf numFmtId="0" fontId="111" fillId="0" borderId="104" xfId="1" applyFont="1" applyFill="1" applyBorder="1" applyAlignment="1" applyProtection="1">
      <alignment vertical="top"/>
      <protection hidden="1"/>
    </xf>
    <xf numFmtId="0" fontId="111" fillId="0" borderId="124" xfId="1" applyFont="1" applyFill="1" applyBorder="1" applyAlignment="1" applyProtection="1">
      <alignment horizontal="center" vertical="top"/>
      <protection hidden="1"/>
    </xf>
    <xf numFmtId="0" fontId="114" fillId="0" borderId="102" xfId="9" applyFont="1" applyBorder="1" applyAlignment="1" applyProtection="1">
      <alignment vertical="center"/>
    </xf>
    <xf numFmtId="0" fontId="112" fillId="0" borderId="103" xfId="9" applyFont="1" applyBorder="1" applyAlignment="1" applyProtection="1">
      <alignment vertical="center"/>
    </xf>
    <xf numFmtId="0" fontId="112" fillId="0" borderId="104" xfId="9" applyFont="1" applyBorder="1" applyAlignment="1" applyProtection="1">
      <alignment vertical="center"/>
    </xf>
    <xf numFmtId="0" fontId="112" fillId="0" borderId="109" xfId="9" applyFont="1" applyBorder="1" applyAlignment="1" applyProtection="1">
      <alignment vertical="center"/>
    </xf>
    <xf numFmtId="0" fontId="112" fillId="0" borderId="110" xfId="9" applyFont="1" applyBorder="1" applyAlignment="1" applyProtection="1">
      <alignment vertical="center"/>
    </xf>
    <xf numFmtId="192" fontId="112" fillId="0" borderId="111" xfId="9" applyNumberFormat="1" applyFont="1" applyBorder="1" applyAlignment="1" applyProtection="1">
      <alignment vertical="center"/>
    </xf>
    <xf numFmtId="0" fontId="112" fillId="0" borderId="107" xfId="9" applyFont="1" applyBorder="1" applyAlignment="1" applyProtection="1">
      <alignment vertical="center"/>
    </xf>
    <xf numFmtId="192" fontId="112" fillId="0" borderId="108" xfId="9" applyNumberFormat="1" applyFont="1" applyBorder="1" applyAlignment="1" applyProtection="1">
      <alignment vertical="center"/>
    </xf>
    <xf numFmtId="0" fontId="112" fillId="0" borderId="105" xfId="9" applyFont="1" applyBorder="1" applyAlignment="1" applyProtection="1">
      <alignment vertical="center"/>
    </xf>
    <xf numFmtId="0" fontId="112" fillId="0" borderId="101" xfId="9" applyFont="1" applyBorder="1" applyAlignment="1" applyProtection="1">
      <alignment vertical="center"/>
    </xf>
    <xf numFmtId="192" fontId="112" fillId="0" borderId="106" xfId="9" applyNumberFormat="1" applyFont="1" applyBorder="1" applyAlignment="1" applyProtection="1">
      <alignment vertical="center"/>
    </xf>
    <xf numFmtId="0" fontId="112" fillId="0" borderId="102" xfId="9" applyFont="1" applyBorder="1" applyAlignment="1" applyProtection="1">
      <alignment vertical="center"/>
    </xf>
    <xf numFmtId="192" fontId="112" fillId="0" borderId="104" xfId="9" applyNumberFormat="1" applyFont="1" applyBorder="1" applyAlignment="1" applyProtection="1">
      <alignment vertical="center"/>
    </xf>
    <xf numFmtId="0" fontId="112" fillId="0" borderId="124" xfId="9" applyFont="1" applyBorder="1" applyAlignment="1" applyProtection="1">
      <alignment vertical="center"/>
    </xf>
    <xf numFmtId="0" fontId="112" fillId="0" borderId="111" xfId="9" applyFont="1" applyBorder="1" applyAlignment="1" applyProtection="1">
      <alignment vertical="center"/>
    </xf>
    <xf numFmtId="0" fontId="112" fillId="0" borderId="108" xfId="9" applyFont="1" applyBorder="1" applyAlignment="1" applyProtection="1">
      <alignment vertical="center"/>
    </xf>
    <xf numFmtId="0" fontId="112" fillId="0" borderId="106" xfId="9" applyFont="1" applyBorder="1" applyAlignment="1" applyProtection="1">
      <alignment vertical="center"/>
    </xf>
    <xf numFmtId="49" fontId="44" fillId="0" borderId="0" xfId="9" applyNumberFormat="1" applyFont="1" applyAlignment="1" applyProtection="1"/>
    <xf numFmtId="0" fontId="44" fillId="0" borderId="0" xfId="9" applyFont="1" applyAlignment="1" applyProtection="1"/>
    <xf numFmtId="0" fontId="44" fillId="0" borderId="0" xfId="9" applyFont="1" applyAlignment="1" applyProtection="1">
      <alignment horizontal="right"/>
    </xf>
    <xf numFmtId="3" fontId="44" fillId="0" borderId="0" xfId="9" applyNumberFormat="1" applyFont="1" applyAlignment="1" applyProtection="1"/>
    <xf numFmtId="0" fontId="44" fillId="0" borderId="0" xfId="9" applyFont="1" applyAlignment="1" applyProtection="1">
      <alignment horizontal="left"/>
    </xf>
    <xf numFmtId="0" fontId="44" fillId="0" borderId="0" xfId="9" applyFont="1" applyFill="1" applyBorder="1" applyAlignment="1" applyProtection="1">
      <alignment horizontal="right" vertical="center"/>
    </xf>
    <xf numFmtId="49" fontId="44" fillId="0" borderId="0" xfId="9" applyNumberFormat="1" applyFont="1" applyAlignment="1"/>
    <xf numFmtId="0" fontId="44" fillId="0" borderId="0" xfId="9" applyFont="1" applyAlignment="1"/>
    <xf numFmtId="3" fontId="44" fillId="0" borderId="0" xfId="9" applyNumberFormat="1" applyFont="1" applyAlignment="1">
      <alignment horizontal="left"/>
    </xf>
    <xf numFmtId="0" fontId="44" fillId="0" borderId="0" xfId="9" applyFont="1" applyAlignment="1">
      <alignment horizontal="right"/>
    </xf>
    <xf numFmtId="3" fontId="44" fillId="0" borderId="0" xfId="9" applyNumberFormat="1" applyFont="1" applyAlignment="1"/>
    <xf numFmtId="0" fontId="44" fillId="0" borderId="0" xfId="9" applyFont="1" applyAlignment="1">
      <alignment horizontal="left"/>
    </xf>
    <xf numFmtId="0" fontId="44" fillId="0" borderId="0" xfId="9" applyFont="1" applyFill="1" applyBorder="1" applyAlignment="1">
      <alignment horizontal="left" vertical="center"/>
    </xf>
    <xf numFmtId="49" fontId="112" fillId="0" borderId="0" xfId="9" applyNumberFormat="1" applyFont="1" applyAlignment="1"/>
    <xf numFmtId="0" fontId="112" fillId="0" borderId="0" xfId="9" applyFont="1" applyAlignment="1"/>
    <xf numFmtId="3" fontId="112" fillId="0" borderId="0" xfId="9" applyNumberFormat="1" applyFont="1" applyAlignment="1">
      <alignment horizontal="left"/>
    </xf>
    <xf numFmtId="0" fontId="112" fillId="0" borderId="0" xfId="9" applyFont="1" applyAlignment="1">
      <alignment horizontal="right"/>
    </xf>
    <xf numFmtId="3" fontId="112" fillId="0" borderId="0" xfId="9" applyNumberFormat="1" applyFont="1" applyAlignment="1"/>
    <xf numFmtId="0" fontId="112" fillId="0" borderId="0" xfId="9" applyFont="1" applyAlignment="1">
      <alignment horizontal="left"/>
    </xf>
    <xf numFmtId="0" fontId="112" fillId="0" borderId="0" xfId="9" applyFont="1" applyFill="1" applyBorder="1" applyAlignment="1">
      <alignment horizontal="left" vertical="center"/>
    </xf>
    <xf numFmtId="200" fontId="9" fillId="0" borderId="261" xfId="1" applyNumberFormat="1" applyFont="1" applyBorder="1" applyAlignment="1" applyProtection="1">
      <alignment horizontal="right" vertical="center" indent="1"/>
      <protection hidden="1"/>
    </xf>
    <xf numFmtId="195" fontId="34" fillId="0" borderId="261" xfId="8" applyNumberFormat="1" applyFont="1" applyFill="1" applyBorder="1" applyAlignment="1" applyProtection="1">
      <alignment horizontal="right"/>
      <protection hidden="1"/>
    </xf>
    <xf numFmtId="197" fontId="9" fillId="0" borderId="279" xfId="1" applyNumberFormat="1" applyFont="1" applyBorder="1" applyAlignment="1" applyProtection="1">
      <alignment horizontal="right" vertical="center"/>
      <protection hidden="1"/>
    </xf>
    <xf numFmtId="195" fontId="34" fillId="0" borderId="281" xfId="8" applyNumberFormat="1" applyFont="1" applyFill="1" applyBorder="1" applyAlignment="1" applyProtection="1">
      <alignment horizontal="right"/>
      <protection hidden="1"/>
    </xf>
    <xf numFmtId="0" fontId="9" fillId="8" borderId="284" xfId="1" applyNumberFormat="1" applyFont="1" applyFill="1" applyBorder="1" applyAlignment="1" applyProtection="1">
      <alignment vertical="center"/>
      <protection locked="0"/>
    </xf>
    <xf numFmtId="0" fontId="9" fillId="8" borderId="285" xfId="1" applyNumberFormat="1" applyFont="1" applyFill="1" applyBorder="1" applyAlignment="1" applyProtection="1">
      <alignment vertical="center"/>
      <protection locked="0"/>
    </xf>
    <xf numFmtId="0" fontId="9" fillId="6" borderId="285" xfId="7" applyNumberFormat="1" applyFont="1" applyFill="1" applyBorder="1" applyAlignment="1" applyProtection="1">
      <alignment horizontal="left"/>
      <protection locked="0"/>
    </xf>
    <xf numFmtId="199" fontId="9" fillId="8" borderId="287" xfId="1" applyNumberFormat="1" applyFont="1" applyFill="1" applyBorder="1" applyAlignment="1" applyProtection="1">
      <alignment horizontal="right" vertical="center" indent="1"/>
      <protection locked="0"/>
    </xf>
    <xf numFmtId="195" fontId="22" fillId="3" borderId="287" xfId="1" applyNumberFormat="1" applyFont="1" applyFill="1" applyBorder="1" applyAlignment="1" applyProtection="1">
      <alignment horizontal="right" vertical="center"/>
      <protection hidden="1"/>
    </xf>
    <xf numFmtId="197" fontId="9" fillId="6" borderId="288" xfId="8" applyNumberFormat="1" applyFont="1" applyFill="1" applyBorder="1" applyAlignment="1" applyProtection="1">
      <alignment horizontal="right" vertical="center"/>
      <protection locked="0"/>
    </xf>
    <xf numFmtId="195" fontId="9" fillId="3" borderId="290" xfId="8" applyNumberFormat="1" applyFont="1" applyFill="1" applyBorder="1" applyAlignment="1" applyProtection="1">
      <alignment horizontal="right" vertical="center"/>
      <protection hidden="1"/>
    </xf>
    <xf numFmtId="0" fontId="9" fillId="8" borderId="291" xfId="1" applyNumberFormat="1" applyFont="1" applyFill="1" applyBorder="1" applyAlignment="1" applyProtection="1">
      <alignment vertical="center"/>
      <protection locked="0"/>
    </xf>
    <xf numFmtId="0" fontId="9" fillId="8" borderId="292" xfId="1" applyNumberFormat="1" applyFont="1" applyFill="1" applyBorder="1" applyAlignment="1" applyProtection="1">
      <alignment vertical="center"/>
      <protection locked="0"/>
    </xf>
    <xf numFmtId="0" fontId="9" fillId="6" borderId="292" xfId="7" applyNumberFormat="1" applyFont="1" applyFill="1" applyBorder="1" applyAlignment="1" applyProtection="1">
      <alignment horizontal="left"/>
      <protection locked="0"/>
    </xf>
    <xf numFmtId="199" fontId="9" fillId="8" borderId="294" xfId="1" applyNumberFormat="1" applyFont="1" applyFill="1" applyBorder="1" applyAlignment="1" applyProtection="1">
      <alignment horizontal="right" vertical="center" indent="1"/>
      <protection locked="0"/>
    </xf>
    <xf numFmtId="195" fontId="22" fillId="3" borderId="294" xfId="1" applyNumberFormat="1" applyFont="1" applyFill="1" applyBorder="1" applyAlignment="1" applyProtection="1">
      <alignment horizontal="right" vertical="center"/>
      <protection hidden="1"/>
    </xf>
    <xf numFmtId="197" fontId="9" fillId="6" borderId="295" xfId="8" applyNumberFormat="1" applyFont="1" applyFill="1" applyBorder="1" applyAlignment="1" applyProtection="1">
      <alignment horizontal="right" vertical="center"/>
      <protection locked="0"/>
    </xf>
    <xf numFmtId="195" fontId="9" fillId="3" borderId="298" xfId="8" applyNumberFormat="1" applyFont="1" applyFill="1" applyBorder="1" applyAlignment="1" applyProtection="1">
      <alignment horizontal="right" vertical="center"/>
      <protection hidden="1"/>
    </xf>
    <xf numFmtId="0" fontId="9" fillId="6" borderId="291" xfId="1" applyNumberFormat="1" applyFont="1" applyFill="1" applyBorder="1" applyAlignment="1" applyProtection="1">
      <alignment vertical="center"/>
      <protection locked="0"/>
    </xf>
    <xf numFmtId="0" fontId="9" fillId="6" borderId="292" xfId="1" applyNumberFormat="1" applyFont="1" applyFill="1" applyBorder="1" applyAlignment="1" applyProtection="1">
      <alignment vertical="center"/>
      <protection locked="0"/>
    </xf>
    <xf numFmtId="0" fontId="9" fillId="6" borderId="299" xfId="1" applyNumberFormat="1" applyFont="1" applyFill="1" applyBorder="1" applyAlignment="1" applyProtection="1">
      <alignment vertical="center"/>
      <protection locked="0"/>
    </xf>
    <xf numFmtId="0" fontId="9" fillId="6" borderId="300" xfId="7" applyNumberFormat="1" applyFont="1" applyFill="1" applyBorder="1" applyAlignment="1" applyProtection="1">
      <alignment horizontal="left"/>
      <protection locked="0"/>
    </xf>
    <xf numFmtId="199" fontId="9" fillId="8" borderId="302" xfId="1" applyNumberFormat="1" applyFont="1" applyFill="1" applyBorder="1" applyAlignment="1" applyProtection="1">
      <alignment horizontal="right" vertical="center" indent="1"/>
      <protection locked="0"/>
    </xf>
    <xf numFmtId="195" fontId="22" fillId="3" borderId="302" xfId="1" applyNumberFormat="1" applyFont="1" applyFill="1" applyBorder="1" applyAlignment="1" applyProtection="1">
      <alignment horizontal="right" vertical="center"/>
      <protection hidden="1"/>
    </xf>
    <xf numFmtId="197" fontId="9" fillId="6" borderId="303" xfId="8" applyNumberFormat="1" applyFont="1" applyFill="1" applyBorder="1" applyAlignment="1" applyProtection="1">
      <alignment horizontal="right" vertical="center"/>
      <protection locked="0"/>
    </xf>
    <xf numFmtId="195" fontId="9" fillId="3" borderId="306" xfId="8" applyNumberFormat="1" applyFont="1" applyFill="1" applyBorder="1" applyAlignment="1" applyProtection="1">
      <alignment horizontal="right" vertical="center"/>
      <protection hidden="1"/>
    </xf>
    <xf numFmtId="0" fontId="9" fillId="3" borderId="284" xfId="1" applyFont="1" applyFill="1" applyBorder="1" applyAlignment="1" applyProtection="1">
      <alignment horizontal="left" vertical="center"/>
      <protection hidden="1"/>
    </xf>
    <xf numFmtId="0" fontId="9" fillId="3" borderId="291" xfId="1" applyFont="1" applyFill="1" applyBorder="1" applyAlignment="1" applyProtection="1">
      <alignment horizontal="left" vertical="center"/>
      <protection hidden="1"/>
    </xf>
    <xf numFmtId="0" fontId="9" fillId="3" borderId="299" xfId="1" applyFont="1" applyFill="1" applyBorder="1" applyAlignment="1" applyProtection="1">
      <alignment horizontal="left" vertical="center"/>
      <protection hidden="1"/>
    </xf>
    <xf numFmtId="0" fontId="9" fillId="3" borderId="0" xfId="1" applyFont="1" applyFill="1" applyBorder="1" applyAlignment="1" applyProtection="1">
      <alignment vertical="center"/>
      <protection hidden="1"/>
    </xf>
    <xf numFmtId="0" fontId="22" fillId="3" borderId="0" xfId="1" applyFont="1" applyFill="1" applyBorder="1" applyAlignment="1" applyProtection="1">
      <alignment vertical="center"/>
      <protection hidden="1"/>
    </xf>
    <xf numFmtId="0" fontId="9" fillId="3" borderId="323" xfId="1" applyFont="1" applyFill="1" applyBorder="1" applyAlignment="1" applyProtection="1">
      <alignment vertical="center"/>
      <protection hidden="1"/>
    </xf>
    <xf numFmtId="0" fontId="9" fillId="3" borderId="324" xfId="1" applyFont="1" applyFill="1" applyBorder="1" applyAlignment="1" applyProtection="1">
      <alignment vertical="center"/>
      <protection hidden="1"/>
    </xf>
    <xf numFmtId="0" fontId="22" fillId="3" borderId="265" xfId="1" applyFont="1" applyFill="1" applyBorder="1" applyAlignment="1" applyProtection="1">
      <alignment vertical="center"/>
      <protection hidden="1"/>
    </xf>
    <xf numFmtId="0" fontId="22" fillId="3" borderId="323" xfId="1" applyFont="1" applyFill="1" applyBorder="1" applyAlignment="1" applyProtection="1">
      <alignment vertical="center"/>
      <protection hidden="1"/>
    </xf>
    <xf numFmtId="0" fontId="22" fillId="3" borderId="324" xfId="1" applyFont="1" applyFill="1" applyBorder="1" applyAlignment="1" applyProtection="1">
      <alignment vertical="center"/>
      <protection hidden="1"/>
    </xf>
    <xf numFmtId="0" fontId="9" fillId="3" borderId="265" xfId="1" applyFont="1" applyFill="1" applyBorder="1" applyAlignment="1" applyProtection="1">
      <alignment vertical="center"/>
      <protection hidden="1"/>
    </xf>
    <xf numFmtId="179" fontId="22" fillId="3" borderId="323" xfId="1" applyNumberFormat="1" applyFont="1" applyFill="1" applyBorder="1" applyAlignment="1" applyProtection="1">
      <alignment vertical="center"/>
      <protection hidden="1"/>
    </xf>
    <xf numFmtId="179" fontId="22" fillId="3" borderId="324" xfId="1" applyNumberFormat="1" applyFont="1" applyFill="1" applyBorder="1" applyAlignment="1" applyProtection="1">
      <alignment vertical="center"/>
      <protection hidden="1"/>
    </xf>
    <xf numFmtId="179" fontId="9" fillId="3" borderId="323" xfId="1" applyNumberFormat="1" applyFont="1" applyFill="1" applyBorder="1" applyAlignment="1" applyProtection="1">
      <alignment vertical="center"/>
      <protection hidden="1"/>
    </xf>
    <xf numFmtId="179" fontId="9" fillId="3" borderId="324" xfId="1" applyNumberFormat="1" applyFont="1" applyFill="1" applyBorder="1" applyAlignment="1" applyProtection="1">
      <alignment vertical="center"/>
      <protection hidden="1"/>
    </xf>
    <xf numFmtId="0" fontId="34" fillId="3" borderId="284" xfId="1" applyFont="1" applyFill="1" applyBorder="1" applyAlignment="1" applyProtection="1">
      <alignment vertical="center"/>
      <protection hidden="1"/>
    </xf>
    <xf numFmtId="0" fontId="34" fillId="3" borderId="285" xfId="1" applyFont="1" applyFill="1" applyBorder="1" applyAlignment="1" applyProtection="1">
      <alignment vertical="center"/>
      <protection hidden="1"/>
    </xf>
    <xf numFmtId="0" fontId="22" fillId="3" borderId="285" xfId="1" applyFont="1" applyFill="1" applyBorder="1" applyAlignment="1" applyProtection="1">
      <alignment vertical="center"/>
      <protection hidden="1"/>
    </xf>
    <xf numFmtId="0" fontId="9" fillId="3" borderId="285" xfId="1" applyFont="1" applyFill="1" applyBorder="1" applyAlignment="1" applyProtection="1">
      <alignment horizontal="right" vertical="center"/>
      <protection hidden="1"/>
    </xf>
    <xf numFmtId="0" fontId="34" fillId="3" borderId="291" xfId="1" applyFont="1" applyFill="1" applyBorder="1" applyAlignment="1" applyProtection="1">
      <alignment vertical="center"/>
      <protection hidden="1"/>
    </xf>
    <xf numFmtId="0" fontId="34" fillId="3" borderId="292" xfId="1" applyFont="1" applyFill="1" applyBorder="1" applyAlignment="1" applyProtection="1">
      <alignment vertical="center"/>
      <protection hidden="1"/>
    </xf>
    <xf numFmtId="183" fontId="9" fillId="3" borderId="292" xfId="1" applyNumberFormat="1" applyFont="1" applyFill="1" applyBorder="1" applyAlignment="1" applyProtection="1">
      <alignment vertical="center"/>
      <protection hidden="1"/>
    </xf>
    <xf numFmtId="179" fontId="22" fillId="3" borderId="265" xfId="1" applyNumberFormat="1" applyFont="1" applyFill="1" applyBorder="1" applyAlignment="1" applyProtection="1">
      <alignment vertical="center"/>
      <protection hidden="1"/>
    </xf>
    <xf numFmtId="179" fontId="22" fillId="3" borderId="0" xfId="1" applyNumberFormat="1" applyFont="1" applyFill="1" applyBorder="1" applyAlignment="1" applyProtection="1">
      <alignment vertical="center"/>
      <protection hidden="1"/>
    </xf>
    <xf numFmtId="183" fontId="9" fillId="3" borderId="0" xfId="1" applyNumberFormat="1" applyFont="1" applyFill="1" applyBorder="1" applyAlignment="1" applyProtection="1">
      <alignment vertical="center"/>
      <protection hidden="1"/>
    </xf>
    <xf numFmtId="179" fontId="22" fillId="3" borderId="320" xfId="1" applyNumberFormat="1" applyFont="1" applyFill="1" applyBorder="1" applyAlignment="1" applyProtection="1">
      <alignment vertical="center"/>
      <protection hidden="1"/>
    </xf>
    <xf numFmtId="179" fontId="22" fillId="3" borderId="321" xfId="1" applyNumberFormat="1" applyFont="1" applyFill="1" applyBorder="1" applyAlignment="1" applyProtection="1">
      <alignment vertical="center"/>
      <protection hidden="1"/>
    </xf>
    <xf numFmtId="183" fontId="9" fillId="3" borderId="321" xfId="1" applyNumberFormat="1" applyFont="1" applyFill="1" applyBorder="1" applyAlignment="1" applyProtection="1">
      <alignment vertical="center"/>
      <protection hidden="1"/>
    </xf>
    <xf numFmtId="183" fontId="9" fillId="3" borderId="324" xfId="1" applyNumberFormat="1" applyFont="1" applyFill="1" applyBorder="1" applyAlignment="1" applyProtection="1">
      <alignment vertical="center"/>
      <protection hidden="1"/>
    </xf>
    <xf numFmtId="179" fontId="22" fillId="3" borderId="291" xfId="1" applyNumberFormat="1" applyFont="1" applyFill="1" applyBorder="1" applyAlignment="1" applyProtection="1">
      <alignment vertical="center"/>
      <protection hidden="1"/>
    </xf>
    <xf numFmtId="179" fontId="22" fillId="3" borderId="292" xfId="1" applyNumberFormat="1" applyFont="1" applyFill="1" applyBorder="1" applyAlignment="1" applyProtection="1">
      <alignment vertical="center"/>
      <protection hidden="1"/>
    </xf>
    <xf numFmtId="179" fontId="22" fillId="3" borderId="299" xfId="1" applyNumberFormat="1" applyFont="1" applyFill="1" applyBorder="1" applyAlignment="1" applyProtection="1">
      <alignment vertical="center"/>
      <protection hidden="1"/>
    </xf>
    <xf numFmtId="179" fontId="22" fillId="3" borderId="300" xfId="1" applyNumberFormat="1" applyFont="1" applyFill="1" applyBorder="1" applyAlignment="1" applyProtection="1">
      <alignment vertical="center"/>
      <protection hidden="1"/>
    </xf>
    <xf numFmtId="183" fontId="9" fillId="3" borderId="300" xfId="1" applyNumberFormat="1" applyFont="1" applyFill="1" applyBorder="1" applyAlignment="1" applyProtection="1">
      <alignment vertical="center"/>
      <protection hidden="1"/>
    </xf>
    <xf numFmtId="0" fontId="9" fillId="3" borderId="307" xfId="1" applyFont="1" applyFill="1" applyBorder="1" applyAlignment="1" applyProtection="1">
      <alignment vertical="center"/>
      <protection hidden="1"/>
    </xf>
    <xf numFmtId="0" fontId="9" fillId="3" borderId="309" xfId="1" applyFont="1" applyFill="1" applyBorder="1" applyAlignment="1" applyProtection="1">
      <alignment vertical="center"/>
      <protection hidden="1"/>
    </xf>
    <xf numFmtId="0" fontId="9" fillId="3" borderId="267" xfId="1" applyFont="1" applyFill="1" applyBorder="1" applyAlignment="1" applyProtection="1">
      <alignment vertical="center"/>
      <protection hidden="1"/>
    </xf>
    <xf numFmtId="0" fontId="9" fillId="3" borderId="272" xfId="1" applyFont="1" applyFill="1" applyBorder="1" applyAlignment="1" applyProtection="1">
      <alignment vertical="center"/>
      <protection hidden="1"/>
    </xf>
    <xf numFmtId="0" fontId="9" fillId="3" borderId="310" xfId="1" applyFont="1" applyFill="1" applyBorder="1" applyAlignment="1" applyProtection="1">
      <alignment vertical="center"/>
      <protection hidden="1"/>
    </xf>
    <xf numFmtId="0" fontId="9" fillId="3" borderId="312" xfId="1" applyFont="1" applyFill="1" applyBorder="1" applyAlignment="1" applyProtection="1">
      <alignment vertical="center"/>
      <protection hidden="1"/>
    </xf>
    <xf numFmtId="0" fontId="9" fillId="3" borderId="275" xfId="1" applyFont="1" applyFill="1" applyBorder="1" applyAlignment="1" applyProtection="1">
      <alignment vertical="center"/>
      <protection hidden="1"/>
    </xf>
    <xf numFmtId="0" fontId="9" fillId="3" borderId="276" xfId="1" applyFont="1" applyFill="1" applyBorder="1" applyAlignment="1" applyProtection="1">
      <alignment vertical="center"/>
      <protection hidden="1"/>
    </xf>
    <xf numFmtId="0" fontId="9" fillId="3" borderId="287" xfId="1" applyFont="1" applyFill="1" applyBorder="1" applyAlignment="1" applyProtection="1">
      <alignment vertical="center"/>
    </xf>
    <xf numFmtId="0" fontId="9" fillId="3" borderId="294" xfId="1" applyFont="1" applyFill="1" applyBorder="1" applyAlignment="1" applyProtection="1">
      <alignment vertical="center"/>
    </xf>
    <xf numFmtId="0" fontId="9" fillId="3" borderId="302" xfId="1" applyFont="1" applyFill="1" applyBorder="1" applyAlignment="1" applyProtection="1">
      <alignment vertical="center"/>
    </xf>
    <xf numFmtId="0" fontId="71" fillId="0" borderId="130" xfId="1" applyFont="1" applyFill="1" applyBorder="1" applyAlignment="1" applyProtection="1">
      <alignment horizontal="center" vertical="center"/>
    </xf>
    <xf numFmtId="187" fontId="71" fillId="0" borderId="0" xfId="1" applyNumberFormat="1" applyFont="1" applyFill="1" applyBorder="1" applyAlignment="1" applyProtection="1">
      <alignment horizontal="center" vertical="center"/>
    </xf>
    <xf numFmtId="0" fontId="71" fillId="0" borderId="0" xfId="1" applyFont="1" applyFill="1" applyBorder="1" applyAlignment="1" applyProtection="1">
      <alignment horizontal="center" vertical="center"/>
    </xf>
    <xf numFmtId="0" fontId="71" fillId="0" borderId="0" xfId="1" applyFont="1" applyBorder="1" applyAlignment="1" applyProtection="1">
      <alignment horizontal="left" vertical="center"/>
    </xf>
    <xf numFmtId="0" fontId="34" fillId="4" borderId="262" xfId="1" applyFont="1" applyFill="1" applyBorder="1" applyAlignment="1" applyProtection="1">
      <alignment horizontal="left" vertical="center"/>
      <protection hidden="1"/>
    </xf>
    <xf numFmtId="0" fontId="34" fillId="4" borderId="265" xfId="1" applyFont="1" applyFill="1" applyBorder="1" applyAlignment="1" applyProtection="1">
      <alignment horizontal="left" vertical="center"/>
      <protection hidden="1"/>
    </xf>
    <xf numFmtId="0" fontId="34" fillId="4" borderId="269" xfId="1" applyFont="1" applyFill="1" applyBorder="1" applyAlignment="1" applyProtection="1">
      <alignment horizontal="left" vertical="center"/>
      <protection hidden="1"/>
    </xf>
    <xf numFmtId="195" fontId="34" fillId="4" borderId="261" xfId="1" applyNumberFormat="1" applyFont="1" applyFill="1" applyBorder="1" applyAlignment="1" applyProtection="1">
      <alignment horizontal="right" vertical="center"/>
      <protection hidden="1"/>
    </xf>
    <xf numFmtId="0" fontId="34" fillId="4" borderId="275" xfId="1" applyFont="1" applyFill="1" applyBorder="1" applyAlignment="1" applyProtection="1">
      <alignment horizontal="left" vertical="center"/>
      <protection hidden="1"/>
    </xf>
    <xf numFmtId="0" fontId="34" fillId="4" borderId="268" xfId="1" applyFont="1" applyFill="1" applyBorder="1" applyAlignment="1" applyProtection="1">
      <alignment vertical="center"/>
      <protection hidden="1"/>
    </xf>
    <xf numFmtId="0" fontId="9" fillId="6" borderId="294" xfId="1" applyFont="1" applyFill="1" applyBorder="1" applyAlignment="1" applyProtection="1">
      <alignment vertical="center"/>
      <protection locked="0"/>
    </xf>
    <xf numFmtId="3" fontId="9" fillId="19" borderId="284" xfId="1" applyNumberFormat="1" applyFont="1" applyFill="1" applyBorder="1" applyAlignment="1" applyProtection="1">
      <alignment horizontal="center" vertical="center"/>
    </xf>
    <xf numFmtId="0" fontId="83" fillId="8" borderId="286" xfId="1" applyNumberFormat="1" applyFont="1" applyFill="1" applyBorder="1" applyAlignment="1" applyProtection="1">
      <alignment horizontal="center" vertical="center"/>
      <protection locked="0"/>
    </xf>
    <xf numFmtId="3" fontId="9" fillId="19" borderId="291" xfId="1" applyNumberFormat="1" applyFont="1" applyFill="1" applyBorder="1" applyAlignment="1" applyProtection="1">
      <alignment horizontal="center" vertical="center"/>
    </xf>
    <xf numFmtId="0" fontId="83" fillId="8" borderId="293" xfId="1" applyNumberFormat="1" applyFont="1" applyFill="1" applyBorder="1" applyAlignment="1" applyProtection="1">
      <alignment horizontal="center" vertical="center"/>
      <protection locked="0"/>
    </xf>
    <xf numFmtId="178" fontId="9" fillId="19" borderId="284" xfId="8" applyNumberFormat="1" applyFont="1" applyFill="1" applyBorder="1" applyAlignment="1" applyProtection="1">
      <alignment horizontal="center" vertical="center"/>
    </xf>
    <xf numFmtId="178" fontId="9" fillId="19" borderId="291" xfId="8" applyNumberFormat="1" applyFont="1" applyFill="1" applyBorder="1" applyAlignment="1" applyProtection="1">
      <alignment horizontal="center" vertical="center"/>
    </xf>
    <xf numFmtId="178" fontId="83" fillId="6" borderId="353" xfId="8" applyNumberFormat="1" applyFont="1" applyFill="1" applyBorder="1" applyAlignment="1" applyProtection="1">
      <alignment horizontal="center" vertical="center"/>
      <protection locked="0"/>
    </xf>
    <xf numFmtId="178" fontId="83" fillId="6" borderId="354" xfId="8" applyNumberFormat="1" applyFont="1" applyFill="1" applyBorder="1" applyAlignment="1" applyProtection="1">
      <alignment horizontal="center" vertical="center"/>
      <protection locked="0"/>
    </xf>
    <xf numFmtId="195" fontId="22" fillId="3" borderId="350" xfId="1" applyNumberFormat="1" applyFont="1" applyFill="1" applyBorder="1" applyAlignment="1" applyProtection="1">
      <alignment horizontal="right" vertical="center"/>
      <protection hidden="1"/>
    </xf>
    <xf numFmtId="195" fontId="22" fillId="3" borderId="351" xfId="1" applyNumberFormat="1" applyFont="1" applyFill="1" applyBorder="1" applyAlignment="1" applyProtection="1">
      <alignment horizontal="right" vertical="center"/>
      <protection hidden="1"/>
    </xf>
    <xf numFmtId="195" fontId="22" fillId="3" borderId="352" xfId="1" applyNumberFormat="1" applyFont="1" applyFill="1" applyBorder="1" applyAlignment="1" applyProtection="1">
      <alignment horizontal="right" vertical="center"/>
      <protection hidden="1"/>
    </xf>
    <xf numFmtId="3" fontId="87" fillId="22" borderId="284" xfId="1" applyNumberFormat="1" applyFont="1" applyFill="1" applyBorder="1" applyAlignment="1" applyProtection="1">
      <alignment horizontal="center" vertical="center"/>
    </xf>
    <xf numFmtId="3" fontId="87" fillId="22" borderId="285" xfId="1" applyNumberFormat="1" applyFont="1" applyFill="1" applyBorder="1" applyAlignment="1" applyProtection="1">
      <alignment horizontal="center" vertical="center"/>
    </xf>
    <xf numFmtId="3" fontId="87" fillId="22" borderId="287" xfId="1" applyNumberFormat="1" applyFont="1" applyFill="1" applyBorder="1" applyAlignment="1" applyProtection="1">
      <alignment horizontal="center" vertical="center"/>
    </xf>
    <xf numFmtId="3" fontId="87" fillId="22" borderId="291" xfId="1" applyNumberFormat="1" applyFont="1" applyFill="1" applyBorder="1" applyAlignment="1" applyProtection="1">
      <alignment horizontal="center" vertical="center"/>
    </xf>
    <xf numFmtId="3" fontId="87" fillId="22" borderId="292" xfId="1" applyNumberFormat="1" applyFont="1" applyFill="1" applyBorder="1" applyAlignment="1" applyProtection="1">
      <alignment horizontal="center" vertical="center"/>
    </xf>
    <xf numFmtId="3" fontId="87" fillId="22" borderId="294" xfId="1" applyNumberFormat="1" applyFont="1" applyFill="1" applyBorder="1" applyAlignment="1" applyProtection="1">
      <alignment horizontal="center" vertical="center"/>
    </xf>
    <xf numFmtId="3" fontId="87" fillId="22" borderId="299" xfId="1" applyNumberFormat="1" applyFont="1" applyFill="1" applyBorder="1" applyAlignment="1" applyProtection="1">
      <alignment horizontal="center" vertical="center"/>
    </xf>
    <xf numFmtId="3" fontId="87" fillId="22" borderId="300" xfId="1" applyNumberFormat="1" applyFont="1" applyFill="1" applyBorder="1" applyAlignment="1" applyProtection="1">
      <alignment horizontal="center" vertical="center"/>
    </xf>
    <xf numFmtId="3" fontId="87" fillId="22" borderId="302" xfId="1" applyNumberFormat="1" applyFont="1" applyFill="1" applyBorder="1" applyAlignment="1" applyProtection="1">
      <alignment horizontal="center" vertical="center"/>
    </xf>
    <xf numFmtId="3" fontId="95" fillId="22" borderId="269" xfId="1" applyNumberFormat="1" applyFont="1" applyFill="1" applyBorder="1" applyAlignment="1" applyProtection="1">
      <alignment horizontal="center" vertical="center"/>
    </xf>
    <xf numFmtId="3" fontId="95" fillId="22" borderId="270" xfId="1" applyNumberFormat="1" applyFont="1" applyFill="1" applyBorder="1" applyAlignment="1" applyProtection="1">
      <alignment horizontal="center" vertical="center"/>
    </xf>
    <xf numFmtId="3" fontId="95" fillId="22" borderId="261" xfId="1" applyNumberFormat="1" applyFont="1" applyFill="1" applyBorder="1" applyAlignment="1" applyProtection="1">
      <alignment horizontal="center" vertical="center"/>
    </xf>
    <xf numFmtId="196" fontId="9" fillId="3" borderId="287" xfId="1" applyNumberFormat="1" applyFont="1" applyFill="1" applyBorder="1" applyAlignment="1" applyProtection="1">
      <alignment horizontal="right" vertical="center"/>
      <protection hidden="1"/>
    </xf>
    <xf numFmtId="195" fontId="22" fillId="3" borderId="287" xfId="1" applyNumberFormat="1" applyFont="1" applyFill="1" applyBorder="1" applyAlignment="1" applyProtection="1">
      <alignment vertical="center"/>
      <protection hidden="1"/>
    </xf>
    <xf numFmtId="196" fontId="9" fillId="3" borderId="294" xfId="1" applyNumberFormat="1" applyFont="1" applyFill="1" applyBorder="1" applyAlignment="1" applyProtection="1">
      <alignment horizontal="right" vertical="center"/>
      <protection hidden="1"/>
    </xf>
    <xf numFmtId="195" fontId="22" fillId="3" borderId="294" xfId="1" applyNumberFormat="1" applyFont="1" applyFill="1" applyBorder="1" applyAlignment="1" applyProtection="1">
      <alignment vertical="center"/>
      <protection hidden="1"/>
    </xf>
    <xf numFmtId="196" fontId="9" fillId="3" borderId="302" xfId="1" applyNumberFormat="1" applyFont="1" applyFill="1" applyBorder="1" applyAlignment="1" applyProtection="1">
      <alignment horizontal="right" vertical="center"/>
      <protection hidden="1"/>
    </xf>
    <xf numFmtId="195" fontId="22" fillId="3" borderId="302" xfId="1" applyNumberFormat="1" applyFont="1" applyFill="1" applyBorder="1" applyAlignment="1" applyProtection="1">
      <alignment vertical="center"/>
      <protection hidden="1"/>
    </xf>
    <xf numFmtId="195" fontId="9" fillId="3" borderId="350" xfId="8" applyNumberFormat="1" applyFont="1" applyFill="1" applyBorder="1" applyAlignment="1" applyProtection="1">
      <alignment horizontal="right" vertical="center"/>
    </xf>
    <xf numFmtId="195" fontId="9" fillId="3" borderId="351" xfId="8" applyNumberFormat="1" applyFont="1" applyFill="1" applyBorder="1" applyAlignment="1" applyProtection="1">
      <alignment horizontal="right" vertical="center"/>
    </xf>
    <xf numFmtId="187" fontId="9" fillId="3" borderId="299" xfId="1" applyNumberFormat="1" applyFont="1" applyFill="1" applyBorder="1" applyAlignment="1" applyProtection="1">
      <alignment horizontal="right" vertical="center"/>
      <protection hidden="1"/>
    </xf>
    <xf numFmtId="3" fontId="22" fillId="3" borderId="299" xfId="1" applyNumberFormat="1" applyFont="1" applyFill="1" applyBorder="1" applyAlignment="1" applyProtection="1">
      <alignment horizontal="center" vertical="center"/>
    </xf>
    <xf numFmtId="0" fontId="83" fillId="3" borderId="301" xfId="1" applyNumberFormat="1" applyFont="1" applyFill="1" applyBorder="1" applyAlignment="1" applyProtection="1">
      <alignment horizontal="center" vertical="center"/>
    </xf>
    <xf numFmtId="0" fontId="9" fillId="3" borderId="355" xfId="1" applyFont="1" applyFill="1" applyBorder="1" applyAlignment="1" applyProtection="1">
      <alignment vertical="center"/>
    </xf>
    <xf numFmtId="3" fontId="22" fillId="3" borderId="320" xfId="1" applyNumberFormat="1" applyFont="1" applyFill="1" applyBorder="1" applyAlignment="1" applyProtection="1">
      <alignment horizontal="center" vertical="center"/>
    </xf>
    <xf numFmtId="0" fontId="83" fillId="3" borderId="322" xfId="1" applyNumberFormat="1" applyFont="1" applyFill="1" applyBorder="1" applyAlignment="1" applyProtection="1">
      <alignment horizontal="center" vertical="center"/>
    </xf>
    <xf numFmtId="196" fontId="9" fillId="3" borderId="355" xfId="1" applyNumberFormat="1" applyFont="1" applyFill="1" applyBorder="1" applyAlignment="1" applyProtection="1">
      <alignment horizontal="right" vertical="center"/>
      <protection hidden="1"/>
    </xf>
    <xf numFmtId="195" fontId="22" fillId="3" borderId="355" xfId="1" applyNumberFormat="1" applyFont="1" applyFill="1" applyBorder="1" applyAlignment="1" applyProtection="1">
      <alignment vertical="center"/>
      <protection hidden="1"/>
    </xf>
    <xf numFmtId="187" fontId="9" fillId="3" borderId="320" xfId="1" applyNumberFormat="1" applyFont="1" applyFill="1" applyBorder="1" applyAlignment="1" applyProtection="1">
      <alignment horizontal="right" vertical="center"/>
      <protection hidden="1"/>
    </xf>
    <xf numFmtId="187" fontId="83" fillId="3" borderId="356" xfId="8" applyNumberFormat="1" applyFont="1" applyFill="1" applyBorder="1" applyAlignment="1" applyProtection="1">
      <alignment horizontal="right" vertical="center"/>
    </xf>
    <xf numFmtId="195" fontId="9" fillId="3" borderId="357" xfId="8" applyNumberFormat="1" applyFont="1" applyFill="1" applyBorder="1" applyAlignment="1" applyProtection="1">
      <alignment horizontal="right" vertical="center"/>
    </xf>
    <xf numFmtId="178" fontId="87" fillId="19" borderId="284" xfId="8" applyNumberFormat="1" applyFont="1" applyFill="1" applyBorder="1" applyAlignment="1" applyProtection="1">
      <alignment horizontal="center" vertical="center"/>
    </xf>
    <xf numFmtId="178" fontId="87" fillId="19" borderId="291" xfId="8" applyNumberFormat="1" applyFont="1" applyFill="1" applyBorder="1" applyAlignment="1" applyProtection="1">
      <alignment horizontal="center" vertical="center"/>
    </xf>
    <xf numFmtId="0" fontId="34" fillId="4" borderId="263" xfId="1" applyFont="1" applyFill="1" applyBorder="1" applyAlignment="1" applyProtection="1">
      <alignment vertical="center"/>
      <protection hidden="1"/>
    </xf>
    <xf numFmtId="0" fontId="9" fillId="4" borderId="0" xfId="1" applyFont="1" applyFill="1" applyBorder="1" applyAlignment="1" applyProtection="1">
      <alignment vertical="center"/>
      <protection hidden="1"/>
    </xf>
    <xf numFmtId="0" fontId="9" fillId="4" borderId="349" xfId="1" applyFont="1" applyFill="1" applyBorder="1" applyAlignment="1" applyProtection="1">
      <alignment horizontal="center" vertical="center"/>
      <protection hidden="1"/>
    </xf>
    <xf numFmtId="0" fontId="34" fillId="4" borderId="261" xfId="1" applyFont="1" applyFill="1" applyBorder="1" applyAlignment="1" applyProtection="1">
      <alignment vertical="center"/>
    </xf>
    <xf numFmtId="187" fontId="34" fillId="4" borderId="269" xfId="7" applyNumberFormat="1" applyFont="1" applyFill="1" applyBorder="1" applyAlignment="1" applyProtection="1"/>
    <xf numFmtId="187" fontId="34" fillId="4" borderId="270" xfId="7" applyNumberFormat="1" applyFont="1" applyFill="1" applyBorder="1" applyAlignment="1" applyProtection="1"/>
    <xf numFmtId="187" fontId="34" fillId="4" borderId="271" xfId="7" applyNumberFormat="1" applyFont="1" applyFill="1" applyBorder="1" applyAlignment="1" applyProtection="1"/>
    <xf numFmtId="195" fontId="34" fillId="4" borderId="319" xfId="1" applyNumberFormat="1" applyFont="1" applyFill="1" applyBorder="1" applyAlignment="1" applyProtection="1">
      <alignment horizontal="right" vertical="center"/>
      <protection hidden="1"/>
    </xf>
    <xf numFmtId="0" fontId="34" fillId="4" borderId="262" xfId="1" applyFont="1" applyFill="1" applyBorder="1" applyAlignment="1" applyProtection="1">
      <alignment vertical="center"/>
      <protection hidden="1"/>
    </xf>
    <xf numFmtId="0" fontId="34" fillId="4" borderId="264" xfId="1" applyFont="1" applyFill="1" applyBorder="1" applyAlignment="1" applyProtection="1">
      <alignment vertical="center"/>
      <protection hidden="1"/>
    </xf>
    <xf numFmtId="0" fontId="9" fillId="4" borderId="265" xfId="1" applyFont="1" applyFill="1" applyBorder="1" applyAlignment="1" applyProtection="1">
      <alignment vertical="center"/>
      <protection hidden="1"/>
    </xf>
    <xf numFmtId="0" fontId="9" fillId="4" borderId="266" xfId="1" applyFont="1" applyFill="1" applyBorder="1" applyAlignment="1" applyProtection="1">
      <alignment vertical="center"/>
      <protection hidden="1"/>
    </xf>
    <xf numFmtId="0" fontId="34" fillId="4" borderId="275" xfId="1" applyFont="1" applyFill="1" applyBorder="1" applyAlignment="1" applyProtection="1">
      <alignment vertical="center"/>
      <protection hidden="1"/>
    </xf>
    <xf numFmtId="0" fontId="34" fillId="4" borderId="276" xfId="1" applyFont="1" applyFill="1" applyBorder="1" applyAlignment="1" applyProtection="1">
      <alignment vertical="center"/>
      <protection hidden="1"/>
    </xf>
    <xf numFmtId="0" fontId="9" fillId="4" borderId="345" xfId="1" applyFont="1" applyFill="1" applyBorder="1" applyAlignment="1" applyProtection="1">
      <alignment horizontal="center" vertical="center"/>
      <protection hidden="1"/>
    </xf>
    <xf numFmtId="0" fontId="34" fillId="4" borderId="261" xfId="1" applyFont="1" applyFill="1" applyBorder="1" applyAlignment="1" applyProtection="1">
      <alignment vertical="center"/>
      <protection hidden="1"/>
    </xf>
    <xf numFmtId="196" fontId="9" fillId="4" borderId="261" xfId="1" applyNumberFormat="1" applyFont="1" applyFill="1" applyBorder="1" applyAlignment="1" applyProtection="1">
      <alignment horizontal="right" vertical="center"/>
      <protection hidden="1"/>
    </xf>
    <xf numFmtId="195" fontId="34" fillId="4" borderId="261" xfId="8" applyNumberFormat="1" applyFont="1" applyFill="1" applyBorder="1" applyAlignment="1" applyProtection="1">
      <alignment horizontal="right"/>
      <protection hidden="1"/>
    </xf>
    <xf numFmtId="195" fontId="34" fillId="4" borderId="319" xfId="8" applyNumberFormat="1" applyFont="1" applyFill="1" applyBorder="1" applyAlignment="1" applyProtection="1">
      <alignment horizontal="right"/>
      <protection hidden="1"/>
    </xf>
    <xf numFmtId="195" fontId="34" fillId="4" borderId="261" xfId="8" applyNumberFormat="1" applyFont="1" applyFill="1" applyBorder="1" applyAlignment="1" applyProtection="1">
      <alignment horizontal="right"/>
    </xf>
    <xf numFmtId="0" fontId="34" fillId="4" borderId="273" xfId="1" applyFont="1" applyFill="1" applyBorder="1" applyAlignment="1" applyProtection="1">
      <alignment vertical="center"/>
    </xf>
    <xf numFmtId="196" fontId="9" fillId="4" borderId="273" xfId="1" applyNumberFormat="1" applyFont="1" applyFill="1" applyBorder="1" applyAlignment="1" applyProtection="1">
      <alignment horizontal="right" vertical="center"/>
      <protection hidden="1"/>
    </xf>
    <xf numFmtId="195" fontId="34" fillId="4" borderId="273" xfId="8" applyNumberFormat="1" applyFont="1" applyFill="1" applyBorder="1" applyAlignment="1" applyProtection="1">
      <alignment horizontal="right"/>
    </xf>
    <xf numFmtId="187" fontId="9" fillId="3" borderId="4" xfId="7" applyNumberFormat="1" applyFont="1" applyFill="1" applyBorder="1" applyAlignment="1" applyProtection="1">
      <alignment horizontal="right"/>
    </xf>
    <xf numFmtId="9" fontId="9" fillId="6" borderId="4" xfId="5" applyFont="1" applyFill="1" applyBorder="1" applyAlignment="1" applyProtection="1">
      <alignment horizontal="right"/>
      <protection locked="0"/>
    </xf>
    <xf numFmtId="3" fontId="9" fillId="19" borderId="323" xfId="1" applyNumberFormat="1" applyFont="1" applyFill="1" applyBorder="1" applyAlignment="1" applyProtection="1">
      <alignment horizontal="center" vertical="center"/>
    </xf>
    <xf numFmtId="0" fontId="83" fillId="8" borderId="325" xfId="1" applyNumberFormat="1" applyFont="1" applyFill="1" applyBorder="1" applyAlignment="1" applyProtection="1">
      <alignment horizontal="center" vertical="center"/>
      <protection locked="0"/>
    </xf>
    <xf numFmtId="196" fontId="9" fillId="3" borderId="358" xfId="1" applyNumberFormat="1" applyFont="1" applyFill="1" applyBorder="1" applyAlignment="1" applyProtection="1">
      <alignment horizontal="right" vertical="center"/>
      <protection hidden="1"/>
    </xf>
    <xf numFmtId="195" fontId="22" fillId="3" borderId="358" xfId="1" applyNumberFormat="1" applyFont="1" applyFill="1" applyBorder="1" applyAlignment="1" applyProtection="1">
      <alignment vertical="center"/>
      <protection hidden="1"/>
    </xf>
    <xf numFmtId="178" fontId="9" fillId="19" borderId="323" xfId="8" applyNumberFormat="1" applyFont="1" applyFill="1" applyBorder="1" applyAlignment="1" applyProtection="1">
      <alignment horizontal="center" vertical="center"/>
    </xf>
    <xf numFmtId="178" fontId="9" fillId="6" borderId="265" xfId="8" applyNumberFormat="1" applyFont="1" applyFill="1" applyBorder="1" applyAlignment="1" applyProtection="1">
      <alignment horizontal="right"/>
      <protection locked="0"/>
    </xf>
    <xf numFmtId="0" fontId="9" fillId="6" borderId="265" xfId="8" applyNumberFormat="1" applyFont="1" applyFill="1" applyBorder="1" applyAlignment="1" applyProtection="1">
      <alignment horizontal="right"/>
      <protection locked="0"/>
    </xf>
    <xf numFmtId="187" fontId="9" fillId="22" borderId="265" xfId="7" applyNumberFormat="1" applyFont="1" applyFill="1" applyBorder="1" applyAlignment="1" applyProtection="1">
      <alignment horizontal="center"/>
    </xf>
    <xf numFmtId="187" fontId="9" fillId="22" borderId="266" xfId="7" applyNumberFormat="1" applyFont="1" applyFill="1" applyBorder="1" applyAlignment="1" applyProtection="1">
      <alignment horizontal="right"/>
    </xf>
    <xf numFmtId="10" fontId="9" fillId="22" borderId="274" xfId="1" applyNumberFormat="1" applyFont="1" applyFill="1" applyBorder="1" applyAlignment="1" applyProtection="1">
      <alignment horizontal="center" vertical="center"/>
      <protection hidden="1"/>
    </xf>
    <xf numFmtId="187" fontId="22" fillId="22" borderId="274" xfId="1" applyNumberFormat="1" applyFont="1" applyFill="1" applyBorder="1" applyAlignment="1" applyProtection="1">
      <alignment vertical="center"/>
      <protection hidden="1"/>
    </xf>
    <xf numFmtId="178" fontId="9" fillId="22" borderId="265" xfId="8" applyNumberFormat="1" applyFont="1" applyFill="1" applyBorder="1" applyAlignment="1" applyProtection="1">
      <alignment horizontal="center" vertical="center"/>
    </xf>
    <xf numFmtId="189" fontId="9" fillId="22" borderId="265" xfId="7" applyNumberFormat="1" applyFont="1" applyFill="1" applyBorder="1" applyAlignment="1" applyProtection="1">
      <alignment horizontal="left"/>
    </xf>
    <xf numFmtId="187" fontId="34" fillId="22" borderId="266" xfId="7" applyNumberFormat="1" applyFont="1" applyFill="1" applyBorder="1" applyAlignment="1" applyProtection="1">
      <alignment horizontal="right"/>
    </xf>
    <xf numFmtId="2" fontId="9" fillId="22" borderId="265" xfId="7" applyNumberFormat="1" applyFont="1" applyFill="1" applyBorder="1" applyAlignment="1" applyProtection="1">
      <alignment horizontal="left"/>
    </xf>
    <xf numFmtId="0" fontId="9" fillId="22" borderId="265" xfId="8" applyNumberFormat="1" applyFill="1" applyBorder="1" applyAlignment="1" applyProtection="1"/>
    <xf numFmtId="0" fontId="9" fillId="22" borderId="266" xfId="8" applyNumberFormat="1" applyFill="1" applyBorder="1" applyAlignment="1" applyProtection="1"/>
    <xf numFmtId="0" fontId="34" fillId="3" borderId="265" xfId="7" applyFont="1" applyFill="1" applyBorder="1" applyProtection="1"/>
    <xf numFmtId="0" fontId="34" fillId="3" borderId="0" xfId="7" applyFont="1" applyFill="1" applyBorder="1" applyProtection="1"/>
    <xf numFmtId="0" fontId="9" fillId="3" borderId="266" xfId="7" applyFont="1" applyFill="1" applyBorder="1" applyAlignment="1" applyProtection="1">
      <alignment horizontal="left"/>
    </xf>
    <xf numFmtId="187" fontId="34" fillId="3" borderId="265" xfId="7" applyNumberFormat="1" applyFont="1" applyFill="1" applyBorder="1" applyAlignment="1" applyProtection="1">
      <alignment horizontal="right"/>
    </xf>
    <xf numFmtId="187" fontId="9" fillId="3" borderId="266" xfId="7" applyNumberFormat="1" applyFont="1" applyFill="1" applyBorder="1" applyAlignment="1" applyProtection="1">
      <alignment horizontal="center"/>
    </xf>
    <xf numFmtId="0" fontId="9" fillId="3" borderId="265" xfId="7" applyFont="1" applyFill="1" applyBorder="1" applyProtection="1"/>
    <xf numFmtId="0" fontId="9" fillId="3" borderId="0" xfId="7" applyFont="1" applyFill="1" applyBorder="1" applyProtection="1"/>
    <xf numFmtId="0" fontId="9" fillId="3" borderId="266" xfId="7" applyFont="1" applyFill="1" applyBorder="1" applyAlignment="1" applyProtection="1">
      <alignment horizontal="right"/>
    </xf>
    <xf numFmtId="175" fontId="9" fillId="3" borderId="265" xfId="7" applyNumberFormat="1" applyFont="1" applyFill="1" applyBorder="1" applyAlignment="1" applyProtection="1">
      <alignment horizontal="right"/>
    </xf>
    <xf numFmtId="2" fontId="9" fillId="3" borderId="266" xfId="7" applyNumberFormat="1" applyFont="1" applyFill="1" applyBorder="1" applyAlignment="1" applyProtection="1">
      <alignment horizontal="left"/>
    </xf>
    <xf numFmtId="2" fontId="9" fillId="3" borderId="266" xfId="8" applyNumberFormat="1" applyFont="1" applyFill="1" applyBorder="1" applyAlignment="1" applyProtection="1"/>
    <xf numFmtId="2" fontId="9" fillId="3" borderId="266" xfId="8" applyNumberFormat="1" applyFont="1" applyFill="1" applyBorder="1" applyAlignment="1" applyProtection="1">
      <alignment horizontal="left"/>
    </xf>
    <xf numFmtId="0" fontId="34" fillId="3" borderId="284" xfId="7" applyFont="1" applyFill="1" applyBorder="1" applyAlignment="1" applyProtection="1">
      <alignment horizontal="left" vertical="center"/>
    </xf>
    <xf numFmtId="0" fontId="9" fillId="3" borderId="285" xfId="7" applyFont="1" applyFill="1" applyBorder="1" applyProtection="1"/>
    <xf numFmtId="0" fontId="9" fillId="3" borderId="286" xfId="7" applyFont="1" applyFill="1" applyBorder="1" applyAlignment="1" applyProtection="1">
      <alignment horizontal="left"/>
    </xf>
    <xf numFmtId="187" fontId="9" fillId="3" borderId="284" xfId="7" applyNumberFormat="1" applyFont="1" applyFill="1" applyBorder="1" applyAlignment="1" applyProtection="1">
      <alignment horizontal="right"/>
    </xf>
    <xf numFmtId="187" fontId="9" fillId="3" borderId="286" xfId="7" applyNumberFormat="1" applyFont="1" applyFill="1" applyBorder="1" applyAlignment="1" applyProtection="1">
      <alignment horizontal="center"/>
    </xf>
    <xf numFmtId="1" fontId="9" fillId="6" borderId="265" xfId="8" applyNumberFormat="1" applyFont="1" applyFill="1" applyBorder="1" applyAlignment="1" applyProtection="1">
      <alignment horizontal="right"/>
      <protection locked="0"/>
    </xf>
    <xf numFmtId="178" fontId="9" fillId="22" borderId="299" xfId="8" applyNumberFormat="1" applyFont="1" applyFill="1" applyBorder="1" applyAlignment="1" applyProtection="1">
      <alignment horizontal="center" vertical="center"/>
    </xf>
    <xf numFmtId="187" fontId="9" fillId="22" borderId="285" xfId="7" applyNumberFormat="1" applyFont="1" applyFill="1" applyBorder="1" applyAlignment="1" applyProtection="1">
      <alignment horizontal="center"/>
    </xf>
    <xf numFmtId="187" fontId="9" fillId="22" borderId="286" xfId="7" applyNumberFormat="1" applyFont="1" applyFill="1" applyBorder="1" applyAlignment="1" applyProtection="1">
      <alignment horizontal="right"/>
    </xf>
    <xf numFmtId="10" fontId="9" fillId="22" borderId="287" xfId="1" applyNumberFormat="1" applyFont="1" applyFill="1" applyBorder="1" applyAlignment="1" applyProtection="1">
      <alignment horizontal="center" vertical="center"/>
      <protection hidden="1"/>
    </xf>
    <xf numFmtId="187" fontId="22" fillId="22" borderId="287" xfId="1" applyNumberFormat="1" applyFont="1" applyFill="1" applyBorder="1" applyAlignment="1" applyProtection="1">
      <alignment vertical="center"/>
      <protection hidden="1"/>
    </xf>
    <xf numFmtId="178" fontId="9" fillId="22" borderId="284" xfId="8" applyNumberFormat="1" applyFont="1" applyFill="1" applyBorder="1" applyAlignment="1" applyProtection="1">
      <alignment horizontal="center" vertical="center"/>
    </xf>
    <xf numFmtId="187" fontId="9" fillId="3" borderId="285" xfId="7" applyNumberFormat="1" applyFont="1" applyFill="1" applyBorder="1" applyAlignment="1" applyProtection="1">
      <alignment horizontal="right"/>
    </xf>
    <xf numFmtId="49" fontId="9" fillId="6" borderId="265" xfId="8" applyNumberFormat="1" applyFont="1" applyFill="1" applyBorder="1" applyAlignment="1" applyProtection="1">
      <alignment horizontal="left"/>
      <protection locked="0"/>
    </xf>
    <xf numFmtId="187" fontId="9" fillId="22" borderId="284" xfId="7" applyNumberFormat="1" applyFont="1" applyFill="1" applyBorder="1" applyAlignment="1" applyProtection="1">
      <alignment horizontal="center"/>
    </xf>
    <xf numFmtId="1" fontId="9" fillId="22" borderId="265" xfId="7" applyNumberFormat="1" applyFont="1" applyFill="1" applyBorder="1" applyAlignment="1" applyProtection="1"/>
    <xf numFmtId="1" fontId="9" fillId="22" borderId="266" xfId="7" applyNumberFormat="1" applyFont="1" applyFill="1" applyBorder="1" applyAlignment="1" applyProtection="1"/>
    <xf numFmtId="196" fontId="9" fillId="22" borderId="273" xfId="1" applyNumberFormat="1" applyFont="1" applyFill="1" applyBorder="1" applyAlignment="1" applyProtection="1">
      <alignment horizontal="right" vertical="center"/>
      <protection hidden="1"/>
    </xf>
    <xf numFmtId="195" fontId="34" fillId="22" borderId="273" xfId="8" applyNumberFormat="1" applyFont="1" applyFill="1" applyBorder="1" applyAlignment="1" applyProtection="1">
      <alignment horizontal="right"/>
    </xf>
    <xf numFmtId="198" fontId="9" fillId="6" borderId="286" xfId="5" applyNumberFormat="1" applyFont="1" applyFill="1" applyBorder="1" applyAlignment="1" applyProtection="1">
      <alignment horizontal="right"/>
      <protection locked="0"/>
    </xf>
    <xf numFmtId="0" fontId="9" fillId="3" borderId="284" xfId="8" applyNumberFormat="1" applyFont="1" applyFill="1" applyBorder="1" applyAlignment="1" applyProtection="1"/>
    <xf numFmtId="0" fontId="9" fillId="3" borderId="291" xfId="1" applyFont="1" applyFill="1" applyBorder="1" applyAlignment="1" applyProtection="1">
      <alignment vertical="center"/>
    </xf>
    <xf numFmtId="0" fontId="9" fillId="3" borderId="299" xfId="1" applyFont="1" applyFill="1" applyBorder="1" applyAlignment="1" applyProtection="1">
      <alignment vertical="center"/>
    </xf>
    <xf numFmtId="187" fontId="9" fillId="3" borderId="300" xfId="7" applyNumberFormat="1" applyFont="1" applyFill="1" applyBorder="1" applyAlignment="1" applyProtection="1">
      <alignment horizontal="right"/>
    </xf>
    <xf numFmtId="187" fontId="9" fillId="3" borderId="301" xfId="7" applyNumberFormat="1" applyFont="1" applyFill="1" applyBorder="1" applyAlignment="1" applyProtection="1">
      <alignment horizontal="right"/>
    </xf>
    <xf numFmtId="0" fontId="83" fillId="22" borderId="286" xfId="1" applyNumberFormat="1" applyFont="1" applyFill="1" applyBorder="1" applyAlignment="1" applyProtection="1">
      <alignment horizontal="center" vertical="center"/>
    </xf>
    <xf numFmtId="196" fontId="9" fillId="22" borderId="287" xfId="1" applyNumberFormat="1" applyFont="1" applyFill="1" applyBorder="1" applyAlignment="1" applyProtection="1">
      <alignment horizontal="right" vertical="center"/>
      <protection hidden="1"/>
    </xf>
    <xf numFmtId="195" fontId="22" fillId="22" borderId="287" xfId="1" applyNumberFormat="1" applyFont="1" applyFill="1" applyBorder="1" applyAlignment="1" applyProtection="1">
      <alignment horizontal="right" vertical="center"/>
      <protection hidden="1"/>
    </xf>
    <xf numFmtId="3" fontId="22" fillId="22" borderId="291" xfId="1" applyNumberFormat="1" applyFont="1" applyFill="1" applyBorder="1" applyAlignment="1" applyProtection="1">
      <alignment horizontal="center" vertical="center"/>
    </xf>
    <xf numFmtId="0" fontId="83" fillId="22" borderId="293" xfId="1" applyNumberFormat="1" applyFont="1" applyFill="1" applyBorder="1" applyAlignment="1" applyProtection="1">
      <alignment horizontal="center" vertical="center"/>
    </xf>
    <xf numFmtId="196" fontId="9" fillId="22" borderId="294" xfId="1" applyNumberFormat="1" applyFont="1" applyFill="1" applyBorder="1" applyAlignment="1" applyProtection="1">
      <alignment horizontal="right" vertical="center"/>
      <protection hidden="1"/>
    </xf>
    <xf numFmtId="195" fontId="22" fillId="22" borderId="294" xfId="1" applyNumberFormat="1" applyFont="1" applyFill="1" applyBorder="1" applyAlignment="1" applyProtection="1">
      <alignment horizontal="right" vertical="center"/>
      <protection hidden="1"/>
    </xf>
    <xf numFmtId="0" fontId="60" fillId="4" borderId="269" xfId="1" applyFont="1" applyFill="1" applyBorder="1" applyAlignment="1" applyProtection="1">
      <alignment horizontal="left" vertical="center"/>
      <protection hidden="1"/>
    </xf>
    <xf numFmtId="0" fontId="14" fillId="4" borderId="270" xfId="1" applyFont="1" applyFill="1" applyBorder="1" applyAlignment="1" applyProtection="1">
      <alignment vertical="center"/>
      <protection hidden="1"/>
    </xf>
    <xf numFmtId="0" fontId="14" fillId="4" borderId="271" xfId="1" applyFont="1" applyFill="1" applyBorder="1" applyAlignment="1" applyProtection="1">
      <alignment vertical="center"/>
      <protection hidden="1"/>
    </xf>
    <xf numFmtId="196" fontId="14" fillId="4" borderId="261" xfId="5" applyNumberFormat="1" applyFont="1" applyFill="1" applyBorder="1" applyAlignment="1" applyProtection="1">
      <alignment horizontal="right" vertical="center"/>
      <protection hidden="1"/>
    </xf>
    <xf numFmtId="195" fontId="60" fillId="4" borderId="261" xfId="1" applyNumberFormat="1" applyFont="1" applyFill="1" applyBorder="1" applyAlignment="1" applyProtection="1">
      <alignment horizontal="right" vertical="center"/>
      <protection hidden="1"/>
    </xf>
    <xf numFmtId="0" fontId="9" fillId="3" borderId="346" xfId="8" applyNumberFormat="1" applyFont="1" applyFill="1" applyBorder="1" applyAlignment="1" applyProtection="1"/>
    <xf numFmtId="0" fontId="34" fillId="4" borderId="270" xfId="1" applyFont="1" applyFill="1" applyBorder="1" applyAlignment="1" applyProtection="1">
      <alignment vertical="center"/>
      <protection hidden="1"/>
    </xf>
    <xf numFmtId="0" fontId="9" fillId="4" borderId="270" xfId="1" applyFont="1" applyFill="1" applyBorder="1" applyAlignment="1" applyProtection="1">
      <alignment horizontal="center" vertical="center"/>
      <protection hidden="1"/>
    </xf>
    <xf numFmtId="0" fontId="34" fillId="4" borderId="270" xfId="1" applyFont="1" applyFill="1" applyBorder="1" applyAlignment="1" applyProtection="1">
      <alignment horizontal="center" vertical="top" wrapText="1"/>
      <protection hidden="1"/>
    </xf>
    <xf numFmtId="0" fontId="9" fillId="4" borderId="271" xfId="1" applyFont="1" applyFill="1" applyBorder="1" applyAlignment="1" applyProtection="1">
      <alignment horizontal="center" vertical="center"/>
      <protection hidden="1"/>
    </xf>
    <xf numFmtId="0" fontId="34" fillId="4" borderId="0" xfId="1" applyFont="1" applyFill="1" applyBorder="1" applyAlignment="1" applyProtection="1">
      <alignment horizontal="left" vertical="center"/>
      <protection hidden="1"/>
    </xf>
    <xf numFmtId="0" fontId="9" fillId="4" borderId="0" xfId="1" applyFont="1" applyFill="1" applyBorder="1" applyAlignment="1" applyProtection="1">
      <alignment vertical="top" wrapText="1"/>
      <protection hidden="1"/>
    </xf>
    <xf numFmtId="0" fontId="9" fillId="4" borderId="274" xfId="1" applyFont="1" applyFill="1" applyBorder="1" applyAlignment="1" applyProtection="1">
      <alignment horizontal="center" vertical="center"/>
      <protection hidden="1"/>
    </xf>
    <xf numFmtId="0" fontId="9" fillId="4" borderId="277" xfId="1" applyFont="1" applyFill="1" applyBorder="1" applyAlignment="1" applyProtection="1">
      <alignment horizontal="center" vertical="center"/>
      <protection hidden="1"/>
    </xf>
    <xf numFmtId="0" fontId="9" fillId="4" borderId="278" xfId="1" applyFont="1" applyFill="1" applyBorder="1" applyAlignment="1" applyProtection="1">
      <alignment horizontal="center" vertical="center"/>
      <protection hidden="1"/>
    </xf>
    <xf numFmtId="0" fontId="34" fillId="4" borderId="270" xfId="1" applyFont="1" applyFill="1" applyBorder="1" applyAlignment="1" applyProtection="1">
      <alignment horizontal="left" vertical="center"/>
      <protection hidden="1"/>
    </xf>
    <xf numFmtId="0" fontId="22" fillId="4" borderId="270" xfId="1" applyFont="1" applyFill="1" applyBorder="1" applyAlignment="1" applyProtection="1">
      <alignment vertical="center"/>
      <protection hidden="1"/>
    </xf>
    <xf numFmtId="200" fontId="9" fillId="4" borderId="261" xfId="1" applyNumberFormat="1" applyFont="1" applyFill="1" applyBorder="1" applyAlignment="1" applyProtection="1">
      <alignment horizontal="right" vertical="center" indent="1"/>
      <protection hidden="1"/>
    </xf>
    <xf numFmtId="197" fontId="22" fillId="4" borderId="279" xfId="1" applyNumberFormat="1" applyFont="1" applyFill="1" applyBorder="1" applyAlignment="1" applyProtection="1">
      <alignment horizontal="right" vertical="center"/>
      <protection hidden="1"/>
    </xf>
    <xf numFmtId="195" fontId="34" fillId="4" borderId="281" xfId="1" applyNumberFormat="1" applyFont="1" applyFill="1" applyBorder="1" applyAlignment="1" applyProtection="1">
      <alignment horizontal="right" vertical="center"/>
      <protection hidden="1"/>
    </xf>
    <xf numFmtId="0" fontId="34" fillId="4" borderId="270" xfId="0" applyFont="1" applyFill="1" applyBorder="1" applyProtection="1"/>
    <xf numFmtId="0" fontId="9" fillId="4" borderId="270" xfId="0" applyFont="1" applyFill="1" applyBorder="1" applyProtection="1"/>
    <xf numFmtId="0" fontId="9" fillId="4" borderId="271" xfId="0" applyFont="1" applyFill="1" applyBorder="1" applyProtection="1"/>
    <xf numFmtId="0" fontId="9" fillId="4" borderId="268" xfId="0" applyFont="1" applyFill="1" applyBorder="1" applyProtection="1"/>
    <xf numFmtId="0" fontId="9" fillId="4" borderId="276" xfId="0" applyFont="1" applyFill="1" applyBorder="1" applyProtection="1"/>
    <xf numFmtId="0" fontId="34" fillId="4" borderId="263" xfId="1" applyFont="1" applyFill="1" applyBorder="1" applyAlignment="1" applyProtection="1">
      <alignment horizontal="left" vertical="center"/>
      <protection hidden="1"/>
    </xf>
    <xf numFmtId="0" fontId="34" fillId="4" borderId="0" xfId="1" applyFont="1" applyFill="1" applyBorder="1" applyAlignment="1" applyProtection="1">
      <alignment vertical="center"/>
      <protection hidden="1"/>
    </xf>
    <xf numFmtId="0" fontId="22" fillId="4" borderId="263" xfId="1" applyFont="1" applyFill="1" applyBorder="1" applyAlignment="1" applyProtection="1">
      <alignment vertical="center"/>
      <protection hidden="1"/>
    </xf>
    <xf numFmtId="0" fontId="22" fillId="4" borderId="0" xfId="1" applyFont="1" applyFill="1" applyBorder="1" applyAlignment="1" applyProtection="1">
      <alignment vertical="center"/>
      <protection hidden="1"/>
    </xf>
    <xf numFmtId="0" fontId="34" fillId="4" borderId="268" xfId="1" applyFont="1" applyFill="1" applyBorder="1" applyAlignment="1" applyProtection="1">
      <alignment horizontal="left" vertical="center"/>
      <protection hidden="1"/>
    </xf>
    <xf numFmtId="0" fontId="22" fillId="4" borderId="268" xfId="1" applyFont="1" applyFill="1" applyBorder="1" applyAlignment="1" applyProtection="1">
      <alignment vertical="center"/>
      <protection hidden="1"/>
    </xf>
    <xf numFmtId="0" fontId="12" fillId="4" borderId="268" xfId="1" applyFont="1" applyFill="1" applyBorder="1" applyAlignment="1" applyProtection="1">
      <alignment vertical="center"/>
      <protection hidden="1"/>
    </xf>
    <xf numFmtId="0" fontId="34" fillId="4" borderId="262" xfId="1" applyFont="1" applyFill="1" applyBorder="1" applyAlignment="1" applyProtection="1">
      <alignment horizontal="center" vertical="center"/>
      <protection hidden="1"/>
    </xf>
    <xf numFmtId="0" fontId="34" fillId="4" borderId="263" xfId="1" applyFont="1" applyFill="1" applyBorder="1" applyAlignment="1" applyProtection="1">
      <alignment horizontal="center" vertical="center"/>
      <protection hidden="1"/>
    </xf>
    <xf numFmtId="0" fontId="34" fillId="4" borderId="265" xfId="1" applyFont="1" applyFill="1" applyBorder="1" applyAlignment="1" applyProtection="1">
      <alignment horizontal="center" vertical="center"/>
      <protection hidden="1"/>
    </xf>
    <xf numFmtId="0" fontId="34" fillId="4" borderId="0" xfId="1" applyFont="1" applyFill="1" applyBorder="1" applyAlignment="1" applyProtection="1">
      <alignment horizontal="center" vertical="center"/>
      <protection hidden="1"/>
    </xf>
    <xf numFmtId="0" fontId="34" fillId="4" borderId="275" xfId="1" applyFont="1" applyFill="1" applyBorder="1" applyAlignment="1" applyProtection="1">
      <alignment horizontal="center" vertical="center"/>
      <protection hidden="1"/>
    </xf>
    <xf numFmtId="0" fontId="34" fillId="4" borderId="268" xfId="1" applyFont="1" applyFill="1" applyBorder="1" applyAlignment="1" applyProtection="1">
      <alignment horizontal="center" vertical="center"/>
      <protection hidden="1"/>
    </xf>
    <xf numFmtId="179" fontId="34" fillId="4" borderId="269" xfId="1" applyNumberFormat="1" applyFont="1" applyFill="1" applyBorder="1" applyAlignment="1" applyProtection="1">
      <alignment horizontal="left" vertical="center"/>
      <protection hidden="1"/>
    </xf>
    <xf numFmtId="179" fontId="34" fillId="4" borderId="270" xfId="1" applyNumberFormat="1" applyFont="1" applyFill="1" applyBorder="1" applyAlignment="1" applyProtection="1">
      <alignment horizontal="left" vertical="center"/>
      <protection hidden="1"/>
    </xf>
    <xf numFmtId="165" fontId="9" fillId="4" borderId="270" xfId="1" applyNumberFormat="1" applyFont="1" applyFill="1" applyBorder="1" applyAlignment="1" applyProtection="1">
      <alignment horizontal="center" vertical="center"/>
      <protection hidden="1"/>
    </xf>
    <xf numFmtId="0" fontId="22" fillId="4" borderId="270" xfId="1" applyFont="1" applyFill="1" applyBorder="1" applyAlignment="1" applyProtection="1">
      <alignment horizontal="center" vertical="center"/>
      <protection hidden="1"/>
    </xf>
    <xf numFmtId="176" fontId="34" fillId="4" borderId="270" xfId="1" applyNumberFormat="1" applyFont="1" applyFill="1" applyBorder="1" applyAlignment="1" applyProtection="1">
      <alignment horizontal="center" vertical="center"/>
      <protection hidden="1"/>
    </xf>
    <xf numFmtId="187" fontId="34" fillId="4" borderId="270" xfId="1" applyNumberFormat="1" applyFont="1" applyFill="1" applyBorder="1" applyAlignment="1" applyProtection="1">
      <alignment vertical="center"/>
      <protection hidden="1"/>
    </xf>
    <xf numFmtId="187" fontId="22" fillId="4" borderId="270" xfId="1" applyNumberFormat="1" applyFont="1" applyFill="1" applyBorder="1" applyAlignment="1" applyProtection="1">
      <alignment vertical="center"/>
      <protection hidden="1"/>
    </xf>
    <xf numFmtId="0" fontId="9" fillId="4" borderId="270" xfId="1" applyFont="1" applyFill="1" applyBorder="1" applyAlignment="1" applyProtection="1">
      <alignment vertical="center"/>
      <protection hidden="1"/>
    </xf>
    <xf numFmtId="0" fontId="9" fillId="4" borderId="271" xfId="1" applyFont="1" applyFill="1" applyBorder="1" applyAlignment="1" applyProtection="1">
      <alignment vertical="center"/>
      <protection hidden="1"/>
    </xf>
    <xf numFmtId="0" fontId="34" fillId="4" borderId="264" xfId="1" applyFont="1" applyFill="1" applyBorder="1" applyAlignment="1" applyProtection="1">
      <alignment horizontal="left" vertical="center"/>
      <protection hidden="1"/>
    </xf>
    <xf numFmtId="0" fontId="34" fillId="4" borderId="266" xfId="1" applyFont="1" applyFill="1" applyBorder="1" applyAlignment="1" applyProtection="1">
      <alignment horizontal="left" vertical="center"/>
      <protection hidden="1"/>
    </xf>
    <xf numFmtId="0" fontId="14" fillId="4" borderId="136" xfId="1" applyFont="1" applyFill="1" applyBorder="1" applyAlignment="1" applyProtection="1">
      <alignment vertical="top"/>
      <protection hidden="1"/>
    </xf>
    <xf numFmtId="0" fontId="14" fillId="4" borderId="0" xfId="1" applyFont="1" applyFill="1" applyBorder="1" applyAlignment="1" applyProtection="1">
      <alignment vertical="top"/>
      <protection hidden="1"/>
    </xf>
    <xf numFmtId="0" fontId="14" fillId="4" borderId="74" xfId="1" applyFont="1" applyFill="1" applyBorder="1" applyAlignment="1" applyProtection="1">
      <alignment vertical="top"/>
      <protection hidden="1"/>
    </xf>
    <xf numFmtId="0" fontId="14" fillId="4" borderId="138" xfId="1" applyFont="1" applyFill="1" applyBorder="1" applyAlignment="1" applyProtection="1">
      <alignment vertical="center"/>
      <protection hidden="1"/>
    </xf>
    <xf numFmtId="0" fontId="14" fillId="4" borderId="90" xfId="1" applyFont="1" applyFill="1" applyBorder="1" applyAlignment="1" applyProtection="1">
      <alignment vertical="center"/>
      <protection hidden="1"/>
    </xf>
    <xf numFmtId="0" fontId="14" fillId="4" borderId="91" xfId="1" applyFont="1" applyFill="1" applyBorder="1" applyAlignment="1" applyProtection="1">
      <alignment vertical="center"/>
      <protection hidden="1"/>
    </xf>
    <xf numFmtId="0" fontId="17" fillId="4" borderId="137" xfId="0" applyFont="1" applyFill="1" applyBorder="1" applyAlignment="1">
      <alignment vertical="center"/>
    </xf>
    <xf numFmtId="0" fontId="17" fillId="4" borderId="88" xfId="0" applyFont="1" applyFill="1" applyBorder="1" applyAlignment="1">
      <alignment vertical="center"/>
    </xf>
    <xf numFmtId="0" fontId="17" fillId="4" borderId="89" xfId="0" applyFont="1" applyFill="1" applyBorder="1" applyAlignment="1">
      <alignment vertical="center"/>
    </xf>
    <xf numFmtId="0" fontId="14" fillId="4" borderId="137" xfId="1" applyFont="1" applyFill="1" applyBorder="1" applyAlignment="1">
      <alignment horizontal="left"/>
    </xf>
    <xf numFmtId="0" fontId="14" fillId="4" borderId="88" xfId="1" applyFont="1" applyFill="1" applyBorder="1" applyAlignment="1">
      <alignment horizontal="left" vertical="center"/>
    </xf>
    <xf numFmtId="0" fontId="14" fillId="4" borderId="138" xfId="1" applyFont="1" applyFill="1" applyBorder="1" applyAlignment="1">
      <alignment horizontal="left" vertical="center"/>
    </xf>
    <xf numFmtId="0" fontId="14" fillId="4" borderId="90" xfId="1" applyFont="1" applyFill="1" applyBorder="1" applyAlignment="1">
      <alignment horizontal="left" vertical="center"/>
    </xf>
    <xf numFmtId="0" fontId="34" fillId="4" borderId="262" xfId="1" applyFont="1" applyFill="1" applyBorder="1" applyAlignment="1" applyProtection="1">
      <alignment horizontal="center" vertical="center"/>
      <protection hidden="1"/>
    </xf>
    <xf numFmtId="0" fontId="34" fillId="4" borderId="263" xfId="1" applyFont="1" applyFill="1" applyBorder="1" applyAlignment="1" applyProtection="1">
      <alignment horizontal="center" vertical="center"/>
      <protection hidden="1"/>
    </xf>
    <xf numFmtId="0" fontId="34" fillId="4" borderId="265" xfId="1" applyFont="1" applyFill="1" applyBorder="1" applyAlignment="1" applyProtection="1">
      <alignment horizontal="center" vertical="center"/>
      <protection hidden="1"/>
    </xf>
    <xf numFmtId="0" fontId="34" fillId="4" borderId="0" xfId="1" applyFont="1" applyFill="1" applyBorder="1" applyAlignment="1" applyProtection="1">
      <alignment horizontal="center" vertical="center"/>
      <protection hidden="1"/>
    </xf>
    <xf numFmtId="0" fontId="12" fillId="4" borderId="268" xfId="1" applyFont="1" applyFill="1" applyBorder="1" applyAlignment="1" applyProtection="1">
      <alignment vertical="center"/>
      <protection hidden="1"/>
    </xf>
    <xf numFmtId="179" fontId="22" fillId="3" borderId="324" xfId="1" applyNumberFormat="1" applyFont="1" applyFill="1" applyBorder="1" applyAlignment="1" applyProtection="1">
      <alignment vertical="center"/>
      <protection hidden="1"/>
    </xf>
    <xf numFmtId="179" fontId="22" fillId="3" borderId="300" xfId="1" applyNumberFormat="1" applyFont="1" applyFill="1" applyBorder="1" applyAlignment="1" applyProtection="1">
      <alignment vertical="center"/>
      <protection hidden="1"/>
    </xf>
    <xf numFmtId="0" fontId="34" fillId="4" borderId="270" xfId="1" applyFont="1" applyFill="1" applyBorder="1" applyAlignment="1" applyProtection="1">
      <alignment vertical="center"/>
      <protection hidden="1"/>
    </xf>
    <xf numFmtId="187" fontId="9" fillId="3" borderId="299" xfId="8" applyNumberFormat="1" applyFont="1" applyFill="1" applyBorder="1" applyAlignment="1" applyProtection="1">
      <alignment horizontal="right" indent="1"/>
    </xf>
    <xf numFmtId="187" fontId="9" fillId="3" borderId="301" xfId="8" applyNumberFormat="1" applyFont="1" applyFill="1" applyBorder="1" applyAlignment="1" applyProtection="1">
      <alignment horizontal="right" indent="1"/>
    </xf>
    <xf numFmtId="49" fontId="9" fillId="3" borderId="284" xfId="7" applyNumberFormat="1" applyFont="1" applyFill="1" applyBorder="1" applyAlignment="1" applyProtection="1">
      <alignment horizontal="left"/>
    </xf>
    <xf numFmtId="49" fontId="9" fillId="3" borderId="285" xfId="7" applyNumberFormat="1" applyFont="1" applyFill="1" applyBorder="1" applyAlignment="1" applyProtection="1">
      <alignment horizontal="left"/>
    </xf>
    <xf numFmtId="0" fontId="0" fillId="0" borderId="0" xfId="0" applyProtection="1"/>
    <xf numFmtId="0" fontId="9" fillId="4" borderId="314" xfId="1" applyFont="1" applyFill="1" applyBorder="1" applyAlignment="1" applyProtection="1">
      <alignment horizontal="center" vertical="center"/>
      <protection hidden="1"/>
    </xf>
    <xf numFmtId="0" fontId="9" fillId="4" borderId="316" xfId="1" applyFont="1" applyFill="1" applyBorder="1" applyAlignment="1" applyProtection="1">
      <alignment horizontal="center" vertical="center"/>
      <protection hidden="1"/>
    </xf>
    <xf numFmtId="197" fontId="22" fillId="4" borderId="317" xfId="1" applyNumberFormat="1" applyFont="1" applyFill="1" applyBorder="1" applyAlignment="1" applyProtection="1">
      <alignment horizontal="right" vertical="center"/>
      <protection hidden="1"/>
    </xf>
    <xf numFmtId="0" fontId="9" fillId="8" borderId="359" xfId="1" applyNumberFormat="1" applyFont="1" applyFill="1" applyBorder="1" applyAlignment="1" applyProtection="1">
      <alignment vertical="center"/>
      <protection locked="0"/>
    </xf>
    <xf numFmtId="0" fontId="9" fillId="6" borderId="272" xfId="7" applyNumberFormat="1" applyFont="1" applyFill="1" applyBorder="1" applyAlignment="1" applyProtection="1">
      <alignment horizontal="left"/>
      <protection locked="0"/>
    </xf>
    <xf numFmtId="0" fontId="9" fillId="6" borderId="267" xfId="1" applyNumberFormat="1" applyFont="1" applyFill="1" applyBorder="1" applyAlignment="1" applyProtection="1">
      <alignment vertical="center"/>
      <protection locked="0"/>
    </xf>
    <xf numFmtId="0" fontId="9" fillId="6" borderId="272" xfId="1" applyNumberFormat="1" applyFont="1" applyFill="1" applyBorder="1" applyAlignment="1" applyProtection="1">
      <alignment vertical="center"/>
      <protection locked="0"/>
    </xf>
    <xf numFmtId="0" fontId="9" fillId="6" borderId="275" xfId="1" applyNumberFormat="1" applyFont="1" applyFill="1" applyBorder="1" applyAlignment="1" applyProtection="1">
      <alignment vertical="center"/>
      <protection locked="0"/>
    </xf>
    <xf numFmtId="0" fontId="9" fillId="6" borderId="311" xfId="7" applyNumberFormat="1" applyFont="1" applyFill="1" applyBorder="1" applyAlignment="1" applyProtection="1">
      <alignment horizontal="left"/>
      <protection locked="0"/>
    </xf>
    <xf numFmtId="0" fontId="9" fillId="6" borderId="312" xfId="7" applyNumberFormat="1" applyFont="1" applyFill="1" applyBorder="1" applyAlignment="1" applyProtection="1">
      <alignment horizontal="left"/>
      <protection locked="0"/>
    </xf>
    <xf numFmtId="199" fontId="9" fillId="8" borderId="361" xfId="1" applyNumberFormat="1" applyFont="1" applyFill="1" applyBorder="1" applyAlignment="1" applyProtection="1">
      <alignment horizontal="right" vertical="center" indent="1"/>
      <protection locked="0"/>
    </xf>
    <xf numFmtId="199" fontId="9" fillId="8" borderId="362" xfId="1" applyNumberFormat="1" applyFont="1" applyFill="1" applyBorder="1" applyAlignment="1" applyProtection="1">
      <alignment horizontal="right" vertical="center" indent="1"/>
      <protection locked="0"/>
    </xf>
    <xf numFmtId="197" fontId="9" fillId="6" borderId="367" xfId="8" applyNumberFormat="1" applyFont="1" applyFill="1" applyBorder="1" applyAlignment="1" applyProtection="1">
      <alignment horizontal="right" vertical="center"/>
      <protection locked="0"/>
    </xf>
    <xf numFmtId="197" fontId="9" fillId="6" borderId="368" xfId="8" applyNumberFormat="1" applyFont="1" applyFill="1" applyBorder="1" applyAlignment="1" applyProtection="1">
      <alignment horizontal="right" vertical="center"/>
      <protection locked="0"/>
    </xf>
    <xf numFmtId="0" fontId="9" fillId="6" borderId="293" xfId="7" applyNumberFormat="1" applyFont="1" applyFill="1" applyBorder="1" applyAlignment="1" applyProtection="1">
      <alignment horizontal="left"/>
      <protection locked="0"/>
    </xf>
    <xf numFmtId="0" fontId="9" fillId="6" borderId="293" xfId="1" applyNumberFormat="1" applyFont="1" applyFill="1" applyBorder="1" applyAlignment="1" applyProtection="1">
      <alignment vertical="center"/>
      <protection locked="0"/>
    </xf>
    <xf numFmtId="0" fontId="9" fillId="6" borderId="301" xfId="7" applyNumberFormat="1" applyFont="1" applyFill="1" applyBorder="1" applyAlignment="1" applyProtection="1">
      <alignment horizontal="left"/>
      <protection locked="0"/>
    </xf>
    <xf numFmtId="197" fontId="9" fillId="0" borderId="317" xfId="1" applyNumberFormat="1" applyFont="1" applyBorder="1" applyAlignment="1" applyProtection="1">
      <alignment horizontal="right" vertical="center"/>
      <protection hidden="1"/>
    </xf>
    <xf numFmtId="195" fontId="34" fillId="0" borderId="319" xfId="8" applyNumberFormat="1" applyFont="1" applyFill="1" applyBorder="1" applyAlignment="1" applyProtection="1">
      <alignment horizontal="right"/>
      <protection hidden="1"/>
    </xf>
    <xf numFmtId="197" fontId="9" fillId="6" borderId="370" xfId="8" applyNumberFormat="1" applyFont="1" applyFill="1" applyBorder="1" applyAlignment="1" applyProtection="1">
      <alignment horizontal="right" vertical="center"/>
      <protection locked="0"/>
    </xf>
    <xf numFmtId="197" fontId="9" fillId="6" borderId="372" xfId="8" applyNumberFormat="1" applyFont="1" applyFill="1" applyBorder="1" applyAlignment="1" applyProtection="1">
      <alignment horizontal="right" vertical="center"/>
      <protection locked="0"/>
    </xf>
    <xf numFmtId="197" fontId="9" fillId="6" borderId="374" xfId="8" applyNumberFormat="1" applyFont="1" applyFill="1" applyBorder="1" applyAlignment="1" applyProtection="1">
      <alignment horizontal="right" vertical="center"/>
      <protection locked="0"/>
    </xf>
    <xf numFmtId="195" fontId="9" fillId="3" borderId="350" xfId="8" applyNumberFormat="1" applyFont="1" applyFill="1" applyBorder="1" applyAlignment="1" applyProtection="1">
      <alignment horizontal="right" vertical="center"/>
      <protection hidden="1"/>
    </xf>
    <xf numFmtId="195" fontId="9" fillId="3" borderId="351" xfId="8" applyNumberFormat="1" applyFont="1" applyFill="1" applyBorder="1" applyAlignment="1" applyProtection="1">
      <alignment horizontal="right" vertical="center"/>
      <protection hidden="1"/>
    </xf>
    <xf numFmtId="195" fontId="9" fillId="3" borderId="352" xfId="8" applyNumberFormat="1" applyFont="1" applyFill="1" applyBorder="1" applyAlignment="1" applyProtection="1">
      <alignment horizontal="right" vertical="center"/>
      <protection hidden="1"/>
    </xf>
    <xf numFmtId="0" fontId="22" fillId="4" borderId="271" xfId="1" applyFont="1" applyFill="1" applyBorder="1" applyAlignment="1" applyProtection="1">
      <alignment vertical="center"/>
      <protection hidden="1"/>
    </xf>
    <xf numFmtId="178" fontId="9" fillId="22" borderId="291" xfId="8" applyNumberFormat="1" applyFont="1" applyFill="1" applyBorder="1" applyAlignment="1" applyProtection="1">
      <alignment horizontal="center" vertical="center"/>
    </xf>
    <xf numFmtId="49" fontId="34" fillId="3" borderId="323" xfId="7" applyNumberFormat="1" applyFont="1" applyFill="1" applyBorder="1" applyProtection="1"/>
    <xf numFmtId="0" fontId="34" fillId="3" borderId="324" xfId="7" applyFont="1" applyFill="1" applyBorder="1" applyProtection="1"/>
    <xf numFmtId="0" fontId="34" fillId="3" borderId="325" xfId="7" applyFont="1" applyFill="1" applyBorder="1" applyAlignment="1" applyProtection="1">
      <alignment horizontal="right"/>
    </xf>
    <xf numFmtId="0" fontId="34" fillId="22" borderId="323" xfId="7" applyFont="1" applyFill="1" applyBorder="1" applyAlignment="1" applyProtection="1"/>
    <xf numFmtId="0" fontId="34" fillId="22" borderId="325" xfId="7" applyFont="1" applyFill="1" applyBorder="1" applyAlignment="1" applyProtection="1"/>
    <xf numFmtId="10" fontId="9" fillId="22" borderId="358" xfId="1" applyNumberFormat="1" applyFont="1" applyFill="1" applyBorder="1" applyAlignment="1" applyProtection="1">
      <alignment horizontal="center" vertical="center"/>
      <protection hidden="1"/>
    </xf>
    <xf numFmtId="187" fontId="22" fillId="22" borderId="358" xfId="1" applyNumberFormat="1" applyFont="1" applyFill="1" applyBorder="1" applyAlignment="1" applyProtection="1">
      <alignment vertical="center"/>
      <protection hidden="1"/>
    </xf>
    <xf numFmtId="178" fontId="9" fillId="22" borderId="323" xfId="8" applyNumberFormat="1" applyFont="1" applyFill="1" applyBorder="1" applyAlignment="1" applyProtection="1">
      <alignment horizontal="center" vertical="center"/>
    </xf>
    <xf numFmtId="49" fontId="34" fillId="3" borderId="275" xfId="7" applyNumberFormat="1" applyFont="1" applyFill="1" applyBorder="1" applyProtection="1"/>
    <xf numFmtId="0" fontId="34" fillId="3" borderId="268" xfId="7" applyFont="1" applyFill="1" applyBorder="1" applyProtection="1"/>
    <xf numFmtId="0" fontId="34" fillId="3" borderId="276" xfId="7" applyFont="1" applyFill="1" applyBorder="1" applyAlignment="1" applyProtection="1">
      <alignment horizontal="right"/>
    </xf>
    <xf numFmtId="0" fontId="34" fillId="22" borderId="275" xfId="7" applyFont="1" applyFill="1" applyBorder="1" applyAlignment="1" applyProtection="1"/>
    <xf numFmtId="0" fontId="34" fillId="22" borderId="276" xfId="7" applyFont="1" applyFill="1" applyBorder="1" applyAlignment="1" applyProtection="1"/>
    <xf numFmtId="10" fontId="9" fillId="22" borderId="345" xfId="1" applyNumberFormat="1" applyFont="1" applyFill="1" applyBorder="1" applyAlignment="1" applyProtection="1">
      <alignment horizontal="center" vertical="center"/>
      <protection hidden="1"/>
    </xf>
    <xf numFmtId="187" fontId="22" fillId="22" borderId="345" xfId="1" applyNumberFormat="1" applyFont="1" applyFill="1" applyBorder="1" applyAlignment="1" applyProtection="1">
      <alignment vertical="center"/>
      <protection hidden="1"/>
    </xf>
    <xf numFmtId="178" fontId="9" fillId="22" borderId="275" xfId="8" applyNumberFormat="1" applyFont="1" applyFill="1" applyBorder="1" applyAlignment="1" applyProtection="1">
      <alignment horizontal="center" vertical="center"/>
    </xf>
    <xf numFmtId="178" fontId="83" fillId="6" borderId="285" xfId="8" applyNumberFormat="1" applyFont="1" applyFill="1" applyBorder="1" applyAlignment="1" applyProtection="1">
      <alignment horizontal="center" vertical="center"/>
      <protection locked="0"/>
    </xf>
    <xf numFmtId="178" fontId="83" fillId="6" borderId="292" xfId="8" applyNumberFormat="1" applyFont="1" applyFill="1" applyBorder="1" applyAlignment="1" applyProtection="1">
      <alignment horizontal="center" vertical="center"/>
      <protection locked="0"/>
    </xf>
    <xf numFmtId="187" fontId="83" fillId="3" borderId="321" xfId="8" applyNumberFormat="1" applyFont="1" applyFill="1" applyBorder="1" applyAlignment="1" applyProtection="1">
      <alignment horizontal="right" vertical="center"/>
    </xf>
    <xf numFmtId="187" fontId="83" fillId="3" borderId="300" xfId="8" applyNumberFormat="1" applyFont="1" applyFill="1" applyBorder="1" applyAlignment="1" applyProtection="1">
      <alignment horizontal="right" vertical="center"/>
    </xf>
    <xf numFmtId="178" fontId="83" fillId="6" borderId="324" xfId="8" applyNumberFormat="1" applyFont="1" applyFill="1" applyBorder="1" applyAlignment="1" applyProtection="1">
      <alignment horizontal="center" vertical="center"/>
      <protection locked="0"/>
    </xf>
    <xf numFmtId="187" fontId="83" fillId="22" borderId="321" xfId="8" applyNumberFormat="1" applyFont="1" applyFill="1" applyBorder="1" applyAlignment="1" applyProtection="1">
      <alignment horizontal="right" vertical="center"/>
    </xf>
    <xf numFmtId="178" fontId="83" fillId="22" borderId="285" xfId="8" applyNumberFormat="1" applyFont="1" applyFill="1" applyBorder="1" applyAlignment="1" applyProtection="1">
      <alignment horizontal="center" vertical="center"/>
    </xf>
    <xf numFmtId="178" fontId="83" fillId="22" borderId="0" xfId="8" applyNumberFormat="1" applyFont="1" applyFill="1" applyBorder="1" applyAlignment="1" applyProtection="1">
      <alignment horizontal="center" vertical="center"/>
    </xf>
    <xf numFmtId="178" fontId="83" fillId="22" borderId="300" xfId="8" applyNumberFormat="1" applyFont="1" applyFill="1" applyBorder="1" applyAlignment="1" applyProtection="1">
      <alignment horizontal="center" vertical="center"/>
    </xf>
    <xf numFmtId="178" fontId="83" fillId="22" borderId="324" xfId="8" applyNumberFormat="1" applyFont="1" applyFill="1" applyBorder="1" applyAlignment="1" applyProtection="1">
      <alignment horizontal="center" vertical="center"/>
    </xf>
    <xf numFmtId="178" fontId="83" fillId="22" borderId="268" xfId="8" applyNumberFormat="1" applyFont="1" applyFill="1" applyBorder="1" applyAlignment="1" applyProtection="1">
      <alignment horizontal="center" vertical="center"/>
    </xf>
    <xf numFmtId="178" fontId="83" fillId="22" borderId="292" xfId="8" applyNumberFormat="1" applyFont="1" applyFill="1" applyBorder="1" applyAlignment="1" applyProtection="1">
      <alignment horizontal="center" vertical="center"/>
    </xf>
    <xf numFmtId="195" fontId="34" fillId="4" borderId="319" xfId="8" applyNumberFormat="1" applyFont="1" applyFill="1" applyBorder="1" applyAlignment="1" applyProtection="1">
      <alignment horizontal="right"/>
    </xf>
    <xf numFmtId="195" fontId="9" fillId="3" borderId="352" xfId="8" applyNumberFormat="1" applyFont="1" applyFill="1" applyBorder="1" applyAlignment="1" applyProtection="1">
      <alignment horizontal="right" vertical="center"/>
    </xf>
    <xf numFmtId="195" fontId="34" fillId="4" borderId="376" xfId="8" applyNumberFormat="1" applyFont="1" applyFill="1" applyBorder="1" applyAlignment="1" applyProtection="1">
      <alignment horizontal="right"/>
    </xf>
    <xf numFmtId="195" fontId="9" fillId="3" borderId="377" xfId="8" applyNumberFormat="1" applyFont="1" applyFill="1" applyBorder="1" applyAlignment="1" applyProtection="1">
      <alignment horizontal="right" vertical="center"/>
    </xf>
    <xf numFmtId="195" fontId="9" fillId="22" borderId="350" xfId="8" applyNumberFormat="1" applyFont="1" applyFill="1" applyBorder="1" applyAlignment="1" applyProtection="1">
      <alignment horizontal="right" vertical="center"/>
    </xf>
    <xf numFmtId="195" fontId="9" fillId="22" borderId="351" xfId="8" applyNumberFormat="1" applyFont="1" applyFill="1" applyBorder="1" applyAlignment="1" applyProtection="1">
      <alignment horizontal="right" vertical="center"/>
    </xf>
    <xf numFmtId="195" fontId="9" fillId="22" borderId="357" xfId="8" applyNumberFormat="1" applyFont="1" applyFill="1" applyBorder="1" applyAlignment="1" applyProtection="1">
      <alignment horizontal="right" vertical="center"/>
    </xf>
    <xf numFmtId="166" fontId="9" fillId="22" borderId="350" xfId="8" applyNumberFormat="1" applyFont="1" applyFill="1" applyBorder="1" applyAlignment="1" applyProtection="1">
      <alignment horizontal="right" vertical="center"/>
    </xf>
    <xf numFmtId="166" fontId="9" fillId="22" borderId="316" xfId="8" applyNumberFormat="1" applyFont="1" applyFill="1" applyBorder="1" applyAlignment="1" applyProtection="1">
      <alignment horizontal="right" vertical="center"/>
    </xf>
    <xf numFmtId="166" fontId="9" fillId="22" borderId="377" xfId="8" applyNumberFormat="1" applyFont="1" applyFill="1" applyBorder="1" applyAlignment="1" applyProtection="1">
      <alignment horizontal="right" vertical="center"/>
    </xf>
    <xf numFmtId="166" fontId="9" fillId="22" borderId="349" xfId="8" applyNumberFormat="1" applyFont="1" applyFill="1" applyBorder="1" applyAlignment="1" applyProtection="1">
      <alignment horizontal="right" vertical="center"/>
    </xf>
    <xf numFmtId="195" fontId="9" fillId="6" borderId="351" xfId="8" applyNumberFormat="1" applyFont="1" applyFill="1" applyBorder="1" applyAlignment="1" applyProtection="1">
      <alignment horizontal="right" vertical="center"/>
      <protection locked="0"/>
    </xf>
    <xf numFmtId="195" fontId="60" fillId="4" borderId="319" xfId="1" applyNumberFormat="1" applyFont="1" applyFill="1" applyBorder="1" applyAlignment="1" applyProtection="1">
      <alignment horizontal="right" vertical="center"/>
      <protection hidden="1"/>
    </xf>
    <xf numFmtId="195" fontId="22" fillId="3" borderId="360" xfId="1" applyNumberFormat="1" applyFont="1" applyFill="1" applyBorder="1" applyAlignment="1" applyProtection="1">
      <alignment horizontal="right" vertical="center"/>
      <protection hidden="1"/>
    </xf>
    <xf numFmtId="195" fontId="22" fillId="3" borderId="363" xfId="1" applyNumberFormat="1" applyFont="1" applyFill="1" applyBorder="1" applyAlignment="1" applyProtection="1">
      <alignment horizontal="right" vertical="center"/>
      <protection hidden="1"/>
    </xf>
    <xf numFmtId="195" fontId="22" fillId="3" borderId="345" xfId="1" applyNumberFormat="1" applyFont="1" applyFill="1" applyBorder="1" applyAlignment="1" applyProtection="1">
      <alignment horizontal="right" vertical="center"/>
      <protection hidden="1"/>
    </xf>
    <xf numFmtId="195" fontId="9" fillId="3" borderId="365" xfId="8" applyNumberFormat="1" applyFont="1" applyFill="1" applyBorder="1" applyAlignment="1" applyProtection="1">
      <alignment horizontal="right" vertical="center"/>
      <protection hidden="1"/>
    </xf>
    <xf numFmtId="195" fontId="9" fillId="3" borderId="366" xfId="8" applyNumberFormat="1" applyFont="1" applyFill="1" applyBorder="1" applyAlignment="1" applyProtection="1">
      <alignment horizontal="right" vertical="center"/>
      <protection hidden="1"/>
    </xf>
    <xf numFmtId="195" fontId="9" fillId="3" borderId="369" xfId="8" applyNumberFormat="1" applyFont="1" applyFill="1" applyBorder="1" applyAlignment="1" applyProtection="1">
      <alignment horizontal="right" vertical="center"/>
      <protection hidden="1"/>
    </xf>
    <xf numFmtId="0" fontId="9" fillId="3" borderId="269" xfId="1" applyFont="1" applyFill="1" applyBorder="1" applyAlignment="1" applyProtection="1">
      <alignment vertical="center"/>
      <protection hidden="1"/>
    </xf>
    <xf numFmtId="0" fontId="9" fillId="3" borderId="271" xfId="1" applyFont="1" applyFill="1" applyBorder="1" applyAlignment="1" applyProtection="1">
      <alignment vertical="center"/>
      <protection hidden="1"/>
    </xf>
    <xf numFmtId="0" fontId="9" fillId="6" borderId="272" xfId="7" applyNumberFormat="1" applyFont="1" applyFill="1" applyBorder="1" applyAlignment="1" applyProtection="1">
      <alignment vertical="center"/>
      <protection locked="0"/>
    </xf>
    <xf numFmtId="0" fontId="9" fillId="6" borderId="311" xfId="7" applyNumberFormat="1" applyFont="1" applyFill="1" applyBorder="1" applyAlignment="1" applyProtection="1">
      <alignment vertical="center"/>
      <protection locked="0"/>
    </xf>
    <xf numFmtId="0" fontId="9" fillId="6" borderId="312" xfId="7" applyNumberFormat="1" applyFont="1" applyFill="1" applyBorder="1" applyAlignment="1" applyProtection="1">
      <alignment vertical="center"/>
      <protection locked="0"/>
    </xf>
    <xf numFmtId="0" fontId="34" fillId="4" borderId="270" xfId="1" applyFont="1" applyFill="1" applyBorder="1" applyAlignment="1" applyProtection="1">
      <alignment vertical="center"/>
      <protection hidden="1"/>
    </xf>
    <xf numFmtId="178" fontId="9" fillId="22" borderId="291" xfId="8" applyNumberFormat="1" applyFont="1" applyFill="1" applyBorder="1" applyAlignment="1" applyProtection="1">
      <alignment horizontal="center" vertical="center"/>
    </xf>
    <xf numFmtId="49" fontId="9" fillId="3" borderId="284" xfId="7" applyNumberFormat="1" applyFont="1" applyFill="1" applyBorder="1" applyAlignment="1" applyProtection="1">
      <alignment horizontal="left"/>
    </xf>
    <xf numFmtId="49" fontId="9" fillId="3" borderId="285" xfId="7" applyNumberFormat="1" applyFont="1" applyFill="1" applyBorder="1" applyAlignment="1" applyProtection="1">
      <alignment horizontal="left"/>
    </xf>
    <xf numFmtId="0" fontId="0" fillId="0" borderId="0" xfId="0" applyProtection="1"/>
    <xf numFmtId="0" fontId="34" fillId="4" borderId="273" xfId="1" applyFont="1" applyFill="1" applyBorder="1" applyAlignment="1" applyProtection="1">
      <alignment vertical="center"/>
      <protection hidden="1"/>
    </xf>
    <xf numFmtId="195" fontId="34" fillId="4" borderId="273" xfId="8" applyNumberFormat="1" applyFont="1" applyFill="1" applyBorder="1" applyAlignment="1" applyProtection="1">
      <alignment horizontal="right"/>
      <protection hidden="1"/>
    </xf>
    <xf numFmtId="195" fontId="34" fillId="4" borderId="376" xfId="8" applyNumberFormat="1" applyFont="1" applyFill="1" applyBorder="1" applyAlignment="1" applyProtection="1">
      <alignment horizontal="right"/>
      <protection hidden="1"/>
    </xf>
    <xf numFmtId="0" fontId="9" fillId="3" borderId="302" xfId="1" applyFont="1" applyFill="1" applyBorder="1" applyAlignment="1" applyProtection="1">
      <alignment vertical="center"/>
      <protection hidden="1"/>
    </xf>
    <xf numFmtId="0" fontId="9" fillId="6" borderId="358" xfId="1" applyFont="1" applyFill="1" applyBorder="1" applyAlignment="1" applyProtection="1">
      <alignment vertical="center"/>
      <protection locked="0"/>
    </xf>
    <xf numFmtId="0" fontId="9" fillId="3" borderId="287" xfId="8" applyNumberFormat="1" applyFont="1" applyFill="1" applyBorder="1" applyAlignment="1" applyProtection="1">
      <protection hidden="1"/>
    </xf>
    <xf numFmtId="9" fontId="9" fillId="6" borderId="286" xfId="5" applyFont="1" applyFill="1" applyBorder="1" applyAlignment="1" applyProtection="1">
      <alignment horizontal="right"/>
      <protection locked="0"/>
    </xf>
    <xf numFmtId="195" fontId="9" fillId="22" borderId="352" xfId="8" applyNumberFormat="1" applyFont="1" applyFill="1" applyBorder="1" applyAlignment="1" applyProtection="1">
      <alignment horizontal="right" vertical="center"/>
    </xf>
    <xf numFmtId="0" fontId="9" fillId="3" borderId="287" xfId="1" applyFont="1" applyFill="1" applyBorder="1" applyAlignment="1" applyProtection="1">
      <alignment vertical="center"/>
      <protection hidden="1"/>
    </xf>
    <xf numFmtId="0" fontId="9" fillId="3" borderId="294" xfId="1" applyFont="1" applyFill="1" applyBorder="1" applyAlignment="1" applyProtection="1">
      <alignment vertical="center"/>
      <protection hidden="1"/>
    </xf>
    <xf numFmtId="0" fontId="9" fillId="3" borderId="299" xfId="1" applyFont="1" applyFill="1" applyBorder="1" applyAlignment="1" applyProtection="1">
      <alignment vertical="center"/>
      <protection hidden="1"/>
    </xf>
    <xf numFmtId="0" fontId="9" fillId="3" borderId="300" xfId="1" applyFont="1" applyFill="1" applyBorder="1" applyAlignment="1" applyProtection="1">
      <alignment vertical="center"/>
      <protection hidden="1"/>
    </xf>
    <xf numFmtId="0" fontId="9" fillId="3" borderId="301" xfId="1" applyFont="1" applyFill="1" applyBorder="1" applyAlignment="1" applyProtection="1">
      <alignment vertical="center"/>
      <protection hidden="1"/>
    </xf>
    <xf numFmtId="187" fontId="9" fillId="22" borderId="320" xfId="1" applyNumberFormat="1" applyFont="1" applyFill="1" applyBorder="1" applyAlignment="1" applyProtection="1">
      <alignment horizontal="right" vertical="center"/>
    </xf>
    <xf numFmtId="0" fontId="9" fillId="3" borderId="358" xfId="1" applyFont="1" applyFill="1" applyBorder="1" applyAlignment="1" applyProtection="1">
      <alignment vertical="center"/>
    </xf>
    <xf numFmtId="0" fontId="34" fillId="3" borderId="323" xfId="7" applyFont="1" applyFill="1" applyBorder="1" applyProtection="1"/>
    <xf numFmtId="0" fontId="9" fillId="3" borderId="324" xfId="7" applyFont="1" applyFill="1" applyBorder="1" applyProtection="1"/>
    <xf numFmtId="0" fontId="9" fillId="22" borderId="323" xfId="8" applyNumberFormat="1" applyFill="1" applyBorder="1" applyAlignment="1" applyProtection="1"/>
    <xf numFmtId="0" fontId="9" fillId="22" borderId="325" xfId="8" applyNumberFormat="1" applyFill="1" applyBorder="1" applyAlignment="1" applyProtection="1"/>
    <xf numFmtId="0" fontId="34" fillId="3" borderId="266" xfId="7" applyFont="1" applyFill="1" applyBorder="1" applyAlignment="1" applyProtection="1">
      <alignment horizontal="right"/>
    </xf>
    <xf numFmtId="3" fontId="22" fillId="22" borderId="299" xfId="1" applyNumberFormat="1" applyFont="1" applyFill="1" applyBorder="1" applyAlignment="1" applyProtection="1">
      <alignment horizontal="center" vertical="center"/>
    </xf>
    <xf numFmtId="0" fontId="83" fillId="22" borderId="301" xfId="1" applyNumberFormat="1" applyFont="1" applyFill="1" applyBorder="1" applyAlignment="1" applyProtection="1">
      <alignment horizontal="center" vertical="center"/>
    </xf>
    <xf numFmtId="196" fontId="9" fillId="22" borderId="302" xfId="1" applyNumberFormat="1" applyFont="1" applyFill="1" applyBorder="1" applyAlignment="1" applyProtection="1">
      <alignment horizontal="right" vertical="center"/>
      <protection hidden="1"/>
    </xf>
    <xf numFmtId="195" fontId="22" fillId="22" borderId="302" xfId="1" applyNumberFormat="1" applyFont="1" applyFill="1" applyBorder="1" applyAlignment="1" applyProtection="1">
      <alignment vertical="center"/>
      <protection hidden="1"/>
    </xf>
    <xf numFmtId="187" fontId="9" fillId="22" borderId="299" xfId="1" applyNumberFormat="1" applyFont="1" applyFill="1" applyBorder="1" applyAlignment="1" applyProtection="1">
      <alignment horizontal="right" vertical="center"/>
      <protection hidden="1"/>
    </xf>
    <xf numFmtId="187" fontId="83" fillId="22" borderId="300" xfId="8" applyNumberFormat="1" applyFont="1" applyFill="1" applyBorder="1" applyAlignment="1" applyProtection="1">
      <alignment horizontal="right" vertical="center"/>
    </xf>
    <xf numFmtId="0" fontId="9" fillId="3" borderId="269" xfId="1" applyFont="1" applyFill="1" applyBorder="1" applyAlignment="1" applyProtection="1">
      <alignment vertical="center"/>
    </xf>
    <xf numFmtId="3" fontId="9" fillId="19" borderId="285" xfId="1" applyNumberFormat="1" applyFont="1" applyFill="1" applyBorder="1" applyAlignment="1" applyProtection="1">
      <alignment horizontal="center" vertical="center"/>
    </xf>
    <xf numFmtId="0" fontId="9" fillId="3" borderId="287" xfId="8" applyNumberFormat="1" applyFont="1" applyFill="1" applyBorder="1" applyAlignment="1" applyProtection="1"/>
    <xf numFmtId="0" fontId="0" fillId="0" borderId="93" xfId="0" applyBorder="1" applyAlignment="1">
      <alignment vertical="center"/>
    </xf>
    <xf numFmtId="0" fontId="44" fillId="0" borderId="0" xfId="0" applyFont="1" applyBorder="1" applyAlignment="1">
      <alignment vertical="center"/>
    </xf>
    <xf numFmtId="0" fontId="0" fillId="0" borderId="0" xfId="0" applyProtection="1"/>
    <xf numFmtId="49" fontId="56" fillId="0" borderId="0" xfId="0" applyNumberFormat="1" applyFont="1" applyBorder="1"/>
    <xf numFmtId="0" fontId="12" fillId="0" borderId="0" xfId="0" applyFont="1" applyBorder="1" applyAlignment="1">
      <alignment horizontal="left" vertical="center" wrapText="1"/>
    </xf>
    <xf numFmtId="3" fontId="12" fillId="0" borderId="0" xfId="0" applyNumberFormat="1" applyFont="1" applyBorder="1" applyAlignment="1">
      <alignment horizontal="left" vertical="center" wrapText="1"/>
    </xf>
    <xf numFmtId="202" fontId="0" fillId="0" borderId="0" xfId="0" applyNumberFormat="1" applyBorder="1" applyAlignment="1">
      <alignment horizontal="left" vertical="center" wrapText="1"/>
    </xf>
    <xf numFmtId="0" fontId="0" fillId="3" borderId="0" xfId="0" applyFill="1" applyBorder="1" applyAlignment="1">
      <alignment horizontal="center"/>
    </xf>
    <xf numFmtId="49" fontId="9" fillId="0" borderId="0" xfId="1" applyNumberFormat="1" applyFont="1" applyBorder="1" applyProtection="1">
      <protection hidden="1"/>
    </xf>
    <xf numFmtId="20" fontId="0" fillId="0" borderId="0" xfId="0" applyNumberFormat="1" applyAlignment="1">
      <alignment vertical="center"/>
    </xf>
    <xf numFmtId="20" fontId="56" fillId="0" borderId="0" xfId="0" applyNumberFormat="1" applyFont="1" applyBorder="1" applyAlignment="1">
      <alignment vertical="center"/>
    </xf>
    <xf numFmtId="20" fontId="10" fillId="0" borderId="0" xfId="1" applyNumberFormat="1" applyFont="1" applyProtection="1">
      <protection hidden="1"/>
    </xf>
    <xf numFmtId="49" fontId="12" fillId="0" borderId="0" xfId="1" applyNumberFormat="1" applyFont="1" applyProtection="1">
      <protection hidden="1"/>
    </xf>
    <xf numFmtId="0" fontId="115" fillId="0" borderId="0" xfId="0" applyFont="1" applyFill="1" applyBorder="1" applyAlignment="1">
      <alignment vertical="center"/>
    </xf>
    <xf numFmtId="49" fontId="17" fillId="4" borderId="262" xfId="0" applyNumberFormat="1" applyFont="1" applyFill="1" applyBorder="1" applyAlignment="1">
      <alignment vertical="center"/>
    </xf>
    <xf numFmtId="49" fontId="17" fillId="4" borderId="263" xfId="0" applyNumberFormat="1" applyFont="1" applyFill="1" applyBorder="1" applyAlignment="1">
      <alignment vertical="center"/>
    </xf>
    <xf numFmtId="49" fontId="12" fillId="0" borderId="265" xfId="0" applyNumberFormat="1" applyFont="1" applyBorder="1" applyAlignment="1">
      <alignment vertical="center"/>
    </xf>
    <xf numFmtId="49" fontId="12" fillId="0" borderId="0" xfId="0" applyNumberFormat="1" applyFont="1" applyBorder="1" applyAlignment="1">
      <alignment vertical="center"/>
    </xf>
    <xf numFmtId="49" fontId="17" fillId="4" borderId="265" xfId="0" applyNumberFormat="1" applyFont="1" applyFill="1" applyBorder="1" applyAlignment="1">
      <alignment vertical="center"/>
    </xf>
    <xf numFmtId="49" fontId="17" fillId="4" borderId="0" xfId="0" applyNumberFormat="1" applyFont="1" applyFill="1" applyBorder="1" applyAlignment="1">
      <alignment vertical="center"/>
    </xf>
    <xf numFmtId="49" fontId="12" fillId="3" borderId="265" xfId="0" applyNumberFormat="1" applyFont="1" applyFill="1" applyBorder="1" applyAlignment="1">
      <alignment vertical="center"/>
    </xf>
    <xf numFmtId="49" fontId="0" fillId="3" borderId="0" xfId="0" applyNumberFormat="1" applyFill="1" applyBorder="1" applyAlignment="1">
      <alignment vertical="center"/>
    </xf>
    <xf numFmtId="49" fontId="12" fillId="3" borderId="0" xfId="0" applyNumberFormat="1" applyFont="1" applyFill="1" applyBorder="1" applyAlignment="1">
      <alignment vertical="center"/>
    </xf>
    <xf numFmtId="49" fontId="0" fillId="0" borderId="265" xfId="0" applyNumberFormat="1" applyBorder="1" applyAlignment="1">
      <alignment vertical="center"/>
    </xf>
    <xf numFmtId="49" fontId="49" fillId="3" borderId="265" xfId="0" applyNumberFormat="1" applyFont="1" applyFill="1" applyBorder="1" applyAlignment="1">
      <alignment vertical="center"/>
    </xf>
    <xf numFmtId="49" fontId="49" fillId="3" borderId="0" xfId="0" applyNumberFormat="1" applyFont="1" applyFill="1" applyBorder="1" applyAlignment="1">
      <alignment vertical="center"/>
    </xf>
    <xf numFmtId="0" fontId="8" fillId="3" borderId="265" xfId="3" applyFont="1" applyFill="1" applyBorder="1" applyAlignment="1">
      <alignment horizontal="left" vertical="center"/>
    </xf>
    <xf numFmtId="0" fontId="8" fillId="3" borderId="0" xfId="3" applyFont="1" applyFill="1" applyBorder="1" applyAlignment="1">
      <alignment horizontal="left" vertical="center"/>
    </xf>
    <xf numFmtId="0" fontId="28" fillId="3" borderId="265" xfId="3" applyFont="1" applyFill="1" applyBorder="1" applyAlignment="1">
      <alignment horizontal="left" vertical="center"/>
    </xf>
    <xf numFmtId="0" fontId="28" fillId="3" borderId="0" xfId="3" applyFont="1" applyFill="1" applyBorder="1" applyAlignment="1">
      <alignment horizontal="left" vertical="center"/>
    </xf>
    <xf numFmtId="0" fontId="5" fillId="3" borderId="265" xfId="3" applyFont="1" applyFill="1" applyBorder="1" applyAlignment="1">
      <alignment horizontal="left" vertical="center"/>
    </xf>
    <xf numFmtId="0" fontId="5" fillId="3" borderId="0" xfId="3" applyFont="1" applyFill="1" applyBorder="1" applyAlignment="1">
      <alignment horizontal="left" vertical="center"/>
    </xf>
    <xf numFmtId="0" fontId="2" fillId="3" borderId="265" xfId="3" applyFont="1" applyFill="1" applyBorder="1" applyAlignment="1">
      <alignment horizontal="left" vertical="center"/>
    </xf>
    <xf numFmtId="0" fontId="2" fillId="3" borderId="0" xfId="3" applyFont="1" applyFill="1" applyBorder="1" applyAlignment="1">
      <alignment horizontal="left" vertical="center"/>
    </xf>
    <xf numFmtId="0" fontId="0" fillId="3" borderId="265" xfId="0" applyFill="1" applyBorder="1" applyAlignment="1">
      <alignment vertical="center"/>
    </xf>
    <xf numFmtId="0" fontId="1" fillId="3" borderId="265" xfId="3" applyFont="1" applyFill="1" applyBorder="1" applyAlignment="1">
      <alignment horizontal="left" vertical="center"/>
    </xf>
    <xf numFmtId="0" fontId="7" fillId="3" borderId="265" xfId="3" applyFont="1" applyFill="1" applyBorder="1" applyAlignment="1">
      <alignment horizontal="left" vertical="center"/>
    </xf>
    <xf numFmtId="0" fontId="7" fillId="3" borderId="0" xfId="3" applyFont="1" applyFill="1" applyBorder="1" applyAlignment="1">
      <alignment horizontal="left" vertical="center"/>
    </xf>
    <xf numFmtId="0" fontId="3" fillId="3" borderId="265" xfId="3" applyFont="1" applyFill="1" applyBorder="1" applyAlignment="1">
      <alignment horizontal="left" vertical="center"/>
    </xf>
    <xf numFmtId="0" fontId="3" fillId="3" borderId="0" xfId="3" applyFont="1" applyFill="1" applyBorder="1" applyAlignment="1">
      <alignment horizontal="left" vertical="center"/>
    </xf>
    <xf numFmtId="0" fontId="6" fillId="3" borderId="265" xfId="3" applyFont="1" applyFill="1" applyBorder="1" applyAlignment="1">
      <alignment horizontal="left" vertical="center"/>
    </xf>
    <xf numFmtId="0" fontId="6" fillId="3" borderId="0" xfId="3" applyFont="1" applyFill="1" applyBorder="1" applyAlignment="1">
      <alignment horizontal="left" vertical="center"/>
    </xf>
    <xf numFmtId="49" fontId="6" fillId="3" borderId="265" xfId="3" applyNumberFormat="1" applyFont="1" applyFill="1" applyBorder="1" applyAlignment="1">
      <alignment horizontal="left" vertical="center"/>
    </xf>
    <xf numFmtId="49" fontId="6" fillId="3" borderId="0" xfId="3" applyNumberFormat="1" applyFont="1" applyFill="1" applyBorder="1" applyAlignment="1">
      <alignment horizontal="left" vertical="center"/>
    </xf>
    <xf numFmtId="0" fontId="6" fillId="0" borderId="265" xfId="3" applyFont="1" applyBorder="1" applyAlignment="1">
      <alignment horizontal="left" vertical="center"/>
    </xf>
    <xf numFmtId="0" fontId="6" fillId="0" borderId="0" xfId="3" applyFont="1" applyBorder="1" applyAlignment="1">
      <alignment horizontal="left" vertical="center"/>
    </xf>
    <xf numFmtId="0" fontId="17" fillId="4" borderId="265" xfId="0" applyNumberFormat="1" applyFont="1" applyFill="1" applyBorder="1" applyAlignment="1">
      <alignment vertical="center"/>
    </xf>
    <xf numFmtId="0" fontId="17" fillId="4" borderId="0" xfId="0" applyNumberFormat="1" applyFont="1" applyFill="1" applyBorder="1" applyAlignment="1">
      <alignment vertical="center"/>
    </xf>
    <xf numFmtId="49" fontId="12" fillId="3" borderId="275" xfId="0" applyNumberFormat="1" applyFont="1" applyFill="1" applyBorder="1" applyAlignment="1">
      <alignment vertical="center"/>
    </xf>
    <xf numFmtId="49" fontId="12" fillId="3" borderId="268" xfId="0" applyNumberFormat="1" applyFont="1" applyFill="1" applyBorder="1" applyAlignment="1">
      <alignment vertical="center"/>
    </xf>
    <xf numFmtId="49" fontId="17" fillId="4" borderId="264" xfId="0" applyNumberFormat="1" applyFont="1" applyFill="1" applyBorder="1" applyAlignment="1">
      <alignment vertical="center"/>
    </xf>
    <xf numFmtId="49" fontId="0" fillId="4" borderId="275" xfId="0" applyNumberFormat="1" applyFill="1" applyBorder="1"/>
    <xf numFmtId="49" fontId="0" fillId="4" borderId="268" xfId="0" applyNumberFormat="1" applyFill="1" applyBorder="1"/>
    <xf numFmtId="49" fontId="0" fillId="4" borderId="276" xfId="0" applyNumberFormat="1" applyFill="1" applyBorder="1"/>
    <xf numFmtId="0" fontId="0" fillId="21" borderId="0" xfId="0" applyFill="1" applyAlignment="1">
      <alignment vertical="center"/>
    </xf>
    <xf numFmtId="0" fontId="11" fillId="0" borderId="0" xfId="0" applyFont="1" applyFill="1" applyAlignment="1">
      <alignment vertical="center"/>
    </xf>
    <xf numFmtId="0" fontId="14" fillId="21" borderId="0" xfId="0" applyFont="1" applyFill="1" applyAlignment="1">
      <alignment horizontal="left" vertical="center"/>
    </xf>
    <xf numFmtId="0" fontId="14" fillId="0" borderId="0" xfId="0" applyNumberFormat="1" applyFont="1" applyFill="1" applyAlignment="1">
      <alignment vertical="center"/>
    </xf>
    <xf numFmtId="14" fontId="14" fillId="0" borderId="0" xfId="0" applyNumberFormat="1" applyFont="1" applyFill="1" applyAlignment="1">
      <alignment horizontal="left" vertical="center" indent="1"/>
    </xf>
    <xf numFmtId="0" fontId="14" fillId="21" borderId="0" xfId="0" applyNumberFormat="1" applyFont="1" applyFill="1" applyAlignment="1">
      <alignment vertical="center"/>
    </xf>
    <xf numFmtId="14" fontId="14" fillId="21" borderId="0" xfId="0" applyNumberFormat="1" applyFont="1" applyFill="1" applyAlignment="1">
      <alignment horizontal="left" vertical="center" indent="1"/>
    </xf>
    <xf numFmtId="0" fontId="14" fillId="21" borderId="0" xfId="9" applyFont="1" applyFill="1" applyAlignment="1" applyProtection="1">
      <alignment horizontal="left" vertical="top" indent="1"/>
    </xf>
    <xf numFmtId="0" fontId="46" fillId="3" borderId="0" xfId="9" applyFont="1" applyFill="1" applyAlignment="1" applyProtection="1">
      <alignment horizontal="center" vertical="center"/>
    </xf>
    <xf numFmtId="0" fontId="12" fillId="3" borderId="0" xfId="9" applyFont="1" applyFill="1" applyAlignment="1" applyProtection="1">
      <alignment horizontal="right" vertical="center"/>
    </xf>
    <xf numFmtId="3" fontId="12" fillId="3" borderId="9" xfId="9" applyNumberFormat="1" applyFont="1" applyFill="1" applyBorder="1" applyAlignment="1" applyProtection="1">
      <alignment vertical="center"/>
    </xf>
    <xf numFmtId="3" fontId="12" fillId="3" borderId="0" xfId="9" applyNumberFormat="1" applyFont="1" applyFill="1" applyBorder="1" applyAlignment="1" applyProtection="1">
      <alignment vertical="center"/>
    </xf>
    <xf numFmtId="0" fontId="12" fillId="3" borderId="0" xfId="9" applyFill="1" applyAlignment="1" applyProtection="1">
      <alignment horizontal="right" vertical="center"/>
    </xf>
    <xf numFmtId="49" fontId="12" fillId="3" borderId="0" xfId="9" applyNumberFormat="1" applyFont="1" applyFill="1" applyAlignment="1" applyProtection="1">
      <alignment vertical="center"/>
    </xf>
    <xf numFmtId="0" fontId="12" fillId="3" borderId="0" xfId="9" applyFill="1" applyAlignment="1" applyProtection="1">
      <alignment horizontal="center" vertical="center"/>
    </xf>
    <xf numFmtId="3" fontId="17" fillId="3" borderId="0" xfId="9" applyNumberFormat="1" applyFont="1" applyFill="1" applyBorder="1" applyAlignment="1" applyProtection="1">
      <alignment horizontal="left" vertical="center" indent="1"/>
    </xf>
    <xf numFmtId="49" fontId="12" fillId="3" borderId="0" xfId="9" applyNumberFormat="1" applyFill="1" applyBorder="1" applyAlignment="1" applyProtection="1">
      <alignment vertical="center"/>
    </xf>
    <xf numFmtId="3" fontId="12" fillId="3" borderId="0" xfId="9" applyNumberFormat="1" applyFont="1" applyFill="1" applyBorder="1" applyAlignment="1" applyProtection="1">
      <alignment horizontal="left" vertical="center"/>
    </xf>
    <xf numFmtId="0" fontId="19" fillId="3" borderId="0" xfId="9" applyFont="1" applyFill="1" applyBorder="1" applyAlignment="1" applyProtection="1">
      <alignment horizontal="center" vertical="center" wrapText="1"/>
    </xf>
    <xf numFmtId="0" fontId="15" fillId="3" borderId="0" xfId="9" applyFont="1" applyFill="1" applyBorder="1" applyAlignment="1" applyProtection="1">
      <alignment vertical="center"/>
    </xf>
    <xf numFmtId="3" fontId="15" fillId="3" borderId="0" xfId="9" applyNumberFormat="1" applyFont="1" applyFill="1" applyBorder="1" applyAlignment="1" applyProtection="1">
      <alignment horizontal="right" vertical="center"/>
    </xf>
    <xf numFmtId="2" fontId="15" fillId="3" borderId="0" xfId="9" applyNumberFormat="1" applyFont="1" applyFill="1" applyBorder="1" applyAlignment="1" applyProtection="1">
      <alignment horizontal="center" vertical="center"/>
    </xf>
    <xf numFmtId="0" fontId="12" fillId="3" borderId="0" xfId="9" applyFill="1" applyBorder="1" applyAlignment="1" applyProtection="1">
      <alignment vertical="center"/>
    </xf>
    <xf numFmtId="0" fontId="17" fillId="3" borderId="0" xfId="9" applyFont="1" applyFill="1" applyBorder="1" applyAlignment="1" applyProtection="1">
      <alignment vertical="center" wrapText="1"/>
    </xf>
    <xf numFmtId="0" fontId="43" fillId="3" borderId="0" xfId="9" applyFont="1" applyFill="1" applyAlignment="1" applyProtection="1">
      <alignment vertical="center"/>
    </xf>
    <xf numFmtId="194" fontId="43" fillId="3" borderId="0" xfId="9" applyNumberFormat="1" applyFont="1" applyFill="1" applyAlignment="1" applyProtection="1">
      <alignment horizontal="left" vertical="center"/>
    </xf>
    <xf numFmtId="9" fontId="43" fillId="3" borderId="0" xfId="9" applyNumberFormat="1" applyFont="1" applyFill="1" applyAlignment="1" applyProtection="1">
      <alignment vertical="center"/>
    </xf>
    <xf numFmtId="0" fontId="12" fillId="3" borderId="292" xfId="9" applyFont="1" applyFill="1" applyBorder="1" applyAlignment="1" applyProtection="1">
      <alignment horizontal="right" vertical="center"/>
    </xf>
    <xf numFmtId="0" fontId="12" fillId="3" borderId="292" xfId="9" applyFill="1" applyBorder="1" applyAlignment="1" applyProtection="1">
      <alignment vertical="center"/>
    </xf>
    <xf numFmtId="181" fontId="12" fillId="6" borderId="292" xfId="9" applyNumberFormat="1" applyFill="1" applyBorder="1" applyAlignment="1" applyProtection="1">
      <alignment horizontal="right" vertical="center" indent="1"/>
      <protection locked="0"/>
    </xf>
    <xf numFmtId="49" fontId="17" fillId="4" borderId="324" xfId="9" applyNumberFormat="1" applyFont="1" applyFill="1" applyBorder="1" applyAlignment="1" applyProtection="1">
      <alignment vertical="center"/>
    </xf>
    <xf numFmtId="49" fontId="12" fillId="4" borderId="324" xfId="9" applyNumberFormat="1" applyFill="1" applyBorder="1" applyAlignment="1" applyProtection="1">
      <alignment vertical="center"/>
    </xf>
    <xf numFmtId="0" fontId="12" fillId="4" borderId="324" xfId="9" applyFill="1" applyBorder="1" applyAlignment="1" applyProtection="1">
      <alignment vertical="center"/>
    </xf>
    <xf numFmtId="49" fontId="12" fillId="3" borderId="292" xfId="9" applyNumberFormat="1" applyFont="1" applyFill="1" applyBorder="1" applyAlignment="1" applyProtection="1">
      <alignment horizontal="right" vertical="center"/>
    </xf>
    <xf numFmtId="0" fontId="119" fillId="3" borderId="0" xfId="9" applyFont="1" applyFill="1" applyAlignment="1" applyProtection="1">
      <alignment vertical="center"/>
    </xf>
    <xf numFmtId="49" fontId="17" fillId="4" borderId="0" xfId="9" applyNumberFormat="1" applyFont="1" applyFill="1" applyAlignment="1">
      <alignment vertical="center"/>
    </xf>
    <xf numFmtId="49" fontId="12" fillId="4" borderId="0" xfId="9" applyNumberFormat="1" applyFill="1" applyAlignment="1">
      <alignment vertical="center"/>
    </xf>
    <xf numFmtId="0" fontId="12" fillId="4" borderId="0" xfId="9" applyFill="1" applyAlignment="1">
      <alignment vertical="center"/>
    </xf>
    <xf numFmtId="49" fontId="12" fillId="3" borderId="292" xfId="9" applyNumberFormat="1" applyFont="1" applyFill="1" applyBorder="1" applyAlignment="1">
      <alignment horizontal="left" vertical="center" indent="1"/>
    </xf>
    <xf numFmtId="0" fontId="12" fillId="3" borderId="292" xfId="9" applyFont="1" applyFill="1" applyBorder="1" applyAlignment="1">
      <alignment horizontal="right" vertical="center"/>
    </xf>
    <xf numFmtId="0" fontId="12" fillId="3" borderId="292" xfId="9" applyFill="1" applyBorder="1" applyAlignment="1">
      <alignment vertical="center"/>
    </xf>
    <xf numFmtId="49" fontId="12" fillId="3" borderId="0" xfId="9" applyNumberFormat="1" applyFont="1" applyFill="1" applyAlignment="1">
      <alignment vertical="center"/>
    </xf>
    <xf numFmtId="0" fontId="12" fillId="3" borderId="0" xfId="9" applyFill="1" applyAlignment="1">
      <alignment horizontal="center" vertical="center"/>
    </xf>
    <xf numFmtId="0" fontId="46" fillId="3" borderId="0" xfId="9" applyFont="1" applyFill="1" applyAlignment="1">
      <alignment horizontal="center" vertical="center"/>
    </xf>
    <xf numFmtId="0" fontId="12" fillId="3" borderId="0" xfId="9" applyFont="1" applyFill="1" applyAlignment="1">
      <alignment horizontal="right" vertical="center"/>
    </xf>
    <xf numFmtId="3" fontId="12" fillId="3" borderId="0" xfId="9" applyNumberFormat="1" applyFont="1" applyFill="1" applyBorder="1" applyAlignment="1">
      <alignment vertical="center"/>
    </xf>
    <xf numFmtId="0" fontId="12" fillId="3" borderId="0" xfId="9" applyFill="1" applyAlignment="1">
      <alignment horizontal="right" vertical="center"/>
    </xf>
    <xf numFmtId="0" fontId="19" fillId="3" borderId="0" xfId="9" applyFont="1" applyFill="1" applyBorder="1" applyAlignment="1">
      <alignment horizontal="center" vertical="center" wrapText="1"/>
    </xf>
    <xf numFmtId="0" fontId="15" fillId="3" borderId="0" xfId="9" applyFont="1" applyFill="1" applyBorder="1" applyAlignment="1">
      <alignment vertical="center"/>
    </xf>
    <xf numFmtId="3" fontId="15" fillId="3" borderId="0" xfId="9" applyNumberFormat="1" applyFont="1" applyFill="1" applyBorder="1" applyAlignment="1">
      <alignment horizontal="right" vertical="center"/>
    </xf>
    <xf numFmtId="0" fontId="12" fillId="3" borderId="0" xfId="9" applyFill="1" applyBorder="1" applyAlignment="1">
      <alignment vertical="center"/>
    </xf>
    <xf numFmtId="0" fontId="12" fillId="3" borderId="0" xfId="9" applyFont="1" applyFill="1" applyAlignment="1">
      <alignment vertical="center"/>
    </xf>
    <xf numFmtId="0" fontId="17" fillId="3" borderId="0" xfId="9" applyFont="1" applyFill="1" applyBorder="1" applyAlignment="1">
      <alignment vertical="center" wrapText="1"/>
    </xf>
    <xf numFmtId="9" fontId="43" fillId="3" borderId="0" xfId="9" applyNumberFormat="1" applyFont="1" applyFill="1" applyAlignment="1">
      <alignment vertical="center"/>
    </xf>
    <xf numFmtId="0" fontId="57" fillId="0" borderId="0" xfId="0" applyFont="1" applyFill="1" applyBorder="1" applyAlignment="1">
      <alignment vertical="top"/>
    </xf>
    <xf numFmtId="0" fontId="12" fillId="0" borderId="0" xfId="0" applyFont="1" applyFill="1" applyBorder="1" applyAlignment="1">
      <alignment horizontal="left" vertical="top"/>
    </xf>
    <xf numFmtId="0" fontId="12" fillId="0" borderId="0" xfId="0" applyFont="1" applyFill="1" applyBorder="1" applyAlignment="1">
      <alignment horizontal="left"/>
    </xf>
    <xf numFmtId="0" fontId="0" fillId="0" borderId="63" xfId="0" applyBorder="1"/>
    <xf numFmtId="0" fontId="0" fillId="0" borderId="64" xfId="0" applyBorder="1"/>
    <xf numFmtId="0" fontId="99" fillId="0" borderId="61" xfId="4" applyFont="1" applyFill="1" applyBorder="1" applyAlignment="1" applyProtection="1">
      <alignment horizontal="center" vertical="center"/>
      <protection locked="0" hidden="1"/>
    </xf>
    <xf numFmtId="0" fontId="99" fillId="0" borderId="62" xfId="4" applyFont="1" applyFill="1" applyBorder="1" applyAlignment="1" applyProtection="1">
      <alignment horizontal="center" vertical="center"/>
      <protection locked="0" hidden="1"/>
    </xf>
    <xf numFmtId="0" fontId="99" fillId="0" borderId="390" xfId="4" applyFont="1" applyFill="1" applyBorder="1" applyAlignment="1" applyProtection="1">
      <alignment horizontal="center" vertical="center"/>
      <protection locked="0" hidden="1"/>
    </xf>
    <xf numFmtId="0" fontId="99" fillId="0" borderId="391" xfId="4" applyFont="1" applyFill="1" applyBorder="1" applyAlignment="1" applyProtection="1">
      <alignment horizontal="center" vertical="center"/>
      <protection locked="0" hidden="1"/>
    </xf>
    <xf numFmtId="179" fontId="22" fillId="3" borderId="324" xfId="1" applyNumberFormat="1" applyFont="1" applyFill="1" applyBorder="1" applyAlignment="1" applyProtection="1">
      <alignment vertical="center"/>
      <protection hidden="1"/>
    </xf>
    <xf numFmtId="179" fontId="22" fillId="3" borderId="300" xfId="1" applyNumberFormat="1" applyFont="1" applyFill="1" applyBorder="1" applyAlignment="1" applyProtection="1">
      <alignment vertical="center"/>
      <protection hidden="1"/>
    </xf>
    <xf numFmtId="179" fontId="22" fillId="3" borderId="301" xfId="1" applyNumberFormat="1" applyFont="1" applyFill="1" applyBorder="1" applyAlignment="1" applyProtection="1">
      <alignment vertical="center"/>
      <protection hidden="1"/>
    </xf>
    <xf numFmtId="0" fontId="22" fillId="3" borderId="324" xfId="1" applyNumberFormat="1" applyFont="1" applyFill="1" applyBorder="1" applyAlignment="1" applyProtection="1">
      <alignment vertical="center"/>
      <protection hidden="1"/>
    </xf>
    <xf numFmtId="0" fontId="12" fillId="0" borderId="0" xfId="0" applyFont="1" applyAlignment="1">
      <alignment vertical="top" wrapText="1"/>
    </xf>
    <xf numFmtId="0" fontId="0" fillId="0" borderId="61" xfId="0" applyBorder="1"/>
    <xf numFmtId="0" fontId="0" fillId="0" borderId="62" xfId="0" applyBorder="1"/>
    <xf numFmtId="0" fontId="0" fillId="0" borderId="63" xfId="0" applyBorder="1"/>
    <xf numFmtId="0" fontId="0" fillId="0" borderId="64" xfId="0" applyBorder="1"/>
    <xf numFmtId="0" fontId="17" fillId="4" borderId="137" xfId="0" applyFont="1" applyFill="1" applyBorder="1" applyAlignment="1">
      <alignment vertical="center"/>
    </xf>
    <xf numFmtId="0" fontId="17" fillId="4" borderId="88" xfId="0" applyFont="1" applyFill="1" applyBorder="1" applyAlignment="1">
      <alignment vertical="center"/>
    </xf>
    <xf numFmtId="0" fontId="17" fillId="4" borderId="89" xfId="0" applyFont="1" applyFill="1" applyBorder="1" applyAlignment="1">
      <alignment vertical="center"/>
    </xf>
    <xf numFmtId="0" fontId="17" fillId="4" borderId="0" xfId="0" applyFont="1" applyFill="1" applyProtection="1"/>
    <xf numFmtId="0" fontId="0" fillId="4" borderId="0" xfId="0" applyFill="1" applyProtection="1"/>
    <xf numFmtId="0" fontId="12" fillId="4" borderId="0" xfId="0" applyFont="1" applyFill="1" applyProtection="1"/>
    <xf numFmtId="0" fontId="0" fillId="4" borderId="23" xfId="0" applyFill="1" applyBorder="1" applyProtection="1"/>
    <xf numFmtId="0" fontId="12" fillId="4" borderId="23" xfId="0" applyFont="1" applyFill="1" applyBorder="1" applyProtection="1"/>
    <xf numFmtId="0" fontId="0" fillId="4" borderId="0" xfId="0" applyFill="1" applyAlignment="1" applyProtection="1"/>
    <xf numFmtId="0" fontId="17" fillId="4" borderId="0" xfId="0" applyFont="1" applyFill="1" applyAlignment="1" applyProtection="1"/>
    <xf numFmtId="0" fontId="12" fillId="4" borderId="0" xfId="0" applyFont="1" applyFill="1" applyAlignment="1" applyProtection="1"/>
    <xf numFmtId="3" fontId="12" fillId="4" borderId="0" xfId="0" applyNumberFormat="1" applyFont="1" applyFill="1" applyProtection="1"/>
    <xf numFmtId="3" fontId="0" fillId="4" borderId="6" xfId="0" applyNumberFormat="1" applyFill="1" applyBorder="1" applyProtection="1"/>
    <xf numFmtId="0" fontId="12" fillId="4" borderId="0" xfId="0" applyFont="1" applyFill="1" applyAlignment="1" applyProtection="1">
      <alignment horizontal="right"/>
    </xf>
    <xf numFmtId="0" fontId="44" fillId="0" borderId="0" xfId="0" applyFont="1" applyBorder="1" applyAlignment="1" applyProtection="1">
      <alignment horizontal="center" vertical="center"/>
    </xf>
    <xf numFmtId="0" fontId="61" fillId="0" borderId="0" xfId="1" applyFont="1" applyFill="1" applyBorder="1" applyAlignment="1" applyProtection="1">
      <alignment vertical="center"/>
      <protection hidden="1"/>
    </xf>
    <xf numFmtId="0" fontId="14" fillId="3" borderId="136" xfId="1" applyFont="1" applyFill="1" applyBorder="1" applyAlignment="1" applyProtection="1">
      <alignment vertical="center"/>
      <protection hidden="1"/>
    </xf>
    <xf numFmtId="0" fontId="14" fillId="3" borderId="74" xfId="1" applyFont="1" applyFill="1" applyBorder="1" applyAlignment="1" applyProtection="1">
      <alignment vertical="center"/>
      <protection hidden="1"/>
    </xf>
    <xf numFmtId="49" fontId="19" fillId="4" borderId="265" xfId="0" applyNumberFormat="1" applyFont="1" applyFill="1" applyBorder="1" applyAlignment="1">
      <alignment vertical="center"/>
    </xf>
    <xf numFmtId="0" fontId="15" fillId="5" borderId="0" xfId="0" applyFont="1" applyFill="1" applyBorder="1" applyAlignment="1" applyProtection="1">
      <alignment vertical="center"/>
    </xf>
    <xf numFmtId="0" fontId="129" fillId="3" borderId="265" xfId="3" applyFont="1" applyFill="1" applyBorder="1" applyAlignment="1">
      <alignment horizontal="left" vertical="center"/>
    </xf>
    <xf numFmtId="0" fontId="17" fillId="3" borderId="0" xfId="0" applyFont="1" applyFill="1" applyAlignment="1" applyProtection="1">
      <alignment vertical="center"/>
    </xf>
    <xf numFmtId="0" fontId="12" fillId="3" borderId="0" xfId="0" applyFont="1" applyFill="1" applyAlignment="1" applyProtection="1">
      <alignment vertical="center"/>
    </xf>
    <xf numFmtId="0" fontId="12" fillId="3" borderId="0" xfId="0" applyFont="1" applyFill="1" applyAlignment="1" applyProtection="1">
      <alignment horizontal="right" vertical="center"/>
    </xf>
    <xf numFmtId="0" fontId="17" fillId="3" borderId="0" xfId="0" applyFont="1" applyFill="1" applyAlignment="1" applyProtection="1">
      <alignment horizontal="left" vertical="center" indent="3"/>
    </xf>
    <xf numFmtId="0" fontId="123" fillId="0" borderId="0" xfId="0" applyFont="1" applyFill="1" applyBorder="1" applyAlignment="1">
      <alignment horizontal="center" vertical="top"/>
    </xf>
    <xf numFmtId="0" fontId="121" fillId="0" borderId="0" xfId="0" applyFont="1" applyBorder="1" applyAlignment="1">
      <alignment vertical="top"/>
    </xf>
    <xf numFmtId="0" fontId="121" fillId="0" borderId="0" xfId="0" applyFont="1" applyBorder="1" applyAlignment="1">
      <alignment vertical="top" wrapText="1"/>
    </xf>
    <xf numFmtId="0" fontId="57" fillId="0" borderId="0" xfId="0" applyFont="1" applyBorder="1" applyAlignment="1">
      <alignment vertical="top"/>
    </xf>
    <xf numFmtId="0" fontId="123" fillId="0" borderId="0" xfId="0" applyFont="1" applyFill="1" applyBorder="1" applyAlignment="1">
      <alignment horizontal="right" vertical="top"/>
    </xf>
    <xf numFmtId="0" fontId="124" fillId="0" borderId="0" xfId="0" applyFont="1" applyFill="1" applyBorder="1" applyAlignment="1">
      <alignment horizontal="center" vertical="top"/>
    </xf>
    <xf numFmtId="49" fontId="125" fillId="0" borderId="0" xfId="0" applyNumberFormat="1" applyFont="1" applyFill="1" applyBorder="1" applyAlignment="1">
      <alignment horizontal="left" vertical="top" wrapText="1"/>
    </xf>
    <xf numFmtId="0" fontId="57" fillId="0" borderId="336" xfId="0" applyFont="1" applyFill="1" applyBorder="1" applyAlignment="1">
      <alignment vertical="top"/>
    </xf>
    <xf numFmtId="0" fontId="123" fillId="0" borderId="335" xfId="0" applyFont="1" applyFill="1" applyBorder="1" applyAlignment="1">
      <alignment horizontal="center" vertical="top"/>
    </xf>
    <xf numFmtId="0" fontId="12" fillId="0" borderId="0" xfId="0" applyFont="1" applyFill="1" applyBorder="1" applyAlignment="1">
      <alignment horizontal="left" vertical="center"/>
    </xf>
    <xf numFmtId="0" fontId="123" fillId="0" borderId="85" xfId="0" applyFont="1" applyFill="1" applyBorder="1" applyAlignment="1">
      <alignment horizontal="center" vertical="center"/>
    </xf>
    <xf numFmtId="0" fontId="123" fillId="0" borderId="4" xfId="0" applyFont="1" applyFill="1" applyBorder="1" applyAlignment="1">
      <alignment horizontal="center" vertical="center"/>
    </xf>
    <xf numFmtId="0" fontId="121" fillId="0" borderId="4" xfId="0" applyFont="1" applyBorder="1" applyAlignment="1">
      <alignment vertical="center" wrapText="1"/>
    </xf>
    <xf numFmtId="0" fontId="121" fillId="0" borderId="4" xfId="0" applyFont="1" applyBorder="1" applyAlignment="1">
      <alignment vertical="center"/>
    </xf>
    <xf numFmtId="0" fontId="57" fillId="0" borderId="4" xfId="0" applyFont="1" applyBorder="1" applyAlignment="1">
      <alignment vertical="center"/>
    </xf>
    <xf numFmtId="0" fontId="123" fillId="0" borderId="4" xfId="0" applyFont="1" applyFill="1" applyBorder="1" applyAlignment="1">
      <alignment horizontal="right" vertical="center"/>
    </xf>
    <xf numFmtId="0" fontId="57" fillId="0" borderId="4" xfId="0" applyFont="1" applyFill="1" applyBorder="1" applyAlignment="1">
      <alignment vertical="center"/>
    </xf>
    <xf numFmtId="0" fontId="124" fillId="0" borderId="4" xfId="0" applyFont="1" applyFill="1" applyBorder="1" applyAlignment="1">
      <alignment horizontal="center" vertical="center"/>
    </xf>
    <xf numFmtId="49" fontId="125" fillId="0" borderId="4" xfId="0" applyNumberFormat="1" applyFont="1" applyFill="1" applyBorder="1" applyAlignment="1">
      <alignment horizontal="left" vertical="center" wrapText="1"/>
    </xf>
    <xf numFmtId="0" fontId="57" fillId="0" borderId="81" xfId="0" applyFont="1" applyFill="1" applyBorder="1" applyAlignment="1">
      <alignment vertical="center"/>
    </xf>
    <xf numFmtId="0" fontId="120" fillId="0" borderId="321" xfId="0" applyFont="1" applyBorder="1" applyAlignment="1"/>
    <xf numFmtId="49" fontId="121" fillId="0" borderId="321" xfId="0" applyNumberFormat="1" applyFont="1" applyFill="1" applyBorder="1" applyAlignment="1">
      <alignment horizontal="left" wrapText="1"/>
    </xf>
    <xf numFmtId="0" fontId="120" fillId="0" borderId="321" xfId="0" applyFont="1" applyFill="1" applyBorder="1" applyAlignment="1"/>
    <xf numFmtId="0" fontId="57" fillId="0" borderId="321" xfId="0" applyFont="1" applyBorder="1" applyAlignment="1"/>
    <xf numFmtId="0" fontId="120" fillId="0" borderId="321" xfId="0" applyFont="1" applyFill="1" applyBorder="1" applyAlignment="1">
      <alignment horizontal="right"/>
    </xf>
    <xf numFmtId="0" fontId="57" fillId="0" borderId="321" xfId="0" applyFont="1" applyFill="1" applyBorder="1" applyAlignment="1"/>
    <xf numFmtId="0" fontId="122" fillId="0" borderId="321" xfId="0" applyFont="1" applyFill="1" applyBorder="1" applyAlignment="1">
      <alignment horizontal="center"/>
    </xf>
    <xf numFmtId="49" fontId="46" fillId="0" borderId="321" xfId="0" applyNumberFormat="1" applyFont="1" applyFill="1" applyBorder="1" applyAlignment="1">
      <alignment horizontal="left" wrapText="1"/>
    </xf>
    <xf numFmtId="0" fontId="57" fillId="0" borderId="356" xfId="0" applyFont="1" applyFill="1" applyBorder="1" applyAlignment="1"/>
    <xf numFmtId="0" fontId="0" fillId="0" borderId="0" xfId="0"/>
    <xf numFmtId="0" fontId="0" fillId="0" borderId="0" xfId="0"/>
    <xf numFmtId="0" fontId="50" fillId="0" borderId="0" xfId="0" applyFont="1" applyAlignment="1">
      <alignment horizontal="center" vertical="top" wrapText="1"/>
    </xf>
    <xf numFmtId="0" fontId="51" fillId="0" borderId="0" xfId="0" applyFont="1"/>
    <xf numFmtId="0" fontId="131" fillId="0" borderId="0" xfId="0" applyFont="1" applyAlignment="1">
      <alignment horizontal="left"/>
    </xf>
    <xf numFmtId="178" fontId="73" fillId="0" borderId="129" xfId="1" applyNumberFormat="1" applyFont="1" applyFill="1" applyBorder="1" applyAlignment="1" applyProtection="1">
      <alignment horizontal="center" vertical="center"/>
      <protection hidden="1"/>
    </xf>
    <xf numFmtId="0" fontId="60" fillId="3" borderId="136" xfId="1" applyFont="1" applyFill="1" applyBorder="1" applyAlignment="1" applyProtection="1">
      <alignment vertical="top"/>
      <protection hidden="1"/>
    </xf>
    <xf numFmtId="0" fontId="60" fillId="3" borderId="0" xfId="1" applyFont="1" applyFill="1" applyBorder="1" applyAlignment="1" applyProtection="1">
      <alignment vertical="top"/>
      <protection hidden="1"/>
    </xf>
    <xf numFmtId="0" fontId="0" fillId="0" borderId="0" xfId="0"/>
    <xf numFmtId="0" fontId="132" fillId="0" borderId="0" xfId="0" applyFont="1" applyAlignment="1">
      <alignment vertical="top"/>
    </xf>
    <xf numFmtId="0" fontId="132" fillId="0" borderId="0" xfId="0" applyFont="1" applyAlignment="1" applyProtection="1"/>
    <xf numFmtId="0" fontId="131" fillId="0" borderId="0" xfId="9" applyFont="1" applyAlignment="1" applyProtection="1"/>
    <xf numFmtId="49" fontId="132" fillId="0" borderId="0" xfId="9" applyNumberFormat="1" applyFont="1" applyAlignment="1" applyProtection="1"/>
    <xf numFmtId="49" fontId="17" fillId="3" borderId="0" xfId="9" applyNumberFormat="1" applyFont="1" applyFill="1" applyAlignment="1" applyProtection="1">
      <alignment horizontal="right" vertical="center"/>
    </xf>
    <xf numFmtId="0" fontId="17" fillId="3" borderId="0" xfId="9" applyFont="1" applyFill="1" applyAlignment="1" applyProtection="1">
      <alignment horizontal="right" vertical="center"/>
    </xf>
    <xf numFmtId="0" fontId="132" fillId="0" borderId="0" xfId="2" applyFont="1" applyAlignment="1" applyProtection="1">
      <alignment vertical="center"/>
      <protection hidden="1"/>
    </xf>
    <xf numFmtId="0" fontId="0" fillId="0" borderId="0" xfId="0"/>
    <xf numFmtId="0" fontId="0" fillId="0" borderId="0" xfId="0"/>
    <xf numFmtId="0" fontId="100" fillId="3" borderId="141" xfId="1" applyFont="1" applyFill="1" applyBorder="1" applyAlignment="1" applyProtection="1">
      <alignment horizontal="left" vertical="center" wrapText="1" indent="1"/>
      <protection hidden="1"/>
    </xf>
    <xf numFmtId="0" fontId="100" fillId="3" borderId="72" xfId="1" applyFont="1" applyFill="1" applyBorder="1" applyAlignment="1" applyProtection="1">
      <alignment horizontal="left" vertical="center" wrapText="1" indent="1"/>
      <protection hidden="1"/>
    </xf>
    <xf numFmtId="0" fontId="100" fillId="3" borderId="73" xfId="1" applyFont="1" applyFill="1" applyBorder="1" applyAlignment="1" applyProtection="1">
      <alignment horizontal="left" vertical="center" wrapText="1" indent="1"/>
      <protection hidden="1"/>
    </xf>
    <xf numFmtId="0" fontId="78" fillId="6" borderId="399" xfId="1" applyFont="1" applyFill="1" applyBorder="1" applyAlignment="1" applyProtection="1">
      <alignment horizontal="left" vertical="top" indent="1"/>
      <protection locked="0"/>
    </xf>
    <xf numFmtId="0" fontId="78" fillId="6" borderId="0" xfId="1" applyFont="1" applyFill="1" applyBorder="1" applyAlignment="1" applyProtection="1">
      <alignment horizontal="left" vertical="top" indent="1"/>
      <protection locked="0"/>
    </xf>
    <xf numFmtId="0" fontId="78" fillId="6" borderId="0" xfId="4" applyFont="1" applyFill="1" applyBorder="1" applyAlignment="1" applyProtection="1">
      <alignment horizontal="left" vertical="top" indent="1"/>
      <protection locked="0"/>
    </xf>
    <xf numFmtId="0" fontId="78" fillId="6" borderId="74" xfId="4" applyFont="1" applyFill="1" applyBorder="1" applyAlignment="1" applyProtection="1">
      <alignment horizontal="left" vertical="top" indent="1"/>
      <protection locked="0"/>
    </xf>
    <xf numFmtId="0" fontId="78" fillId="6" borderId="145" xfId="1" applyFont="1" applyFill="1" applyBorder="1" applyAlignment="1" applyProtection="1">
      <alignment horizontal="left" vertical="top" indent="1"/>
      <protection locked="0"/>
    </xf>
    <xf numFmtId="0" fontId="78" fillId="6" borderId="144" xfId="1" applyFont="1" applyFill="1" applyBorder="1" applyAlignment="1" applyProtection="1">
      <alignment horizontal="left" vertical="top" indent="1"/>
      <protection locked="0"/>
    </xf>
    <xf numFmtId="0" fontId="132" fillId="0" borderId="0" xfId="1" applyFont="1" applyBorder="1" applyProtection="1">
      <protection hidden="1"/>
    </xf>
    <xf numFmtId="170" fontId="12" fillId="3" borderId="0" xfId="1" applyNumberFormat="1" applyFont="1" applyFill="1" applyBorder="1" applyAlignment="1" applyProtection="1">
      <alignment horizontal="left"/>
      <protection hidden="1"/>
    </xf>
    <xf numFmtId="49" fontId="11" fillId="3" borderId="0" xfId="1" applyNumberFormat="1" applyFont="1" applyFill="1" applyBorder="1" applyAlignment="1" applyProtection="1">
      <alignment horizontal="left" indent="1"/>
      <protection hidden="1"/>
    </xf>
    <xf numFmtId="0" fontId="0" fillId="0" borderId="0" xfId="0"/>
    <xf numFmtId="0" fontId="132" fillId="0" borderId="0" xfId="0" applyFont="1" applyFill="1" applyAlignment="1"/>
    <xf numFmtId="0" fontId="14" fillId="3" borderId="0" xfId="1" applyFont="1" applyFill="1" applyBorder="1" applyAlignment="1" applyProtection="1">
      <alignment horizontal="left" vertical="top" wrapText="1"/>
      <protection hidden="1"/>
    </xf>
    <xf numFmtId="178" fontId="14" fillId="18" borderId="79" xfId="1" applyNumberFormat="1" applyFont="1" applyFill="1" applyBorder="1" applyAlignment="1" applyProtection="1">
      <alignment vertical="center"/>
      <protection hidden="1"/>
    </xf>
    <xf numFmtId="178" fontId="14" fillId="18" borderId="75" xfId="1" applyNumberFormat="1" applyFont="1" applyFill="1" applyBorder="1" applyAlignment="1" applyProtection="1">
      <alignment vertical="center"/>
      <protection hidden="1"/>
    </xf>
    <xf numFmtId="0" fontId="14" fillId="3" borderId="145" xfId="1" applyFont="1" applyFill="1" applyBorder="1" applyAlignment="1" applyProtection="1">
      <alignment horizontal="left" vertical="top" wrapText="1"/>
      <protection hidden="1"/>
    </xf>
    <xf numFmtId="0" fontId="0" fillId="0" borderId="0" xfId="0"/>
    <xf numFmtId="9" fontId="58" fillId="0" borderId="9" xfId="9" applyNumberFormat="1" applyFont="1" applyFill="1" applyBorder="1" applyAlignment="1" applyProtection="1">
      <alignment vertical="center"/>
      <protection locked="0"/>
    </xf>
    <xf numFmtId="0" fontId="17" fillId="3" borderId="0" xfId="0" applyFont="1" applyFill="1" applyAlignment="1" applyProtection="1">
      <alignment horizontal="left" vertical="center"/>
    </xf>
    <xf numFmtId="0" fontId="14" fillId="19" borderId="141" xfId="1" applyFont="1" applyFill="1" applyBorder="1" applyAlignment="1" applyProtection="1">
      <alignment horizontal="left" vertical="center" indent="1"/>
    </xf>
    <xf numFmtId="0" fontId="14" fillId="19" borderId="72" xfId="1" applyFont="1" applyFill="1" applyBorder="1" applyAlignment="1" applyProtection="1">
      <alignment horizontal="left" vertical="center" wrapText="1" indent="1"/>
    </xf>
    <xf numFmtId="0" fontId="14" fillId="18" borderId="72" xfId="1" applyFont="1" applyFill="1" applyBorder="1" applyAlignment="1" applyProtection="1">
      <alignment horizontal="left" vertical="center" wrapText="1" indent="1"/>
    </xf>
    <xf numFmtId="0" fontId="14" fillId="18" borderId="72" xfId="1" applyFont="1" applyFill="1" applyBorder="1" applyAlignment="1" applyProtection="1">
      <alignment horizontal="center" vertical="center"/>
    </xf>
    <xf numFmtId="0" fontId="9" fillId="8" borderId="18" xfId="1" applyNumberFormat="1" applyFont="1" applyFill="1" applyBorder="1" applyAlignment="1" applyProtection="1">
      <alignment vertical="center"/>
      <protection locked="0"/>
    </xf>
    <xf numFmtId="0" fontId="9" fillId="8" borderId="403" xfId="1" applyNumberFormat="1" applyFont="1" applyFill="1" applyBorder="1" applyAlignment="1" applyProtection="1">
      <alignment vertical="center"/>
      <protection locked="0"/>
    </xf>
    <xf numFmtId="0" fontId="9" fillId="6" borderId="403" xfId="7" applyNumberFormat="1" applyFont="1" applyFill="1" applyBorder="1" applyAlignment="1" applyProtection="1">
      <alignment horizontal="left"/>
      <protection locked="0"/>
    </xf>
    <xf numFmtId="199" fontId="9" fillId="8" borderId="404" xfId="1" applyNumberFormat="1" applyFont="1" applyFill="1" applyBorder="1" applyAlignment="1" applyProtection="1">
      <alignment horizontal="right" vertical="center" indent="1"/>
      <protection locked="0"/>
    </xf>
    <xf numFmtId="199" fontId="9" fillId="8" borderId="406" xfId="1" applyNumberFormat="1" applyFont="1" applyFill="1" applyBorder="1" applyAlignment="1" applyProtection="1">
      <alignment horizontal="right" vertical="center" indent="1"/>
      <protection locked="0"/>
    </xf>
    <xf numFmtId="0" fontId="14" fillId="18" borderId="47" xfId="1" applyFont="1" applyFill="1" applyBorder="1" applyAlignment="1" applyProtection="1">
      <alignment horizontal="left" vertical="center"/>
    </xf>
    <xf numFmtId="0" fontId="14" fillId="18" borderId="47" xfId="1" applyFont="1" applyFill="1" applyBorder="1" applyAlignment="1" applyProtection="1">
      <alignment horizontal="center" vertical="center"/>
    </xf>
    <xf numFmtId="0" fontId="14" fillId="18" borderId="71" xfId="1" applyFont="1" applyFill="1" applyBorder="1" applyAlignment="1" applyProtection="1">
      <alignment horizontal="center" vertical="center"/>
    </xf>
    <xf numFmtId="178" fontId="100" fillId="18" borderId="70" xfId="1" applyNumberFormat="1" applyFont="1" applyFill="1" applyBorder="1" applyAlignment="1" applyProtection="1">
      <alignment vertical="center"/>
      <protection hidden="1"/>
    </xf>
    <xf numFmtId="178" fontId="100" fillId="18" borderId="163" xfId="1" applyNumberFormat="1" applyFont="1" applyFill="1" applyBorder="1" applyAlignment="1" applyProtection="1">
      <alignment vertical="center"/>
      <protection hidden="1"/>
    </xf>
    <xf numFmtId="178" fontId="14" fillId="18" borderId="194" xfId="1" applyNumberFormat="1" applyFont="1" applyFill="1" applyBorder="1" applyAlignment="1" applyProtection="1">
      <alignment vertical="center"/>
      <protection hidden="1"/>
    </xf>
    <xf numFmtId="178" fontId="14" fillId="18" borderId="201" xfId="1" applyNumberFormat="1" applyFont="1" applyFill="1" applyBorder="1" applyAlignment="1" applyProtection="1">
      <alignment vertical="center"/>
      <protection hidden="1"/>
    </xf>
    <xf numFmtId="178" fontId="14" fillId="19" borderId="201" xfId="1" applyNumberFormat="1" applyFont="1" applyFill="1" applyBorder="1" applyAlignment="1" applyProtection="1">
      <alignment vertical="center"/>
      <protection hidden="1"/>
    </xf>
    <xf numFmtId="0" fontId="14" fillId="19" borderId="88" xfId="1" applyFont="1" applyFill="1" applyBorder="1" applyAlignment="1" applyProtection="1">
      <alignment horizontal="left" vertical="center" indent="1"/>
      <protection hidden="1"/>
    </xf>
    <xf numFmtId="178" fontId="14" fillId="18" borderId="163" xfId="1" applyNumberFormat="1" applyFont="1" applyFill="1" applyBorder="1" applyAlignment="1" applyProtection="1">
      <alignment horizontal="center" vertical="center"/>
      <protection hidden="1"/>
    </xf>
    <xf numFmtId="178" fontId="14" fillId="18" borderId="47" xfId="1" applyNumberFormat="1" applyFont="1" applyFill="1" applyBorder="1" applyAlignment="1" applyProtection="1">
      <alignment horizontal="center" vertical="center"/>
      <protection hidden="1"/>
    </xf>
    <xf numFmtId="0" fontId="14" fillId="19" borderId="72" xfId="1" applyFont="1" applyFill="1" applyBorder="1" applyAlignment="1" applyProtection="1">
      <alignment horizontal="left" vertical="center" indent="1"/>
      <protection hidden="1"/>
    </xf>
    <xf numFmtId="0" fontId="14" fillId="19" borderId="142" xfId="1" applyFont="1" applyFill="1" applyBorder="1" applyAlignment="1" applyProtection="1">
      <alignment horizontal="left" vertical="center" indent="1"/>
      <protection hidden="1"/>
    </xf>
    <xf numFmtId="0" fontId="0" fillId="0" borderId="0" xfId="0"/>
    <xf numFmtId="10" fontId="14" fillId="18" borderId="0" xfId="5" applyNumberFormat="1" applyFont="1" applyFill="1" applyBorder="1" applyAlignment="1" applyProtection="1">
      <alignment horizontal="center" vertical="center"/>
      <protection hidden="1"/>
    </xf>
    <xf numFmtId="10" fontId="65" fillId="18" borderId="47" xfId="1" applyNumberFormat="1" applyFont="1" applyFill="1" applyBorder="1" applyAlignment="1" applyProtection="1">
      <alignment horizontal="right" vertical="center" wrapText="1"/>
    </xf>
    <xf numFmtId="0" fontId="55" fillId="19" borderId="0" xfId="4" applyFill="1" applyBorder="1" applyAlignment="1" applyProtection="1">
      <alignment horizontal="left" vertical="center" wrapText="1"/>
    </xf>
    <xf numFmtId="0" fontId="55" fillId="19" borderId="143" xfId="4" applyFill="1" applyBorder="1" applyAlignment="1" applyProtection="1">
      <alignment horizontal="left" vertical="center" wrapText="1"/>
    </xf>
    <xf numFmtId="0" fontId="55" fillId="19" borderId="75" xfId="4" applyFill="1" applyBorder="1" applyAlignment="1" applyProtection="1">
      <alignment horizontal="left" vertical="center" wrapText="1"/>
    </xf>
    <xf numFmtId="0" fontId="14" fillId="3" borderId="408" xfId="1" applyFont="1" applyFill="1" applyBorder="1" applyAlignment="1" applyProtection="1">
      <alignment horizontal="left" vertical="center" indent="1"/>
      <protection hidden="1"/>
    </xf>
    <xf numFmtId="0" fontId="14" fillId="3" borderId="409" xfId="1" applyFont="1" applyFill="1" applyBorder="1" applyAlignment="1" applyProtection="1">
      <alignment horizontal="left" vertical="center" indent="1"/>
      <protection hidden="1"/>
    </xf>
    <xf numFmtId="178" fontId="100" fillId="19" borderId="47" xfId="1" applyNumberFormat="1" applyFont="1" applyFill="1" applyBorder="1" applyAlignment="1" applyProtection="1">
      <alignment vertical="center"/>
      <protection hidden="1"/>
    </xf>
    <xf numFmtId="0" fontId="14" fillId="19" borderId="47" xfId="4" applyFont="1" applyFill="1" applyBorder="1" applyAlignment="1" applyProtection="1">
      <alignment horizontal="left" vertical="center"/>
      <protection hidden="1"/>
    </xf>
    <xf numFmtId="0" fontId="14" fillId="19" borderId="72" xfId="1" applyFont="1" applyFill="1" applyBorder="1" applyAlignment="1" applyProtection="1">
      <alignment horizontal="left" vertical="center"/>
      <protection hidden="1"/>
    </xf>
    <xf numFmtId="0" fontId="14" fillId="19" borderId="410" xfId="1" applyFont="1" applyFill="1" applyBorder="1" applyAlignment="1" applyProtection="1">
      <alignment horizontal="left" vertical="center" indent="1"/>
      <protection hidden="1"/>
    </xf>
    <xf numFmtId="0" fontId="14" fillId="19" borderId="47" xfId="1" applyFont="1" applyFill="1" applyBorder="1" applyAlignment="1" applyProtection="1">
      <alignment horizontal="left" vertical="center" indent="1"/>
      <protection hidden="1"/>
    </xf>
    <xf numFmtId="0" fontId="14" fillId="3" borderId="47" xfId="0" applyFont="1" applyFill="1" applyBorder="1" applyAlignment="1">
      <alignment horizontal="center" vertical="center"/>
    </xf>
    <xf numFmtId="178" fontId="14" fillId="18" borderId="47" xfId="1" applyNumberFormat="1" applyFont="1" applyFill="1" applyBorder="1" applyAlignment="1" applyProtection="1">
      <alignment horizontal="center" vertical="center"/>
      <protection hidden="1"/>
    </xf>
    <xf numFmtId="0" fontId="14" fillId="19" borderId="139" xfId="1" applyFont="1" applyFill="1" applyBorder="1" applyAlignment="1" applyProtection="1">
      <alignment vertical="center"/>
      <protection hidden="1"/>
    </xf>
    <xf numFmtId="0" fontId="14" fillId="19" borderId="88" xfId="1" applyFont="1" applyFill="1" applyBorder="1" applyAlignment="1" applyProtection="1">
      <alignment vertical="center"/>
      <protection hidden="1"/>
    </xf>
    <xf numFmtId="0" fontId="14" fillId="19" borderId="88" xfId="4" applyFont="1" applyFill="1" applyBorder="1" applyAlignment="1" applyProtection="1">
      <alignment vertical="center"/>
      <protection hidden="1"/>
    </xf>
    <xf numFmtId="0" fontId="14" fillId="19" borderId="89" xfId="4" applyFont="1" applyFill="1" applyBorder="1" applyAlignment="1" applyProtection="1">
      <alignment vertical="center"/>
      <protection hidden="1"/>
    </xf>
    <xf numFmtId="0" fontId="12" fillId="0" borderId="61" xfId="0" applyFont="1" applyBorder="1"/>
    <xf numFmtId="0" fontId="12" fillId="0" borderId="62" xfId="0" applyFont="1" applyBorder="1"/>
    <xf numFmtId="0" fontId="12" fillId="0" borderId="65" xfId="0" applyFont="1" applyBorder="1" applyAlignment="1">
      <alignment horizontal="left" vertical="top" wrapText="1" indent="1"/>
    </xf>
    <xf numFmtId="0" fontId="12" fillId="0" borderId="68" xfId="0" applyFont="1" applyBorder="1" applyAlignment="1">
      <alignment horizontal="left" vertical="top" wrapText="1" indent="1"/>
    </xf>
    <xf numFmtId="0" fontId="12" fillId="0" borderId="66" xfId="0" applyFont="1" applyBorder="1" applyAlignment="1">
      <alignment horizontal="left" vertical="top" wrapText="1" indent="1"/>
    </xf>
    <xf numFmtId="0" fontId="12" fillId="0" borderId="61" xfId="0" applyFont="1" applyBorder="1" applyAlignment="1">
      <alignment horizontal="left" vertical="top" wrapText="1" indent="1"/>
    </xf>
    <xf numFmtId="0" fontId="12" fillId="0" borderId="0" xfId="0" applyFont="1" applyBorder="1" applyAlignment="1">
      <alignment horizontal="left" vertical="top" wrapText="1" indent="1"/>
    </xf>
    <xf numFmtId="0" fontId="12" fillId="0" borderId="62" xfId="0" applyFont="1" applyBorder="1" applyAlignment="1">
      <alignment horizontal="left" vertical="top" wrapText="1" indent="1"/>
    </xf>
    <xf numFmtId="0" fontId="12" fillId="0" borderId="63" xfId="0" applyFont="1" applyBorder="1" applyAlignment="1">
      <alignment horizontal="left" vertical="top" wrapText="1" indent="1"/>
    </xf>
    <xf numFmtId="0" fontId="12" fillId="0" borderId="67" xfId="0" applyFont="1" applyBorder="1" applyAlignment="1">
      <alignment horizontal="left" vertical="top" wrapText="1" indent="1"/>
    </xf>
    <xf numFmtId="0" fontId="12" fillId="0" borderId="64" xfId="0" applyFont="1" applyBorder="1" applyAlignment="1">
      <alignment horizontal="left" vertical="top" wrapText="1" indent="1"/>
    </xf>
    <xf numFmtId="0" fontId="99" fillId="10" borderId="65" xfId="4" applyFont="1" applyFill="1" applyBorder="1" applyAlignment="1" applyProtection="1">
      <alignment horizontal="center" vertical="center"/>
      <protection locked="0" hidden="1"/>
    </xf>
    <xf numFmtId="0" fontId="99" fillId="10" borderId="66" xfId="4" applyFont="1" applyFill="1" applyBorder="1" applyAlignment="1" applyProtection="1">
      <alignment horizontal="center" vertical="center"/>
      <protection locked="0" hidden="1"/>
    </xf>
    <xf numFmtId="0" fontId="11" fillId="12" borderId="0" xfId="0" applyFont="1" applyFill="1" applyAlignment="1">
      <alignment horizontal="left" indent="1"/>
    </xf>
    <xf numFmtId="0" fontId="99" fillId="4" borderId="65" xfId="4" applyFont="1" applyFill="1" applyBorder="1" applyAlignment="1" applyProtection="1">
      <alignment horizontal="center" vertical="center"/>
      <protection locked="0" hidden="1"/>
    </xf>
    <xf numFmtId="0" fontId="99" fillId="4" borderId="66" xfId="4" applyFont="1" applyFill="1" applyBorder="1" applyAlignment="1" applyProtection="1">
      <alignment horizontal="center" vertical="center"/>
      <protection locked="0" hidden="1"/>
    </xf>
    <xf numFmtId="0" fontId="12" fillId="0" borderId="61" xfId="0" applyFont="1" applyFill="1" applyBorder="1" applyAlignment="1">
      <alignment vertical="top" wrapText="1"/>
    </xf>
    <xf numFmtId="0" fontId="12" fillId="0" borderId="0" xfId="0" applyFont="1" applyFill="1" applyBorder="1" applyAlignment="1">
      <alignment vertical="top" wrapText="1"/>
    </xf>
    <xf numFmtId="0" fontId="12" fillId="0" borderId="62" xfId="0" applyFont="1" applyFill="1" applyBorder="1" applyAlignment="1">
      <alignment vertical="top" wrapText="1"/>
    </xf>
    <xf numFmtId="0" fontId="12" fillId="0" borderId="63" xfId="0" applyFont="1" applyFill="1" applyBorder="1" applyAlignment="1">
      <alignment vertical="top" wrapText="1"/>
    </xf>
    <xf numFmtId="0" fontId="12" fillId="0" borderId="67" xfId="0" applyFont="1" applyFill="1" applyBorder="1" applyAlignment="1">
      <alignment vertical="top" wrapText="1"/>
    </xf>
    <xf numFmtId="0" fontId="12" fillId="0" borderId="64" xfId="0" applyFont="1" applyFill="1" applyBorder="1" applyAlignment="1">
      <alignment vertical="top" wrapText="1"/>
    </xf>
    <xf numFmtId="0" fontId="0" fillId="0" borderId="63" xfId="0" applyBorder="1"/>
    <xf numFmtId="0" fontId="0" fillId="0" borderId="64" xfId="0" applyBorder="1"/>
    <xf numFmtId="0" fontId="99" fillId="15" borderId="65" xfId="4" applyFont="1" applyFill="1" applyBorder="1" applyAlignment="1" applyProtection="1">
      <alignment horizontal="center" vertical="center"/>
      <protection locked="0" hidden="1"/>
    </xf>
    <xf numFmtId="0" fontId="99" fillId="15" borderId="66" xfId="4" applyFont="1" applyFill="1" applyBorder="1" applyAlignment="1" applyProtection="1">
      <alignment horizontal="center" vertical="center"/>
      <protection locked="0" hidden="1"/>
    </xf>
    <xf numFmtId="0" fontId="12" fillId="0" borderId="58" xfId="0" applyFont="1" applyBorder="1" applyAlignment="1">
      <alignment vertical="top" wrapText="1"/>
    </xf>
    <xf numFmtId="0" fontId="12" fillId="0" borderId="59" xfId="0" applyFont="1" applyBorder="1" applyAlignment="1">
      <alignment vertical="top" wrapText="1"/>
    </xf>
    <xf numFmtId="0" fontId="12" fillId="0" borderId="60" xfId="0" applyFont="1" applyBorder="1" applyAlignment="1">
      <alignment vertical="top" wrapText="1"/>
    </xf>
    <xf numFmtId="0" fontId="12" fillId="0" borderId="59" xfId="0" applyFont="1" applyBorder="1" applyAlignment="1">
      <alignment horizontal="left" vertical="top" wrapText="1" indent="1"/>
    </xf>
    <xf numFmtId="0" fontId="0" fillId="0" borderId="59" xfId="0" applyBorder="1" applyAlignment="1">
      <alignment horizontal="left" vertical="top" wrapText="1" indent="1"/>
    </xf>
    <xf numFmtId="0" fontId="12" fillId="0" borderId="60" xfId="0" applyFont="1" applyBorder="1" applyAlignment="1">
      <alignment horizontal="left" vertical="top" wrapText="1" indent="1"/>
    </xf>
    <xf numFmtId="0" fontId="0" fillId="0" borderId="60" xfId="0" applyBorder="1" applyAlignment="1">
      <alignment horizontal="left" vertical="top" wrapText="1" indent="1"/>
    </xf>
    <xf numFmtId="0" fontId="99" fillId="14" borderId="65" xfId="4" applyFont="1" applyFill="1" applyBorder="1" applyAlignment="1" applyProtection="1">
      <alignment horizontal="center" vertical="center"/>
      <protection locked="0" hidden="1"/>
    </xf>
    <xf numFmtId="0" fontId="99" fillId="14" borderId="66" xfId="4" applyFont="1" applyFill="1" applyBorder="1" applyAlignment="1" applyProtection="1">
      <alignment horizontal="center" vertical="center"/>
      <protection locked="0" hidden="1"/>
    </xf>
    <xf numFmtId="0" fontId="12" fillId="0" borderId="0" xfId="0" applyFont="1" applyAlignment="1">
      <alignment vertical="top" wrapText="1"/>
    </xf>
    <xf numFmtId="0" fontId="0" fillId="0" borderId="0" xfId="0" applyAlignment="1">
      <alignment vertical="top" wrapText="1"/>
    </xf>
    <xf numFmtId="0" fontId="54" fillId="13" borderId="0" xfId="0" applyFont="1" applyFill="1" applyAlignment="1">
      <alignment vertical="center"/>
    </xf>
    <xf numFmtId="0" fontId="99" fillId="16" borderId="65" xfId="4" applyFont="1" applyFill="1" applyBorder="1" applyAlignment="1" applyProtection="1">
      <alignment horizontal="center" vertical="center"/>
      <protection locked="0" hidden="1"/>
    </xf>
    <xf numFmtId="0" fontId="99" fillId="16" borderId="66" xfId="4" applyFont="1" applyFill="1" applyBorder="1" applyAlignment="1" applyProtection="1">
      <alignment horizontal="center" vertical="center"/>
      <protection locked="0" hidden="1"/>
    </xf>
    <xf numFmtId="0" fontId="12" fillId="0" borderId="392" xfId="0" applyFont="1" applyBorder="1" applyAlignment="1">
      <alignment horizontal="left" vertical="top" wrapText="1" indent="1"/>
    </xf>
    <xf numFmtId="0" fontId="12" fillId="0" borderId="391" xfId="0" applyFont="1" applyBorder="1" applyAlignment="1">
      <alignment horizontal="left" vertical="top" wrapText="1" indent="1"/>
    </xf>
    <xf numFmtId="0" fontId="12" fillId="0" borderId="393" xfId="0" applyFont="1" applyBorder="1" applyAlignment="1">
      <alignment horizontal="left" vertical="top" wrapText="1" indent="1"/>
    </xf>
    <xf numFmtId="0" fontId="12" fillId="0" borderId="65" xfId="0" applyFont="1" applyBorder="1" applyAlignment="1">
      <alignment vertical="top" wrapText="1"/>
    </xf>
    <xf numFmtId="0" fontId="12" fillId="0" borderId="68" xfId="0" applyFont="1" applyBorder="1" applyAlignment="1">
      <alignment vertical="top" wrapText="1"/>
    </xf>
    <xf numFmtId="0" fontId="12" fillId="0" borderId="66" xfId="0" applyFont="1" applyBorder="1" applyAlignment="1">
      <alignment vertical="top" wrapText="1"/>
    </xf>
    <xf numFmtId="0" fontId="12" fillId="0" borderId="61" xfId="0" applyFont="1" applyBorder="1" applyAlignment="1">
      <alignment vertical="top" wrapText="1"/>
    </xf>
    <xf numFmtId="0" fontId="12" fillId="0" borderId="0" xfId="0" applyFont="1" applyBorder="1" applyAlignment="1">
      <alignment vertical="top" wrapText="1"/>
    </xf>
    <xf numFmtId="0" fontId="12" fillId="0" borderId="62" xfId="0" applyFont="1" applyBorder="1" applyAlignment="1">
      <alignment vertical="top" wrapText="1"/>
    </xf>
    <xf numFmtId="0" fontId="17" fillId="0" borderId="0" xfId="0" applyFont="1" applyAlignment="1">
      <alignment vertical="top" wrapText="1"/>
    </xf>
    <xf numFmtId="0" fontId="99" fillId="17" borderId="65" xfId="4" applyFont="1" applyFill="1" applyBorder="1" applyAlignment="1" applyProtection="1">
      <alignment horizontal="center" vertical="center"/>
      <protection locked="0" hidden="1"/>
    </xf>
    <xf numFmtId="0" fontId="99" fillId="17" borderId="66" xfId="4" applyFont="1" applyFill="1" applyBorder="1" applyAlignment="1" applyProtection="1">
      <alignment horizontal="center" vertical="center"/>
      <protection locked="0" hidden="1"/>
    </xf>
    <xf numFmtId="0" fontId="49" fillId="0" borderId="58" xfId="0" applyFont="1" applyBorder="1" applyAlignment="1">
      <alignment horizontal="left" vertical="top" wrapText="1" indent="1"/>
    </xf>
    <xf numFmtId="0" fontId="12" fillId="0" borderId="63" xfId="0" applyFont="1" applyBorder="1" applyAlignment="1">
      <alignment horizontal="left" vertical="top" wrapText="1"/>
    </xf>
    <xf numFmtId="0" fontId="12" fillId="0" borderId="67" xfId="0" applyFont="1" applyBorder="1" applyAlignment="1">
      <alignment horizontal="left" vertical="top" wrapText="1"/>
    </xf>
    <xf numFmtId="0" fontId="12" fillId="0" borderId="64" xfId="0" applyFont="1" applyBorder="1" applyAlignment="1">
      <alignment horizontal="left" vertical="top" wrapText="1"/>
    </xf>
    <xf numFmtId="0" fontId="99" fillId="20" borderId="65" xfId="4" applyFont="1" applyFill="1" applyBorder="1" applyAlignment="1" applyProtection="1">
      <alignment horizontal="center" vertical="center"/>
      <protection locked="0" hidden="1"/>
    </xf>
    <xf numFmtId="0" fontId="99" fillId="20" borderId="66" xfId="4" applyFont="1" applyFill="1" applyBorder="1" applyAlignment="1" applyProtection="1">
      <alignment horizontal="center" vertical="center"/>
      <protection locked="0" hidden="1"/>
    </xf>
    <xf numFmtId="0" fontId="12" fillId="0" borderId="0" xfId="0" applyFont="1" applyAlignment="1">
      <alignment horizontal="left" vertical="top" wrapText="1" indent="1"/>
    </xf>
    <xf numFmtId="0" fontId="55" fillId="0" borderId="61" xfId="4" applyFill="1" applyBorder="1" applyAlignment="1" applyProtection="1">
      <alignment horizontal="center" vertical="center"/>
    </xf>
    <xf numFmtId="0" fontId="55" fillId="0" borderId="62" xfId="4" applyFill="1" applyBorder="1" applyAlignment="1" applyProtection="1">
      <alignment horizontal="center" vertical="center"/>
    </xf>
    <xf numFmtId="0" fontId="17" fillId="0" borderId="0" xfId="0" applyFont="1" applyAlignment="1">
      <alignment horizontal="left" vertical="top" wrapText="1" indent="1"/>
    </xf>
    <xf numFmtId="0" fontId="0" fillId="0" borderId="0" xfId="0" applyAlignment="1">
      <alignment horizontal="center"/>
    </xf>
    <xf numFmtId="0" fontId="12" fillId="0" borderId="0" xfId="0" applyFont="1" applyAlignment="1">
      <alignment vertical="top"/>
    </xf>
    <xf numFmtId="0" fontId="12" fillId="0" borderId="63" xfId="0" applyFont="1" applyBorder="1" applyAlignment="1">
      <alignment vertical="top" wrapText="1"/>
    </xf>
    <xf numFmtId="0" fontId="12" fillId="0" borderId="67" xfId="0" applyFont="1" applyBorder="1" applyAlignment="1">
      <alignment vertical="top" wrapText="1"/>
    </xf>
    <xf numFmtId="0" fontId="12" fillId="0" borderId="64" xfId="0" applyFont="1" applyBorder="1" applyAlignment="1">
      <alignment vertical="top" wrapText="1"/>
    </xf>
    <xf numFmtId="0" fontId="12" fillId="12" borderId="0" xfId="0" applyFont="1" applyFill="1" applyAlignment="1">
      <alignment horizontal="left" vertical="top" wrapText="1" indent="1"/>
    </xf>
    <xf numFmtId="0" fontId="0" fillId="0" borderId="61" xfId="0" applyBorder="1"/>
    <xf numFmtId="0" fontId="0" fillId="0" borderId="62" xfId="0" applyBorder="1"/>
    <xf numFmtId="0" fontId="99" fillId="15" borderId="147" xfId="4" applyFont="1" applyFill="1" applyBorder="1" applyAlignment="1" applyProtection="1">
      <alignment horizontal="center" vertical="center"/>
      <protection locked="0" hidden="1"/>
    </xf>
    <xf numFmtId="0" fontId="99" fillId="15" borderId="148" xfId="4" applyFont="1" applyFill="1" applyBorder="1" applyAlignment="1" applyProtection="1">
      <alignment horizontal="center" vertical="center"/>
      <protection locked="0" hidden="1"/>
    </xf>
    <xf numFmtId="0" fontId="12" fillId="0" borderId="147" xfId="0" applyFont="1" applyBorder="1" applyAlignment="1">
      <alignment horizontal="left" vertical="top" wrapText="1" indent="1"/>
    </xf>
    <xf numFmtId="0" fontId="12" fillId="0" borderId="149" xfId="0" applyFont="1" applyBorder="1" applyAlignment="1">
      <alignment horizontal="left" vertical="top" wrapText="1" indent="1"/>
    </xf>
    <xf numFmtId="0" fontId="12" fillId="0" borderId="148" xfId="0" applyFont="1" applyBorder="1" applyAlignment="1">
      <alignment horizontal="left" vertical="top" wrapText="1" indent="1"/>
    </xf>
    <xf numFmtId="0" fontId="12" fillId="0" borderId="63" xfId="0" quotePrefix="1" applyFont="1" applyBorder="1" applyAlignment="1">
      <alignment horizontal="left" vertical="top" wrapText="1" indent="1"/>
    </xf>
    <xf numFmtId="0" fontId="12" fillId="0" borderId="67" xfId="0" quotePrefix="1" applyFont="1" applyBorder="1" applyAlignment="1">
      <alignment horizontal="left" vertical="top" wrapText="1" indent="1"/>
    </xf>
    <xf numFmtId="0" fontId="12" fillId="0" borderId="64" xfId="0" quotePrefix="1" applyFont="1" applyBorder="1" applyAlignment="1">
      <alignment horizontal="left" vertical="top" wrapText="1" indent="1"/>
    </xf>
    <xf numFmtId="0" fontId="12" fillId="0" borderId="61" xfId="0" quotePrefix="1" applyFont="1" applyBorder="1" applyAlignment="1">
      <alignment horizontal="left" vertical="top" wrapText="1" indent="1"/>
    </xf>
    <xf numFmtId="0" fontId="12" fillId="0" borderId="0" xfId="0" quotePrefix="1" applyFont="1" applyBorder="1" applyAlignment="1">
      <alignment horizontal="left" vertical="top" wrapText="1" indent="1"/>
    </xf>
    <xf numFmtId="0" fontId="12" fillId="0" borderId="62" xfId="0" quotePrefix="1" applyFont="1" applyBorder="1" applyAlignment="1">
      <alignment horizontal="left" vertical="top" wrapText="1" indent="1"/>
    </xf>
    <xf numFmtId="0" fontId="12" fillId="0" borderId="65" xfId="0" applyFont="1" applyBorder="1" applyAlignment="1">
      <alignment horizontal="left" vertical="top" wrapText="1"/>
    </xf>
    <xf numFmtId="0" fontId="12" fillId="0" borderId="68" xfId="0" applyFont="1" applyBorder="1" applyAlignment="1">
      <alignment horizontal="left" vertical="top" wrapText="1"/>
    </xf>
    <xf numFmtId="0" fontId="12" fillId="0" borderId="66" xfId="0" applyFont="1" applyBorder="1" applyAlignment="1">
      <alignment horizontal="left" vertical="top" wrapText="1"/>
    </xf>
    <xf numFmtId="0" fontId="12" fillId="0" borderId="61" xfId="0" applyFont="1" applyBorder="1" applyAlignment="1">
      <alignment horizontal="left" vertical="top" wrapText="1"/>
    </xf>
    <xf numFmtId="0" fontId="12" fillId="0" borderId="0" xfId="0" applyFont="1" applyBorder="1" applyAlignment="1">
      <alignment horizontal="left" vertical="top" wrapText="1"/>
    </xf>
    <xf numFmtId="0" fontId="12" fillId="0" borderId="62" xfId="0" applyFont="1" applyBorder="1" applyAlignment="1">
      <alignment horizontal="left" vertical="top" wrapText="1"/>
    </xf>
    <xf numFmtId="0" fontId="17" fillId="0" borderId="0" xfId="0" applyFont="1" applyFill="1" applyAlignment="1" applyProtection="1">
      <alignment horizontal="left" vertical="center"/>
    </xf>
    <xf numFmtId="0" fontId="17" fillId="6" borderId="0" xfId="0" applyFont="1" applyFill="1" applyAlignment="1" applyProtection="1">
      <alignment horizontal="left" vertical="center"/>
      <protection locked="0"/>
    </xf>
    <xf numFmtId="0" fontId="19" fillId="4" borderId="0" xfId="0" applyFont="1" applyFill="1" applyAlignment="1" applyProtection="1">
      <alignment horizontal="left" vertical="center" wrapText="1"/>
    </xf>
    <xf numFmtId="0" fontId="44" fillId="0" borderId="109" xfId="0" applyFont="1" applyBorder="1" applyAlignment="1" applyProtection="1">
      <alignment horizontal="center" vertical="center"/>
    </xf>
    <xf numFmtId="0" fontId="44" fillId="0" borderId="111" xfId="0" applyFont="1" applyBorder="1" applyAlignment="1" applyProtection="1">
      <alignment horizontal="center" vertical="center"/>
    </xf>
    <xf numFmtId="0" fontId="44" fillId="0" borderId="105" xfId="0" applyFont="1" applyBorder="1" applyAlignment="1" applyProtection="1">
      <alignment horizontal="center" vertical="center"/>
    </xf>
    <xf numFmtId="0" fontId="44" fillId="0" borderId="106" xfId="0" applyFont="1" applyBorder="1" applyAlignment="1" applyProtection="1">
      <alignment horizontal="center" vertical="center"/>
    </xf>
    <xf numFmtId="0" fontId="0" fillId="12" borderId="0" xfId="0" applyFill="1" applyAlignment="1" applyProtection="1">
      <alignment horizontal="left" vertical="center" wrapText="1"/>
    </xf>
    <xf numFmtId="0" fontId="12" fillId="6" borderId="0" xfId="0" applyFont="1" applyFill="1" applyAlignment="1" applyProtection="1">
      <protection locked="0"/>
    </xf>
    <xf numFmtId="0" fontId="0" fillId="6" borderId="0" xfId="0" applyFill="1" applyProtection="1">
      <protection locked="0"/>
    </xf>
    <xf numFmtId="0" fontId="12" fillId="6" borderId="0" xfId="0" applyFont="1" applyFill="1" applyAlignment="1" applyProtection="1">
      <alignment horizontal="center" vertical="center"/>
      <protection locked="0"/>
    </xf>
    <xf numFmtId="14" fontId="0" fillId="6" borderId="0" xfId="0" applyNumberFormat="1" applyFill="1" applyAlignment="1" applyProtection="1">
      <alignment horizontal="center" vertical="center"/>
      <protection locked="0"/>
    </xf>
    <xf numFmtId="0" fontId="12" fillId="6" borderId="0" xfId="0" applyFont="1" applyFill="1" applyAlignment="1" applyProtection="1">
      <alignment horizontal="left" vertical="center"/>
      <protection locked="0"/>
    </xf>
    <xf numFmtId="0" fontId="110" fillId="0" borderId="239" xfId="1" applyFont="1" applyBorder="1" applyAlignment="1" applyProtection="1">
      <alignment horizontal="center" vertical="center" wrapText="1"/>
    </xf>
    <xf numFmtId="0" fontId="110" fillId="0" borderId="240" xfId="1" applyFont="1" applyBorder="1" applyAlignment="1" applyProtection="1">
      <alignment horizontal="center" vertical="center" wrapText="1"/>
    </xf>
    <xf numFmtId="0" fontId="12" fillId="12" borderId="0" xfId="0" applyFont="1" applyFill="1" applyAlignment="1" applyProtection="1">
      <alignment vertical="center" wrapText="1"/>
    </xf>
    <xf numFmtId="0" fontId="110" fillId="0" borderId="0" xfId="1" applyFont="1" applyBorder="1" applyAlignment="1" applyProtection="1">
      <alignment horizontal="center" vertical="center" wrapText="1"/>
    </xf>
    <xf numFmtId="0" fontId="12" fillId="6" borderId="0" xfId="0" applyFont="1" applyFill="1" applyProtection="1">
      <protection locked="0"/>
    </xf>
    <xf numFmtId="203" fontId="13" fillId="19" borderId="0" xfId="0" applyNumberFormat="1" applyFont="1" applyFill="1" applyAlignment="1" applyProtection="1">
      <alignment horizontal="left" vertical="center"/>
      <protection hidden="1"/>
    </xf>
    <xf numFmtId="0" fontId="102" fillId="19" borderId="72" xfId="4" applyFont="1" applyFill="1" applyBorder="1" applyAlignment="1" applyProtection="1">
      <alignment vertical="center" wrapText="1"/>
      <protection locked="0" hidden="1"/>
    </xf>
    <xf numFmtId="0" fontId="102" fillId="19" borderId="73" xfId="4" applyFont="1" applyFill="1" applyBorder="1" applyAlignment="1" applyProtection="1">
      <alignment vertical="center" wrapText="1"/>
      <protection locked="0" hidden="1"/>
    </xf>
    <xf numFmtId="0" fontId="102" fillId="19" borderId="0" xfId="4" applyFont="1" applyFill="1" applyBorder="1" applyAlignment="1" applyProtection="1">
      <alignment vertical="center" wrapText="1"/>
      <protection locked="0" hidden="1"/>
    </xf>
    <xf numFmtId="0" fontId="102" fillId="19" borderId="74" xfId="4" applyFont="1" applyFill="1" applyBorder="1" applyAlignment="1" applyProtection="1">
      <alignment vertical="center" wrapText="1"/>
      <protection locked="0" hidden="1"/>
    </xf>
    <xf numFmtId="0" fontId="9" fillId="19" borderId="0" xfId="4" applyFont="1" applyFill="1" applyBorder="1" applyAlignment="1" applyProtection="1">
      <alignment horizontal="left" vertical="center" wrapText="1"/>
    </xf>
    <xf numFmtId="0" fontId="9" fillId="19" borderId="74" xfId="4" applyFont="1" applyFill="1" applyBorder="1" applyAlignment="1" applyProtection="1">
      <alignment horizontal="left" vertical="center" wrapText="1"/>
    </xf>
    <xf numFmtId="0" fontId="9" fillId="19" borderId="75" xfId="4" applyFont="1" applyFill="1" applyBorder="1" applyAlignment="1" applyProtection="1">
      <alignment horizontal="left" vertical="center" wrapText="1"/>
    </xf>
    <xf numFmtId="0" fontId="9" fillId="19" borderId="76" xfId="4" applyFont="1" applyFill="1" applyBorder="1" applyAlignment="1" applyProtection="1">
      <alignment horizontal="left" vertical="center" wrapText="1"/>
    </xf>
    <xf numFmtId="0" fontId="102" fillId="19" borderId="410" xfId="4" applyFont="1" applyFill="1" applyBorder="1" applyAlignment="1" applyProtection="1">
      <alignment horizontal="left" vertical="center" indent="1"/>
      <protection hidden="1"/>
    </xf>
    <xf numFmtId="0" fontId="102" fillId="19" borderId="47" xfId="4" applyFont="1" applyFill="1" applyBorder="1" applyAlignment="1" applyProtection="1">
      <alignment horizontal="left" vertical="center" indent="1"/>
      <protection hidden="1"/>
    </xf>
    <xf numFmtId="0" fontId="0" fillId="19" borderId="47" xfId="0" applyFill="1" applyBorder="1"/>
    <xf numFmtId="0" fontId="0" fillId="19" borderId="411" xfId="0" applyFill="1" applyBorder="1"/>
    <xf numFmtId="0" fontId="102" fillId="19" borderId="47" xfId="4" applyFont="1" applyFill="1" applyBorder="1" applyAlignment="1" applyProtection="1">
      <alignment horizontal="left" vertical="center"/>
      <protection hidden="1"/>
    </xf>
    <xf numFmtId="0" fontId="134" fillId="19" borderId="399" xfId="4" applyFont="1" applyFill="1" applyBorder="1" applyAlignment="1" applyProtection="1">
      <alignment horizontal="left" vertical="center" indent="1"/>
      <protection hidden="1"/>
    </xf>
    <xf numFmtId="0" fontId="134" fillId="19" borderId="0" xfId="4" applyFont="1" applyFill="1" applyBorder="1" applyAlignment="1" applyProtection="1">
      <alignment horizontal="left" vertical="center" indent="1"/>
      <protection hidden="1"/>
    </xf>
    <xf numFmtId="0" fontId="134" fillId="19" borderId="145" xfId="4" applyFont="1" applyFill="1" applyBorder="1" applyAlignment="1" applyProtection="1">
      <alignment horizontal="left" vertical="center" indent="1"/>
      <protection hidden="1"/>
    </xf>
    <xf numFmtId="0" fontId="14" fillId="19" borderId="399" xfId="1" applyFont="1" applyFill="1" applyBorder="1" applyAlignment="1" applyProtection="1">
      <alignment horizontal="left" vertical="center" indent="1"/>
      <protection hidden="1"/>
    </xf>
    <xf numFmtId="0" fontId="14" fillId="19" borderId="0" xfId="1" applyFont="1" applyFill="1" applyBorder="1" applyAlignment="1" applyProtection="1">
      <alignment horizontal="left" vertical="center" indent="1"/>
      <protection hidden="1"/>
    </xf>
    <xf numFmtId="0" fontId="14" fillId="19" borderId="145" xfId="1" applyFont="1" applyFill="1" applyBorder="1" applyAlignment="1" applyProtection="1">
      <alignment horizontal="left" vertical="center" indent="1"/>
      <protection hidden="1"/>
    </xf>
    <xf numFmtId="0" fontId="14" fillId="19" borderId="143" xfId="4" applyFont="1" applyFill="1" applyBorder="1" applyAlignment="1" applyProtection="1">
      <alignment horizontal="left" vertical="center" indent="1"/>
      <protection hidden="1"/>
    </xf>
    <xf numFmtId="0" fontId="14" fillId="19" borderId="75" xfId="4" applyFont="1" applyFill="1" applyBorder="1" applyAlignment="1" applyProtection="1">
      <alignment horizontal="left" vertical="center" indent="1"/>
      <protection hidden="1"/>
    </xf>
    <xf numFmtId="0" fontId="14" fillId="19" borderId="144" xfId="4" applyFont="1" applyFill="1" applyBorder="1" applyAlignment="1" applyProtection="1">
      <alignment horizontal="left" vertical="center" indent="1"/>
      <protection hidden="1"/>
    </xf>
    <xf numFmtId="178" fontId="14" fillId="18" borderId="134" xfId="1" applyNumberFormat="1" applyFont="1" applyFill="1" applyBorder="1" applyAlignment="1" applyProtection="1">
      <alignment horizontal="right" vertical="center"/>
      <protection hidden="1"/>
    </xf>
    <xf numFmtId="178" fontId="14" fillId="18" borderId="135" xfId="1" applyNumberFormat="1" applyFont="1" applyFill="1" applyBorder="1" applyAlignment="1" applyProtection="1">
      <alignment horizontal="right" vertical="center"/>
      <protection hidden="1"/>
    </xf>
    <xf numFmtId="178" fontId="14" fillId="6" borderId="72" xfId="1" applyNumberFormat="1" applyFont="1" applyFill="1" applyBorder="1" applyAlignment="1" applyProtection="1">
      <alignment horizontal="center" vertical="center"/>
      <protection locked="0"/>
    </xf>
    <xf numFmtId="178" fontId="14" fillId="6" borderId="75" xfId="1" applyNumberFormat="1" applyFont="1" applyFill="1" applyBorder="1" applyAlignment="1" applyProtection="1">
      <alignment horizontal="center" vertical="center"/>
      <protection locked="0"/>
    </xf>
    <xf numFmtId="178" fontId="78" fillId="6" borderId="174" xfId="1" applyNumberFormat="1" applyFont="1" applyFill="1" applyBorder="1" applyAlignment="1" applyProtection="1">
      <alignment horizontal="center" vertical="center"/>
      <protection locked="0"/>
    </xf>
    <xf numFmtId="178" fontId="78" fillId="6" borderId="175" xfId="1" applyNumberFormat="1" applyFont="1" applyFill="1" applyBorder="1" applyAlignment="1" applyProtection="1">
      <alignment horizontal="center" vertical="center"/>
      <protection locked="0"/>
    </xf>
    <xf numFmtId="178" fontId="78" fillId="6" borderId="79" xfId="1" applyNumberFormat="1" applyFont="1" applyFill="1" applyBorder="1" applyAlignment="1" applyProtection="1">
      <alignment horizontal="center" vertical="center"/>
      <protection locked="0"/>
    </xf>
    <xf numFmtId="178" fontId="78" fillId="6" borderId="80" xfId="1" applyNumberFormat="1" applyFont="1" applyFill="1" applyBorder="1" applyAlignment="1" applyProtection="1">
      <alignment horizontal="center" vertical="center"/>
      <protection locked="0"/>
    </xf>
    <xf numFmtId="178" fontId="14" fillId="3" borderId="174" xfId="1" applyNumberFormat="1" applyFont="1" applyFill="1" applyBorder="1" applyAlignment="1" applyProtection="1">
      <alignment horizontal="right" vertical="center" indent="1"/>
      <protection hidden="1"/>
    </xf>
    <xf numFmtId="178" fontId="14" fillId="3" borderId="175" xfId="1" applyNumberFormat="1" applyFont="1" applyFill="1" applyBorder="1" applyAlignment="1" applyProtection="1">
      <alignment horizontal="right" vertical="center" indent="1"/>
      <protection hidden="1"/>
    </xf>
    <xf numFmtId="178" fontId="78" fillId="6" borderId="74" xfId="1" applyNumberFormat="1" applyFont="1" applyFill="1" applyBorder="1" applyAlignment="1" applyProtection="1">
      <alignment horizontal="center" vertical="center"/>
      <protection locked="0"/>
    </xf>
    <xf numFmtId="178" fontId="78" fillId="6" borderId="76" xfId="1" applyNumberFormat="1" applyFont="1" applyFill="1" applyBorder="1" applyAlignment="1" applyProtection="1">
      <alignment horizontal="center" vertical="center"/>
      <protection locked="0"/>
    </xf>
    <xf numFmtId="175" fontId="78" fillId="6" borderId="136" xfId="1" applyNumberFormat="1" applyFont="1" applyFill="1" applyBorder="1" applyAlignment="1" applyProtection="1">
      <alignment horizontal="right" vertical="center" indent="1"/>
      <protection locked="0"/>
    </xf>
    <xf numFmtId="175" fontId="78" fillId="6" borderId="175" xfId="1" applyNumberFormat="1" applyFont="1" applyFill="1" applyBorder="1" applyAlignment="1" applyProtection="1">
      <alignment horizontal="right" vertical="center" indent="1"/>
      <protection locked="0"/>
    </xf>
    <xf numFmtId="175" fontId="78" fillId="6" borderId="135" xfId="1" applyNumberFormat="1" applyFont="1" applyFill="1" applyBorder="1" applyAlignment="1" applyProtection="1">
      <alignment horizontal="right" vertical="center" indent="1"/>
      <protection locked="0"/>
    </xf>
    <xf numFmtId="175" fontId="78" fillId="6" borderId="80" xfId="1" applyNumberFormat="1" applyFont="1" applyFill="1" applyBorder="1" applyAlignment="1" applyProtection="1">
      <alignment horizontal="right" vertical="center" indent="1"/>
      <protection locked="0"/>
    </xf>
    <xf numFmtId="175" fontId="14" fillId="18" borderId="134" xfId="1" applyNumberFormat="1" applyFont="1" applyFill="1" applyBorder="1" applyAlignment="1" applyProtection="1">
      <alignment horizontal="right" vertical="center" indent="1"/>
      <protection hidden="1"/>
    </xf>
    <xf numFmtId="175" fontId="14" fillId="18" borderId="78" xfId="1" applyNumberFormat="1" applyFont="1" applyFill="1" applyBorder="1" applyAlignment="1" applyProtection="1">
      <alignment horizontal="right" vertical="center" indent="1"/>
      <protection hidden="1"/>
    </xf>
    <xf numFmtId="175" fontId="14" fillId="18" borderId="135" xfId="1" applyNumberFormat="1" applyFont="1" applyFill="1" applyBorder="1" applyAlignment="1" applyProtection="1">
      <alignment horizontal="right" vertical="center" indent="1"/>
      <protection hidden="1"/>
    </xf>
    <xf numFmtId="175" fontId="14" fillId="18" borderId="80" xfId="1" applyNumberFormat="1" applyFont="1" applyFill="1" applyBorder="1" applyAlignment="1" applyProtection="1">
      <alignment horizontal="right" vertical="center" indent="1"/>
      <protection hidden="1"/>
    </xf>
    <xf numFmtId="178" fontId="78" fillId="6" borderId="73" xfId="1" applyNumberFormat="1" applyFont="1" applyFill="1" applyBorder="1" applyAlignment="1" applyProtection="1">
      <alignment horizontal="center" vertical="center"/>
      <protection locked="0"/>
    </xf>
    <xf numFmtId="178" fontId="14" fillId="18" borderId="77" xfId="1" applyNumberFormat="1" applyFont="1" applyFill="1" applyBorder="1" applyAlignment="1" applyProtection="1">
      <alignment horizontal="center" vertical="center"/>
      <protection hidden="1"/>
    </xf>
    <xf numFmtId="178" fontId="14" fillId="18" borderId="79" xfId="1" applyNumberFormat="1" applyFont="1" applyFill="1" applyBorder="1" applyAlignment="1" applyProtection="1">
      <alignment horizontal="center" vertical="center"/>
      <protection hidden="1"/>
    </xf>
    <xf numFmtId="178" fontId="14" fillId="6" borderId="77" xfId="1" applyNumberFormat="1" applyFont="1" applyFill="1" applyBorder="1" applyAlignment="1" applyProtection="1">
      <alignment horizontal="center" vertical="center"/>
      <protection locked="0"/>
    </xf>
    <xf numFmtId="178" fontId="14" fillId="6" borderId="78" xfId="1" applyNumberFormat="1" applyFont="1" applyFill="1" applyBorder="1" applyAlignment="1" applyProtection="1">
      <alignment horizontal="center" vertical="center"/>
      <protection locked="0"/>
    </xf>
    <xf numFmtId="178" fontId="14" fillId="6" borderId="79" xfId="1" applyNumberFormat="1" applyFont="1" applyFill="1" applyBorder="1" applyAlignment="1" applyProtection="1">
      <alignment horizontal="center" vertical="center"/>
      <protection locked="0"/>
    </xf>
    <xf numFmtId="178" fontId="14" fillId="6" borderId="80" xfId="1" applyNumberFormat="1" applyFont="1" applyFill="1" applyBorder="1" applyAlignment="1" applyProtection="1">
      <alignment horizontal="center" vertical="center"/>
      <protection locked="0"/>
    </xf>
    <xf numFmtId="178" fontId="78" fillId="3" borderId="0" xfId="1" applyNumberFormat="1" applyFont="1" applyFill="1" applyBorder="1" applyAlignment="1" applyProtection="1">
      <alignment horizontal="right" vertical="center"/>
      <protection hidden="1"/>
    </xf>
    <xf numFmtId="178" fontId="78" fillId="6" borderId="207" xfId="1" applyNumberFormat="1" applyFont="1" applyFill="1" applyBorder="1" applyAlignment="1" applyProtection="1">
      <alignment horizontal="center" vertical="center"/>
      <protection locked="0"/>
    </xf>
    <xf numFmtId="178" fontId="14" fillId="3" borderId="210" xfId="1" applyNumberFormat="1" applyFont="1" applyFill="1" applyBorder="1" applyAlignment="1" applyProtection="1">
      <alignment horizontal="right" vertical="center" indent="1"/>
      <protection hidden="1"/>
    </xf>
    <xf numFmtId="178" fontId="14" fillId="3" borderId="188" xfId="1" applyNumberFormat="1" applyFont="1" applyFill="1" applyBorder="1" applyAlignment="1" applyProtection="1">
      <alignment horizontal="right" vertical="center" indent="1"/>
      <protection hidden="1"/>
    </xf>
    <xf numFmtId="0" fontId="73" fillId="0" borderId="103" xfId="1" applyFont="1" applyFill="1" applyBorder="1" applyAlignment="1" applyProtection="1">
      <alignment horizontal="center" vertical="top"/>
      <protection hidden="1"/>
    </xf>
    <xf numFmtId="0" fontId="73" fillId="0" borderId="104" xfId="1" applyFont="1" applyFill="1" applyBorder="1" applyAlignment="1" applyProtection="1">
      <alignment horizontal="center" vertical="top"/>
      <protection hidden="1"/>
    </xf>
    <xf numFmtId="178" fontId="14" fillId="3" borderId="194" xfId="1" applyNumberFormat="1" applyFont="1" applyFill="1" applyBorder="1" applyAlignment="1" applyProtection="1">
      <alignment horizontal="right" vertical="center" indent="1"/>
      <protection hidden="1"/>
    </xf>
    <xf numFmtId="178" fontId="14" fillId="3" borderId="195" xfId="1" applyNumberFormat="1" applyFont="1" applyFill="1" applyBorder="1" applyAlignment="1" applyProtection="1">
      <alignment horizontal="right" vertical="center" indent="1"/>
      <protection hidden="1"/>
    </xf>
    <xf numFmtId="178" fontId="14" fillId="18" borderId="163" xfId="1" applyNumberFormat="1" applyFont="1" applyFill="1" applyBorder="1" applyAlignment="1" applyProtection="1">
      <alignment horizontal="center" vertical="center"/>
      <protection hidden="1"/>
    </xf>
    <xf numFmtId="178" fontId="14" fillId="18" borderId="164" xfId="1" applyNumberFormat="1" applyFont="1" applyFill="1" applyBorder="1" applyAlignment="1" applyProtection="1">
      <alignment horizontal="center" vertical="center"/>
      <protection hidden="1"/>
    </xf>
    <xf numFmtId="178" fontId="14" fillId="18" borderId="47" xfId="1" applyNumberFormat="1" applyFont="1" applyFill="1" applyBorder="1" applyAlignment="1" applyProtection="1">
      <alignment horizontal="center" vertical="center"/>
      <protection hidden="1"/>
    </xf>
    <xf numFmtId="178" fontId="14" fillId="18" borderId="71" xfId="1" applyNumberFormat="1" applyFont="1" applyFill="1" applyBorder="1" applyAlignment="1" applyProtection="1">
      <alignment horizontal="center" vertical="center"/>
      <protection hidden="1"/>
    </xf>
    <xf numFmtId="175" fontId="14" fillId="18" borderId="202" xfId="1" applyNumberFormat="1" applyFont="1" applyFill="1" applyBorder="1" applyAlignment="1" applyProtection="1">
      <alignment horizontal="right" vertical="center" indent="1"/>
      <protection hidden="1"/>
    </xf>
    <xf numFmtId="175" fontId="14" fillId="18" borderId="203" xfId="1" applyNumberFormat="1" applyFont="1" applyFill="1" applyBorder="1" applyAlignment="1" applyProtection="1">
      <alignment horizontal="right" vertical="center" indent="1"/>
      <protection hidden="1"/>
    </xf>
    <xf numFmtId="175" fontId="14" fillId="18" borderId="204" xfId="1" applyNumberFormat="1" applyFont="1" applyFill="1" applyBorder="1" applyAlignment="1" applyProtection="1">
      <alignment horizontal="right" vertical="center" indent="1"/>
      <protection hidden="1"/>
    </xf>
    <xf numFmtId="175" fontId="14" fillId="18" borderId="205" xfId="1" applyNumberFormat="1" applyFont="1" applyFill="1" applyBorder="1" applyAlignment="1" applyProtection="1">
      <alignment horizontal="right" vertical="center" indent="1"/>
      <protection hidden="1"/>
    </xf>
    <xf numFmtId="178" fontId="14" fillId="18" borderId="204" xfId="1" applyNumberFormat="1" applyFont="1" applyFill="1" applyBorder="1" applyAlignment="1" applyProtection="1">
      <alignment horizontal="right" vertical="center" indent="1"/>
      <protection hidden="1"/>
    </xf>
    <xf numFmtId="178" fontId="14" fillId="18" borderId="205" xfId="1" applyNumberFormat="1" applyFont="1" applyFill="1" applyBorder="1" applyAlignment="1" applyProtection="1">
      <alignment horizontal="right" vertical="center" indent="1"/>
      <protection hidden="1"/>
    </xf>
    <xf numFmtId="178" fontId="14" fillId="3" borderId="201" xfId="1" applyNumberFormat="1" applyFont="1" applyFill="1" applyBorder="1" applyAlignment="1" applyProtection="1">
      <alignment horizontal="right" vertical="center" indent="1"/>
      <protection hidden="1"/>
    </xf>
    <xf numFmtId="178" fontId="14" fillId="3" borderId="184" xfId="1" applyNumberFormat="1" applyFont="1" applyFill="1" applyBorder="1" applyAlignment="1" applyProtection="1">
      <alignment horizontal="right" vertical="center" indent="1"/>
      <protection hidden="1"/>
    </xf>
    <xf numFmtId="178" fontId="78" fillId="6" borderId="188" xfId="1" applyNumberFormat="1" applyFont="1" applyFill="1" applyBorder="1" applyAlignment="1" applyProtection="1">
      <alignment horizontal="center" vertical="center"/>
      <protection locked="0"/>
    </xf>
    <xf numFmtId="178" fontId="78" fillId="6" borderId="210" xfId="1" applyNumberFormat="1" applyFont="1" applyFill="1" applyBorder="1" applyAlignment="1" applyProtection="1">
      <alignment horizontal="center" vertical="center"/>
      <protection locked="0"/>
    </xf>
    <xf numFmtId="173" fontId="14" fillId="18" borderId="206" xfId="1" applyNumberFormat="1" applyFont="1" applyFill="1" applyBorder="1" applyAlignment="1" applyProtection="1">
      <alignment horizontal="right" vertical="center" indent="1"/>
      <protection hidden="1"/>
    </xf>
    <xf numFmtId="173" fontId="14" fillId="18" borderId="203" xfId="1" applyNumberFormat="1" applyFont="1" applyFill="1" applyBorder="1" applyAlignment="1" applyProtection="1">
      <alignment horizontal="right" vertical="center" indent="1"/>
      <protection hidden="1"/>
    </xf>
    <xf numFmtId="175" fontId="14" fillId="6" borderId="211" xfId="1" applyNumberFormat="1" applyFont="1" applyFill="1" applyBorder="1" applyAlignment="1" applyProtection="1">
      <alignment horizontal="right" vertical="center" indent="1"/>
      <protection locked="0"/>
    </xf>
    <xf numFmtId="175" fontId="14" fillId="6" borderId="212" xfId="1" applyNumberFormat="1" applyFont="1" applyFill="1" applyBorder="1" applyAlignment="1" applyProtection="1">
      <alignment horizontal="right" vertical="center" indent="1"/>
      <protection locked="0"/>
    </xf>
    <xf numFmtId="178" fontId="14" fillId="6" borderId="47" xfId="1" applyNumberFormat="1" applyFont="1" applyFill="1" applyBorder="1" applyAlignment="1" applyProtection="1">
      <alignment horizontal="center" vertical="center"/>
      <protection locked="0"/>
    </xf>
    <xf numFmtId="175" fontId="14" fillId="18" borderId="198" xfId="1" applyNumberFormat="1" applyFont="1" applyFill="1" applyBorder="1" applyAlignment="1" applyProtection="1">
      <alignment horizontal="right" vertical="center" indent="1"/>
      <protection hidden="1"/>
    </xf>
    <xf numFmtId="175" fontId="14" fillId="18" borderId="199" xfId="1" applyNumberFormat="1" applyFont="1" applyFill="1" applyBorder="1" applyAlignment="1" applyProtection="1">
      <alignment horizontal="right" vertical="center" indent="1"/>
      <protection hidden="1"/>
    </xf>
    <xf numFmtId="178" fontId="78" fillId="6" borderId="72" xfId="1" applyNumberFormat="1" applyFont="1" applyFill="1" applyBorder="1" applyAlignment="1" applyProtection="1">
      <alignment horizontal="right" vertical="center"/>
      <protection locked="0"/>
    </xf>
    <xf numFmtId="178" fontId="78" fillId="6" borderId="75" xfId="1" applyNumberFormat="1" applyFont="1" applyFill="1" applyBorder="1" applyAlignment="1" applyProtection="1">
      <alignment horizontal="right" vertical="center"/>
      <protection locked="0"/>
    </xf>
    <xf numFmtId="178" fontId="78" fillId="6" borderId="78" xfId="1" applyNumberFormat="1" applyFont="1" applyFill="1" applyBorder="1" applyAlignment="1" applyProtection="1">
      <alignment horizontal="right" vertical="center"/>
      <protection locked="0"/>
    </xf>
    <xf numFmtId="178" fontId="78" fillId="6" borderId="80" xfId="1" applyNumberFormat="1" applyFont="1" applyFill="1" applyBorder="1" applyAlignment="1" applyProtection="1">
      <alignment horizontal="right" vertical="center"/>
      <protection locked="0"/>
    </xf>
    <xf numFmtId="178" fontId="14" fillId="3" borderId="79" xfId="1" applyNumberFormat="1" applyFont="1" applyFill="1" applyBorder="1" applyAlignment="1" applyProtection="1">
      <alignment horizontal="right" vertical="center" indent="1"/>
      <protection hidden="1"/>
    </xf>
    <xf numFmtId="178" fontId="14" fillId="3" borderId="80" xfId="1" applyNumberFormat="1" applyFont="1" applyFill="1" applyBorder="1" applyAlignment="1" applyProtection="1">
      <alignment horizontal="right" vertical="center" indent="1"/>
      <protection hidden="1"/>
    </xf>
    <xf numFmtId="178" fontId="14" fillId="3" borderId="77" xfId="1" applyNumberFormat="1" applyFont="1" applyFill="1" applyBorder="1" applyAlignment="1" applyProtection="1">
      <alignment horizontal="right" vertical="center" indent="1"/>
      <protection hidden="1"/>
    </xf>
    <xf numFmtId="178" fontId="14" fillId="3" borderId="78" xfId="1" applyNumberFormat="1" applyFont="1" applyFill="1" applyBorder="1" applyAlignment="1" applyProtection="1">
      <alignment horizontal="right" vertical="center" indent="1"/>
      <protection hidden="1"/>
    </xf>
    <xf numFmtId="0" fontId="14" fillId="3" borderId="72" xfId="1" applyFont="1" applyFill="1" applyBorder="1" applyAlignment="1" applyProtection="1">
      <alignment horizontal="left" vertical="top" wrapText="1"/>
      <protection hidden="1"/>
    </xf>
    <xf numFmtId="0" fontId="14" fillId="3" borderId="75" xfId="1" applyFont="1" applyFill="1" applyBorder="1" applyAlignment="1" applyProtection="1">
      <alignment horizontal="left" vertical="top" wrapText="1"/>
      <protection hidden="1"/>
    </xf>
    <xf numFmtId="175" fontId="14" fillId="19" borderId="191" xfId="1" applyNumberFormat="1" applyFont="1" applyFill="1" applyBorder="1" applyAlignment="1" applyProtection="1">
      <alignment horizontal="right" vertical="center" indent="1"/>
      <protection hidden="1"/>
    </xf>
    <xf numFmtId="175" fontId="14" fillId="19" borderId="192" xfId="1" applyNumberFormat="1" applyFont="1" applyFill="1" applyBorder="1" applyAlignment="1" applyProtection="1">
      <alignment horizontal="right" vertical="center" indent="1"/>
      <protection hidden="1"/>
    </xf>
    <xf numFmtId="175" fontId="14" fillId="19" borderId="182" xfId="1" applyNumberFormat="1" applyFont="1" applyFill="1" applyBorder="1" applyAlignment="1" applyProtection="1">
      <alignment horizontal="right" vertical="center" indent="1"/>
      <protection hidden="1"/>
    </xf>
    <xf numFmtId="175" fontId="14" fillId="19" borderId="183" xfId="1" applyNumberFormat="1" applyFont="1" applyFill="1" applyBorder="1" applyAlignment="1" applyProtection="1">
      <alignment horizontal="right" vertical="center" indent="1"/>
      <protection hidden="1"/>
    </xf>
    <xf numFmtId="175" fontId="14" fillId="19" borderId="186" xfId="1" applyNumberFormat="1" applyFont="1" applyFill="1" applyBorder="1" applyAlignment="1" applyProtection="1">
      <alignment horizontal="right" vertical="center" indent="1"/>
      <protection hidden="1"/>
    </xf>
    <xf numFmtId="175" fontId="14" fillId="19" borderId="187" xfId="1" applyNumberFormat="1" applyFont="1" applyFill="1" applyBorder="1" applyAlignment="1" applyProtection="1">
      <alignment horizontal="right" vertical="center" indent="1"/>
      <protection hidden="1"/>
    </xf>
    <xf numFmtId="175" fontId="14" fillId="19" borderId="178" xfId="1" applyNumberFormat="1" applyFont="1" applyFill="1" applyBorder="1" applyAlignment="1" applyProtection="1">
      <alignment horizontal="right" vertical="center" indent="1"/>
      <protection hidden="1"/>
    </xf>
    <xf numFmtId="175" fontId="14" fillId="19" borderId="179" xfId="1" applyNumberFormat="1" applyFont="1" applyFill="1" applyBorder="1" applyAlignment="1" applyProtection="1">
      <alignment horizontal="right" vertical="center" indent="1"/>
      <protection hidden="1"/>
    </xf>
    <xf numFmtId="175" fontId="14" fillId="19" borderId="185" xfId="1" applyNumberFormat="1" applyFont="1" applyFill="1" applyBorder="1" applyAlignment="1" applyProtection="1">
      <alignment horizontal="right" vertical="center" indent="1"/>
      <protection hidden="1"/>
    </xf>
    <xf numFmtId="175" fontId="14" fillId="19" borderId="85" xfId="1" applyNumberFormat="1" applyFont="1" applyFill="1" applyBorder="1" applyAlignment="1" applyProtection="1">
      <alignment horizontal="right" vertical="center" indent="1"/>
      <protection hidden="1"/>
    </xf>
    <xf numFmtId="175" fontId="14" fillId="19" borderId="161" xfId="1" applyNumberFormat="1" applyFont="1" applyFill="1" applyBorder="1" applyAlignment="1" applyProtection="1">
      <alignment horizontal="right" vertical="center" indent="1"/>
      <protection hidden="1"/>
    </xf>
    <xf numFmtId="175" fontId="14" fillId="19" borderId="86" xfId="1" applyNumberFormat="1" applyFont="1" applyFill="1" applyBorder="1" applyAlignment="1" applyProtection="1">
      <alignment horizontal="right" vertical="center" indent="1"/>
      <protection hidden="1"/>
    </xf>
    <xf numFmtId="175" fontId="14" fillId="19" borderId="189" xfId="1" applyNumberFormat="1" applyFont="1" applyFill="1" applyBorder="1" applyAlignment="1" applyProtection="1">
      <alignment horizontal="right" vertical="center" indent="1"/>
      <protection hidden="1"/>
    </xf>
    <xf numFmtId="175" fontId="14" fillId="19" borderId="190" xfId="1" applyNumberFormat="1" applyFont="1" applyFill="1" applyBorder="1" applyAlignment="1" applyProtection="1">
      <alignment horizontal="right" vertical="center" indent="1"/>
      <protection hidden="1"/>
    </xf>
    <xf numFmtId="175" fontId="14" fillId="19" borderId="160" xfId="1" applyNumberFormat="1" applyFont="1" applyFill="1" applyBorder="1" applyAlignment="1" applyProtection="1">
      <alignment horizontal="right" vertical="center" indent="1"/>
      <protection hidden="1"/>
    </xf>
    <xf numFmtId="175" fontId="14" fillId="19" borderId="154" xfId="1" applyNumberFormat="1" applyFont="1" applyFill="1" applyBorder="1" applyAlignment="1" applyProtection="1">
      <alignment horizontal="right" vertical="center" indent="1"/>
      <protection hidden="1"/>
    </xf>
    <xf numFmtId="178" fontId="14" fillId="6" borderId="0" xfId="1" applyNumberFormat="1" applyFont="1" applyFill="1" applyBorder="1" applyAlignment="1" applyProtection="1">
      <alignment horizontal="center" vertical="center"/>
      <protection locked="0"/>
    </xf>
    <xf numFmtId="178" fontId="14" fillId="18" borderId="72" xfId="1" applyNumberFormat="1" applyFont="1" applyFill="1" applyBorder="1" applyAlignment="1" applyProtection="1">
      <alignment horizontal="center" vertical="center"/>
      <protection hidden="1"/>
    </xf>
    <xf numFmtId="178" fontId="14" fillId="18" borderId="75" xfId="1" applyNumberFormat="1" applyFont="1" applyFill="1" applyBorder="1" applyAlignment="1" applyProtection="1">
      <alignment horizontal="center" vertical="center"/>
      <protection hidden="1"/>
    </xf>
    <xf numFmtId="175" fontId="14" fillId="18" borderId="72" xfId="1" applyNumberFormat="1" applyFont="1" applyFill="1" applyBorder="1" applyAlignment="1" applyProtection="1">
      <alignment horizontal="right" vertical="center" indent="1"/>
      <protection hidden="1"/>
    </xf>
    <xf numFmtId="175" fontId="14" fillId="18" borderId="75" xfId="1" applyNumberFormat="1" applyFont="1" applyFill="1" applyBorder="1" applyAlignment="1" applyProtection="1">
      <alignment horizontal="right" vertical="center" indent="1"/>
      <protection hidden="1"/>
    </xf>
    <xf numFmtId="178" fontId="78" fillId="6" borderId="88" xfId="1" applyNumberFormat="1" applyFont="1" applyFill="1" applyBorder="1" applyAlignment="1" applyProtection="1">
      <alignment horizontal="right" vertical="center"/>
      <protection locked="0"/>
    </xf>
    <xf numFmtId="178" fontId="78" fillId="6" borderId="0" xfId="1" applyNumberFormat="1" applyFont="1" applyFill="1" applyBorder="1" applyAlignment="1" applyProtection="1">
      <alignment horizontal="right" vertical="center"/>
      <protection locked="0"/>
    </xf>
    <xf numFmtId="0" fontId="17" fillId="4" borderId="137" xfId="1" applyFont="1" applyFill="1" applyBorder="1" applyAlignment="1" applyProtection="1">
      <alignment vertical="center"/>
      <protection hidden="1"/>
    </xf>
    <xf numFmtId="0" fontId="17" fillId="4" borderId="88" xfId="1" applyFont="1" applyFill="1" applyBorder="1" applyAlignment="1" applyProtection="1">
      <alignment vertical="center"/>
      <protection hidden="1"/>
    </xf>
    <xf numFmtId="0" fontId="17" fillId="4" borderId="89" xfId="1" applyFont="1" applyFill="1" applyBorder="1" applyAlignment="1" applyProtection="1">
      <alignment vertical="center"/>
      <protection hidden="1"/>
    </xf>
    <xf numFmtId="0" fontId="14" fillId="4" borderId="155" xfId="1" applyFont="1" applyFill="1" applyBorder="1" applyAlignment="1" applyProtection="1">
      <alignment horizontal="center" vertical="top" wrapText="1"/>
      <protection hidden="1"/>
    </xf>
    <xf numFmtId="0" fontId="14" fillId="4" borderId="84" xfId="1" applyFont="1" applyFill="1" applyBorder="1" applyAlignment="1" applyProtection="1">
      <alignment horizontal="center" vertical="top" wrapText="1"/>
      <protection hidden="1"/>
    </xf>
    <xf numFmtId="0" fontId="14" fillId="4" borderId="166" xfId="1" applyFont="1" applyFill="1" applyBorder="1" applyAlignment="1" applyProtection="1">
      <alignment horizontal="center" vertical="top" wrapText="1"/>
      <protection hidden="1"/>
    </xf>
    <xf numFmtId="0" fontId="14" fillId="4" borderId="167" xfId="1" applyFont="1" applyFill="1" applyBorder="1" applyAlignment="1" applyProtection="1">
      <alignment horizontal="center" vertical="top" wrapText="1"/>
      <protection hidden="1"/>
    </xf>
    <xf numFmtId="0" fontId="14" fillId="4" borderId="168" xfId="1" applyFont="1" applyFill="1" applyBorder="1" applyAlignment="1" applyProtection="1">
      <alignment horizontal="center" vertical="top" wrapText="1"/>
      <protection hidden="1"/>
    </xf>
    <xf numFmtId="0" fontId="14" fillId="4" borderId="169" xfId="1" applyFont="1" applyFill="1" applyBorder="1" applyAlignment="1" applyProtection="1">
      <alignment horizontal="center" vertical="top" wrapText="1"/>
      <protection hidden="1"/>
    </xf>
    <xf numFmtId="0" fontId="14" fillId="4" borderId="26" xfId="1" applyFont="1" applyFill="1" applyBorder="1" applyAlignment="1" applyProtection="1">
      <alignment horizontal="center" vertical="top" wrapText="1"/>
      <protection hidden="1"/>
    </xf>
    <xf numFmtId="0" fontId="60" fillId="4" borderId="162" xfId="1" applyFont="1" applyFill="1" applyBorder="1" applyAlignment="1" applyProtection="1">
      <alignment horizontal="center" vertical="center"/>
      <protection hidden="1"/>
    </xf>
    <xf numFmtId="0" fontId="60" fillId="4" borderId="163" xfId="1" applyFont="1" applyFill="1" applyBorder="1" applyAlignment="1" applyProtection="1">
      <alignment horizontal="center" vertical="center"/>
      <protection hidden="1"/>
    </xf>
    <xf numFmtId="0" fontId="60" fillId="4" borderId="164" xfId="1" applyFont="1" applyFill="1" applyBorder="1" applyAlignment="1" applyProtection="1">
      <alignment horizontal="center" vertical="center"/>
      <protection hidden="1"/>
    </xf>
    <xf numFmtId="0" fontId="14" fillId="3" borderId="88" xfId="1" applyFont="1" applyFill="1" applyBorder="1" applyAlignment="1" applyProtection="1">
      <alignment horizontal="left" vertical="top" wrapText="1"/>
      <protection hidden="1"/>
    </xf>
    <xf numFmtId="0" fontId="14" fillId="3" borderId="0" xfId="1" applyFont="1" applyFill="1" applyBorder="1" applyAlignment="1" applyProtection="1">
      <alignment horizontal="left" vertical="top" wrapText="1"/>
      <protection hidden="1"/>
    </xf>
    <xf numFmtId="0" fontId="14" fillId="4" borderId="170" xfId="1" applyFont="1" applyFill="1" applyBorder="1" applyAlignment="1" applyProtection="1">
      <alignment horizontal="center"/>
      <protection hidden="1"/>
    </xf>
    <xf numFmtId="0" fontId="0" fillId="4" borderId="171" xfId="0" applyFill="1" applyBorder="1" applyAlignment="1"/>
    <xf numFmtId="0" fontId="14" fillId="4" borderId="151" xfId="1" applyFont="1" applyFill="1" applyBorder="1" applyAlignment="1" applyProtection="1">
      <alignment horizontal="center"/>
      <protection hidden="1"/>
    </xf>
    <xf numFmtId="0" fontId="14" fillId="4" borderId="152" xfId="1" applyFont="1" applyFill="1" applyBorder="1" applyAlignment="1" applyProtection="1">
      <alignment horizontal="center"/>
      <protection hidden="1"/>
    </xf>
    <xf numFmtId="0" fontId="14" fillId="4" borderId="157" xfId="1" applyFont="1" applyFill="1" applyBorder="1" applyAlignment="1" applyProtection="1">
      <alignment horizontal="center"/>
      <protection hidden="1"/>
    </xf>
    <xf numFmtId="0" fontId="0" fillId="4" borderId="152" xfId="0" applyFill="1" applyBorder="1" applyAlignment="1"/>
    <xf numFmtId="178" fontId="14" fillId="18" borderId="137" xfId="1" applyNumberFormat="1" applyFont="1" applyFill="1" applyBorder="1" applyAlignment="1" applyProtection="1">
      <alignment horizontal="right" vertical="center"/>
      <protection hidden="1"/>
    </xf>
    <xf numFmtId="178" fontId="14" fillId="18" borderId="136" xfId="1" applyNumberFormat="1" applyFont="1" applyFill="1" applyBorder="1" applyAlignment="1" applyProtection="1">
      <alignment horizontal="right" vertical="center"/>
      <protection hidden="1"/>
    </xf>
    <xf numFmtId="178" fontId="14" fillId="6" borderId="88" xfId="1" applyNumberFormat="1" applyFont="1" applyFill="1" applyBorder="1" applyAlignment="1" applyProtection="1">
      <alignment horizontal="center" vertical="center"/>
      <protection locked="0"/>
    </xf>
    <xf numFmtId="0" fontId="14" fillId="4" borderId="156" xfId="1" applyFont="1" applyFill="1" applyBorder="1" applyAlignment="1" applyProtection="1">
      <alignment horizontal="center" vertical="top" wrapText="1"/>
      <protection hidden="1"/>
    </xf>
    <xf numFmtId="178" fontId="78" fillId="6" borderId="89" xfId="1" applyNumberFormat="1" applyFont="1" applyFill="1" applyBorder="1" applyAlignment="1" applyProtection="1">
      <alignment horizontal="center" vertical="center"/>
      <protection locked="0"/>
    </xf>
    <xf numFmtId="178" fontId="14" fillId="3" borderId="172" xfId="1" applyNumberFormat="1" applyFont="1" applyFill="1" applyBorder="1" applyAlignment="1" applyProtection="1">
      <alignment horizontal="right" vertical="center" indent="1"/>
      <protection hidden="1"/>
    </xf>
    <xf numFmtId="178" fontId="14" fillId="3" borderId="173" xfId="1" applyNumberFormat="1" applyFont="1" applyFill="1" applyBorder="1" applyAlignment="1" applyProtection="1">
      <alignment horizontal="right" vertical="center" indent="1"/>
      <protection hidden="1"/>
    </xf>
    <xf numFmtId="178" fontId="14" fillId="18" borderId="88" xfId="1" applyNumberFormat="1" applyFont="1" applyFill="1" applyBorder="1" applyAlignment="1" applyProtection="1">
      <alignment horizontal="center" vertical="center"/>
      <protection hidden="1"/>
    </xf>
    <xf numFmtId="178" fontId="14" fillId="18" borderId="0" xfId="1" applyNumberFormat="1" applyFont="1" applyFill="1" applyBorder="1" applyAlignment="1" applyProtection="1">
      <alignment horizontal="center" vertical="center"/>
      <protection hidden="1"/>
    </xf>
    <xf numFmtId="178" fontId="73" fillId="0" borderId="258" xfId="1" applyNumberFormat="1" applyFont="1" applyFill="1" applyBorder="1" applyAlignment="1" applyProtection="1">
      <alignment horizontal="center" vertical="center"/>
      <protection hidden="1"/>
    </xf>
    <xf numFmtId="178" fontId="73" fillId="0" borderId="255" xfId="1" applyNumberFormat="1" applyFont="1" applyFill="1" applyBorder="1" applyAlignment="1" applyProtection="1">
      <alignment horizontal="center" vertical="center"/>
      <protection hidden="1"/>
    </xf>
    <xf numFmtId="0" fontId="73" fillId="0" borderId="255" xfId="1" applyFont="1" applyFill="1" applyBorder="1" applyAlignment="1" applyProtection="1">
      <alignment horizontal="center" vertical="center"/>
      <protection hidden="1"/>
    </xf>
    <xf numFmtId="178" fontId="73" fillId="0" borderId="397" xfId="1" applyNumberFormat="1" applyFont="1" applyFill="1" applyBorder="1" applyAlignment="1" applyProtection="1">
      <alignment horizontal="center" vertical="center"/>
      <protection hidden="1"/>
    </xf>
    <xf numFmtId="0" fontId="113" fillId="0" borderId="233" xfId="1" applyFont="1" applyBorder="1" applyAlignment="1" applyProtection="1">
      <alignment horizontal="left" vertical="center" wrapText="1"/>
    </xf>
    <xf numFmtId="0" fontId="113" fillId="0" borderId="234" xfId="1" applyFont="1" applyBorder="1" applyAlignment="1" applyProtection="1">
      <alignment horizontal="left" vertical="center" wrapText="1"/>
    </xf>
    <xf numFmtId="0" fontId="113" fillId="0" borderId="235" xfId="1" applyFont="1" applyBorder="1" applyAlignment="1" applyProtection="1">
      <alignment horizontal="left" vertical="center" wrapText="1"/>
    </xf>
    <xf numFmtId="0" fontId="113" fillId="0" borderId="236" xfId="1" applyFont="1" applyBorder="1" applyAlignment="1" applyProtection="1">
      <alignment horizontal="left" vertical="center" wrapText="1"/>
    </xf>
    <xf numFmtId="0" fontId="113" fillId="0" borderId="237" xfId="1" applyFont="1" applyBorder="1" applyAlignment="1" applyProtection="1">
      <alignment horizontal="left" vertical="center" wrapText="1"/>
    </xf>
    <xf numFmtId="0" fontId="113" fillId="0" borderId="238" xfId="1" applyFont="1" applyBorder="1" applyAlignment="1" applyProtection="1">
      <alignment horizontal="left" vertical="center" wrapText="1"/>
    </xf>
    <xf numFmtId="0" fontId="113" fillId="0" borderId="109" xfId="1" applyFont="1" applyBorder="1" applyAlignment="1" applyProtection="1">
      <alignment horizontal="left" vertical="center" wrapText="1"/>
    </xf>
    <xf numFmtId="0" fontId="113" fillId="0" borderId="110" xfId="1" applyFont="1" applyBorder="1" applyAlignment="1" applyProtection="1">
      <alignment horizontal="left" vertical="center" wrapText="1"/>
    </xf>
    <xf numFmtId="0" fontId="113" fillId="0" borderId="111" xfId="1" applyFont="1" applyBorder="1" applyAlignment="1" applyProtection="1">
      <alignment horizontal="left" vertical="center" wrapText="1"/>
    </xf>
    <xf numFmtId="0" fontId="113" fillId="0" borderId="105" xfId="1" applyFont="1" applyBorder="1" applyAlignment="1" applyProtection="1">
      <alignment horizontal="left" vertical="center" wrapText="1"/>
    </xf>
    <xf numFmtId="0" fontId="113" fillId="0" borderId="101" xfId="1" applyFont="1" applyBorder="1" applyAlignment="1" applyProtection="1">
      <alignment horizontal="left" vertical="center" wrapText="1"/>
    </xf>
    <xf numFmtId="0" fontId="113" fillId="0" borderId="106" xfId="1" applyFont="1" applyBorder="1" applyAlignment="1" applyProtection="1">
      <alignment horizontal="left" vertical="center" wrapText="1"/>
    </xf>
    <xf numFmtId="0" fontId="113" fillId="0" borderId="109" xfId="1" applyFont="1" applyBorder="1" applyAlignment="1" applyProtection="1">
      <alignment horizontal="left" vertical="center"/>
    </xf>
    <xf numFmtId="0" fontId="113" fillId="0" borderId="110" xfId="1" applyFont="1" applyBorder="1" applyAlignment="1" applyProtection="1">
      <alignment horizontal="left" vertical="center"/>
    </xf>
    <xf numFmtId="0" fontId="113" fillId="0" borderId="111" xfId="1" applyFont="1" applyBorder="1" applyAlignment="1" applyProtection="1">
      <alignment horizontal="left" vertical="center"/>
    </xf>
    <xf numFmtId="0" fontId="113" fillId="0" borderId="105" xfId="1" applyFont="1" applyBorder="1" applyAlignment="1" applyProtection="1">
      <alignment horizontal="left" vertical="center"/>
    </xf>
    <xf numFmtId="0" fontId="113" fillId="0" borderId="101" xfId="1" applyFont="1" applyBorder="1" applyAlignment="1" applyProtection="1">
      <alignment horizontal="left" vertical="center"/>
    </xf>
    <xf numFmtId="0" fontId="113" fillId="0" borderId="106" xfId="1" applyFont="1" applyBorder="1" applyAlignment="1" applyProtection="1">
      <alignment horizontal="left" vertical="center"/>
    </xf>
    <xf numFmtId="0" fontId="74" fillId="0" borderId="109" xfId="1" applyFont="1" applyFill="1" applyBorder="1" applyAlignment="1" applyProtection="1">
      <alignment horizontal="center" vertical="center" wrapText="1"/>
      <protection hidden="1"/>
    </xf>
    <xf numFmtId="0" fontId="74" fillId="0" borderId="110" xfId="1" applyFont="1" applyFill="1" applyBorder="1" applyAlignment="1" applyProtection="1">
      <alignment horizontal="center" vertical="center" wrapText="1"/>
      <protection hidden="1"/>
    </xf>
    <xf numFmtId="0" fontId="74" fillId="0" borderId="111" xfId="1" applyFont="1" applyFill="1" applyBorder="1" applyAlignment="1" applyProtection="1">
      <alignment horizontal="center" vertical="center" wrapText="1"/>
      <protection hidden="1"/>
    </xf>
    <xf numFmtId="0" fontId="74" fillId="0" borderId="107" xfId="1" applyFont="1" applyFill="1" applyBorder="1" applyAlignment="1" applyProtection="1">
      <alignment horizontal="center" vertical="center" wrapText="1"/>
      <protection hidden="1"/>
    </xf>
    <xf numFmtId="0" fontId="74" fillId="0" borderId="0" xfId="1" applyFont="1" applyFill="1" applyBorder="1" applyAlignment="1" applyProtection="1">
      <alignment horizontal="center" vertical="center" wrapText="1"/>
      <protection hidden="1"/>
    </xf>
    <xf numFmtId="0" fontId="74" fillId="0" borderId="108" xfId="1" applyFont="1" applyFill="1" applyBorder="1" applyAlignment="1" applyProtection="1">
      <alignment horizontal="center" vertical="center" wrapText="1"/>
      <protection hidden="1"/>
    </xf>
    <xf numFmtId="0" fontId="74" fillId="0" borderId="112" xfId="1" applyFont="1" applyFill="1" applyBorder="1" applyAlignment="1" applyProtection="1">
      <alignment horizontal="center" vertical="center" wrapText="1"/>
      <protection hidden="1"/>
    </xf>
    <xf numFmtId="0" fontId="74" fillId="0" borderId="113" xfId="1" applyFont="1" applyFill="1" applyBorder="1" applyAlignment="1" applyProtection="1">
      <alignment horizontal="center" vertical="center" wrapText="1"/>
      <protection hidden="1"/>
    </xf>
    <xf numFmtId="0" fontId="74" fillId="0" borderId="114" xfId="1" applyFont="1" applyFill="1" applyBorder="1" applyAlignment="1" applyProtection="1">
      <alignment horizontal="center" vertical="center" wrapText="1"/>
      <protection hidden="1"/>
    </xf>
    <xf numFmtId="0" fontId="72" fillId="0" borderId="96" xfId="1" applyFont="1" applyFill="1" applyBorder="1" applyAlignment="1" applyProtection="1">
      <alignment horizontal="center" vertical="center" wrapText="1"/>
      <protection hidden="1"/>
    </xf>
    <xf numFmtId="0" fontId="72" fillId="0" borderId="97" xfId="1" applyFont="1" applyFill="1" applyBorder="1" applyAlignment="1" applyProtection="1">
      <alignment horizontal="center" vertical="center" wrapText="1"/>
      <protection hidden="1"/>
    </xf>
    <xf numFmtId="0" fontId="72" fillId="0" borderId="248" xfId="1" applyFont="1" applyFill="1" applyBorder="1" applyAlignment="1" applyProtection="1">
      <alignment horizontal="center" vertical="center" wrapText="1"/>
      <protection hidden="1"/>
    </xf>
    <xf numFmtId="1" fontId="112" fillId="0" borderId="109" xfId="1" applyNumberFormat="1" applyFont="1" applyBorder="1" applyAlignment="1" applyProtection="1">
      <alignment horizontal="center" vertical="center" wrapText="1"/>
    </xf>
    <xf numFmtId="1" fontId="112" fillId="0" borderId="110" xfId="1" applyNumberFormat="1" applyFont="1" applyBorder="1" applyAlignment="1" applyProtection="1">
      <alignment horizontal="center" vertical="center" wrapText="1"/>
    </xf>
    <xf numFmtId="1" fontId="112" fillId="0" borderId="111" xfId="1" applyNumberFormat="1" applyFont="1" applyBorder="1" applyAlignment="1" applyProtection="1">
      <alignment horizontal="center" vertical="center" wrapText="1"/>
    </xf>
    <xf numFmtId="1" fontId="112" fillId="0" borderId="105" xfId="1" applyNumberFormat="1" applyFont="1" applyBorder="1" applyAlignment="1" applyProtection="1">
      <alignment horizontal="center" vertical="center" wrapText="1"/>
    </xf>
    <xf numFmtId="1" fontId="112" fillId="0" borderId="101" xfId="1" applyNumberFormat="1" applyFont="1" applyBorder="1" applyAlignment="1" applyProtection="1">
      <alignment horizontal="center" vertical="center" wrapText="1"/>
    </xf>
    <xf numFmtId="1" fontId="112" fillId="0" borderId="106" xfId="1" applyNumberFormat="1" applyFont="1" applyBorder="1" applyAlignment="1" applyProtection="1">
      <alignment horizontal="center" vertical="center" wrapText="1"/>
    </xf>
    <xf numFmtId="178" fontId="73" fillId="0" borderId="259" xfId="1" applyNumberFormat="1" applyFont="1" applyFill="1" applyBorder="1" applyAlignment="1" applyProtection="1">
      <alignment horizontal="center" vertical="center"/>
      <protection hidden="1"/>
    </xf>
    <xf numFmtId="178" fontId="73" fillId="0" borderId="256" xfId="1" applyNumberFormat="1" applyFont="1" applyFill="1" applyBorder="1" applyAlignment="1" applyProtection="1">
      <alignment horizontal="center" vertical="center"/>
      <protection hidden="1"/>
    </xf>
    <xf numFmtId="178" fontId="73" fillId="0" borderId="257" xfId="1" applyNumberFormat="1" applyFont="1" applyFill="1" applyBorder="1" applyAlignment="1" applyProtection="1">
      <alignment horizontal="center" vertical="center"/>
      <protection hidden="1"/>
    </xf>
    <xf numFmtId="178" fontId="73" fillId="0" borderId="254" xfId="1" applyNumberFormat="1" applyFont="1" applyFill="1" applyBorder="1" applyAlignment="1" applyProtection="1">
      <alignment horizontal="center" vertical="center"/>
      <protection hidden="1"/>
    </xf>
    <xf numFmtId="0" fontId="73" fillId="0" borderId="256" xfId="1" applyFont="1" applyFill="1" applyBorder="1" applyAlignment="1" applyProtection="1">
      <alignment horizontal="center" vertical="center"/>
      <protection hidden="1"/>
    </xf>
    <xf numFmtId="178" fontId="73" fillId="0" borderId="252" xfId="1" applyNumberFormat="1" applyFont="1" applyFill="1" applyBorder="1" applyAlignment="1" applyProtection="1">
      <alignment horizontal="center" vertical="center"/>
      <protection hidden="1"/>
    </xf>
    <xf numFmtId="178" fontId="73" fillId="0" borderId="253" xfId="1" applyNumberFormat="1" applyFont="1" applyFill="1" applyBorder="1" applyAlignment="1" applyProtection="1">
      <alignment horizontal="center" vertical="center"/>
      <protection hidden="1"/>
    </xf>
    <xf numFmtId="173" fontId="14" fillId="18" borderId="72" xfId="1" applyNumberFormat="1" applyFont="1" applyFill="1" applyBorder="1" applyAlignment="1" applyProtection="1">
      <alignment horizontal="right" vertical="center" indent="1"/>
      <protection hidden="1"/>
    </xf>
    <xf numFmtId="173" fontId="14" fillId="18" borderId="75" xfId="1" applyNumberFormat="1" applyFont="1" applyFill="1" applyBorder="1" applyAlignment="1" applyProtection="1">
      <alignment horizontal="right" vertical="center" indent="1"/>
      <protection hidden="1"/>
    </xf>
    <xf numFmtId="173" fontId="78" fillId="6" borderId="174" xfId="1" applyNumberFormat="1" applyFont="1" applyFill="1" applyBorder="1" applyAlignment="1" applyProtection="1">
      <alignment horizontal="right" vertical="center" indent="1"/>
      <protection locked="0"/>
    </xf>
    <xf numFmtId="173" fontId="78" fillId="6" borderId="175" xfId="1" applyNumberFormat="1" applyFont="1" applyFill="1" applyBorder="1" applyAlignment="1" applyProtection="1">
      <alignment horizontal="right" vertical="center" indent="1"/>
      <protection locked="0"/>
    </xf>
    <xf numFmtId="173" fontId="78" fillId="6" borderId="79" xfId="1" applyNumberFormat="1" applyFont="1" applyFill="1" applyBorder="1" applyAlignment="1" applyProtection="1">
      <alignment horizontal="right" vertical="center" indent="1"/>
      <protection locked="0"/>
    </xf>
    <xf numFmtId="173" fontId="78" fillId="6" borderId="80" xfId="1" applyNumberFormat="1" applyFont="1" applyFill="1" applyBorder="1" applyAlignment="1" applyProtection="1">
      <alignment horizontal="right" vertical="center" indent="1"/>
      <protection locked="0"/>
    </xf>
    <xf numFmtId="173" fontId="14" fillId="18" borderId="77" xfId="1" applyNumberFormat="1" applyFont="1" applyFill="1" applyBorder="1" applyAlignment="1" applyProtection="1">
      <alignment horizontal="right" vertical="center" indent="1"/>
      <protection hidden="1"/>
    </xf>
    <xf numFmtId="173" fontId="14" fillId="18" borderId="78" xfId="1" applyNumberFormat="1" applyFont="1" applyFill="1" applyBorder="1" applyAlignment="1" applyProtection="1">
      <alignment horizontal="right" vertical="center" indent="1"/>
      <protection hidden="1"/>
    </xf>
    <xf numFmtId="173" fontId="14" fillId="18" borderId="79" xfId="1" applyNumberFormat="1" applyFont="1" applyFill="1" applyBorder="1" applyAlignment="1" applyProtection="1">
      <alignment horizontal="right" vertical="center" indent="1"/>
      <protection hidden="1"/>
    </xf>
    <xf numFmtId="173" fontId="14" fillId="18" borderId="80" xfId="1" applyNumberFormat="1" applyFont="1" applyFill="1" applyBorder="1" applyAlignment="1" applyProtection="1">
      <alignment horizontal="right" vertical="center" indent="1"/>
      <protection hidden="1"/>
    </xf>
    <xf numFmtId="178" fontId="78" fillId="6" borderId="174" xfId="1" applyNumberFormat="1" applyFont="1" applyFill="1" applyBorder="1" applyAlignment="1" applyProtection="1">
      <alignment horizontal="right" vertical="center" indent="1"/>
      <protection locked="0"/>
    </xf>
    <xf numFmtId="178" fontId="78" fillId="6" borderId="175" xfId="1" applyNumberFormat="1" applyFont="1" applyFill="1" applyBorder="1" applyAlignment="1" applyProtection="1">
      <alignment horizontal="right" vertical="center" indent="1"/>
      <protection locked="0"/>
    </xf>
    <xf numFmtId="178" fontId="78" fillId="6" borderId="79" xfId="1" applyNumberFormat="1" applyFont="1" applyFill="1" applyBorder="1" applyAlignment="1" applyProtection="1">
      <alignment horizontal="right" vertical="center" indent="1"/>
      <protection locked="0"/>
    </xf>
    <xf numFmtId="178" fontId="78" fillId="6" borderId="80" xfId="1" applyNumberFormat="1" applyFont="1" applyFill="1" applyBorder="1" applyAlignment="1" applyProtection="1">
      <alignment horizontal="right" vertical="center" indent="1"/>
      <protection locked="0"/>
    </xf>
    <xf numFmtId="178" fontId="73" fillId="0" borderId="129" xfId="1" applyNumberFormat="1" applyFont="1" applyFill="1" applyBorder="1" applyAlignment="1" applyProtection="1">
      <alignment horizontal="center" vertical="center"/>
      <protection hidden="1"/>
    </xf>
    <xf numFmtId="178" fontId="73" fillId="0" borderId="100" xfId="1" applyNumberFormat="1" applyFont="1" applyFill="1" applyBorder="1" applyAlignment="1" applyProtection="1">
      <alignment horizontal="center" vertical="center"/>
      <protection hidden="1"/>
    </xf>
    <xf numFmtId="178" fontId="73" fillId="0" borderId="398" xfId="1" applyNumberFormat="1" applyFont="1" applyFill="1" applyBorder="1" applyAlignment="1" applyProtection="1">
      <alignment horizontal="center" vertical="center"/>
      <protection hidden="1"/>
    </xf>
    <xf numFmtId="178" fontId="73" fillId="0" borderId="244" xfId="1" applyNumberFormat="1" applyFont="1" applyFill="1" applyBorder="1" applyAlignment="1" applyProtection="1">
      <alignment horizontal="center" vertical="center"/>
      <protection hidden="1"/>
    </xf>
    <xf numFmtId="0" fontId="73" fillId="0" borderId="247" xfId="1" applyFont="1" applyFill="1" applyBorder="1" applyAlignment="1" applyProtection="1">
      <alignment horizontal="center" vertical="center"/>
      <protection hidden="1"/>
    </xf>
    <xf numFmtId="178" fontId="73" fillId="0" borderId="95" xfId="1" applyNumberFormat="1" applyFont="1" applyFill="1" applyBorder="1" applyAlignment="1" applyProtection="1">
      <alignment horizontal="center" vertical="center"/>
      <protection hidden="1"/>
    </xf>
    <xf numFmtId="0" fontId="73" fillId="0" borderId="246" xfId="1" applyFont="1" applyFill="1" applyBorder="1" applyAlignment="1" applyProtection="1">
      <alignment horizontal="center" vertical="center"/>
      <protection hidden="1"/>
    </xf>
    <xf numFmtId="0" fontId="73" fillId="0" borderId="254" xfId="1" applyFont="1" applyFill="1" applyBorder="1" applyAlignment="1" applyProtection="1">
      <alignment horizontal="center" vertical="center"/>
      <protection hidden="1"/>
    </xf>
    <xf numFmtId="173" fontId="14" fillId="19" borderId="81" xfId="1" applyNumberFormat="1" applyFont="1" applyFill="1" applyBorder="1" applyAlignment="1" applyProtection="1">
      <alignment horizontal="right" vertical="center" indent="1"/>
      <protection hidden="1"/>
    </xf>
    <xf numFmtId="173" fontId="14" fillId="19" borderId="85" xfId="1" applyNumberFormat="1" applyFont="1" applyFill="1" applyBorder="1" applyAlignment="1" applyProtection="1">
      <alignment horizontal="right" vertical="center" indent="1"/>
      <protection hidden="1"/>
    </xf>
    <xf numFmtId="173" fontId="14" fillId="19" borderId="82" xfId="1" applyNumberFormat="1" applyFont="1" applyFill="1" applyBorder="1" applyAlignment="1" applyProtection="1">
      <alignment horizontal="right" vertical="center" indent="1"/>
      <protection hidden="1"/>
    </xf>
    <xf numFmtId="173" fontId="14" fillId="19" borderId="86" xfId="1" applyNumberFormat="1" applyFont="1" applyFill="1" applyBorder="1" applyAlignment="1" applyProtection="1">
      <alignment horizontal="right" vertical="center" indent="1"/>
      <protection hidden="1"/>
    </xf>
    <xf numFmtId="178" fontId="73" fillId="0" borderId="243" xfId="1" applyNumberFormat="1" applyFont="1" applyFill="1" applyBorder="1" applyAlignment="1" applyProtection="1">
      <alignment horizontal="center" vertical="center"/>
      <protection hidden="1"/>
    </xf>
    <xf numFmtId="0" fontId="73" fillId="0" borderId="245" xfId="1" applyFont="1" applyFill="1" applyBorder="1" applyAlignment="1" applyProtection="1">
      <alignment horizontal="center" vertical="center"/>
      <protection hidden="1"/>
    </xf>
    <xf numFmtId="178" fontId="14" fillId="19" borderId="191" xfId="1" applyNumberFormat="1" applyFont="1" applyFill="1" applyBorder="1" applyAlignment="1" applyProtection="1">
      <alignment horizontal="right" vertical="center" indent="1"/>
      <protection hidden="1"/>
    </xf>
    <xf numFmtId="178" fontId="14" fillId="19" borderId="192" xfId="1" applyNumberFormat="1" applyFont="1" applyFill="1" applyBorder="1" applyAlignment="1" applyProtection="1">
      <alignment horizontal="right" vertical="center" indent="1"/>
      <protection hidden="1"/>
    </xf>
    <xf numFmtId="178" fontId="14" fillId="19" borderId="182" xfId="1" applyNumberFormat="1" applyFont="1" applyFill="1" applyBorder="1" applyAlignment="1" applyProtection="1">
      <alignment horizontal="right" vertical="center" indent="1"/>
      <protection hidden="1"/>
    </xf>
    <xf numFmtId="178" fontId="14" fillId="19" borderId="183" xfId="1" applyNumberFormat="1" applyFont="1" applyFill="1" applyBorder="1" applyAlignment="1" applyProtection="1">
      <alignment horizontal="right" vertical="center" indent="1"/>
      <protection hidden="1"/>
    </xf>
    <xf numFmtId="178" fontId="14" fillId="19" borderId="186" xfId="1" applyNumberFormat="1" applyFont="1" applyFill="1" applyBorder="1" applyAlignment="1" applyProtection="1">
      <alignment horizontal="right" vertical="center" indent="1"/>
      <protection hidden="1"/>
    </xf>
    <xf numFmtId="178" fontId="14" fillId="19" borderId="187" xfId="1" applyNumberFormat="1" applyFont="1" applyFill="1" applyBorder="1" applyAlignment="1" applyProtection="1">
      <alignment horizontal="right" vertical="center" indent="1"/>
      <protection hidden="1"/>
    </xf>
    <xf numFmtId="178" fontId="14" fillId="19" borderId="178" xfId="1" applyNumberFormat="1" applyFont="1" applyFill="1" applyBorder="1" applyAlignment="1" applyProtection="1">
      <alignment horizontal="right" vertical="center" indent="1"/>
      <protection hidden="1"/>
    </xf>
    <xf numFmtId="178" fontId="14" fillId="19" borderId="179" xfId="1" applyNumberFormat="1" applyFont="1" applyFill="1" applyBorder="1" applyAlignment="1" applyProtection="1">
      <alignment horizontal="right" vertical="center" indent="1"/>
      <protection hidden="1"/>
    </xf>
    <xf numFmtId="178" fontId="14" fillId="18" borderId="89" xfId="1" applyNumberFormat="1" applyFont="1" applyFill="1" applyBorder="1" applyAlignment="1" applyProtection="1">
      <alignment horizontal="center" vertical="center"/>
      <protection hidden="1"/>
    </xf>
    <xf numFmtId="178" fontId="14" fillId="18" borderId="74" xfId="1" applyNumberFormat="1" applyFont="1" applyFill="1" applyBorder="1" applyAlignment="1" applyProtection="1">
      <alignment horizontal="center" vertical="center"/>
      <protection hidden="1"/>
    </xf>
    <xf numFmtId="178" fontId="14" fillId="18" borderId="90" xfId="1" applyNumberFormat="1" applyFont="1" applyFill="1" applyBorder="1" applyAlignment="1" applyProtection="1">
      <alignment horizontal="center" vertical="center"/>
      <protection hidden="1"/>
    </xf>
    <xf numFmtId="178" fontId="14" fillId="18" borderId="91" xfId="1" applyNumberFormat="1" applyFont="1" applyFill="1" applyBorder="1" applyAlignment="1" applyProtection="1">
      <alignment horizontal="center" vertical="center"/>
      <protection hidden="1"/>
    </xf>
    <xf numFmtId="178" fontId="14" fillId="18" borderId="77" xfId="1" applyNumberFormat="1" applyFont="1" applyFill="1" applyBorder="1" applyAlignment="1" applyProtection="1">
      <alignment horizontal="right" vertical="center" indent="1"/>
      <protection hidden="1"/>
    </xf>
    <xf numFmtId="0" fontId="12" fillId="0" borderId="78" xfId="0" applyFont="1" applyBorder="1" applyAlignment="1">
      <alignment horizontal="right" indent="1"/>
    </xf>
    <xf numFmtId="0" fontId="12" fillId="0" borderId="79" xfId="0" applyFont="1" applyBorder="1" applyAlignment="1">
      <alignment horizontal="right" indent="1"/>
    </xf>
    <xf numFmtId="0" fontId="12" fillId="0" borderId="80" xfId="0" applyFont="1" applyBorder="1" applyAlignment="1">
      <alignment horizontal="right" indent="1"/>
    </xf>
    <xf numFmtId="178" fontId="14" fillId="18" borderId="186" xfId="1" applyNumberFormat="1" applyFont="1" applyFill="1" applyBorder="1" applyAlignment="1" applyProtection="1">
      <alignment horizontal="right" vertical="center" indent="1"/>
      <protection hidden="1"/>
    </xf>
    <xf numFmtId="178" fontId="14" fillId="18" borderId="187" xfId="1" applyNumberFormat="1" applyFont="1" applyFill="1" applyBorder="1" applyAlignment="1" applyProtection="1">
      <alignment horizontal="right" vertical="center" indent="1"/>
      <protection hidden="1"/>
    </xf>
    <xf numFmtId="178" fontId="14" fillId="18" borderId="180" xfId="1" applyNumberFormat="1" applyFont="1" applyFill="1" applyBorder="1" applyAlignment="1" applyProtection="1">
      <alignment horizontal="right" vertical="center" indent="1"/>
      <protection hidden="1"/>
    </xf>
    <xf numFmtId="178" fontId="14" fillId="18" borderId="181" xfId="1" applyNumberFormat="1" applyFont="1" applyFill="1" applyBorder="1" applyAlignment="1" applyProtection="1">
      <alignment horizontal="right" vertical="center" indent="1"/>
      <protection hidden="1"/>
    </xf>
    <xf numFmtId="178" fontId="73" fillId="0" borderId="396" xfId="1" applyNumberFormat="1" applyFont="1" applyFill="1" applyBorder="1" applyAlignment="1" applyProtection="1">
      <alignment horizontal="center" vertical="center"/>
      <protection hidden="1"/>
    </xf>
    <xf numFmtId="178" fontId="14" fillId="18" borderId="78" xfId="1" applyNumberFormat="1" applyFont="1" applyFill="1" applyBorder="1" applyAlignment="1" applyProtection="1">
      <alignment horizontal="right" vertical="center" indent="1"/>
      <protection hidden="1"/>
    </xf>
    <xf numFmtId="178" fontId="14" fillId="18" borderId="79" xfId="1" applyNumberFormat="1" applyFont="1" applyFill="1" applyBorder="1" applyAlignment="1" applyProtection="1">
      <alignment horizontal="right" vertical="center" indent="1"/>
      <protection hidden="1"/>
    </xf>
    <xf numFmtId="178" fontId="14" fillId="18" borderId="80" xfId="1" applyNumberFormat="1" applyFont="1" applyFill="1" applyBorder="1" applyAlignment="1" applyProtection="1">
      <alignment horizontal="right" vertical="center" indent="1"/>
      <protection hidden="1"/>
    </xf>
    <xf numFmtId="178" fontId="78" fillId="6" borderId="194" xfId="1" applyNumberFormat="1" applyFont="1" applyFill="1" applyBorder="1" applyAlignment="1" applyProtection="1">
      <alignment horizontal="center" vertical="center"/>
      <protection locked="0"/>
    </xf>
    <xf numFmtId="178" fontId="78" fillId="6" borderId="195" xfId="1" applyNumberFormat="1" applyFont="1" applyFill="1" applyBorder="1" applyAlignment="1" applyProtection="1">
      <alignment horizontal="center" vertical="center"/>
      <protection locked="0"/>
    </xf>
    <xf numFmtId="175" fontId="78" fillId="6" borderId="196" xfId="1" applyNumberFormat="1" applyFont="1" applyFill="1" applyBorder="1" applyAlignment="1" applyProtection="1">
      <alignment horizontal="right" vertical="center" indent="1"/>
      <protection locked="0"/>
    </xf>
    <xf numFmtId="175" fontId="78" fillId="6" borderId="197" xfId="1" applyNumberFormat="1" applyFont="1" applyFill="1" applyBorder="1" applyAlignment="1" applyProtection="1">
      <alignment horizontal="right" vertical="center" indent="1"/>
      <protection locked="0"/>
    </xf>
    <xf numFmtId="175" fontId="78" fillId="6" borderId="198" xfId="1" applyNumberFormat="1" applyFont="1" applyFill="1" applyBorder="1" applyAlignment="1" applyProtection="1">
      <alignment horizontal="right" vertical="center" indent="1"/>
      <protection locked="0"/>
    </xf>
    <xf numFmtId="175" fontId="78" fillId="6" borderId="199" xfId="1" applyNumberFormat="1" applyFont="1" applyFill="1" applyBorder="1" applyAlignment="1" applyProtection="1">
      <alignment horizontal="right" vertical="center" indent="1"/>
      <protection locked="0"/>
    </xf>
    <xf numFmtId="175" fontId="78" fillId="6" borderId="174" xfId="1" applyNumberFormat="1" applyFont="1" applyFill="1" applyBorder="1" applyAlignment="1" applyProtection="1">
      <alignment horizontal="right" vertical="center" indent="1"/>
      <protection locked="0"/>
    </xf>
    <xf numFmtId="175" fontId="78" fillId="6" borderId="79" xfId="1" applyNumberFormat="1" applyFont="1" applyFill="1" applyBorder="1" applyAlignment="1" applyProtection="1">
      <alignment horizontal="right" vertical="center" indent="1"/>
      <protection locked="0"/>
    </xf>
    <xf numFmtId="178" fontId="14" fillId="18" borderId="198" xfId="1" applyNumberFormat="1" applyFont="1" applyFill="1" applyBorder="1" applyAlignment="1" applyProtection="1">
      <alignment horizontal="right" vertical="center" indent="1"/>
      <protection hidden="1"/>
    </xf>
    <xf numFmtId="178" fontId="14" fillId="18" borderId="199" xfId="1" applyNumberFormat="1" applyFont="1" applyFill="1" applyBorder="1" applyAlignment="1" applyProtection="1">
      <alignment horizontal="right" vertical="center" indent="1"/>
      <protection hidden="1"/>
    </xf>
    <xf numFmtId="178" fontId="78" fillId="6" borderId="163" xfId="1" applyNumberFormat="1" applyFont="1" applyFill="1" applyBorder="1" applyAlignment="1" applyProtection="1">
      <alignment horizontal="center" vertical="center"/>
      <protection locked="0"/>
    </xf>
    <xf numFmtId="175" fontId="14" fillId="18" borderId="196" xfId="1" applyNumberFormat="1" applyFont="1" applyFill="1" applyBorder="1" applyAlignment="1" applyProtection="1">
      <alignment horizontal="right" vertical="center" indent="1"/>
      <protection hidden="1"/>
    </xf>
    <xf numFmtId="175" fontId="14" fillId="18" borderId="197" xfId="1" applyNumberFormat="1" applyFont="1" applyFill="1" applyBorder="1" applyAlignment="1" applyProtection="1">
      <alignment horizontal="right" vertical="center" indent="1"/>
      <protection hidden="1"/>
    </xf>
    <xf numFmtId="175" fontId="14" fillId="6" borderId="213" xfId="1" applyNumberFormat="1" applyFont="1" applyFill="1" applyBorder="1" applyAlignment="1" applyProtection="1">
      <alignment horizontal="right" vertical="center" indent="1"/>
      <protection locked="0"/>
    </xf>
    <xf numFmtId="175" fontId="14" fillId="6" borderId="214" xfId="1" applyNumberFormat="1" applyFont="1" applyFill="1" applyBorder="1" applyAlignment="1" applyProtection="1">
      <alignment horizontal="right" vertical="center" indent="1"/>
      <protection locked="0"/>
    </xf>
    <xf numFmtId="178" fontId="14" fillId="6" borderId="213" xfId="1" applyNumberFormat="1" applyFont="1" applyFill="1" applyBorder="1" applyAlignment="1" applyProtection="1">
      <alignment horizontal="right" vertical="center" indent="1"/>
      <protection locked="0"/>
    </xf>
    <xf numFmtId="178" fontId="14" fillId="6" borderId="214" xfId="1" applyNumberFormat="1" applyFont="1" applyFill="1" applyBorder="1" applyAlignment="1" applyProtection="1">
      <alignment horizontal="right" vertical="center" indent="1"/>
      <protection locked="0"/>
    </xf>
    <xf numFmtId="178" fontId="78" fillId="6" borderId="213" xfId="1" applyNumberFormat="1" applyFont="1" applyFill="1" applyBorder="1" applyAlignment="1" applyProtection="1">
      <alignment horizontal="right" vertical="center" indent="1"/>
      <protection locked="0"/>
    </xf>
    <xf numFmtId="178" fontId="78" fillId="6" borderId="214" xfId="1" applyNumberFormat="1" applyFont="1" applyFill="1" applyBorder="1" applyAlignment="1" applyProtection="1">
      <alignment horizontal="right" vertical="center" indent="1"/>
      <protection locked="0"/>
    </xf>
    <xf numFmtId="0" fontId="14" fillId="3" borderId="201" xfId="1" applyFont="1" applyFill="1" applyBorder="1" applyAlignment="1">
      <alignment horizontal="center" vertical="center"/>
    </xf>
    <xf numFmtId="0" fontId="14" fillId="3" borderId="47" xfId="1" applyFont="1" applyFill="1" applyBorder="1" applyAlignment="1">
      <alignment horizontal="center" vertical="center"/>
    </xf>
    <xf numFmtId="0" fontId="14" fillId="3" borderId="71" xfId="1" applyFont="1" applyFill="1" applyBorder="1" applyAlignment="1">
      <alignment horizontal="center" vertical="center"/>
    </xf>
    <xf numFmtId="0" fontId="14" fillId="3" borderId="225" xfId="1" applyFont="1" applyFill="1" applyBorder="1" applyAlignment="1">
      <alignment horizontal="center" vertical="center"/>
    </xf>
    <xf numFmtId="0" fontId="14" fillId="19" borderId="74" xfId="1" applyFont="1" applyFill="1" applyBorder="1" applyAlignment="1" applyProtection="1">
      <alignment horizontal="left" vertical="center" indent="1"/>
      <protection hidden="1"/>
    </xf>
    <xf numFmtId="0" fontId="14" fillId="19" borderId="141" xfId="1" applyFont="1" applyFill="1" applyBorder="1" applyAlignment="1" applyProtection="1">
      <alignment horizontal="left" vertical="center" wrapText="1" indent="1"/>
    </xf>
    <xf numFmtId="0" fontId="14" fillId="19" borderId="72" xfId="1" applyFont="1" applyFill="1" applyBorder="1" applyAlignment="1" applyProtection="1">
      <alignment horizontal="left" vertical="center" wrapText="1" indent="1"/>
    </xf>
    <xf numFmtId="0" fontId="102" fillId="19" borderId="399" xfId="4" applyFont="1" applyFill="1" applyBorder="1" applyAlignment="1" applyProtection="1">
      <alignment horizontal="left" vertical="center" indent="1"/>
      <protection hidden="1"/>
    </xf>
    <xf numFmtId="0" fontId="102" fillId="19" borderId="0" xfId="4" applyFont="1" applyFill="1" applyBorder="1" applyAlignment="1" applyProtection="1">
      <alignment horizontal="left" vertical="center" indent="1"/>
      <protection hidden="1"/>
    </xf>
    <xf numFmtId="0" fontId="102" fillId="19" borderId="145" xfId="4" applyFont="1" applyFill="1" applyBorder="1" applyAlignment="1" applyProtection="1">
      <alignment horizontal="left" vertical="center" indent="1"/>
      <protection hidden="1"/>
    </xf>
    <xf numFmtId="0" fontId="14" fillId="4" borderId="219" xfId="1" applyFont="1" applyFill="1" applyBorder="1" applyAlignment="1">
      <alignment horizontal="center" wrapText="1"/>
    </xf>
    <xf numFmtId="0" fontId="14" fillId="4" borderId="172" xfId="1" applyFont="1" applyFill="1" applyBorder="1" applyAlignment="1">
      <alignment horizontal="center" wrapText="1"/>
    </xf>
    <xf numFmtId="0" fontId="14" fillId="4" borderId="88" xfId="1" applyFont="1" applyFill="1" applyBorder="1" applyAlignment="1">
      <alignment horizontal="center" wrapText="1"/>
    </xf>
    <xf numFmtId="0" fontId="14" fillId="4" borderId="89" xfId="1" applyFont="1" applyFill="1" applyBorder="1" applyAlignment="1">
      <alignment horizontal="center" wrapText="1"/>
    </xf>
    <xf numFmtId="0" fontId="14" fillId="3" borderId="221" xfId="0" applyFont="1" applyFill="1" applyBorder="1" applyAlignment="1">
      <alignment horizontal="center" vertical="center"/>
    </xf>
    <xf numFmtId="0" fontId="14" fillId="3" borderId="222" xfId="0" applyFont="1" applyFill="1" applyBorder="1" applyAlignment="1">
      <alignment horizontal="center" vertical="center"/>
    </xf>
    <xf numFmtId="3" fontId="14" fillId="3" borderId="225" xfId="0" applyNumberFormat="1" applyFont="1" applyFill="1" applyBorder="1" applyAlignment="1">
      <alignment horizontal="right" vertical="center" indent="3"/>
    </xf>
    <xf numFmtId="3" fontId="14" fillId="3" borderId="226" xfId="0" applyNumberFormat="1" applyFont="1" applyFill="1" applyBorder="1" applyAlignment="1">
      <alignment horizontal="right" vertical="center" indent="3"/>
    </xf>
    <xf numFmtId="0" fontId="14" fillId="3" borderId="225" xfId="0" applyFont="1" applyFill="1" applyBorder="1" applyAlignment="1">
      <alignment horizontal="center" vertical="center"/>
    </xf>
    <xf numFmtId="0" fontId="14" fillId="19" borderId="141" xfId="1" applyFont="1" applyFill="1" applyBorder="1" applyAlignment="1" applyProtection="1">
      <alignment horizontal="left" vertical="center" indent="1"/>
      <protection hidden="1"/>
    </xf>
    <xf numFmtId="0" fontId="14" fillId="19" borderId="72" xfId="1" applyFont="1" applyFill="1" applyBorder="1" applyAlignment="1" applyProtection="1">
      <alignment horizontal="left" vertical="center" indent="1"/>
      <protection hidden="1"/>
    </xf>
    <xf numFmtId="0" fontId="14" fillId="19" borderId="73" xfId="1" applyFont="1" applyFill="1" applyBorder="1" applyAlignment="1" applyProtection="1">
      <alignment horizontal="left" vertical="center" indent="1"/>
      <protection hidden="1"/>
    </xf>
    <xf numFmtId="178" fontId="14" fillId="6" borderId="215" xfId="1" applyNumberFormat="1" applyFont="1" applyFill="1" applyBorder="1" applyAlignment="1" applyProtection="1">
      <alignment horizontal="right" vertical="center" indent="2"/>
      <protection locked="0"/>
    </xf>
    <xf numFmtId="178" fontId="14" fillId="6" borderId="216" xfId="1" applyNumberFormat="1" applyFont="1" applyFill="1" applyBorder="1" applyAlignment="1" applyProtection="1">
      <alignment horizontal="right" vertical="center" indent="2"/>
      <protection locked="0"/>
    </xf>
    <xf numFmtId="0" fontId="14" fillId="3" borderId="47" xfId="1" applyFont="1" applyFill="1" applyBorder="1" applyAlignment="1" applyProtection="1">
      <alignment horizontal="left" vertical="center"/>
      <protection hidden="1"/>
    </xf>
    <xf numFmtId="0" fontId="14" fillId="3" borderId="71" xfId="1" applyFont="1" applyFill="1" applyBorder="1" applyAlignment="1" applyProtection="1">
      <alignment horizontal="left" vertical="center"/>
      <protection hidden="1"/>
    </xf>
    <xf numFmtId="0" fontId="14" fillId="3" borderId="163" xfId="1" applyFont="1" applyFill="1" applyBorder="1" applyAlignment="1" applyProtection="1">
      <alignment horizontal="left" vertical="center"/>
      <protection hidden="1"/>
    </xf>
    <xf numFmtId="0" fontId="14" fillId="3" borderId="164" xfId="1" applyFont="1" applyFill="1" applyBorder="1" applyAlignment="1" applyProtection="1">
      <alignment horizontal="left" vertical="center"/>
      <protection hidden="1"/>
    </xf>
    <xf numFmtId="178" fontId="78" fillId="6" borderId="91" xfId="1" applyNumberFormat="1" applyFont="1" applyFill="1" applyBorder="1" applyAlignment="1" applyProtection="1">
      <alignment horizontal="center" vertical="center"/>
      <protection locked="0"/>
    </xf>
    <xf numFmtId="173" fontId="14" fillId="18" borderId="200" xfId="1" applyNumberFormat="1" applyFont="1" applyFill="1" applyBorder="1" applyAlignment="1" applyProtection="1">
      <alignment horizontal="right" vertical="center" indent="1"/>
      <protection hidden="1"/>
    </xf>
    <xf numFmtId="173" fontId="14" fillId="18" borderId="197" xfId="1" applyNumberFormat="1" applyFont="1" applyFill="1" applyBorder="1" applyAlignment="1" applyProtection="1">
      <alignment horizontal="right" vertical="center" indent="1"/>
      <protection hidden="1"/>
    </xf>
    <xf numFmtId="178" fontId="78" fillId="3" borderId="72" xfId="1" applyNumberFormat="1" applyFont="1" applyFill="1" applyBorder="1" applyAlignment="1" applyProtection="1">
      <alignment horizontal="right" vertical="center"/>
      <protection hidden="1"/>
    </xf>
    <xf numFmtId="178" fontId="78" fillId="3" borderId="90" xfId="1" applyNumberFormat="1" applyFont="1" applyFill="1" applyBorder="1" applyAlignment="1" applyProtection="1">
      <alignment horizontal="right" vertical="center"/>
      <protection hidden="1"/>
    </xf>
    <xf numFmtId="178" fontId="14" fillId="6" borderId="90" xfId="1" applyNumberFormat="1" applyFont="1" applyFill="1" applyBorder="1" applyAlignment="1" applyProtection="1">
      <alignment horizontal="center" vertical="center"/>
      <protection locked="0"/>
    </xf>
    <xf numFmtId="178" fontId="14" fillId="3" borderId="134" xfId="1" applyNumberFormat="1" applyFont="1" applyFill="1" applyBorder="1" applyAlignment="1" applyProtection="1">
      <alignment horizontal="right" vertical="center"/>
      <protection hidden="1"/>
    </xf>
    <xf numFmtId="178" fontId="14" fillId="3" borderId="138" xfId="1" applyNumberFormat="1" applyFont="1" applyFill="1" applyBorder="1" applyAlignment="1" applyProtection="1">
      <alignment horizontal="right" vertical="center"/>
      <protection hidden="1"/>
    </xf>
    <xf numFmtId="178" fontId="14" fillId="6" borderId="163" xfId="1" applyNumberFormat="1" applyFont="1" applyFill="1" applyBorder="1" applyAlignment="1" applyProtection="1">
      <alignment horizontal="center" vertical="center"/>
      <protection locked="0"/>
    </xf>
    <xf numFmtId="178" fontId="78" fillId="6" borderId="208" xfId="1" applyNumberFormat="1" applyFont="1" applyFill="1" applyBorder="1" applyAlignment="1" applyProtection="1">
      <alignment horizontal="center" vertical="center"/>
      <protection locked="0"/>
    </xf>
    <xf numFmtId="173" fontId="14" fillId="19" borderId="193" xfId="1" applyNumberFormat="1" applyFont="1" applyFill="1" applyBorder="1" applyAlignment="1" applyProtection="1">
      <alignment horizontal="right" vertical="center" indent="1"/>
      <protection hidden="1"/>
    </xf>
    <xf numFmtId="173" fontId="14" fillId="19" borderId="190" xfId="1" applyNumberFormat="1" applyFont="1" applyFill="1" applyBorder="1" applyAlignment="1" applyProtection="1">
      <alignment horizontal="right" vertical="center" indent="1"/>
      <protection hidden="1"/>
    </xf>
    <xf numFmtId="173" fontId="14" fillId="19" borderId="153" xfId="1" applyNumberFormat="1" applyFont="1" applyFill="1" applyBorder="1" applyAlignment="1" applyProtection="1">
      <alignment horizontal="right" vertical="center" indent="1"/>
      <protection hidden="1"/>
    </xf>
    <xf numFmtId="173" fontId="14" fillId="19" borderId="154" xfId="1" applyNumberFormat="1" applyFont="1" applyFill="1" applyBorder="1" applyAlignment="1" applyProtection="1">
      <alignment horizontal="right" vertical="center" indent="1"/>
      <protection hidden="1"/>
    </xf>
    <xf numFmtId="173" fontId="14" fillId="6" borderId="215" xfId="1" applyNumberFormat="1" applyFont="1" applyFill="1" applyBorder="1" applyAlignment="1" applyProtection="1">
      <alignment horizontal="right" vertical="center" indent="1"/>
      <protection locked="0"/>
    </xf>
    <xf numFmtId="173" fontId="14" fillId="6" borderId="212" xfId="1" applyNumberFormat="1" applyFont="1" applyFill="1" applyBorder="1" applyAlignment="1" applyProtection="1">
      <alignment horizontal="right" vertical="center" indent="1"/>
      <protection locked="0"/>
    </xf>
    <xf numFmtId="0" fontId="62" fillId="4" borderId="69" xfId="1" applyFont="1" applyFill="1" applyBorder="1" applyAlignment="1" applyProtection="1">
      <alignment vertical="center"/>
      <protection hidden="1"/>
    </xf>
    <xf numFmtId="0" fontId="62" fillId="4" borderId="92" xfId="1" applyFont="1" applyFill="1" applyBorder="1" applyAlignment="1" applyProtection="1">
      <alignment vertical="center"/>
      <protection hidden="1"/>
    </xf>
    <xf numFmtId="0" fontId="14" fillId="4" borderId="221" xfId="1" applyFont="1" applyFill="1" applyBorder="1" applyAlignment="1">
      <alignment horizontal="center" vertical="center"/>
    </xf>
    <xf numFmtId="178" fontId="14" fillId="3" borderId="223" xfId="1" applyNumberFormat="1" applyFont="1" applyFill="1" applyBorder="1" applyAlignment="1">
      <alignment horizontal="center" vertical="center"/>
    </xf>
    <xf numFmtId="0" fontId="14" fillId="3" borderId="194" xfId="1" applyFont="1" applyFill="1" applyBorder="1" applyAlignment="1">
      <alignment horizontal="center" vertical="center"/>
    </xf>
    <xf numFmtId="0" fontId="14" fillId="3" borderId="163" xfId="1" applyFont="1" applyFill="1" applyBorder="1" applyAlignment="1">
      <alignment horizontal="center" vertical="center"/>
    </xf>
    <xf numFmtId="0" fontId="14" fillId="3" borderId="195" xfId="1" applyFont="1" applyFill="1" applyBorder="1" applyAlignment="1">
      <alignment horizontal="center" vertical="center"/>
    </xf>
    <xf numFmtId="0" fontId="14" fillId="4" borderId="231" xfId="1" applyFont="1" applyFill="1" applyBorder="1" applyAlignment="1">
      <alignment horizontal="center" vertical="top" wrapText="1"/>
    </xf>
    <xf numFmtId="2" fontId="14" fillId="3" borderId="165" xfId="1" applyNumberFormat="1" applyFont="1" applyFill="1" applyBorder="1" applyAlignment="1">
      <alignment horizontal="center" vertical="center"/>
    </xf>
    <xf numFmtId="0" fontId="100" fillId="3" borderId="225" xfId="1" applyFont="1" applyFill="1" applyBorder="1" applyAlignment="1">
      <alignment horizontal="center" vertical="center"/>
    </xf>
    <xf numFmtId="0" fontId="14" fillId="4" borderId="400" xfId="1" applyFont="1" applyFill="1" applyBorder="1" applyAlignment="1">
      <alignment horizontal="center" vertical="top" wrapText="1"/>
    </xf>
    <xf numFmtId="0" fontId="14" fillId="4" borderId="92" xfId="1" applyFont="1" applyFill="1" applyBorder="1" applyAlignment="1">
      <alignment horizontal="center" vertical="top" wrapText="1"/>
    </xf>
    <xf numFmtId="0" fontId="14" fillId="4" borderId="401" xfId="1" applyFont="1" applyFill="1" applyBorder="1" applyAlignment="1">
      <alignment horizontal="center" vertical="top" wrapText="1"/>
    </xf>
    <xf numFmtId="0" fontId="14" fillId="4" borderId="176" xfId="1" applyFont="1" applyFill="1" applyBorder="1" applyAlignment="1">
      <alignment horizontal="center" vertical="center"/>
    </xf>
    <xf numFmtId="0" fontId="14" fillId="4" borderId="90" xfId="1" applyFont="1" applyFill="1" applyBorder="1" applyAlignment="1">
      <alignment horizontal="center" vertical="center"/>
    </xf>
    <xf numFmtId="0" fontId="14" fillId="4" borderId="91" xfId="1" applyFont="1" applyFill="1" applyBorder="1" applyAlignment="1">
      <alignment horizontal="center" vertical="center"/>
    </xf>
    <xf numFmtId="0" fontId="14" fillId="3" borderId="165" xfId="1" applyFont="1" applyFill="1" applyBorder="1" applyAlignment="1">
      <alignment horizontal="center" vertical="center"/>
    </xf>
    <xf numFmtId="0" fontId="14" fillId="3" borderId="164" xfId="1" applyFont="1" applyFill="1" applyBorder="1" applyAlignment="1">
      <alignment horizontal="center" vertical="center"/>
    </xf>
    <xf numFmtId="0" fontId="14" fillId="3" borderId="184" xfId="1" applyFont="1" applyFill="1" applyBorder="1" applyAlignment="1">
      <alignment horizontal="center" vertical="center"/>
    </xf>
    <xf numFmtId="0" fontId="14" fillId="3" borderId="223" xfId="1" applyFont="1" applyFill="1" applyBorder="1" applyAlignment="1">
      <alignment horizontal="center" vertical="center"/>
    </xf>
    <xf numFmtId="2" fontId="14" fillId="3" borderId="201" xfId="1" applyNumberFormat="1" applyFont="1" applyFill="1" applyBorder="1" applyAlignment="1">
      <alignment horizontal="center" vertical="center"/>
    </xf>
    <xf numFmtId="2" fontId="14" fillId="3" borderId="47" xfId="1" applyNumberFormat="1" applyFont="1" applyFill="1" applyBorder="1" applyAlignment="1">
      <alignment horizontal="center" vertical="center"/>
    </xf>
    <xf numFmtId="2" fontId="14" fillId="3" borderId="184" xfId="1" applyNumberFormat="1" applyFont="1" applyFill="1" applyBorder="1" applyAlignment="1">
      <alignment horizontal="center" vertical="center"/>
    </xf>
    <xf numFmtId="0" fontId="100" fillId="3" borderId="223" xfId="1" applyFont="1" applyFill="1" applyBorder="1" applyAlignment="1">
      <alignment horizontal="center" vertical="center"/>
    </xf>
    <xf numFmtId="0" fontId="100" fillId="3" borderId="226" xfId="1" applyFont="1" applyFill="1" applyBorder="1" applyAlignment="1">
      <alignment horizontal="center" vertical="center"/>
    </xf>
    <xf numFmtId="0" fontId="14" fillId="19" borderId="399" xfId="1" applyFont="1" applyFill="1" applyBorder="1" applyAlignment="1" applyProtection="1">
      <alignment horizontal="left" vertical="center" indent="1"/>
    </xf>
    <xf numFmtId="0" fontId="14" fillId="19" borderId="0" xfId="1" applyFont="1" applyFill="1" applyBorder="1" applyAlignment="1" applyProtection="1">
      <alignment horizontal="left" vertical="center" indent="1"/>
    </xf>
    <xf numFmtId="0" fontId="14" fillId="3" borderId="219" xfId="0" applyFont="1" applyFill="1" applyBorder="1" applyAlignment="1">
      <alignment horizontal="center" vertical="top" wrapText="1"/>
    </xf>
    <xf numFmtId="0" fontId="14" fillId="4" borderId="218" xfId="1" applyFont="1" applyFill="1" applyBorder="1" applyAlignment="1">
      <alignment horizontal="center" vertical="top" wrapText="1"/>
    </xf>
    <xf numFmtId="175" fontId="14" fillId="3" borderId="225" xfId="0" applyNumberFormat="1" applyFont="1" applyFill="1" applyBorder="1" applyAlignment="1">
      <alignment horizontal="right" vertical="center" indent="3"/>
    </xf>
    <xf numFmtId="175" fontId="14" fillId="3" borderId="165" xfId="0" applyNumberFormat="1" applyFont="1" applyFill="1" applyBorder="1" applyAlignment="1">
      <alignment horizontal="right" vertical="center" indent="3"/>
    </xf>
    <xf numFmtId="0" fontId="14" fillId="3" borderId="219" xfId="1" applyFont="1" applyFill="1" applyBorder="1" applyAlignment="1" applyProtection="1">
      <alignment horizontal="center" vertical="top" wrapText="1"/>
      <protection hidden="1"/>
    </xf>
    <xf numFmtId="0" fontId="14" fillId="3" borderId="220" xfId="1" applyFont="1" applyFill="1" applyBorder="1" applyAlignment="1" applyProtection="1">
      <alignment horizontal="center" vertical="top" wrapText="1"/>
      <protection hidden="1"/>
    </xf>
    <xf numFmtId="3" fontId="14" fillId="3" borderId="165" xfId="0" applyNumberFormat="1" applyFont="1" applyFill="1" applyBorder="1" applyAlignment="1">
      <alignment horizontal="right" vertical="center" indent="3"/>
    </xf>
    <xf numFmtId="3" fontId="14" fillId="3" borderId="227" xfId="0" applyNumberFormat="1" applyFont="1" applyFill="1" applyBorder="1" applyAlignment="1">
      <alignment horizontal="right" vertical="center" indent="3"/>
    </xf>
    <xf numFmtId="0" fontId="14" fillId="3" borderId="165" xfId="0" applyFont="1" applyFill="1" applyBorder="1" applyAlignment="1">
      <alignment horizontal="center" vertical="center"/>
    </xf>
    <xf numFmtId="178" fontId="14" fillId="3" borderId="201" xfId="1" applyNumberFormat="1" applyFont="1" applyFill="1" applyBorder="1" applyAlignment="1">
      <alignment horizontal="center" vertical="center"/>
    </xf>
    <xf numFmtId="178" fontId="14" fillId="3" borderId="47" xfId="1" applyNumberFormat="1" applyFont="1" applyFill="1" applyBorder="1" applyAlignment="1">
      <alignment horizontal="center" vertical="center"/>
    </xf>
    <xf numFmtId="178" fontId="14" fillId="3" borderId="184" xfId="1" applyNumberFormat="1" applyFont="1" applyFill="1" applyBorder="1" applyAlignment="1">
      <alignment horizontal="center" vertical="center"/>
    </xf>
    <xf numFmtId="178" fontId="78" fillId="3" borderId="72" xfId="1" applyNumberFormat="1" applyFont="1" applyFill="1" applyBorder="1" applyAlignment="1" applyProtection="1">
      <alignment horizontal="left" vertical="top" wrapText="1"/>
      <protection hidden="1"/>
    </xf>
    <xf numFmtId="178" fontId="78" fillId="3" borderId="142" xfId="1" applyNumberFormat="1" applyFont="1" applyFill="1" applyBorder="1" applyAlignment="1" applyProtection="1">
      <alignment horizontal="left" vertical="top" wrapText="1"/>
      <protection hidden="1"/>
    </xf>
    <xf numFmtId="178" fontId="78" fillId="3" borderId="75" xfId="1" applyNumberFormat="1" applyFont="1" applyFill="1" applyBorder="1" applyAlignment="1" applyProtection="1">
      <alignment horizontal="left" vertical="top" wrapText="1"/>
      <protection hidden="1"/>
    </xf>
    <xf numFmtId="178" fontId="78" fillId="3" borderId="144" xfId="1" applyNumberFormat="1" applyFont="1" applyFill="1" applyBorder="1" applyAlignment="1" applyProtection="1">
      <alignment horizontal="left" vertical="top" wrapText="1"/>
      <protection hidden="1"/>
    </xf>
    <xf numFmtId="178" fontId="14" fillId="3" borderId="225" xfId="1" applyNumberFormat="1" applyFont="1" applyFill="1" applyBorder="1" applyAlignment="1">
      <alignment horizontal="center" vertical="center"/>
    </xf>
    <xf numFmtId="2" fontId="14" fillId="3" borderId="210" xfId="1" applyNumberFormat="1" applyFont="1" applyFill="1" applyBorder="1" applyAlignment="1">
      <alignment horizontal="center" vertical="center"/>
    </xf>
    <xf numFmtId="2" fontId="14" fillId="3" borderId="207" xfId="1" applyNumberFormat="1" applyFont="1" applyFill="1" applyBorder="1" applyAlignment="1">
      <alignment horizontal="center" vertical="center"/>
    </xf>
    <xf numFmtId="2" fontId="14" fillId="3" borderId="188" xfId="1" applyNumberFormat="1" applyFont="1" applyFill="1" applyBorder="1" applyAlignment="1">
      <alignment horizontal="center" vertical="center"/>
    </xf>
    <xf numFmtId="0" fontId="14" fillId="3" borderId="210" xfId="1" applyFont="1" applyFill="1" applyBorder="1" applyAlignment="1">
      <alignment horizontal="center" vertical="center"/>
    </xf>
    <xf numFmtId="0" fontId="14" fillId="3" borderId="207" xfId="1" applyFont="1" applyFill="1" applyBorder="1" applyAlignment="1">
      <alignment horizontal="center" vertical="center"/>
    </xf>
    <xf numFmtId="0" fontId="14" fillId="3" borderId="208" xfId="1" applyFont="1" applyFill="1" applyBorder="1" applyAlignment="1">
      <alignment horizontal="center" vertical="center"/>
    </xf>
    <xf numFmtId="0" fontId="17" fillId="4" borderId="69" xfId="0" applyFont="1" applyFill="1" applyBorder="1" applyAlignment="1">
      <alignment horizontal="left" vertical="center"/>
    </xf>
    <xf numFmtId="0" fontId="17" fillId="4" borderId="92" xfId="0" applyFont="1" applyFill="1" applyBorder="1" applyAlignment="1">
      <alignment horizontal="left" vertical="center"/>
    </xf>
    <xf numFmtId="0" fontId="17" fillId="4" borderId="402" xfId="0" applyFont="1" applyFill="1" applyBorder="1" applyAlignment="1">
      <alignment horizontal="left" vertical="center"/>
    </xf>
    <xf numFmtId="0" fontId="62" fillId="4" borderId="229" xfId="1" applyFont="1" applyFill="1" applyBorder="1" applyAlignment="1" applyProtection="1">
      <alignment vertical="center"/>
      <protection hidden="1"/>
    </xf>
    <xf numFmtId="0" fontId="62" fillId="4" borderId="228" xfId="1" applyFont="1" applyFill="1" applyBorder="1" applyAlignment="1" applyProtection="1">
      <alignment vertical="center"/>
      <protection hidden="1"/>
    </xf>
    <xf numFmtId="0" fontId="62" fillId="4" borderId="230" xfId="1" applyFont="1" applyFill="1" applyBorder="1" applyAlignment="1" applyProtection="1">
      <alignment vertical="center"/>
      <protection hidden="1"/>
    </xf>
    <xf numFmtId="175" fontId="14" fillId="3" borderId="223" xfId="0" applyNumberFormat="1" applyFont="1" applyFill="1" applyBorder="1" applyAlignment="1">
      <alignment horizontal="right" vertical="center" indent="3"/>
    </xf>
    <xf numFmtId="2" fontId="14" fillId="3" borderId="225" xfId="1" applyNumberFormat="1" applyFont="1" applyFill="1" applyBorder="1" applyAlignment="1">
      <alignment horizontal="center" vertical="center"/>
    </xf>
    <xf numFmtId="0" fontId="100" fillId="3" borderId="194" xfId="1" applyFont="1" applyFill="1" applyBorder="1" applyAlignment="1">
      <alignment horizontal="center" vertical="center"/>
    </xf>
    <xf numFmtId="0" fontId="100" fillId="3" borderId="163" xfId="1" applyFont="1" applyFill="1" applyBorder="1" applyAlignment="1">
      <alignment horizontal="center" vertical="center"/>
    </xf>
    <xf numFmtId="0" fontId="100" fillId="3" borderId="195" xfId="1" applyFont="1" applyFill="1" applyBorder="1" applyAlignment="1">
      <alignment horizontal="center" vertical="center"/>
    </xf>
    <xf numFmtId="178" fontId="78" fillId="6" borderId="209" xfId="1" applyNumberFormat="1" applyFont="1" applyFill="1" applyBorder="1" applyAlignment="1" applyProtection="1">
      <alignment horizontal="center" vertical="center"/>
      <protection locked="0"/>
    </xf>
    <xf numFmtId="175" fontId="78" fillId="6" borderId="211" xfId="1" applyNumberFormat="1" applyFont="1" applyFill="1" applyBorder="1" applyAlignment="1" applyProtection="1">
      <alignment horizontal="right" vertical="center" indent="1"/>
      <protection locked="0"/>
    </xf>
    <xf numFmtId="175" fontId="78" fillId="6" borderId="212" xfId="1" applyNumberFormat="1" applyFont="1" applyFill="1" applyBorder="1" applyAlignment="1" applyProtection="1">
      <alignment horizontal="right" vertical="center" indent="1"/>
      <protection locked="0"/>
    </xf>
    <xf numFmtId="175" fontId="78" fillId="6" borderId="213" xfId="1" applyNumberFormat="1" applyFont="1" applyFill="1" applyBorder="1" applyAlignment="1" applyProtection="1">
      <alignment horizontal="right" vertical="center" indent="1"/>
      <protection locked="0"/>
    </xf>
    <xf numFmtId="175" fontId="78" fillId="6" borderId="214" xfId="1" applyNumberFormat="1" applyFont="1" applyFill="1" applyBorder="1" applyAlignment="1" applyProtection="1">
      <alignment horizontal="right" vertical="center" indent="1"/>
      <protection locked="0"/>
    </xf>
    <xf numFmtId="0" fontId="14" fillId="3" borderId="221" xfId="0" applyFont="1" applyFill="1" applyBorder="1" applyAlignment="1">
      <alignment horizontal="center" vertical="top" wrapText="1"/>
    </xf>
    <xf numFmtId="0" fontId="14" fillId="3" borderId="221" xfId="3" applyNumberFormat="1" applyFont="1" applyFill="1" applyBorder="1" applyAlignment="1">
      <alignment horizontal="center" vertical="center" wrapText="1"/>
    </xf>
    <xf numFmtId="0" fontId="14" fillId="19" borderId="399" xfId="1" applyFont="1" applyFill="1" applyBorder="1" applyAlignment="1" applyProtection="1">
      <alignment horizontal="left" vertical="center" wrapText="1" indent="1"/>
    </xf>
    <xf numFmtId="0" fontId="14" fillId="19" borderId="0" xfId="1" applyFont="1" applyFill="1" applyBorder="1" applyAlignment="1" applyProtection="1">
      <alignment horizontal="left" vertical="center" wrapText="1" indent="1"/>
    </xf>
    <xf numFmtId="0" fontId="14" fillId="3" borderId="69" xfId="4" applyFont="1" applyFill="1" applyBorder="1" applyAlignment="1" applyProtection="1">
      <alignment vertical="top" wrapText="1"/>
      <protection hidden="1"/>
    </xf>
    <xf numFmtId="0" fontId="14" fillId="3" borderId="92" xfId="4" applyFont="1" applyFill="1" applyBorder="1" applyAlignment="1" applyProtection="1">
      <alignment vertical="top" wrapText="1"/>
      <protection hidden="1"/>
    </xf>
    <xf numFmtId="0" fontId="14" fillId="3" borderId="402" xfId="4" applyFont="1" applyFill="1" applyBorder="1" applyAlignment="1" applyProtection="1">
      <alignment vertical="top" wrapText="1"/>
      <protection hidden="1"/>
    </xf>
    <xf numFmtId="0" fontId="133" fillId="19" borderId="143" xfId="4" applyFont="1" applyFill="1" applyBorder="1" applyAlignment="1" applyProtection="1">
      <alignment horizontal="left" vertical="center" indent="1"/>
      <protection locked="0" hidden="1"/>
    </xf>
    <xf numFmtId="0" fontId="133" fillId="19" borderId="75" xfId="4" applyFont="1" applyFill="1" applyBorder="1" applyAlignment="1" applyProtection="1">
      <alignment horizontal="left" vertical="center" indent="1"/>
      <protection locked="0" hidden="1"/>
    </xf>
    <xf numFmtId="0" fontId="133" fillId="19" borderId="76" xfId="4" applyFont="1" applyFill="1" applyBorder="1" applyAlignment="1" applyProtection="1">
      <alignment horizontal="left" vertical="center" indent="1"/>
      <protection locked="0" hidden="1"/>
    </xf>
    <xf numFmtId="178" fontId="78" fillId="3" borderId="0" xfId="1" applyNumberFormat="1" applyFont="1" applyFill="1" applyBorder="1" applyAlignment="1" applyProtection="1">
      <alignment horizontal="left" vertical="top" wrapText="1"/>
      <protection hidden="1"/>
    </xf>
    <xf numFmtId="178" fontId="78" fillId="3" borderId="145" xfId="1" applyNumberFormat="1" applyFont="1" applyFill="1" applyBorder="1" applyAlignment="1" applyProtection="1">
      <alignment horizontal="left" vertical="top" wrapText="1"/>
      <protection hidden="1"/>
    </xf>
    <xf numFmtId="178" fontId="78" fillId="3" borderId="90" xfId="1" applyNumberFormat="1" applyFont="1" applyFill="1" applyBorder="1" applyAlignment="1" applyProtection="1">
      <alignment horizontal="left" vertical="top" wrapText="1"/>
      <protection hidden="1"/>
    </xf>
    <xf numFmtId="178" fontId="78" fillId="3" borderId="232" xfId="1" applyNumberFormat="1" applyFont="1" applyFill="1" applyBorder="1" applyAlignment="1" applyProtection="1">
      <alignment horizontal="left" vertical="top" wrapText="1"/>
      <protection hidden="1"/>
    </xf>
    <xf numFmtId="0" fontId="61" fillId="3" borderId="136" xfId="1" applyFont="1" applyFill="1" applyBorder="1" applyAlignment="1" applyProtection="1">
      <alignment vertical="center" wrapText="1"/>
      <protection hidden="1"/>
    </xf>
    <xf numFmtId="0" fontId="61" fillId="3" borderId="0" xfId="1" applyFont="1" applyFill="1" applyBorder="1" applyAlignment="1" applyProtection="1">
      <alignment vertical="center" wrapText="1"/>
      <protection hidden="1"/>
    </xf>
    <xf numFmtId="0" fontId="61" fillId="3" borderId="74" xfId="1" applyFont="1" applyFill="1" applyBorder="1" applyAlignment="1" applyProtection="1">
      <alignment vertical="center" wrapText="1"/>
      <protection hidden="1"/>
    </xf>
    <xf numFmtId="43" fontId="14" fillId="0" borderId="0" xfId="6" applyFont="1" applyFill="1" applyAlignment="1" applyProtection="1">
      <alignment vertical="center"/>
      <protection hidden="1"/>
    </xf>
    <xf numFmtId="3" fontId="14" fillId="3" borderId="223" xfId="0" applyNumberFormat="1" applyFont="1" applyFill="1" applyBorder="1" applyAlignment="1">
      <alignment horizontal="right" vertical="center" indent="3"/>
    </xf>
    <xf numFmtId="3" fontId="14" fillId="3" borderId="224" xfId="0" applyNumberFormat="1" applyFont="1" applyFill="1" applyBorder="1" applyAlignment="1">
      <alignment horizontal="right" vertical="center" indent="3"/>
    </xf>
    <xf numFmtId="0" fontId="14" fillId="3" borderId="223" xfId="0" applyFont="1" applyFill="1" applyBorder="1" applyAlignment="1">
      <alignment horizontal="center" vertical="center"/>
    </xf>
    <xf numFmtId="0" fontId="14" fillId="3" borderId="142" xfId="1" applyFont="1" applyFill="1" applyBorder="1" applyAlignment="1" applyProtection="1">
      <alignment horizontal="left" vertical="top" wrapText="1"/>
      <protection hidden="1"/>
    </xf>
    <xf numFmtId="178" fontId="78" fillId="6" borderId="164" xfId="1" applyNumberFormat="1" applyFont="1" applyFill="1" applyBorder="1" applyAlignment="1" applyProtection="1">
      <alignment horizontal="center" vertical="center"/>
      <protection locked="0"/>
    </xf>
    <xf numFmtId="0" fontId="14" fillId="3" borderId="136" xfId="1" applyFont="1" applyFill="1" applyBorder="1" applyAlignment="1" applyProtection="1">
      <alignment horizontal="left" vertical="center" wrapText="1" indent="1"/>
      <protection hidden="1"/>
    </xf>
    <xf numFmtId="0" fontId="14" fillId="3" borderId="0" xfId="1" applyFont="1" applyFill="1" applyBorder="1" applyAlignment="1" applyProtection="1">
      <alignment horizontal="left" vertical="center" wrapText="1" indent="1"/>
      <protection hidden="1"/>
    </xf>
    <xf numFmtId="0" fontId="14" fillId="3" borderId="134" xfId="1" applyFont="1" applyFill="1" applyBorder="1" applyAlignment="1" applyProtection="1">
      <alignment horizontal="left" vertical="top" wrapText="1" indent="1"/>
      <protection hidden="1"/>
    </xf>
    <xf numFmtId="0" fontId="14" fillId="3" borderId="72" xfId="1" applyFont="1" applyFill="1" applyBorder="1" applyAlignment="1" applyProtection="1">
      <alignment horizontal="left" vertical="top" wrapText="1" indent="1"/>
      <protection hidden="1"/>
    </xf>
    <xf numFmtId="0" fontId="14" fillId="3" borderId="136" xfId="1" applyFont="1" applyFill="1" applyBorder="1" applyAlignment="1" applyProtection="1">
      <alignment horizontal="left" vertical="top" wrapText="1" indent="1"/>
      <protection hidden="1"/>
    </xf>
    <xf numFmtId="0" fontId="14" fillId="3" borderId="0" xfId="1" applyFont="1" applyFill="1" applyBorder="1" applyAlignment="1" applyProtection="1">
      <alignment horizontal="left" vertical="top" wrapText="1" indent="1"/>
      <protection hidden="1"/>
    </xf>
    <xf numFmtId="0" fontId="78" fillId="3" borderId="72" xfId="1" applyFont="1" applyFill="1" applyBorder="1" applyAlignment="1" applyProtection="1">
      <alignment horizontal="left" vertical="top"/>
      <protection hidden="1"/>
    </xf>
    <xf numFmtId="0" fontId="78" fillId="3" borderId="142" xfId="1" applyFont="1" applyFill="1" applyBorder="1" applyAlignment="1" applyProtection="1">
      <alignment horizontal="left" vertical="top"/>
      <protection hidden="1"/>
    </xf>
    <xf numFmtId="0" fontId="14" fillId="3" borderId="144" xfId="1" applyFont="1" applyFill="1" applyBorder="1" applyAlignment="1" applyProtection="1">
      <alignment horizontal="left" vertical="top" wrapText="1"/>
      <protection hidden="1"/>
    </xf>
    <xf numFmtId="0" fontId="14" fillId="3" borderId="72" xfId="1" applyFont="1" applyFill="1" applyBorder="1" applyAlignment="1" applyProtection="1">
      <alignment horizontal="left" vertical="center" wrapText="1"/>
      <protection hidden="1"/>
    </xf>
    <xf numFmtId="0" fontId="14" fillId="3" borderId="90" xfId="1" applyFont="1" applyFill="1" applyBorder="1" applyAlignment="1" applyProtection="1">
      <alignment horizontal="left" vertical="center" wrapText="1"/>
      <protection hidden="1"/>
    </xf>
    <xf numFmtId="0" fontId="60" fillId="3" borderId="137" xfId="1" applyFont="1" applyFill="1" applyBorder="1" applyAlignment="1" applyProtection="1">
      <alignment vertical="top"/>
      <protection hidden="1"/>
    </xf>
    <xf numFmtId="0" fontId="60" fillId="3" borderId="88" xfId="1" applyFont="1" applyFill="1" applyBorder="1" applyAlignment="1" applyProtection="1">
      <alignment vertical="top"/>
      <protection hidden="1"/>
    </xf>
    <xf numFmtId="0" fontId="60" fillId="3" borderId="136" xfId="1" applyFont="1" applyFill="1" applyBorder="1" applyAlignment="1" applyProtection="1">
      <alignment vertical="top"/>
      <protection hidden="1"/>
    </xf>
    <xf numFmtId="0" fontId="60" fillId="3" borderId="0" xfId="1" applyFont="1" applyFill="1" applyBorder="1" applyAlignment="1" applyProtection="1">
      <alignment vertical="top"/>
      <protection hidden="1"/>
    </xf>
    <xf numFmtId="0" fontId="14" fillId="3" borderId="145" xfId="1" applyFont="1" applyFill="1" applyBorder="1" applyAlignment="1" applyProtection="1">
      <alignment horizontal="left" vertical="top" wrapText="1"/>
      <protection hidden="1"/>
    </xf>
    <xf numFmtId="0" fontId="78" fillId="3" borderId="72" xfId="1" applyFont="1" applyFill="1" applyBorder="1" applyAlignment="1" applyProtection="1">
      <alignment horizontal="left" vertical="top" wrapText="1"/>
      <protection hidden="1"/>
    </xf>
    <xf numFmtId="0" fontId="78" fillId="3" borderId="142" xfId="1" applyFont="1" applyFill="1" applyBorder="1" applyAlignment="1" applyProtection="1">
      <alignment horizontal="left" vertical="top" wrapText="1"/>
      <protection hidden="1"/>
    </xf>
    <xf numFmtId="0" fontId="78" fillId="3" borderId="75" xfId="1" applyFont="1" applyFill="1" applyBorder="1" applyAlignment="1" applyProtection="1">
      <alignment horizontal="left" vertical="top" wrapText="1"/>
      <protection hidden="1"/>
    </xf>
    <xf numFmtId="0" fontId="78" fillId="3" borderId="144" xfId="1" applyFont="1" applyFill="1" applyBorder="1" applyAlignment="1" applyProtection="1">
      <alignment horizontal="left" vertical="top" wrapText="1"/>
      <protection hidden="1"/>
    </xf>
    <xf numFmtId="0" fontId="60" fillId="3" borderId="137" xfId="1" applyFont="1" applyFill="1" applyBorder="1" applyAlignment="1" applyProtection="1">
      <alignment vertical="center" wrapText="1"/>
      <protection hidden="1"/>
    </xf>
    <xf numFmtId="0" fontId="60" fillId="3" borderId="88" xfId="1" applyFont="1" applyFill="1" applyBorder="1" applyAlignment="1" applyProtection="1">
      <alignment vertical="center" wrapText="1"/>
      <protection hidden="1"/>
    </xf>
    <xf numFmtId="0" fontId="60" fillId="3" borderId="138" xfId="1" applyFont="1" applyFill="1" applyBorder="1" applyAlignment="1" applyProtection="1">
      <alignment vertical="center" wrapText="1"/>
      <protection hidden="1"/>
    </xf>
    <xf numFmtId="0" fontId="60" fillId="3" borderId="90" xfId="1" applyFont="1" applyFill="1" applyBorder="1" applyAlignment="1" applyProtection="1">
      <alignment vertical="center" wrapText="1"/>
      <protection hidden="1"/>
    </xf>
    <xf numFmtId="0" fontId="14" fillId="3" borderId="4" xfId="1" applyFont="1" applyFill="1" applyBorder="1" applyAlignment="1" applyProtection="1">
      <alignment horizontal="left" vertical="top"/>
      <protection hidden="1"/>
    </xf>
    <xf numFmtId="0" fontId="14" fillId="3" borderId="30" xfId="1" applyFont="1" applyFill="1" applyBorder="1" applyAlignment="1" applyProtection="1">
      <alignment horizontal="left" vertical="top"/>
      <protection hidden="1"/>
    </xf>
    <xf numFmtId="0" fontId="14" fillId="3" borderId="394" xfId="1" applyFont="1" applyFill="1" applyBorder="1" applyAlignment="1" applyProtection="1">
      <alignment horizontal="left" vertical="top" wrapText="1"/>
      <protection hidden="1"/>
    </xf>
    <xf numFmtId="0" fontId="14" fillId="3" borderId="395" xfId="1" applyFont="1" applyFill="1" applyBorder="1" applyAlignment="1" applyProtection="1">
      <alignment horizontal="left" vertical="top" wrapText="1"/>
      <protection hidden="1"/>
    </xf>
    <xf numFmtId="0" fontId="78" fillId="6" borderId="0" xfId="1" applyFont="1" applyFill="1" applyBorder="1" applyAlignment="1" applyProtection="1">
      <alignment horizontal="left" vertical="top" wrapText="1"/>
      <protection locked="0" hidden="1"/>
    </xf>
    <xf numFmtId="0" fontId="78" fillId="6" borderId="75" xfId="1" applyFont="1" applyFill="1" applyBorder="1" applyAlignment="1" applyProtection="1">
      <alignment horizontal="left" vertical="top" wrapText="1"/>
      <protection locked="0" hidden="1"/>
    </xf>
    <xf numFmtId="178" fontId="14" fillId="18" borderId="172" xfId="1" applyNumberFormat="1" applyFont="1" applyFill="1" applyBorder="1" applyAlignment="1" applyProtection="1">
      <alignment horizontal="center" vertical="center"/>
      <protection hidden="1"/>
    </xf>
    <xf numFmtId="178" fontId="14" fillId="18" borderId="174" xfId="1" applyNumberFormat="1" applyFont="1" applyFill="1" applyBorder="1" applyAlignment="1" applyProtection="1">
      <alignment horizontal="center" vertical="center"/>
      <protection hidden="1"/>
    </xf>
    <xf numFmtId="178" fontId="14" fillId="18" borderId="176" xfId="1" applyNumberFormat="1" applyFont="1" applyFill="1" applyBorder="1" applyAlignment="1" applyProtection="1">
      <alignment horizontal="center" vertical="center"/>
      <protection hidden="1"/>
    </xf>
    <xf numFmtId="173" fontId="78" fillId="6" borderId="215" xfId="1" applyNumberFormat="1" applyFont="1" applyFill="1" applyBorder="1" applyAlignment="1" applyProtection="1">
      <alignment horizontal="right" vertical="center" indent="1"/>
      <protection locked="0"/>
    </xf>
    <xf numFmtId="173" fontId="78" fillId="6" borderId="212" xfId="1" applyNumberFormat="1" applyFont="1" applyFill="1" applyBorder="1" applyAlignment="1" applyProtection="1">
      <alignment horizontal="right" vertical="center" indent="1"/>
      <protection locked="0"/>
    </xf>
    <xf numFmtId="173" fontId="78" fillId="6" borderId="200" xfId="1" applyNumberFormat="1" applyFont="1" applyFill="1" applyBorder="1" applyAlignment="1" applyProtection="1">
      <alignment horizontal="right" vertical="center" indent="1"/>
      <protection locked="0"/>
    </xf>
    <xf numFmtId="173" fontId="78" fillId="6" borderId="197" xfId="1" applyNumberFormat="1" applyFont="1" applyFill="1" applyBorder="1" applyAlignment="1" applyProtection="1">
      <alignment horizontal="right" vertical="center" indent="1"/>
      <protection locked="0"/>
    </xf>
    <xf numFmtId="178" fontId="14" fillId="6" borderId="200" xfId="1" applyNumberFormat="1" applyFont="1" applyFill="1" applyBorder="1" applyAlignment="1" applyProtection="1">
      <alignment horizontal="right" vertical="center" indent="2"/>
      <protection locked="0"/>
    </xf>
    <xf numFmtId="178" fontId="14" fillId="6" borderId="217" xfId="1" applyNumberFormat="1" applyFont="1" applyFill="1" applyBorder="1" applyAlignment="1" applyProtection="1">
      <alignment horizontal="right" vertical="center" indent="2"/>
      <protection locked="0"/>
    </xf>
    <xf numFmtId="178" fontId="78" fillId="6" borderId="198" xfId="1" applyNumberFormat="1" applyFont="1" applyFill="1" applyBorder="1" applyAlignment="1" applyProtection="1">
      <alignment horizontal="right" vertical="center" indent="1"/>
      <protection locked="0"/>
    </xf>
    <xf numFmtId="178" fontId="78" fillId="6" borderId="199" xfId="1" applyNumberFormat="1" applyFont="1" applyFill="1" applyBorder="1" applyAlignment="1" applyProtection="1">
      <alignment horizontal="right" vertical="center" indent="1"/>
      <protection locked="0"/>
    </xf>
    <xf numFmtId="0" fontId="55" fillId="19" borderId="146" xfId="4" applyFill="1" applyBorder="1" applyAlignment="1" applyProtection="1">
      <alignment horizontal="left" vertical="center" wrapText="1" indent="1"/>
      <protection hidden="1"/>
    </xf>
    <xf numFmtId="0" fontId="55" fillId="19" borderId="90" xfId="4" applyFill="1" applyBorder="1" applyAlignment="1" applyProtection="1">
      <alignment horizontal="left" vertical="center" wrapText="1" indent="1"/>
      <protection hidden="1"/>
    </xf>
    <xf numFmtId="0" fontId="55" fillId="19" borderId="91" xfId="4" applyFill="1" applyBorder="1" applyAlignment="1" applyProtection="1">
      <alignment horizontal="left" vertical="center" wrapText="1" indent="1"/>
      <protection hidden="1"/>
    </xf>
    <xf numFmtId="178" fontId="78" fillId="6" borderId="162" xfId="1" applyNumberFormat="1" applyFont="1" applyFill="1" applyBorder="1" applyAlignment="1" applyProtection="1">
      <alignment horizontal="center" vertical="center"/>
      <protection locked="0"/>
    </xf>
    <xf numFmtId="178" fontId="78" fillId="6" borderId="207" xfId="1" applyNumberFormat="1" applyFont="1" applyFill="1" applyBorder="1" applyAlignment="1" applyProtection="1">
      <alignment horizontal="left" vertical="center"/>
      <protection locked="0"/>
    </xf>
    <xf numFmtId="178" fontId="78" fillId="6" borderId="208" xfId="1" applyNumberFormat="1" applyFont="1" applyFill="1" applyBorder="1" applyAlignment="1" applyProtection="1">
      <alignment horizontal="left" vertical="center"/>
      <protection locked="0"/>
    </xf>
    <xf numFmtId="0" fontId="12" fillId="6" borderId="0" xfId="0" applyFont="1" applyFill="1" applyBorder="1" applyAlignment="1" applyProtection="1">
      <alignment horizontal="left"/>
      <protection locked="0"/>
    </xf>
    <xf numFmtId="0" fontId="14" fillId="3" borderId="0" xfId="1" applyFont="1" applyFill="1" applyBorder="1" applyAlignment="1" applyProtection="1">
      <alignment horizontal="left" vertical="center" wrapText="1"/>
      <protection hidden="1"/>
    </xf>
    <xf numFmtId="178" fontId="78" fillId="6" borderId="136" xfId="1" applyNumberFormat="1" applyFont="1" applyFill="1" applyBorder="1" applyAlignment="1" applyProtection="1">
      <alignment horizontal="center" vertical="center"/>
      <protection locked="0"/>
    </xf>
    <xf numFmtId="178" fontId="78" fillId="6" borderId="135" xfId="1" applyNumberFormat="1" applyFont="1" applyFill="1" applyBorder="1" applyAlignment="1" applyProtection="1">
      <alignment horizontal="center" vertical="center"/>
      <protection locked="0"/>
    </xf>
    <xf numFmtId="178" fontId="78" fillId="6" borderId="163" xfId="1" applyNumberFormat="1" applyFont="1" applyFill="1" applyBorder="1" applyAlignment="1" applyProtection="1">
      <alignment horizontal="left" vertical="center"/>
      <protection locked="0"/>
    </xf>
    <xf numFmtId="178" fontId="78" fillId="6" borderId="164" xfId="1" applyNumberFormat="1" applyFont="1" applyFill="1" applyBorder="1" applyAlignment="1" applyProtection="1">
      <alignment horizontal="left" vertical="center"/>
      <protection locked="0"/>
    </xf>
    <xf numFmtId="178" fontId="14" fillId="3" borderId="136" xfId="1" applyNumberFormat="1" applyFont="1" applyFill="1" applyBorder="1" applyAlignment="1" applyProtection="1">
      <alignment horizontal="right" vertical="center"/>
      <protection hidden="1"/>
    </xf>
    <xf numFmtId="175" fontId="14" fillId="19" borderId="134" xfId="1" applyNumberFormat="1" applyFont="1" applyFill="1" applyBorder="1" applyAlignment="1" applyProtection="1">
      <alignment horizontal="right" vertical="center" indent="1"/>
      <protection hidden="1"/>
    </xf>
    <xf numFmtId="175" fontId="14" fillId="19" borderId="72" xfId="1" applyNumberFormat="1" applyFont="1" applyFill="1" applyBorder="1" applyAlignment="1" applyProtection="1">
      <alignment horizontal="right" vertical="center" indent="1"/>
      <protection hidden="1"/>
    </xf>
    <xf numFmtId="175" fontId="14" fillId="19" borderId="136" xfId="1" applyNumberFormat="1" applyFont="1" applyFill="1" applyBorder="1" applyAlignment="1" applyProtection="1">
      <alignment horizontal="right" vertical="center" indent="1"/>
      <protection hidden="1"/>
    </xf>
    <xf numFmtId="175" fontId="14" fillId="19" borderId="0" xfId="1" applyNumberFormat="1" applyFont="1" applyFill="1" applyBorder="1" applyAlignment="1" applyProtection="1">
      <alignment horizontal="right" vertical="center" indent="1"/>
      <protection hidden="1"/>
    </xf>
    <xf numFmtId="175" fontId="14" fillId="19" borderId="135" xfId="1" applyNumberFormat="1" applyFont="1" applyFill="1" applyBorder="1" applyAlignment="1" applyProtection="1">
      <alignment horizontal="right" vertical="center" indent="1"/>
      <protection hidden="1"/>
    </xf>
    <xf numFmtId="175" fontId="14" fillId="19" borderId="75" xfId="1" applyNumberFormat="1" applyFont="1" applyFill="1" applyBorder="1" applyAlignment="1" applyProtection="1">
      <alignment horizontal="right" vertical="center" indent="1"/>
      <protection hidden="1"/>
    </xf>
    <xf numFmtId="175" fontId="14" fillId="18" borderId="77" xfId="1" applyNumberFormat="1" applyFont="1" applyFill="1" applyBorder="1" applyAlignment="1" applyProtection="1">
      <alignment horizontal="right" vertical="center" indent="1"/>
      <protection hidden="1"/>
    </xf>
    <xf numFmtId="175" fontId="14" fillId="18" borderId="174" xfId="1" applyNumberFormat="1" applyFont="1" applyFill="1" applyBorder="1" applyAlignment="1" applyProtection="1">
      <alignment horizontal="right" vertical="center" indent="1"/>
      <protection hidden="1"/>
    </xf>
    <xf numFmtId="175" fontId="14" fillId="18" borderId="175" xfId="1" applyNumberFormat="1" applyFont="1" applyFill="1" applyBorder="1" applyAlignment="1" applyProtection="1">
      <alignment horizontal="right" vertical="center" indent="1"/>
      <protection hidden="1"/>
    </xf>
    <xf numFmtId="175" fontId="14" fillId="18" borderId="79" xfId="1" applyNumberFormat="1" applyFont="1" applyFill="1" applyBorder="1" applyAlignment="1" applyProtection="1">
      <alignment horizontal="right" vertical="center" indent="1"/>
      <protection hidden="1"/>
    </xf>
    <xf numFmtId="173" fontId="14" fillId="18" borderId="0" xfId="1" applyNumberFormat="1" applyFont="1" applyFill="1" applyBorder="1" applyAlignment="1" applyProtection="1">
      <alignment horizontal="right" vertical="center" indent="1"/>
      <protection hidden="1"/>
    </xf>
    <xf numFmtId="0" fontId="14" fillId="4" borderId="158" xfId="1" applyFont="1" applyFill="1" applyBorder="1" applyAlignment="1" applyProtection="1">
      <alignment horizontal="center"/>
      <protection hidden="1"/>
    </xf>
    <xf numFmtId="0" fontId="14" fillId="4" borderId="171" xfId="1" applyFont="1" applyFill="1" applyBorder="1" applyAlignment="1" applyProtection="1">
      <alignment horizontal="center"/>
      <protection hidden="1"/>
    </xf>
    <xf numFmtId="14" fontId="14" fillId="21" borderId="0" xfId="9" applyNumberFormat="1" applyFont="1" applyFill="1" applyAlignment="1" applyProtection="1">
      <alignment horizontal="right" vertical="top" indent="1"/>
    </xf>
    <xf numFmtId="175" fontId="14" fillId="18" borderId="185" xfId="1" applyNumberFormat="1" applyFont="1" applyFill="1" applyBorder="1" applyAlignment="1" applyProtection="1">
      <alignment horizontal="right" vertical="center" indent="1"/>
      <protection hidden="1"/>
    </xf>
    <xf numFmtId="175" fontId="14" fillId="18" borderId="85" xfId="1" applyNumberFormat="1" applyFont="1" applyFill="1" applyBorder="1" applyAlignment="1" applyProtection="1">
      <alignment horizontal="right" vertical="center" indent="1"/>
      <protection hidden="1"/>
    </xf>
    <xf numFmtId="175" fontId="14" fillId="18" borderId="159" xfId="1" applyNumberFormat="1" applyFont="1" applyFill="1" applyBorder="1" applyAlignment="1" applyProtection="1">
      <alignment horizontal="right" vertical="center" indent="1"/>
      <protection hidden="1"/>
    </xf>
    <xf numFmtId="175" fontId="14" fillId="18" borderId="87" xfId="1" applyNumberFormat="1" applyFont="1" applyFill="1" applyBorder="1" applyAlignment="1" applyProtection="1">
      <alignment horizontal="right" vertical="center" indent="1"/>
      <protection hidden="1"/>
    </xf>
    <xf numFmtId="175" fontId="14" fillId="18" borderId="186" xfId="1" applyNumberFormat="1" applyFont="1" applyFill="1" applyBorder="1" applyAlignment="1" applyProtection="1">
      <alignment horizontal="right" vertical="center" indent="1"/>
      <protection hidden="1"/>
    </xf>
    <xf numFmtId="175" fontId="14" fillId="18" borderId="187" xfId="1" applyNumberFormat="1" applyFont="1" applyFill="1" applyBorder="1" applyAlignment="1" applyProtection="1">
      <alignment horizontal="right" vertical="center" indent="1"/>
      <protection hidden="1"/>
    </xf>
    <xf numFmtId="175" fontId="14" fillId="18" borderId="180" xfId="1" applyNumberFormat="1" applyFont="1" applyFill="1" applyBorder="1" applyAlignment="1" applyProtection="1">
      <alignment horizontal="right" vertical="center" indent="1"/>
      <protection hidden="1"/>
    </xf>
    <xf numFmtId="175" fontId="14" fillId="18" borderId="181" xfId="1" applyNumberFormat="1" applyFont="1" applyFill="1" applyBorder="1" applyAlignment="1" applyProtection="1">
      <alignment horizontal="right" vertical="center" indent="1"/>
      <protection hidden="1"/>
    </xf>
    <xf numFmtId="0" fontId="12" fillId="0" borderId="174" xfId="0" applyFont="1" applyBorder="1" applyAlignment="1">
      <alignment horizontal="right" indent="1"/>
    </xf>
    <xf numFmtId="0" fontId="12" fillId="0" borderId="175" xfId="0" applyFont="1" applyBorder="1" applyAlignment="1">
      <alignment horizontal="right" indent="1"/>
    </xf>
    <xf numFmtId="0" fontId="65" fillId="4" borderId="151" xfId="1" applyFont="1" applyFill="1" applyBorder="1" applyAlignment="1" applyProtection="1">
      <alignment horizontal="center"/>
      <protection hidden="1"/>
    </xf>
    <xf numFmtId="0" fontId="65" fillId="4" borderId="152" xfId="1" applyFont="1" applyFill="1" applyBorder="1" applyAlignment="1" applyProtection="1">
      <alignment horizontal="center"/>
      <protection hidden="1"/>
    </xf>
    <xf numFmtId="0" fontId="65" fillId="4" borderId="170" xfId="1" applyFont="1" applyFill="1" applyBorder="1" applyAlignment="1" applyProtection="1">
      <alignment horizontal="center"/>
      <protection hidden="1"/>
    </xf>
    <xf numFmtId="0" fontId="65" fillId="4" borderId="171" xfId="1" applyFont="1" applyFill="1" applyBorder="1" applyAlignment="1" applyProtection="1">
      <alignment horizontal="center"/>
      <protection hidden="1"/>
    </xf>
    <xf numFmtId="0" fontId="114" fillId="0" borderId="102" xfId="0" applyFont="1" applyBorder="1" applyAlignment="1" applyProtection="1">
      <alignment horizontal="left" vertical="center"/>
    </xf>
    <xf numFmtId="0" fontId="114" fillId="0" borderId="103" xfId="0" applyFont="1" applyBorder="1" applyAlignment="1" applyProtection="1">
      <alignment horizontal="left" vertical="center"/>
    </xf>
    <xf numFmtId="0" fontId="114" fillId="0" borderId="104" xfId="0" applyFont="1" applyBorder="1" applyAlignment="1" applyProtection="1">
      <alignment horizontal="left" vertical="center"/>
    </xf>
    <xf numFmtId="178" fontId="73" fillId="0" borderId="250" xfId="1" applyNumberFormat="1" applyFont="1" applyFill="1" applyBorder="1" applyAlignment="1" applyProtection="1">
      <alignment horizontal="center" vertical="center"/>
      <protection hidden="1"/>
    </xf>
    <xf numFmtId="178" fontId="73" fillId="0" borderId="251" xfId="1" applyNumberFormat="1" applyFont="1" applyFill="1" applyBorder="1" applyAlignment="1" applyProtection="1">
      <alignment horizontal="center" vertical="center"/>
      <protection hidden="1"/>
    </xf>
    <xf numFmtId="178" fontId="14" fillId="3" borderId="176" xfId="1" applyNumberFormat="1" applyFont="1" applyFill="1" applyBorder="1" applyAlignment="1" applyProtection="1">
      <alignment horizontal="right" vertical="center" indent="1"/>
      <protection hidden="1"/>
    </xf>
    <xf numFmtId="178" fontId="14" fillId="3" borderId="177" xfId="1" applyNumberFormat="1" applyFont="1" applyFill="1" applyBorder="1" applyAlignment="1" applyProtection="1">
      <alignment horizontal="right" vertical="center" indent="1"/>
      <protection hidden="1"/>
    </xf>
    <xf numFmtId="178" fontId="73" fillId="0" borderId="260" xfId="1" applyNumberFormat="1" applyFont="1" applyFill="1" applyBorder="1" applyAlignment="1" applyProtection="1">
      <alignment horizontal="center" vertical="center"/>
      <protection hidden="1"/>
    </xf>
    <xf numFmtId="173" fontId="14" fillId="18" borderId="81" xfId="1" applyNumberFormat="1" applyFont="1" applyFill="1" applyBorder="1" applyAlignment="1" applyProtection="1">
      <alignment horizontal="right" vertical="center" indent="1"/>
      <protection hidden="1"/>
    </xf>
    <xf numFmtId="173" fontId="14" fillId="18" borderId="85" xfId="1" applyNumberFormat="1" applyFont="1" applyFill="1" applyBorder="1" applyAlignment="1" applyProtection="1">
      <alignment horizontal="right" vertical="center" indent="1"/>
      <protection hidden="1"/>
    </xf>
    <xf numFmtId="173" fontId="14" fillId="18" borderId="83" xfId="1" applyNumberFormat="1" applyFont="1" applyFill="1" applyBorder="1" applyAlignment="1" applyProtection="1">
      <alignment horizontal="right" vertical="center" indent="1"/>
      <protection hidden="1"/>
    </xf>
    <xf numFmtId="173" fontId="14" fillId="18" borderId="87" xfId="1" applyNumberFormat="1" applyFont="1" applyFill="1" applyBorder="1" applyAlignment="1" applyProtection="1">
      <alignment horizontal="right" vertical="center" indent="1"/>
      <protection hidden="1"/>
    </xf>
    <xf numFmtId="178" fontId="14" fillId="3" borderId="210" xfId="1" applyNumberFormat="1" applyFont="1" applyFill="1" applyBorder="1" applyAlignment="1">
      <alignment horizontal="center" vertical="center"/>
    </xf>
    <xf numFmtId="178" fontId="14" fillId="3" borderId="207" xfId="1" applyNumberFormat="1" applyFont="1" applyFill="1" applyBorder="1" applyAlignment="1">
      <alignment horizontal="center" vertical="center"/>
    </xf>
    <xf numFmtId="178" fontId="14" fillId="3" borderId="188" xfId="1" applyNumberFormat="1" applyFont="1" applyFill="1" applyBorder="1" applyAlignment="1">
      <alignment horizontal="center" vertical="center"/>
    </xf>
    <xf numFmtId="0" fontId="102" fillId="3" borderId="136" xfId="4" applyFont="1" applyFill="1" applyBorder="1" applyAlignment="1" applyProtection="1">
      <alignment vertical="center" wrapText="1"/>
      <protection locked="0" hidden="1"/>
    </xf>
    <xf numFmtId="0" fontId="102" fillId="3" borderId="0" xfId="4" applyFont="1" applyFill="1" applyBorder="1" applyAlignment="1" applyProtection="1">
      <alignment vertical="center" wrapText="1"/>
      <protection locked="0" hidden="1"/>
    </xf>
    <xf numFmtId="0" fontId="102" fillId="3" borderId="74" xfId="4" applyFont="1" applyFill="1" applyBorder="1" applyAlignment="1" applyProtection="1">
      <alignment vertical="center" wrapText="1"/>
      <protection locked="0" hidden="1"/>
    </xf>
    <xf numFmtId="0" fontId="102" fillId="3" borderId="138" xfId="4" applyFont="1" applyFill="1" applyBorder="1" applyAlignment="1" applyProtection="1">
      <alignment vertical="center" wrapText="1"/>
      <protection locked="0" hidden="1"/>
    </xf>
    <xf numFmtId="0" fontId="102" fillId="3" borderId="90" xfId="4" applyFont="1" applyFill="1" applyBorder="1" applyAlignment="1" applyProtection="1">
      <alignment vertical="center" wrapText="1"/>
      <protection locked="0" hidden="1"/>
    </xf>
    <xf numFmtId="0" fontId="102" fillId="3" borderId="91" xfId="4" applyFont="1" applyFill="1" applyBorder="1" applyAlignment="1" applyProtection="1">
      <alignment vertical="center" wrapText="1"/>
      <protection locked="0" hidden="1"/>
    </xf>
    <xf numFmtId="0" fontId="100" fillId="3" borderId="210" xfId="1" applyFont="1" applyFill="1" applyBorder="1" applyAlignment="1">
      <alignment horizontal="center" vertical="center"/>
    </xf>
    <xf numFmtId="0" fontId="100" fillId="3" borderId="207" xfId="1" applyFont="1" applyFill="1" applyBorder="1" applyAlignment="1">
      <alignment horizontal="center" vertical="center"/>
    </xf>
    <xf numFmtId="0" fontId="100" fillId="3" borderId="188" xfId="1" applyFont="1" applyFill="1" applyBorder="1" applyAlignment="1">
      <alignment horizontal="center" vertical="center"/>
    </xf>
    <xf numFmtId="0" fontId="100" fillId="3" borderId="224" xfId="1" applyFont="1" applyFill="1" applyBorder="1" applyAlignment="1">
      <alignment horizontal="center" vertical="center"/>
    </xf>
    <xf numFmtId="0" fontId="100" fillId="3" borderId="165" xfId="1" applyFont="1" applyFill="1" applyBorder="1" applyAlignment="1">
      <alignment horizontal="center" vertical="center"/>
    </xf>
    <xf numFmtId="0" fontId="100" fillId="3" borderId="227" xfId="1" applyFont="1" applyFill="1" applyBorder="1" applyAlignment="1">
      <alignment horizontal="center" vertical="center"/>
    </xf>
    <xf numFmtId="178" fontId="14" fillId="3" borderId="226" xfId="1" applyNumberFormat="1" applyFont="1" applyFill="1" applyBorder="1" applyAlignment="1">
      <alignment horizontal="center" vertical="center"/>
    </xf>
    <xf numFmtId="178" fontId="14" fillId="4" borderId="231" xfId="1" applyNumberFormat="1" applyFont="1" applyFill="1" applyBorder="1" applyAlignment="1">
      <alignment horizontal="center" vertical="top" wrapText="1"/>
    </xf>
    <xf numFmtId="178" fontId="14" fillId="4" borderId="218" xfId="1" applyNumberFormat="1" applyFont="1" applyFill="1" applyBorder="1" applyAlignment="1">
      <alignment horizontal="center" vertical="top" wrapText="1"/>
    </xf>
    <xf numFmtId="178" fontId="14" fillId="3" borderId="224" xfId="1" applyNumberFormat="1" applyFont="1" applyFill="1" applyBorder="1" applyAlignment="1">
      <alignment horizontal="center" vertical="center"/>
    </xf>
    <xf numFmtId="2" fontId="14" fillId="3" borderId="226" xfId="1" applyNumberFormat="1" applyFont="1" applyFill="1" applyBorder="1" applyAlignment="1">
      <alignment horizontal="center" vertical="center"/>
    </xf>
    <xf numFmtId="2" fontId="14" fillId="3" borderId="227" xfId="1" applyNumberFormat="1" applyFont="1" applyFill="1" applyBorder="1" applyAlignment="1">
      <alignment horizontal="center" vertical="center"/>
    </xf>
    <xf numFmtId="0" fontId="100" fillId="3" borderId="201" xfId="1" applyFont="1" applyFill="1" applyBorder="1" applyAlignment="1">
      <alignment horizontal="center" vertical="center"/>
    </xf>
    <xf numFmtId="0" fontId="100" fillId="3" borderId="47" xfId="1" applyFont="1" applyFill="1" applyBorder="1" applyAlignment="1">
      <alignment horizontal="center" vertical="center"/>
    </xf>
    <xf numFmtId="0" fontId="100" fillId="3" borderId="184" xfId="1" applyFont="1" applyFill="1" applyBorder="1" applyAlignment="1">
      <alignment horizontal="center" vertical="center"/>
    </xf>
    <xf numFmtId="3" fontId="12" fillId="0" borderId="18" xfId="9" applyNumberFormat="1" applyFill="1" applyBorder="1" applyAlignment="1" applyProtection="1">
      <alignment horizontal="right" vertical="center"/>
    </xf>
    <xf numFmtId="3" fontId="12" fillId="0" borderId="4" xfId="9" applyNumberFormat="1" applyFill="1" applyBorder="1" applyAlignment="1" applyProtection="1">
      <alignment horizontal="right" vertical="center"/>
    </xf>
    <xf numFmtId="3" fontId="12" fillId="6" borderId="29" xfId="9" applyNumberFormat="1" applyFill="1" applyBorder="1" applyAlignment="1" applyProtection="1">
      <alignment horizontal="left" vertical="center"/>
      <protection locked="0"/>
    </xf>
    <xf numFmtId="3" fontId="12" fillId="0" borderId="13" xfId="9" applyNumberFormat="1" applyFill="1" applyBorder="1" applyAlignment="1" applyProtection="1">
      <alignment horizontal="right" vertical="center"/>
    </xf>
    <xf numFmtId="3" fontId="12" fillId="0" borderId="14" xfId="9" applyNumberFormat="1" applyFill="1" applyBorder="1" applyAlignment="1" applyProtection="1">
      <alignment horizontal="right" vertical="center"/>
    </xf>
    <xf numFmtId="0" fontId="17" fillId="0" borderId="1" xfId="9" applyFont="1" applyFill="1" applyBorder="1" applyAlignment="1" applyProtection="1">
      <alignment horizontal="center" vertical="center" wrapText="1"/>
    </xf>
    <xf numFmtId="0" fontId="17" fillId="0" borderId="8" xfId="9" applyFont="1" applyFill="1" applyBorder="1" applyAlignment="1" applyProtection="1">
      <alignment horizontal="center" vertical="center" wrapText="1"/>
    </xf>
    <xf numFmtId="0" fontId="17" fillId="0" borderId="21" xfId="9" applyFont="1" applyFill="1" applyBorder="1" applyAlignment="1" applyProtection="1">
      <alignment horizontal="center" vertical="center" wrapText="1"/>
    </xf>
    <xf numFmtId="3" fontId="15" fillId="6" borderId="30" xfId="9" applyNumberFormat="1" applyFont="1" applyFill="1" applyBorder="1" applyAlignment="1" applyProtection="1">
      <alignment horizontal="right" vertical="center" wrapText="1"/>
      <protection locked="0"/>
    </xf>
    <xf numFmtId="0" fontId="57" fillId="3" borderId="0" xfId="9" applyFont="1" applyFill="1" applyAlignment="1" applyProtection="1">
      <alignment horizontal="center" vertical="center"/>
    </xf>
    <xf numFmtId="9" fontId="15" fillId="6" borderId="29" xfId="5" applyFont="1" applyFill="1" applyBorder="1" applyAlignment="1" applyProtection="1">
      <alignment horizontal="right" vertical="center"/>
      <protection locked="0"/>
    </xf>
    <xf numFmtId="0" fontId="65" fillId="0" borderId="5" xfId="9" applyFont="1" applyFill="1" applyBorder="1" applyAlignment="1" applyProtection="1">
      <alignment horizontal="right" vertical="center"/>
    </xf>
    <xf numFmtId="0" fontId="65" fillId="0" borderId="0" xfId="9" applyFont="1" applyFill="1" applyAlignment="1" applyProtection="1">
      <alignment horizontal="right" vertical="center"/>
    </xf>
    <xf numFmtId="0" fontId="65" fillId="0" borderId="7" xfId="9" applyFont="1" applyFill="1" applyBorder="1" applyAlignment="1" applyProtection="1">
      <alignment horizontal="right" vertical="center"/>
    </xf>
    <xf numFmtId="0" fontId="65" fillId="0" borderId="6" xfId="9" applyFont="1" applyFill="1" applyBorder="1" applyAlignment="1" applyProtection="1">
      <alignment horizontal="right" vertical="center"/>
    </xf>
    <xf numFmtId="0" fontId="65" fillId="0" borderId="0" xfId="9" applyFont="1" applyFill="1" applyBorder="1" applyAlignment="1" applyProtection="1">
      <alignment horizontal="right" vertical="center"/>
    </xf>
    <xf numFmtId="0" fontId="0" fillId="0" borderId="6" xfId="0" applyBorder="1" applyAlignment="1">
      <alignment horizontal="right"/>
    </xf>
    <xf numFmtId="0" fontId="65" fillId="0" borderId="27" xfId="9" applyFont="1" applyFill="1" applyBorder="1" applyAlignment="1" applyProtection="1">
      <alignment horizontal="right" vertical="center"/>
    </xf>
    <xf numFmtId="0" fontId="65" fillId="0" borderId="9" xfId="9" applyFont="1" applyFill="1" applyBorder="1" applyAlignment="1" applyProtection="1">
      <alignment horizontal="right" vertical="center"/>
    </xf>
    <xf numFmtId="3" fontId="12" fillId="3" borderId="9" xfId="9" applyNumberFormat="1" applyFont="1" applyFill="1" applyBorder="1" applyAlignment="1" applyProtection="1">
      <alignment horizontal="left" vertical="center"/>
    </xf>
    <xf numFmtId="0" fontId="17" fillId="0" borderId="3" xfId="9" applyFont="1" applyFill="1" applyBorder="1" applyAlignment="1" applyProtection="1">
      <alignment horizontal="center" vertical="center" wrapText="1"/>
    </xf>
    <xf numFmtId="0" fontId="17" fillId="0" borderId="0" xfId="9" applyFont="1" applyFill="1" applyBorder="1" applyAlignment="1" applyProtection="1">
      <alignment horizontal="center" vertical="center" wrapText="1"/>
    </xf>
    <xf numFmtId="0" fontId="17" fillId="0" borderId="17" xfId="9" applyFont="1" applyFill="1" applyBorder="1" applyAlignment="1" applyProtection="1">
      <alignment horizontal="center" vertical="center" wrapText="1"/>
    </xf>
    <xf numFmtId="0" fontId="17" fillId="0" borderId="18" xfId="9" applyFont="1" applyFill="1" applyBorder="1" applyAlignment="1" applyProtection="1">
      <alignment horizontal="center" vertical="center" wrapText="1"/>
    </xf>
    <xf numFmtId="0" fontId="17" fillId="0" borderId="4" xfId="9" applyFont="1" applyFill="1" applyBorder="1" applyAlignment="1" applyProtection="1">
      <alignment horizontal="center" vertical="center" wrapText="1"/>
    </xf>
    <xf numFmtId="0" fontId="17" fillId="0" borderId="19" xfId="9" applyFont="1" applyFill="1" applyBorder="1" applyAlignment="1" applyProtection="1">
      <alignment horizontal="center" vertical="center" wrapText="1"/>
    </xf>
    <xf numFmtId="49" fontId="13" fillId="6" borderId="0" xfId="9" applyNumberFormat="1" applyFont="1" applyFill="1" applyBorder="1" applyAlignment="1" applyProtection="1">
      <alignment horizontal="left" vertical="center"/>
      <protection locked="0"/>
    </xf>
    <xf numFmtId="0" fontId="17" fillId="0" borderId="20" xfId="9" applyFont="1" applyFill="1" applyBorder="1" applyAlignment="1" applyProtection="1">
      <alignment horizontal="center" vertical="center" wrapText="1"/>
    </xf>
    <xf numFmtId="0" fontId="17" fillId="0" borderId="2" xfId="9" applyFont="1" applyFill="1" applyBorder="1" applyAlignment="1" applyProtection="1">
      <alignment horizontal="center" vertical="center" wrapText="1"/>
    </xf>
    <xf numFmtId="0" fontId="17" fillId="0" borderId="39" xfId="9" applyFont="1" applyFill="1" applyBorder="1" applyAlignment="1" applyProtection="1">
      <alignment horizontal="center" vertical="center" wrapText="1"/>
    </xf>
    <xf numFmtId="3" fontId="12" fillId="23" borderId="29" xfId="9" applyNumberFormat="1" applyFill="1" applyBorder="1" applyAlignment="1" applyProtection="1">
      <alignment horizontal="left" vertical="center"/>
      <protection hidden="1"/>
    </xf>
    <xf numFmtId="0" fontId="12" fillId="12" borderId="0" xfId="9" applyFont="1" applyFill="1" applyAlignment="1" applyProtection="1">
      <alignment horizontal="left" vertical="center"/>
    </xf>
    <xf numFmtId="49" fontId="12" fillId="6" borderId="0" xfId="0" applyNumberFormat="1" applyFont="1" applyFill="1" applyAlignment="1" applyProtection="1">
      <alignment vertical="center"/>
      <protection locked="0"/>
    </xf>
    <xf numFmtId="49" fontId="0" fillId="6" borderId="0" xfId="0" applyNumberFormat="1" applyFill="1" applyAlignment="1" applyProtection="1">
      <alignment vertical="center"/>
      <protection locked="0"/>
    </xf>
    <xf numFmtId="3" fontId="15" fillId="6" borderId="38" xfId="9" applyNumberFormat="1" applyFont="1" applyFill="1" applyBorder="1" applyAlignment="1" applyProtection="1">
      <alignment horizontal="right" vertical="center" wrapText="1"/>
      <protection locked="0"/>
    </xf>
    <xf numFmtId="3" fontId="12" fillId="0" borderId="0" xfId="9" applyNumberFormat="1" applyFont="1" applyAlignment="1" applyProtection="1">
      <alignment horizontal="left"/>
    </xf>
    <xf numFmtId="3" fontId="12" fillId="0" borderId="0" xfId="9" applyNumberFormat="1" applyAlignment="1" applyProtection="1">
      <alignment horizontal="left"/>
    </xf>
    <xf numFmtId="49" fontId="12" fillId="6" borderId="292" xfId="9" applyNumberFormat="1" applyFill="1" applyBorder="1" applyAlignment="1" applyProtection="1">
      <alignment horizontal="left" vertical="center"/>
      <protection locked="0"/>
    </xf>
    <xf numFmtId="181" fontId="12" fillId="6" borderId="292" xfId="9" applyNumberFormat="1" applyFill="1" applyBorder="1" applyAlignment="1" applyProtection="1">
      <alignment horizontal="right" vertical="center" indent="2"/>
      <protection locked="0"/>
    </xf>
    <xf numFmtId="181" fontId="12" fillId="6" borderId="292" xfId="9" applyNumberFormat="1" applyFill="1" applyBorder="1" applyAlignment="1" applyProtection="1">
      <alignment horizontal="right" vertical="center" indent="1"/>
      <protection locked="0"/>
    </xf>
    <xf numFmtId="0" fontId="12" fillId="6" borderId="292" xfId="9" applyFill="1" applyBorder="1" applyAlignment="1" applyProtection="1">
      <alignment horizontal="left" vertical="center"/>
      <protection locked="0"/>
    </xf>
    <xf numFmtId="0" fontId="17" fillId="0" borderId="29" xfId="9" applyFont="1" applyFill="1" applyBorder="1" applyAlignment="1" applyProtection="1">
      <alignment horizontal="center" vertical="center"/>
    </xf>
    <xf numFmtId="0" fontId="15" fillId="0" borderId="11" xfId="9" applyFont="1" applyFill="1" applyBorder="1" applyAlignment="1" applyProtection="1">
      <alignment horizontal="center" vertical="center" textRotation="90"/>
    </xf>
    <xf numFmtId="0" fontId="15" fillId="0" borderId="15" xfId="9" applyFont="1" applyFill="1" applyBorder="1" applyAlignment="1" applyProtection="1">
      <alignment horizontal="center" vertical="center" textRotation="90"/>
    </xf>
    <xf numFmtId="193" fontId="43" fillId="3" borderId="0" xfId="9" applyNumberFormat="1" applyFont="1" applyFill="1" applyBorder="1" applyAlignment="1" applyProtection="1">
      <alignment horizontal="left" vertical="center"/>
    </xf>
    <xf numFmtId="3" fontId="44" fillId="0" borderId="0" xfId="9" applyNumberFormat="1" applyFont="1" applyAlignment="1" applyProtection="1"/>
    <xf numFmtId="3" fontId="12" fillId="6" borderId="29" xfId="9" applyNumberFormat="1" applyFont="1" applyFill="1" applyBorder="1" applyAlignment="1" applyProtection="1">
      <alignment horizontal="left" vertical="center"/>
      <protection locked="0"/>
    </xf>
    <xf numFmtId="3" fontId="15" fillId="6" borderId="34" xfId="9" applyNumberFormat="1" applyFont="1" applyFill="1" applyBorder="1" applyAlignment="1" applyProtection="1">
      <alignment horizontal="right" vertical="center" wrapText="1"/>
      <protection locked="0"/>
    </xf>
    <xf numFmtId="194" fontId="43" fillId="3" borderId="0" xfId="9" applyNumberFormat="1" applyFont="1" applyFill="1" applyAlignment="1" applyProtection="1">
      <alignment horizontal="left" vertical="center"/>
    </xf>
    <xf numFmtId="0" fontId="17" fillId="0" borderId="1" xfId="9" applyFont="1" applyFill="1" applyBorder="1" applyAlignment="1">
      <alignment horizontal="center" vertical="center" wrapText="1"/>
    </xf>
    <xf numFmtId="0" fontId="17" fillId="0" borderId="8" xfId="9" applyFont="1" applyFill="1" applyBorder="1" applyAlignment="1">
      <alignment horizontal="center" vertical="center" wrapText="1"/>
    </xf>
    <xf numFmtId="0" fontId="17" fillId="0" borderId="21" xfId="9" applyFont="1" applyFill="1" applyBorder="1" applyAlignment="1">
      <alignment horizontal="center" vertical="center" wrapText="1"/>
    </xf>
    <xf numFmtId="0" fontId="17" fillId="0" borderId="3" xfId="9" applyFont="1" applyFill="1" applyBorder="1" applyAlignment="1">
      <alignment horizontal="center" vertical="center" wrapText="1"/>
    </xf>
    <xf numFmtId="0" fontId="17" fillId="0" borderId="0" xfId="9" applyFont="1" applyFill="1" applyBorder="1" applyAlignment="1">
      <alignment horizontal="center" vertical="center" wrapText="1"/>
    </xf>
    <xf numFmtId="0" fontId="17" fillId="0" borderId="17" xfId="9" applyFont="1" applyFill="1" applyBorder="1" applyAlignment="1">
      <alignment horizontal="center" vertical="center" wrapText="1"/>
    </xf>
    <xf numFmtId="0" fontId="17" fillId="0" borderId="18" xfId="9" applyFont="1" applyFill="1" applyBorder="1" applyAlignment="1">
      <alignment horizontal="center" vertical="center" wrapText="1"/>
    </xf>
    <xf numFmtId="0" fontId="17" fillId="0" borderId="4" xfId="9" applyFont="1" applyFill="1" applyBorder="1" applyAlignment="1">
      <alignment horizontal="center" vertical="center" wrapText="1"/>
    </xf>
    <xf numFmtId="0" fontId="17" fillId="0" borderId="19" xfId="9" applyFont="1" applyFill="1" applyBorder="1" applyAlignment="1">
      <alignment horizontal="center" vertical="center" wrapText="1"/>
    </xf>
    <xf numFmtId="3" fontId="44" fillId="0" borderId="0" xfId="9" applyNumberFormat="1" applyFont="1" applyAlignment="1"/>
    <xf numFmtId="0" fontId="17" fillId="0" borderId="29" xfId="9" applyFont="1" applyFill="1" applyBorder="1" applyAlignment="1">
      <alignment horizontal="center" vertical="center"/>
    </xf>
    <xf numFmtId="3" fontId="12" fillId="0" borderId="0" xfId="9" applyNumberFormat="1" applyFont="1" applyAlignment="1">
      <alignment horizontal="left"/>
    </xf>
    <xf numFmtId="3" fontId="12" fillId="0" borderId="0" xfId="9" applyNumberFormat="1" applyAlignment="1">
      <alignment horizontal="left"/>
    </xf>
    <xf numFmtId="0" fontId="15" fillId="0" borderId="11" xfId="9" applyFont="1" applyFill="1" applyBorder="1" applyAlignment="1">
      <alignment horizontal="center" vertical="center" textRotation="90"/>
    </xf>
    <xf numFmtId="0" fontId="15" fillId="0" borderId="15" xfId="9" applyFont="1" applyFill="1" applyBorder="1" applyAlignment="1">
      <alignment horizontal="center" vertical="center" textRotation="90"/>
    </xf>
    <xf numFmtId="0" fontId="17" fillId="0" borderId="20" xfId="9" applyFont="1" applyFill="1" applyBorder="1" applyAlignment="1">
      <alignment horizontal="center" vertical="center" wrapText="1"/>
    </xf>
    <xf numFmtId="0" fontId="17" fillId="0" borderId="2" xfId="9" applyFont="1" applyFill="1" applyBorder="1" applyAlignment="1">
      <alignment horizontal="center" vertical="center" wrapText="1"/>
    </xf>
    <xf numFmtId="0" fontId="17" fillId="0" borderId="39" xfId="9" applyFont="1" applyFill="1" applyBorder="1" applyAlignment="1">
      <alignment horizontal="center" vertical="center" wrapText="1"/>
    </xf>
    <xf numFmtId="0" fontId="57" fillId="3" borderId="0" xfId="9" applyFont="1" applyFill="1" applyAlignment="1">
      <alignment horizontal="center" vertical="center"/>
    </xf>
    <xf numFmtId="3" fontId="112" fillId="0" borderId="0" xfId="9" applyNumberFormat="1" applyFont="1" applyAlignment="1"/>
    <xf numFmtId="187" fontId="9" fillId="3" borderId="265" xfId="1" applyNumberFormat="1" applyFont="1" applyFill="1" applyBorder="1" applyAlignment="1" applyProtection="1">
      <alignment horizontal="right" vertical="center" indent="3"/>
      <protection hidden="1"/>
    </xf>
    <xf numFmtId="187" fontId="9" fillId="3" borderId="0" xfId="1" applyNumberFormat="1" applyFont="1" applyFill="1" applyBorder="1" applyAlignment="1" applyProtection="1">
      <alignment horizontal="right" vertical="center" indent="3"/>
      <protection hidden="1"/>
    </xf>
    <xf numFmtId="187" fontId="9" fillId="3" borderId="266" xfId="1" applyNumberFormat="1" applyFont="1" applyFill="1" applyBorder="1" applyAlignment="1" applyProtection="1">
      <alignment horizontal="right" vertical="center" indent="3"/>
      <protection hidden="1"/>
    </xf>
    <xf numFmtId="0" fontId="34" fillId="4" borderId="262" xfId="1" applyFont="1" applyFill="1" applyBorder="1" applyAlignment="1" applyProtection="1">
      <alignment horizontal="center" vertical="center"/>
      <protection hidden="1"/>
    </xf>
    <xf numFmtId="0" fontId="34" fillId="4" borderId="263" xfId="1" applyFont="1" applyFill="1" applyBorder="1" applyAlignment="1" applyProtection="1">
      <alignment horizontal="center" vertical="center"/>
      <protection hidden="1"/>
    </xf>
    <xf numFmtId="0" fontId="34" fillId="4" borderId="264" xfId="1" applyFont="1" applyFill="1" applyBorder="1" applyAlignment="1" applyProtection="1">
      <alignment horizontal="center" vertical="center"/>
      <protection hidden="1"/>
    </xf>
    <xf numFmtId="0" fontId="34" fillId="4" borderId="265" xfId="1" applyFont="1" applyFill="1" applyBorder="1" applyAlignment="1" applyProtection="1">
      <alignment horizontal="center" vertical="center"/>
      <protection hidden="1"/>
    </xf>
    <xf numFmtId="0" fontId="34" fillId="4" borderId="0" xfId="1" applyFont="1" applyFill="1" applyBorder="1" applyAlignment="1" applyProtection="1">
      <alignment horizontal="center" vertical="center"/>
      <protection hidden="1"/>
    </xf>
    <xf numFmtId="0" fontId="34" fillId="4" borderId="266" xfId="1" applyFont="1" applyFill="1" applyBorder="1" applyAlignment="1" applyProtection="1">
      <alignment horizontal="center" vertical="center"/>
      <protection hidden="1"/>
    </xf>
    <xf numFmtId="187" fontId="34" fillId="3" borderId="284" xfId="1" applyNumberFormat="1" applyFont="1" applyFill="1" applyBorder="1" applyAlignment="1" applyProtection="1">
      <alignment horizontal="right" vertical="center" indent="3"/>
      <protection hidden="1"/>
    </xf>
    <xf numFmtId="187" fontId="34" fillId="3" borderId="285" xfId="1" applyNumberFormat="1" applyFont="1" applyFill="1" applyBorder="1" applyAlignment="1" applyProtection="1">
      <alignment horizontal="right" vertical="center" indent="3"/>
      <protection hidden="1"/>
    </xf>
    <xf numFmtId="187" fontId="34" fillId="3" borderId="286" xfId="1" applyNumberFormat="1" applyFont="1" applyFill="1" applyBorder="1" applyAlignment="1" applyProtection="1">
      <alignment horizontal="right" vertical="center" indent="3"/>
      <protection hidden="1"/>
    </xf>
    <xf numFmtId="187" fontId="34" fillId="3" borderId="291" xfId="1" applyNumberFormat="1" applyFont="1" applyFill="1" applyBorder="1" applyAlignment="1" applyProtection="1">
      <alignment horizontal="right" vertical="center" indent="3"/>
      <protection hidden="1"/>
    </xf>
    <xf numFmtId="187" fontId="34" fillId="3" borderId="292" xfId="1" applyNumberFormat="1" applyFont="1" applyFill="1" applyBorder="1" applyAlignment="1" applyProtection="1">
      <alignment horizontal="right" vertical="center" indent="3"/>
      <protection hidden="1"/>
    </xf>
    <xf numFmtId="187" fontId="34" fillId="3" borderId="293" xfId="1" applyNumberFormat="1" applyFont="1" applyFill="1" applyBorder="1" applyAlignment="1" applyProtection="1">
      <alignment horizontal="right" vertical="center" indent="3"/>
      <protection hidden="1"/>
    </xf>
    <xf numFmtId="187" fontId="9" fillId="3" borderId="320" xfId="1" applyNumberFormat="1" applyFont="1" applyFill="1" applyBorder="1" applyAlignment="1" applyProtection="1">
      <alignment horizontal="right" vertical="center" indent="3"/>
      <protection hidden="1"/>
    </xf>
    <xf numFmtId="187" fontId="9" fillId="3" borderId="321" xfId="1" applyNumberFormat="1" applyFont="1" applyFill="1" applyBorder="1" applyAlignment="1" applyProtection="1">
      <alignment horizontal="right" vertical="center" indent="3"/>
      <protection hidden="1"/>
    </xf>
    <xf numFmtId="187" fontId="9" fillId="3" borderId="322" xfId="1" applyNumberFormat="1" applyFont="1" applyFill="1" applyBorder="1" applyAlignment="1" applyProtection="1">
      <alignment horizontal="right" vertical="center" indent="3"/>
      <protection hidden="1"/>
    </xf>
    <xf numFmtId="187" fontId="34" fillId="4" borderId="269" xfId="1" applyNumberFormat="1" applyFont="1" applyFill="1" applyBorder="1" applyAlignment="1" applyProtection="1">
      <alignment horizontal="right" vertical="center" indent="3"/>
      <protection hidden="1"/>
    </xf>
    <xf numFmtId="187" fontId="34" fillId="4" borderId="270" xfId="1" applyNumberFormat="1" applyFont="1" applyFill="1" applyBorder="1" applyAlignment="1" applyProtection="1">
      <alignment horizontal="right" vertical="center" indent="3"/>
      <protection hidden="1"/>
    </xf>
    <xf numFmtId="187" fontId="34" fillId="4" borderId="271" xfId="1" applyNumberFormat="1" applyFont="1" applyFill="1" applyBorder="1" applyAlignment="1" applyProtection="1">
      <alignment horizontal="right" vertical="center" indent="3"/>
      <protection hidden="1"/>
    </xf>
    <xf numFmtId="183" fontId="9" fillId="3" borderId="291" xfId="1" applyNumberFormat="1" applyFont="1" applyFill="1" applyBorder="1" applyAlignment="1" applyProtection="1">
      <alignment horizontal="center" vertical="center"/>
      <protection hidden="1"/>
    </xf>
    <xf numFmtId="183" fontId="9" fillId="3" borderId="293" xfId="1" applyNumberFormat="1" applyFont="1" applyFill="1" applyBorder="1" applyAlignment="1" applyProtection="1">
      <alignment horizontal="center" vertical="center"/>
      <protection hidden="1"/>
    </xf>
    <xf numFmtId="187" fontId="9" fillId="3" borderId="275" xfId="1" applyNumberFormat="1" applyFont="1" applyFill="1" applyBorder="1" applyAlignment="1" applyProtection="1">
      <alignment horizontal="right" vertical="center" indent="1"/>
      <protection hidden="1"/>
    </xf>
    <xf numFmtId="187" fontId="9" fillId="3" borderId="276" xfId="1" applyNumberFormat="1" applyFont="1" applyFill="1" applyBorder="1" applyAlignment="1" applyProtection="1">
      <alignment horizontal="right" vertical="center" indent="1"/>
      <protection hidden="1"/>
    </xf>
    <xf numFmtId="187" fontId="31" fillId="3" borderId="324" xfId="1" applyNumberFormat="1" applyFont="1" applyFill="1" applyBorder="1" applyAlignment="1" applyProtection="1">
      <alignment horizontal="right" vertical="center" indent="3"/>
      <protection hidden="1"/>
    </xf>
    <xf numFmtId="187" fontId="31" fillId="3" borderId="333" xfId="1" applyNumberFormat="1" applyFont="1" applyFill="1" applyBorder="1" applyAlignment="1" applyProtection="1">
      <alignment horizontal="right" vertical="center" indent="3"/>
      <protection hidden="1"/>
    </xf>
    <xf numFmtId="183" fontId="9" fillId="3" borderId="320" xfId="1" applyNumberFormat="1" applyFont="1" applyFill="1" applyBorder="1" applyAlignment="1" applyProtection="1">
      <alignment horizontal="center" vertical="center"/>
      <protection hidden="1"/>
    </xf>
    <xf numFmtId="183" fontId="9" fillId="3" borderId="322" xfId="1" applyNumberFormat="1" applyFont="1" applyFill="1" applyBorder="1" applyAlignment="1" applyProtection="1">
      <alignment horizontal="center" vertical="center"/>
      <protection hidden="1"/>
    </xf>
    <xf numFmtId="0" fontId="9" fillId="4" borderId="327" xfId="1" applyFont="1" applyFill="1" applyBorder="1" applyAlignment="1" applyProtection="1">
      <alignment horizontal="center" vertical="center"/>
      <protection hidden="1"/>
    </xf>
    <xf numFmtId="0" fontId="9" fillId="4" borderId="268" xfId="1" applyFont="1" applyFill="1" applyBorder="1" applyAlignment="1" applyProtection="1">
      <alignment horizontal="center" vertical="center"/>
      <protection hidden="1"/>
    </xf>
    <xf numFmtId="187" fontId="31" fillId="3" borderId="292" xfId="1" applyNumberFormat="1" applyFont="1" applyFill="1" applyBorder="1" applyAlignment="1" applyProtection="1">
      <alignment horizontal="right" vertical="center" indent="3"/>
      <protection hidden="1"/>
    </xf>
    <xf numFmtId="187" fontId="31" fillId="3" borderId="297" xfId="1" applyNumberFormat="1" applyFont="1" applyFill="1" applyBorder="1" applyAlignment="1" applyProtection="1">
      <alignment horizontal="right" vertical="center" indent="3"/>
      <protection hidden="1"/>
    </xf>
    <xf numFmtId="201" fontId="9" fillId="3" borderId="291" xfId="1" applyNumberFormat="1" applyFont="1" applyFill="1" applyBorder="1" applyAlignment="1" applyProtection="1">
      <alignment horizontal="right" vertical="center"/>
      <protection hidden="1"/>
    </xf>
    <xf numFmtId="201" fontId="9" fillId="3" borderId="293" xfId="1" applyNumberFormat="1" applyFont="1" applyFill="1" applyBorder="1" applyAlignment="1" applyProtection="1">
      <alignment horizontal="right" vertical="center"/>
      <protection hidden="1"/>
    </xf>
    <xf numFmtId="201" fontId="9" fillId="3" borderId="299" xfId="1" applyNumberFormat="1" applyFont="1" applyFill="1" applyBorder="1" applyAlignment="1" applyProtection="1">
      <alignment horizontal="right" vertical="center"/>
      <protection hidden="1"/>
    </xf>
    <xf numFmtId="201" fontId="9" fillId="3" borderId="301" xfId="1" applyNumberFormat="1" applyFont="1" applyFill="1" applyBorder="1" applyAlignment="1" applyProtection="1">
      <alignment horizontal="right" vertical="center"/>
      <protection hidden="1"/>
    </xf>
    <xf numFmtId="0" fontId="9" fillId="4" borderId="23" xfId="1" applyFont="1" applyFill="1" applyBorder="1" applyAlignment="1" applyProtection="1">
      <alignment horizontal="center" vertical="center"/>
      <protection hidden="1"/>
    </xf>
    <xf numFmtId="201" fontId="22" fillId="4" borderId="269" xfId="5" applyNumberFormat="1" applyFont="1" applyFill="1" applyBorder="1" applyAlignment="1" applyProtection="1">
      <alignment horizontal="right" vertical="center"/>
      <protection hidden="1"/>
    </xf>
    <xf numFmtId="201" fontId="22" fillId="4" borderId="271" xfId="5" applyNumberFormat="1" applyFont="1" applyFill="1" applyBorder="1" applyAlignment="1" applyProtection="1">
      <alignment horizontal="right" vertical="center"/>
      <protection hidden="1"/>
    </xf>
    <xf numFmtId="195" fontId="9" fillId="6" borderId="296" xfId="8" applyNumberFormat="1" applyFont="1" applyBorder="1" applyAlignment="1" applyProtection="1">
      <alignment horizontal="right"/>
      <protection locked="0"/>
    </xf>
    <xf numFmtId="195" fontId="9" fillId="6" borderId="297" xfId="8" applyNumberFormat="1" applyFont="1" applyBorder="1" applyAlignment="1" applyProtection="1">
      <alignment horizontal="right"/>
      <protection locked="0"/>
    </xf>
    <xf numFmtId="0" fontId="9" fillId="4" borderId="84" xfId="1" applyFont="1" applyFill="1" applyBorder="1" applyAlignment="1" applyProtection="1">
      <alignment horizontal="center" vertical="center"/>
      <protection hidden="1"/>
    </xf>
    <xf numFmtId="0" fontId="9" fillId="4" borderId="0" xfId="1" applyFont="1" applyFill="1" applyBorder="1" applyAlignment="1" applyProtection="1">
      <alignment horizontal="center" vertical="center"/>
      <protection hidden="1"/>
    </xf>
    <xf numFmtId="178" fontId="9" fillId="3" borderId="275" xfId="1" applyNumberFormat="1" applyFont="1" applyFill="1" applyBorder="1" applyAlignment="1" applyProtection="1">
      <alignment horizontal="right" vertical="center" indent="3"/>
      <protection hidden="1"/>
    </xf>
    <xf numFmtId="178" fontId="9" fillId="3" borderId="276" xfId="1" applyNumberFormat="1" applyFont="1" applyFill="1" applyBorder="1" applyAlignment="1" applyProtection="1">
      <alignment horizontal="right" vertical="center" indent="3"/>
      <protection hidden="1"/>
    </xf>
    <xf numFmtId="195" fontId="9" fillId="6" borderId="304" xfId="8" applyNumberFormat="1" applyFont="1" applyBorder="1" applyAlignment="1" applyProtection="1">
      <alignment horizontal="right"/>
      <protection locked="0"/>
    </xf>
    <xf numFmtId="195" fontId="9" fillId="6" borderId="305" xfId="8" applyNumberFormat="1" applyFont="1" applyBorder="1" applyAlignment="1" applyProtection="1">
      <alignment horizontal="right"/>
      <protection locked="0"/>
    </xf>
    <xf numFmtId="0" fontId="9" fillId="6" borderId="269" xfId="1" applyFont="1" applyFill="1" applyBorder="1" applyAlignment="1" applyProtection="1">
      <alignment vertical="top"/>
      <protection locked="0"/>
    </xf>
    <xf numFmtId="0" fontId="9" fillId="6" borderId="270" xfId="1" applyFont="1" applyFill="1" applyBorder="1" applyAlignment="1" applyProtection="1">
      <alignment vertical="top"/>
      <protection locked="0"/>
    </xf>
    <xf numFmtId="0" fontId="9" fillId="6" borderId="271" xfId="1" applyFont="1" applyFill="1" applyBorder="1" applyAlignment="1" applyProtection="1">
      <alignment vertical="top"/>
      <protection locked="0"/>
    </xf>
    <xf numFmtId="0" fontId="34" fillId="0" borderId="269" xfId="1" applyFont="1" applyFill="1" applyBorder="1" applyAlignment="1" applyProtection="1">
      <alignment vertical="center"/>
      <protection hidden="1"/>
    </xf>
    <xf numFmtId="0" fontId="34" fillId="0" borderId="270" xfId="1" applyFont="1" applyFill="1" applyBorder="1" applyAlignment="1" applyProtection="1">
      <alignment vertical="center"/>
      <protection hidden="1"/>
    </xf>
    <xf numFmtId="201" fontId="9" fillId="0" borderId="269" xfId="1" applyNumberFormat="1" applyFont="1" applyBorder="1" applyAlignment="1" applyProtection="1">
      <alignment horizontal="right" vertical="center"/>
      <protection hidden="1"/>
    </xf>
    <xf numFmtId="201" fontId="9" fillId="0" borderId="271" xfId="1" applyNumberFormat="1" applyFont="1" applyBorder="1" applyAlignment="1" applyProtection="1">
      <alignment horizontal="right" vertical="center"/>
      <protection hidden="1"/>
    </xf>
    <xf numFmtId="201" fontId="9" fillId="3" borderId="284" xfId="1" applyNumberFormat="1" applyFont="1" applyFill="1" applyBorder="1" applyAlignment="1" applyProtection="1">
      <alignment horizontal="right" vertical="center"/>
      <protection hidden="1"/>
    </xf>
    <xf numFmtId="201" fontId="9" fillId="3" borderId="286" xfId="1" applyNumberFormat="1" applyFont="1" applyFill="1" applyBorder="1" applyAlignment="1" applyProtection="1">
      <alignment horizontal="right" vertical="center"/>
      <protection hidden="1"/>
    </xf>
    <xf numFmtId="0" fontId="34" fillId="4" borderId="273" xfId="1" applyFont="1" applyFill="1" applyBorder="1" applyAlignment="1" applyProtection="1">
      <alignment horizontal="center" vertical="top" wrapText="1"/>
      <protection hidden="1"/>
    </xf>
    <xf numFmtId="0" fontId="34" fillId="4" borderId="274" xfId="1" applyFont="1" applyFill="1" applyBorder="1" applyAlignment="1" applyProtection="1">
      <alignment horizontal="center" vertical="top" wrapText="1"/>
      <protection hidden="1"/>
    </xf>
    <xf numFmtId="0" fontId="34" fillId="4" borderId="262" xfId="1" applyFont="1" applyFill="1" applyBorder="1" applyAlignment="1" applyProtection="1">
      <alignment horizontal="center" vertical="top" wrapText="1"/>
      <protection hidden="1"/>
    </xf>
    <xf numFmtId="0" fontId="34" fillId="4" borderId="264" xfId="1" applyFont="1" applyFill="1" applyBorder="1" applyAlignment="1" applyProtection="1">
      <alignment horizontal="center" vertical="top" wrapText="1"/>
      <protection hidden="1"/>
    </xf>
    <xf numFmtId="0" fontId="34" fillId="4" borderId="265" xfId="1" applyFont="1" applyFill="1" applyBorder="1" applyAlignment="1" applyProtection="1">
      <alignment horizontal="center" vertical="top" wrapText="1"/>
      <protection hidden="1"/>
    </xf>
    <xf numFmtId="0" fontId="34" fillId="4" borderId="266" xfId="1" applyFont="1" applyFill="1" applyBorder="1" applyAlignment="1" applyProtection="1">
      <alignment horizontal="center" vertical="top" wrapText="1"/>
      <protection hidden="1"/>
    </xf>
    <xf numFmtId="0" fontId="9" fillId="4" borderId="265" xfId="1" applyFont="1" applyFill="1" applyBorder="1" applyAlignment="1" applyProtection="1">
      <alignment horizontal="center" vertical="center"/>
      <protection hidden="1"/>
    </xf>
    <xf numFmtId="0" fontId="9" fillId="4" borderId="266" xfId="1" applyFont="1" applyFill="1" applyBorder="1" applyAlignment="1" applyProtection="1">
      <alignment horizontal="center" vertical="center"/>
      <protection hidden="1"/>
    </xf>
    <xf numFmtId="187" fontId="9" fillId="0" borderId="269" xfId="8" applyNumberFormat="1" applyFont="1" applyFill="1" applyBorder="1" applyAlignment="1" applyProtection="1">
      <alignment horizontal="right" indent="1"/>
      <protection hidden="1"/>
    </xf>
    <xf numFmtId="187" fontId="9" fillId="0" borderId="271" xfId="8" applyNumberFormat="1" applyFont="1" applyFill="1" applyBorder="1" applyAlignment="1" applyProtection="1">
      <alignment horizontal="right" indent="1"/>
      <protection hidden="1"/>
    </xf>
    <xf numFmtId="187" fontId="9" fillId="6" borderId="284" xfId="8" applyNumberFormat="1" applyFont="1" applyBorder="1" applyAlignment="1" applyProtection="1">
      <alignment horizontal="right" indent="1"/>
      <protection locked="0"/>
    </xf>
    <xf numFmtId="187" fontId="9" fillId="6" borderId="286" xfId="8" applyNumberFormat="1" applyFont="1" applyBorder="1" applyAlignment="1" applyProtection="1">
      <alignment horizontal="right" indent="1"/>
      <protection locked="0"/>
    </xf>
    <xf numFmtId="178" fontId="9" fillId="3" borderId="265" xfId="1" applyNumberFormat="1" applyFont="1" applyFill="1" applyBorder="1" applyAlignment="1" applyProtection="1">
      <alignment horizontal="right" vertical="center" indent="3"/>
      <protection hidden="1"/>
    </xf>
    <xf numFmtId="178" fontId="9" fillId="3" borderId="266" xfId="1" applyNumberFormat="1" applyFont="1" applyFill="1" applyBorder="1" applyAlignment="1" applyProtection="1">
      <alignment horizontal="right" vertical="center" indent="3"/>
      <protection hidden="1"/>
    </xf>
    <xf numFmtId="178" fontId="9" fillId="3" borderId="323" xfId="1" applyNumberFormat="1" applyFont="1" applyFill="1" applyBorder="1" applyAlignment="1" applyProtection="1">
      <alignment horizontal="right" vertical="center" indent="3"/>
      <protection hidden="1"/>
    </xf>
    <xf numFmtId="178" fontId="9" fillId="3" borderId="325" xfId="1" applyNumberFormat="1" applyFont="1" applyFill="1" applyBorder="1" applyAlignment="1" applyProtection="1">
      <alignment horizontal="right" vertical="center" indent="3"/>
      <protection hidden="1"/>
    </xf>
    <xf numFmtId="3" fontId="9" fillId="3" borderId="323" xfId="1" applyNumberFormat="1" applyFont="1" applyFill="1" applyBorder="1" applyAlignment="1" applyProtection="1">
      <alignment horizontal="right" vertical="center" indent="3"/>
    </xf>
    <xf numFmtId="3" fontId="9" fillId="3" borderId="324" xfId="1" applyNumberFormat="1" applyFont="1" applyFill="1" applyBorder="1" applyAlignment="1" applyProtection="1">
      <alignment horizontal="right" vertical="center" indent="3"/>
    </xf>
    <xf numFmtId="3" fontId="9" fillId="3" borderId="325" xfId="1" applyNumberFormat="1" applyFont="1" applyFill="1" applyBorder="1" applyAlignment="1" applyProtection="1">
      <alignment horizontal="right" vertical="center" indent="3"/>
    </xf>
    <xf numFmtId="187" fontId="9" fillId="6" borderId="291" xfId="8" applyNumberFormat="1" applyFont="1" applyBorder="1" applyAlignment="1" applyProtection="1">
      <alignment horizontal="right" indent="1"/>
      <protection locked="0"/>
    </xf>
    <xf numFmtId="187" fontId="9" fillId="6" borderId="293" xfId="8" applyNumberFormat="1" applyFont="1" applyBorder="1" applyAlignment="1" applyProtection="1">
      <alignment horizontal="right" indent="1"/>
      <protection locked="0"/>
    </xf>
    <xf numFmtId="187" fontId="9" fillId="3" borderId="323" xfId="1" applyNumberFormat="1" applyFont="1" applyFill="1" applyBorder="1" applyAlignment="1" applyProtection="1">
      <alignment horizontal="right" vertical="center" indent="1"/>
      <protection hidden="1"/>
    </xf>
    <xf numFmtId="187" fontId="9" fillId="3" borderId="325" xfId="1" applyNumberFormat="1" applyFont="1" applyFill="1" applyBorder="1" applyAlignment="1" applyProtection="1">
      <alignment horizontal="right" vertical="center" indent="1"/>
      <protection hidden="1"/>
    </xf>
    <xf numFmtId="0" fontId="9" fillId="4" borderId="326" xfId="1" applyFont="1" applyFill="1" applyBorder="1" applyAlignment="1" applyProtection="1">
      <alignment horizontal="center" vertical="center"/>
      <protection hidden="1"/>
    </xf>
    <xf numFmtId="187" fontId="9" fillId="3" borderId="265" xfId="1" applyNumberFormat="1" applyFont="1" applyFill="1" applyBorder="1" applyAlignment="1" applyProtection="1">
      <alignment horizontal="right" vertical="center" indent="1"/>
      <protection hidden="1"/>
    </xf>
    <xf numFmtId="187" fontId="9" fillId="3" borderId="266" xfId="1" applyNumberFormat="1" applyFont="1" applyFill="1" applyBorder="1" applyAlignment="1" applyProtection="1">
      <alignment horizontal="right" vertical="center" indent="1"/>
      <protection hidden="1"/>
    </xf>
    <xf numFmtId="0" fontId="9" fillId="3" borderId="323" xfId="1" applyFont="1" applyFill="1" applyBorder="1" applyAlignment="1" applyProtection="1">
      <alignment horizontal="center" vertical="center"/>
      <protection hidden="1"/>
    </xf>
    <xf numFmtId="0" fontId="9" fillId="3" borderId="324" xfId="1" applyFont="1" applyFill="1" applyBorder="1" applyAlignment="1" applyProtection="1">
      <alignment horizontal="center" vertical="center"/>
      <protection hidden="1"/>
    </xf>
    <xf numFmtId="0" fontId="9" fillId="3" borderId="325" xfId="1" applyFont="1" applyFill="1" applyBorder="1" applyAlignment="1" applyProtection="1">
      <alignment horizontal="center" vertical="center"/>
      <protection hidden="1"/>
    </xf>
    <xf numFmtId="0" fontId="34" fillId="4" borderId="263" xfId="1" applyFont="1" applyFill="1" applyBorder="1" applyAlignment="1" applyProtection="1">
      <alignment horizontal="center" vertical="top" wrapText="1"/>
      <protection hidden="1"/>
    </xf>
    <xf numFmtId="0" fontId="34" fillId="4" borderId="0" xfId="1" applyFont="1" applyFill="1" applyBorder="1" applyAlignment="1" applyProtection="1">
      <alignment horizontal="center" vertical="top" wrapText="1"/>
      <protection hidden="1"/>
    </xf>
    <xf numFmtId="176" fontId="34" fillId="0" borderId="0" xfId="1" applyNumberFormat="1" applyFont="1" applyBorder="1" applyAlignment="1" applyProtection="1">
      <alignment horizontal="center" vertical="center"/>
      <protection hidden="1"/>
    </xf>
    <xf numFmtId="0" fontId="12" fillId="4" borderId="268" xfId="1" applyFont="1" applyFill="1" applyBorder="1" applyAlignment="1" applyProtection="1">
      <alignment vertical="center"/>
      <protection hidden="1"/>
    </xf>
    <xf numFmtId="168" fontId="84" fillId="8" borderId="0" xfId="1" applyNumberFormat="1" applyFont="1" applyFill="1" applyBorder="1" applyAlignment="1" applyProtection="1">
      <alignment horizontal="center"/>
      <protection locked="0"/>
    </xf>
    <xf numFmtId="168" fontId="34" fillId="0" borderId="0" xfId="1" applyNumberFormat="1" applyFont="1" applyFill="1" applyAlignment="1" applyProtection="1">
      <alignment horizontal="center"/>
      <protection hidden="1"/>
    </xf>
    <xf numFmtId="0" fontId="9" fillId="4" borderId="268" xfId="1" applyFont="1" applyFill="1" applyBorder="1" applyAlignment="1" applyProtection="1">
      <alignment vertical="center"/>
      <protection hidden="1"/>
    </xf>
    <xf numFmtId="176" fontId="81" fillId="0" borderId="118" xfId="1" applyNumberFormat="1" applyFont="1" applyFill="1" applyBorder="1" applyAlignment="1" applyProtection="1">
      <alignment horizontal="center" vertical="center"/>
      <protection hidden="1"/>
    </xf>
    <xf numFmtId="176" fontId="81" fillId="0" borderId="120" xfId="1" applyNumberFormat="1" applyFont="1" applyFill="1" applyBorder="1" applyAlignment="1" applyProtection="1">
      <alignment horizontal="center" vertical="center"/>
      <protection hidden="1"/>
    </xf>
    <xf numFmtId="0" fontId="9" fillId="3" borderId="284" xfId="1" applyFont="1" applyFill="1" applyBorder="1" applyAlignment="1" applyProtection="1">
      <alignment horizontal="center" vertical="center"/>
      <protection hidden="1"/>
    </xf>
    <xf numFmtId="0" fontId="9" fillId="3" borderId="286" xfId="1" applyFont="1" applyFill="1" applyBorder="1" applyAlignment="1" applyProtection="1">
      <alignment horizontal="center" vertical="center"/>
      <protection hidden="1"/>
    </xf>
    <xf numFmtId="176" fontId="81" fillId="0" borderId="115" xfId="1" applyNumberFormat="1" applyFont="1" applyFill="1" applyBorder="1" applyAlignment="1" applyProtection="1">
      <alignment horizontal="center" vertical="center"/>
      <protection hidden="1"/>
    </xf>
    <xf numFmtId="176" fontId="81" fillId="0" borderId="117" xfId="1" applyNumberFormat="1" applyFont="1" applyFill="1" applyBorder="1" applyAlignment="1" applyProtection="1">
      <alignment horizontal="center" vertical="center"/>
      <protection hidden="1"/>
    </xf>
    <xf numFmtId="0" fontId="9" fillId="4" borderId="270" xfId="1" applyFont="1" applyFill="1" applyBorder="1" applyAlignment="1" applyProtection="1">
      <alignment horizontal="right" vertical="center"/>
      <protection hidden="1"/>
    </xf>
    <xf numFmtId="187" fontId="31" fillId="3" borderId="321" xfId="1" applyNumberFormat="1" applyFont="1" applyFill="1" applyBorder="1" applyAlignment="1" applyProtection="1">
      <alignment horizontal="right" vertical="center" indent="3"/>
      <protection hidden="1"/>
    </xf>
    <xf numFmtId="187" fontId="31" fillId="3" borderId="331" xfId="1" applyNumberFormat="1" applyFont="1" applyFill="1" applyBorder="1" applyAlignment="1" applyProtection="1">
      <alignment horizontal="right" vertical="center" indent="3"/>
      <protection hidden="1"/>
    </xf>
    <xf numFmtId="183" fontId="9" fillId="3" borderId="323" xfId="1" applyNumberFormat="1" applyFont="1" applyFill="1" applyBorder="1" applyAlignment="1" applyProtection="1">
      <alignment horizontal="center" vertical="center"/>
      <protection hidden="1"/>
    </xf>
    <xf numFmtId="183" fontId="9" fillId="3" borderId="325" xfId="1" applyNumberFormat="1" applyFont="1" applyFill="1" applyBorder="1" applyAlignment="1" applyProtection="1">
      <alignment horizontal="center" vertical="center"/>
      <protection hidden="1"/>
    </xf>
    <xf numFmtId="184" fontId="22" fillId="6" borderId="0" xfId="1" applyNumberFormat="1" applyFont="1" applyFill="1" applyBorder="1" applyAlignment="1" applyProtection="1">
      <alignment horizontal="left" vertical="center"/>
      <protection locked="0"/>
    </xf>
    <xf numFmtId="187" fontId="9" fillId="3" borderId="323" xfId="1" applyNumberFormat="1" applyFont="1" applyFill="1" applyBorder="1" applyAlignment="1" applyProtection="1">
      <alignment horizontal="right" vertical="center" indent="3"/>
      <protection hidden="1"/>
    </xf>
    <xf numFmtId="187" fontId="9" fillId="3" borderId="324" xfId="1" applyNumberFormat="1" applyFont="1" applyFill="1" applyBorder="1" applyAlignment="1" applyProtection="1">
      <alignment horizontal="right" vertical="center" indent="3"/>
      <protection hidden="1"/>
    </xf>
    <xf numFmtId="187" fontId="9" fillId="3" borderId="325" xfId="1" applyNumberFormat="1" applyFont="1" applyFill="1" applyBorder="1" applyAlignment="1" applyProtection="1">
      <alignment horizontal="right" vertical="center" indent="3"/>
      <protection hidden="1"/>
    </xf>
    <xf numFmtId="178" fontId="34" fillId="3" borderId="311" xfId="1" applyNumberFormat="1" applyFont="1" applyFill="1" applyBorder="1" applyAlignment="1" applyProtection="1">
      <alignment horizontal="right" vertical="center" indent="4"/>
      <protection hidden="1"/>
    </xf>
    <xf numFmtId="178" fontId="34" fillId="3" borderId="312" xfId="1" applyNumberFormat="1" applyFont="1" applyFill="1" applyBorder="1" applyAlignment="1" applyProtection="1">
      <alignment horizontal="right" vertical="center" indent="4"/>
      <protection hidden="1"/>
    </xf>
    <xf numFmtId="0" fontId="9" fillId="4" borderId="0" xfId="1" applyFont="1" applyFill="1" applyBorder="1" applyAlignment="1" applyProtection="1">
      <alignment horizontal="center" vertical="top" wrapText="1"/>
      <protection hidden="1"/>
    </xf>
    <xf numFmtId="0" fontId="9" fillId="4" borderId="266" xfId="1" applyFont="1" applyFill="1" applyBorder="1" applyAlignment="1" applyProtection="1">
      <alignment horizontal="center" vertical="top" wrapText="1"/>
      <protection hidden="1"/>
    </xf>
    <xf numFmtId="187" fontId="9" fillId="3" borderId="299" xfId="1" applyNumberFormat="1" applyFont="1" applyFill="1" applyBorder="1" applyAlignment="1" applyProtection="1">
      <alignment horizontal="right" vertical="center" indent="3"/>
      <protection hidden="1"/>
    </xf>
    <xf numFmtId="187" fontId="9" fillId="3" borderId="300" xfId="1" applyNumberFormat="1" applyFont="1" applyFill="1" applyBorder="1" applyAlignment="1" applyProtection="1">
      <alignment horizontal="right" vertical="center" indent="3"/>
      <protection hidden="1"/>
    </xf>
    <xf numFmtId="187" fontId="9" fillId="3" borderId="301" xfId="1" applyNumberFormat="1" applyFont="1" applyFill="1" applyBorder="1" applyAlignment="1" applyProtection="1">
      <alignment horizontal="right" vertical="center" indent="3"/>
      <protection hidden="1"/>
    </xf>
    <xf numFmtId="187" fontId="31" fillId="3" borderId="334" xfId="1" applyNumberFormat="1" applyFont="1" applyFill="1" applyBorder="1" applyAlignment="1" applyProtection="1">
      <alignment horizontal="right" vertical="center" indent="2"/>
      <protection hidden="1"/>
    </xf>
    <xf numFmtId="187" fontId="31" fillId="3" borderId="324" xfId="1" applyNumberFormat="1" applyFont="1" applyFill="1" applyBorder="1" applyAlignment="1" applyProtection="1">
      <alignment horizontal="right" vertical="center" indent="2"/>
      <protection hidden="1"/>
    </xf>
    <xf numFmtId="187" fontId="31" fillId="3" borderId="296" xfId="1" applyNumberFormat="1" applyFont="1" applyFill="1" applyBorder="1" applyAlignment="1" applyProtection="1">
      <alignment horizontal="right" vertical="center" indent="2"/>
      <protection hidden="1"/>
    </xf>
    <xf numFmtId="187" fontId="31" fillId="3" borderId="292" xfId="1" applyNumberFormat="1" applyFont="1" applyFill="1" applyBorder="1" applyAlignment="1" applyProtection="1">
      <alignment horizontal="right" vertical="center" indent="2"/>
      <protection hidden="1"/>
    </xf>
    <xf numFmtId="187" fontId="31" fillId="3" borderId="332" xfId="1" applyNumberFormat="1" applyFont="1" applyFill="1" applyBorder="1" applyAlignment="1" applyProtection="1">
      <alignment horizontal="right" vertical="center" indent="2"/>
      <protection hidden="1"/>
    </xf>
    <xf numFmtId="187" fontId="31" fillId="3" borderId="321" xfId="1" applyNumberFormat="1" applyFont="1" applyFill="1" applyBorder="1" applyAlignment="1" applyProtection="1">
      <alignment horizontal="right" vertical="center" indent="2"/>
      <protection hidden="1"/>
    </xf>
    <xf numFmtId="187" fontId="9" fillId="3" borderId="330" xfId="1" quotePrefix="1" applyNumberFormat="1" applyFont="1" applyFill="1" applyBorder="1" applyAlignment="1" applyProtection="1">
      <alignment horizontal="center" vertical="center"/>
      <protection hidden="1"/>
    </xf>
    <xf numFmtId="187" fontId="9" fillId="3" borderId="285" xfId="1" quotePrefix="1" applyNumberFormat="1" applyFont="1" applyFill="1" applyBorder="1" applyAlignment="1" applyProtection="1">
      <alignment horizontal="center" vertical="center"/>
      <protection hidden="1"/>
    </xf>
    <xf numFmtId="3" fontId="9" fillId="3" borderId="275" xfId="1" applyNumberFormat="1" applyFont="1" applyFill="1" applyBorder="1" applyAlignment="1" applyProtection="1">
      <alignment horizontal="right" vertical="center" indent="3"/>
    </xf>
    <xf numFmtId="3" fontId="9" fillId="3" borderId="268" xfId="1" applyNumberFormat="1" applyFont="1" applyFill="1" applyBorder="1" applyAlignment="1" applyProtection="1">
      <alignment horizontal="right" vertical="center" indent="3"/>
    </xf>
    <xf numFmtId="3" fontId="9" fillId="3" borderId="276" xfId="1" applyNumberFormat="1" applyFont="1" applyFill="1" applyBorder="1" applyAlignment="1" applyProtection="1">
      <alignment horizontal="right" vertical="center" indent="3"/>
    </xf>
    <xf numFmtId="187" fontId="31" fillId="3" borderId="0" xfId="1" applyNumberFormat="1" applyFont="1" applyFill="1" applyBorder="1" applyAlignment="1" applyProtection="1">
      <alignment horizontal="right" vertical="center" indent="3"/>
      <protection hidden="1"/>
    </xf>
    <xf numFmtId="187" fontId="31" fillId="3" borderId="26" xfId="1" applyNumberFormat="1" applyFont="1" applyFill="1" applyBorder="1" applyAlignment="1" applyProtection="1">
      <alignment horizontal="right" vertical="center" indent="3"/>
      <protection hidden="1"/>
    </xf>
    <xf numFmtId="183" fontId="9" fillId="3" borderId="265" xfId="1" applyNumberFormat="1" applyFont="1" applyFill="1" applyBorder="1" applyAlignment="1" applyProtection="1">
      <alignment horizontal="center" vertical="center"/>
      <protection hidden="1"/>
    </xf>
    <xf numFmtId="183" fontId="9" fillId="3" borderId="266" xfId="1" applyNumberFormat="1" applyFont="1" applyFill="1" applyBorder="1" applyAlignment="1" applyProtection="1">
      <alignment horizontal="center" vertical="center"/>
      <protection hidden="1"/>
    </xf>
    <xf numFmtId="187" fontId="9" fillId="3" borderId="291" xfId="1" applyNumberFormat="1" applyFont="1" applyFill="1" applyBorder="1" applyAlignment="1" applyProtection="1">
      <alignment horizontal="right" vertical="center" indent="3"/>
      <protection hidden="1"/>
    </xf>
    <xf numFmtId="187" fontId="9" fillId="3" borderId="292" xfId="1" applyNumberFormat="1" applyFont="1" applyFill="1" applyBorder="1" applyAlignment="1" applyProtection="1">
      <alignment horizontal="right" vertical="center" indent="3"/>
      <protection hidden="1"/>
    </xf>
    <xf numFmtId="187" fontId="9" fillId="3" borderId="293" xfId="1" applyNumberFormat="1" applyFont="1" applyFill="1" applyBorder="1" applyAlignment="1" applyProtection="1">
      <alignment horizontal="right" vertical="center" indent="3"/>
      <protection hidden="1"/>
    </xf>
    <xf numFmtId="176" fontId="81" fillId="0" borderId="112" xfId="1" applyNumberFormat="1" applyFont="1" applyFill="1" applyBorder="1" applyAlignment="1" applyProtection="1">
      <alignment horizontal="center" vertical="center"/>
      <protection hidden="1"/>
    </xf>
    <xf numFmtId="176" fontId="81" fillId="0" borderId="114" xfId="1" applyNumberFormat="1" applyFont="1" applyFill="1" applyBorder="1" applyAlignment="1" applyProtection="1">
      <alignment horizontal="center" vertical="center"/>
      <protection hidden="1"/>
    </xf>
    <xf numFmtId="178" fontId="34" fillId="3" borderId="268" xfId="1" applyNumberFormat="1" applyFont="1" applyFill="1" applyBorder="1" applyAlignment="1" applyProtection="1">
      <alignment horizontal="right" vertical="center" indent="4"/>
      <protection hidden="1"/>
    </xf>
    <xf numFmtId="178" fontId="34" fillId="3" borderId="276" xfId="1" applyNumberFormat="1" applyFont="1" applyFill="1" applyBorder="1" applyAlignment="1" applyProtection="1">
      <alignment horizontal="right" vertical="center" indent="4"/>
      <protection hidden="1"/>
    </xf>
    <xf numFmtId="187" fontId="34" fillId="4" borderId="270" xfId="1" applyNumberFormat="1" applyFont="1" applyFill="1" applyBorder="1" applyAlignment="1" applyProtection="1">
      <alignment horizontal="right" vertical="center" indent="2"/>
      <protection hidden="1"/>
    </xf>
    <xf numFmtId="178" fontId="9" fillId="3" borderId="343" xfId="1" applyNumberFormat="1" applyFont="1" applyFill="1" applyBorder="1" applyAlignment="1" applyProtection="1">
      <alignment horizontal="right" vertical="center" indent="3"/>
      <protection hidden="1"/>
    </xf>
    <xf numFmtId="178" fontId="9" fillId="3" borderId="344" xfId="1" applyNumberFormat="1" applyFont="1" applyFill="1" applyBorder="1" applyAlignment="1" applyProtection="1">
      <alignment horizontal="right" vertical="center" indent="3"/>
      <protection hidden="1"/>
    </xf>
    <xf numFmtId="0" fontId="9" fillId="4" borderId="335" xfId="1" applyFont="1" applyFill="1" applyBorder="1" applyAlignment="1" applyProtection="1">
      <alignment horizontal="center" vertical="top" wrapText="1"/>
      <protection hidden="1"/>
    </xf>
    <xf numFmtId="0" fontId="9" fillId="4" borderId="336" xfId="1" applyFont="1" applyFill="1" applyBorder="1" applyAlignment="1" applyProtection="1">
      <alignment horizontal="center" vertical="top" wrapText="1"/>
      <protection hidden="1"/>
    </xf>
    <xf numFmtId="178" fontId="83" fillId="6" borderId="337" xfId="1" applyNumberFormat="1" applyFont="1" applyFill="1" applyBorder="1" applyAlignment="1" applyProtection="1">
      <alignment horizontal="right" vertical="center" indent="3"/>
      <protection locked="0"/>
    </xf>
    <xf numFmtId="178" fontId="83" fillId="6" borderId="338" xfId="1" applyNumberFormat="1" applyFont="1" applyFill="1" applyBorder="1" applyAlignment="1" applyProtection="1">
      <alignment horizontal="right" vertical="center" indent="3"/>
      <protection locked="0"/>
    </xf>
    <xf numFmtId="178" fontId="83" fillId="6" borderId="339" xfId="1" applyNumberFormat="1" applyFont="1" applyFill="1" applyBorder="1" applyAlignment="1" applyProtection="1">
      <alignment horizontal="right" vertical="center" indent="3"/>
      <protection locked="0"/>
    </xf>
    <xf numFmtId="178" fontId="83" fillId="6" borderId="340" xfId="1" applyNumberFormat="1" applyFont="1" applyFill="1" applyBorder="1" applyAlignment="1" applyProtection="1">
      <alignment horizontal="right" vertical="center" indent="3"/>
      <protection locked="0"/>
    </xf>
    <xf numFmtId="178" fontId="83" fillId="6" borderId="341" xfId="1" applyNumberFormat="1" applyFont="1" applyFill="1" applyBorder="1" applyAlignment="1" applyProtection="1">
      <alignment horizontal="right" vertical="center" indent="3"/>
      <protection locked="0"/>
    </xf>
    <xf numFmtId="178" fontId="83" fillId="6" borderId="342" xfId="1" applyNumberFormat="1" applyFont="1" applyFill="1" applyBorder="1" applyAlignment="1" applyProtection="1">
      <alignment horizontal="right" vertical="center" indent="3"/>
      <protection locked="0"/>
    </xf>
    <xf numFmtId="178" fontId="34" fillId="3" borderId="308" xfId="1" applyNumberFormat="1" applyFont="1" applyFill="1" applyBorder="1" applyAlignment="1" applyProtection="1">
      <alignment horizontal="right" vertical="center" indent="4"/>
      <protection hidden="1"/>
    </xf>
    <xf numFmtId="178" fontId="34" fillId="3" borderId="309" xfId="1" applyNumberFormat="1" applyFont="1" applyFill="1" applyBorder="1" applyAlignment="1" applyProtection="1">
      <alignment horizontal="right" vertical="center" indent="4"/>
      <protection hidden="1"/>
    </xf>
    <xf numFmtId="178" fontId="34" fillId="3" borderId="30" xfId="1" applyNumberFormat="1" applyFont="1" applyFill="1" applyBorder="1" applyAlignment="1" applyProtection="1">
      <alignment horizontal="right" vertical="center" indent="4"/>
      <protection hidden="1"/>
    </xf>
    <xf numFmtId="178" fontId="34" fillId="3" borderId="272" xfId="1" applyNumberFormat="1" applyFont="1" applyFill="1" applyBorder="1" applyAlignment="1" applyProtection="1">
      <alignment horizontal="right" vertical="center" indent="4"/>
      <protection hidden="1"/>
    </xf>
    <xf numFmtId="0" fontId="82" fillId="0" borderId="109" xfId="1" applyFont="1" applyBorder="1" applyAlignment="1" applyProtection="1">
      <alignment horizontal="center" vertical="center"/>
      <protection hidden="1"/>
    </xf>
    <xf numFmtId="0" fontId="82" fillId="0" borderId="111" xfId="1" applyFont="1" applyBorder="1" applyAlignment="1" applyProtection="1">
      <alignment horizontal="center" vertical="center"/>
      <protection hidden="1"/>
    </xf>
    <xf numFmtId="187" fontId="82" fillId="0" borderId="109" xfId="1" applyNumberFormat="1" applyFont="1" applyBorder="1" applyAlignment="1" applyProtection="1">
      <alignment horizontal="center" vertical="center"/>
      <protection hidden="1"/>
    </xf>
    <xf numFmtId="187" fontId="82" fillId="0" borderId="111" xfId="1" applyNumberFormat="1" applyFont="1" applyBorder="1" applyAlignment="1" applyProtection="1">
      <alignment horizontal="center" vertical="center"/>
      <protection hidden="1"/>
    </xf>
    <xf numFmtId="187" fontId="82" fillId="0" borderId="118" xfId="1" applyNumberFormat="1" applyFont="1" applyBorder="1" applyAlignment="1" applyProtection="1">
      <alignment horizontal="center" vertical="center"/>
      <protection hidden="1"/>
    </xf>
    <xf numFmtId="187" fontId="82" fillId="0" borderId="120" xfId="1" applyNumberFormat="1" applyFont="1" applyBorder="1" applyAlignment="1" applyProtection="1">
      <alignment horizontal="center" vertical="center"/>
      <protection hidden="1"/>
    </xf>
    <xf numFmtId="165" fontId="81" fillId="0" borderId="118" xfId="1" applyNumberFormat="1" applyFont="1" applyBorder="1" applyAlignment="1" applyProtection="1">
      <alignment horizontal="center" vertical="center"/>
      <protection hidden="1"/>
    </xf>
    <xf numFmtId="165" fontId="81" fillId="0" borderId="120" xfId="1" applyNumberFormat="1" applyFont="1" applyBorder="1" applyAlignment="1" applyProtection="1">
      <alignment horizontal="center" vertical="center"/>
      <protection hidden="1"/>
    </xf>
    <xf numFmtId="176" fontId="81" fillId="0" borderId="107" xfId="1" applyNumberFormat="1" applyFont="1" applyFill="1" applyBorder="1" applyAlignment="1" applyProtection="1">
      <alignment horizontal="center" vertical="center"/>
      <protection hidden="1"/>
    </xf>
    <xf numFmtId="176" fontId="81" fillId="0" borderId="108" xfId="1" applyNumberFormat="1" applyFont="1" applyFill="1" applyBorder="1" applyAlignment="1" applyProtection="1">
      <alignment horizontal="center" vertical="center"/>
      <protection hidden="1"/>
    </xf>
    <xf numFmtId="0" fontId="81" fillId="0" borderId="105" xfId="1" applyFont="1" applyBorder="1" applyAlignment="1" applyProtection="1">
      <alignment horizontal="center" vertical="center"/>
      <protection hidden="1"/>
    </xf>
    <xf numFmtId="0" fontId="81" fillId="0" borderId="106" xfId="1" applyFont="1" applyBorder="1" applyAlignment="1" applyProtection="1">
      <alignment horizontal="center" vertical="center"/>
      <protection hidden="1"/>
    </xf>
    <xf numFmtId="0" fontId="9" fillId="4" borderId="275" xfId="1" applyFont="1" applyFill="1" applyBorder="1" applyAlignment="1" applyProtection="1">
      <alignment horizontal="center" vertical="center"/>
      <protection hidden="1"/>
    </xf>
    <xf numFmtId="0" fontId="9" fillId="4" borderId="276" xfId="1" applyFont="1" applyFill="1" applyBorder="1" applyAlignment="1" applyProtection="1">
      <alignment horizontal="center" vertical="center"/>
      <protection hidden="1"/>
    </xf>
    <xf numFmtId="177" fontId="82" fillId="0" borderId="103" xfId="1" applyNumberFormat="1" applyFont="1" applyFill="1" applyBorder="1" applyAlignment="1" applyProtection="1">
      <alignment horizontal="right" vertical="center"/>
    </xf>
    <xf numFmtId="177" fontId="81" fillId="0" borderId="110" xfId="1" applyNumberFormat="1" applyFont="1" applyFill="1" applyBorder="1" applyAlignment="1" applyProtection="1">
      <alignment vertical="center"/>
    </xf>
    <xf numFmtId="177" fontId="82" fillId="0" borderId="103" xfId="1" applyNumberFormat="1" applyFont="1" applyFill="1" applyBorder="1" applyAlignment="1" applyProtection="1">
      <alignment vertical="center"/>
    </xf>
    <xf numFmtId="177" fontId="82" fillId="0" borderId="101" xfId="1" applyNumberFormat="1" applyFont="1" applyFill="1" applyBorder="1" applyAlignment="1" applyProtection="1">
      <alignment vertical="center"/>
    </xf>
    <xf numFmtId="177" fontId="81" fillId="0" borderId="0" xfId="1" applyNumberFormat="1" applyFont="1" applyFill="1" applyBorder="1" applyAlignment="1" applyProtection="1">
      <alignment horizontal="right" vertical="center"/>
    </xf>
    <xf numFmtId="176" fontId="81" fillId="0" borderId="105" xfId="1" applyNumberFormat="1" applyFont="1" applyFill="1" applyBorder="1" applyAlignment="1" applyProtection="1">
      <alignment horizontal="center" vertical="center"/>
      <protection hidden="1"/>
    </xf>
    <xf numFmtId="176" fontId="81" fillId="0" borderId="106" xfId="1" applyNumberFormat="1" applyFont="1" applyFill="1" applyBorder="1" applyAlignment="1" applyProtection="1">
      <alignment horizontal="center" vertical="center"/>
      <protection hidden="1"/>
    </xf>
    <xf numFmtId="177" fontId="81" fillId="0" borderId="101" xfId="1" applyNumberFormat="1" applyFont="1" applyFill="1" applyBorder="1" applyAlignment="1" applyProtection="1">
      <alignment vertical="center"/>
    </xf>
    <xf numFmtId="177" fontId="81" fillId="0" borderId="0" xfId="0" applyNumberFormat="1" applyFont="1" applyBorder="1" applyProtection="1"/>
    <xf numFmtId="187" fontId="34" fillId="3" borderId="329" xfId="1" applyNumberFormat="1" applyFont="1" applyFill="1" applyBorder="1" applyAlignment="1" applyProtection="1">
      <alignment horizontal="right" vertical="center" indent="3"/>
      <protection hidden="1"/>
    </xf>
    <xf numFmtId="187" fontId="34" fillId="3" borderId="297" xfId="1" applyNumberFormat="1" applyFont="1" applyFill="1" applyBorder="1" applyAlignment="1" applyProtection="1">
      <alignment horizontal="right" vertical="center" indent="3"/>
      <protection hidden="1"/>
    </xf>
    <xf numFmtId="3" fontId="34" fillId="3" borderId="275" xfId="1" applyNumberFormat="1" applyFont="1" applyFill="1" applyBorder="1" applyAlignment="1" applyProtection="1">
      <alignment horizontal="right" vertical="center" indent="6"/>
      <protection hidden="1"/>
    </xf>
    <xf numFmtId="3" fontId="34" fillId="3" borderId="268" xfId="1" applyNumberFormat="1" applyFont="1" applyFill="1" applyBorder="1" applyAlignment="1" applyProtection="1">
      <alignment horizontal="right" vertical="center" indent="6"/>
      <protection hidden="1"/>
    </xf>
    <xf numFmtId="3" fontId="34" fillId="3" borderId="276" xfId="1" applyNumberFormat="1" applyFont="1" applyFill="1" applyBorder="1" applyAlignment="1" applyProtection="1">
      <alignment horizontal="right" vertical="center" indent="6"/>
      <protection hidden="1"/>
    </xf>
    <xf numFmtId="187" fontId="34" fillId="4" borderId="313" xfId="1" applyNumberFormat="1" applyFont="1" applyFill="1" applyBorder="1" applyAlignment="1" applyProtection="1">
      <alignment horizontal="right" vertical="center" indent="3"/>
      <protection hidden="1"/>
    </xf>
    <xf numFmtId="187" fontId="31" fillId="3" borderId="84" xfId="1" applyNumberFormat="1" applyFont="1" applyFill="1" applyBorder="1" applyAlignment="1" applyProtection="1">
      <alignment horizontal="right" vertical="center" indent="2"/>
      <protection hidden="1"/>
    </xf>
    <xf numFmtId="187" fontId="31" fillId="3" borderId="0" xfId="1" applyNumberFormat="1" applyFont="1" applyFill="1" applyBorder="1" applyAlignment="1" applyProtection="1">
      <alignment horizontal="right" vertical="center" indent="2"/>
      <protection hidden="1"/>
    </xf>
    <xf numFmtId="187" fontId="9" fillId="3" borderId="296" xfId="1" quotePrefix="1" applyNumberFormat="1" applyFont="1" applyFill="1" applyBorder="1" applyAlignment="1" applyProtection="1">
      <alignment horizontal="center" vertical="center"/>
      <protection hidden="1"/>
    </xf>
    <xf numFmtId="187" fontId="9" fillId="3" borderId="292" xfId="1" quotePrefix="1" applyNumberFormat="1" applyFont="1" applyFill="1" applyBorder="1" applyAlignment="1" applyProtection="1">
      <alignment horizontal="center" vertical="center"/>
      <protection hidden="1"/>
    </xf>
    <xf numFmtId="187" fontId="34" fillId="3" borderId="296" xfId="1" applyNumberFormat="1" applyFont="1" applyFill="1" applyBorder="1" applyAlignment="1" applyProtection="1">
      <alignment horizontal="right" vertical="center" indent="2"/>
      <protection hidden="1"/>
    </xf>
    <xf numFmtId="187" fontId="34" fillId="3" borderId="292" xfId="1" applyNumberFormat="1" applyFont="1" applyFill="1" applyBorder="1" applyAlignment="1" applyProtection="1">
      <alignment horizontal="right" vertical="center" indent="2"/>
      <protection hidden="1"/>
    </xf>
    <xf numFmtId="183" fontId="9" fillId="3" borderId="299" xfId="1" applyNumberFormat="1" applyFont="1" applyFill="1" applyBorder="1" applyAlignment="1" applyProtection="1">
      <alignment horizontal="center" vertical="center"/>
      <protection hidden="1"/>
    </xf>
    <xf numFmtId="183" fontId="9" fillId="3" borderId="301" xfId="1" applyNumberFormat="1" applyFont="1" applyFill="1" applyBorder="1" applyAlignment="1" applyProtection="1">
      <alignment horizontal="center" vertical="center"/>
      <protection hidden="1"/>
    </xf>
    <xf numFmtId="187" fontId="31" fillId="3" borderId="300" xfId="1" applyNumberFormat="1" applyFont="1" applyFill="1" applyBorder="1" applyAlignment="1" applyProtection="1">
      <alignment horizontal="right" vertical="center" indent="3"/>
      <protection hidden="1"/>
    </xf>
    <xf numFmtId="187" fontId="31" fillId="3" borderId="305" xfId="1" applyNumberFormat="1" applyFont="1" applyFill="1" applyBorder="1" applyAlignment="1" applyProtection="1">
      <alignment horizontal="right" vertical="center" indent="3"/>
      <protection hidden="1"/>
    </xf>
    <xf numFmtId="187" fontId="31" fillId="3" borderId="304" xfId="1" applyNumberFormat="1" applyFont="1" applyFill="1" applyBorder="1" applyAlignment="1" applyProtection="1">
      <alignment horizontal="right" vertical="center" indent="2"/>
      <protection hidden="1"/>
    </xf>
    <xf numFmtId="187" fontId="31" fillId="3" borderId="300" xfId="1" applyNumberFormat="1" applyFont="1" applyFill="1" applyBorder="1" applyAlignment="1" applyProtection="1">
      <alignment horizontal="right" vertical="center" indent="2"/>
      <protection hidden="1"/>
    </xf>
    <xf numFmtId="0" fontId="9" fillId="4" borderId="265" xfId="1" applyFont="1" applyFill="1" applyBorder="1" applyAlignment="1" applyProtection="1">
      <alignment horizontal="center" vertical="top" wrapText="1"/>
      <protection hidden="1"/>
    </xf>
    <xf numFmtId="178" fontId="9" fillId="3" borderId="307" xfId="1" applyNumberFormat="1" applyFont="1" applyFill="1" applyBorder="1" applyAlignment="1" applyProtection="1">
      <alignment horizontal="right" vertical="center" indent="4"/>
      <protection hidden="1"/>
    </xf>
    <xf numFmtId="178" fontId="9" fillId="3" borderId="308" xfId="1" applyNumberFormat="1" applyFont="1" applyFill="1" applyBorder="1" applyAlignment="1" applyProtection="1">
      <alignment horizontal="right" vertical="center" indent="4"/>
      <protection hidden="1"/>
    </xf>
    <xf numFmtId="178" fontId="9" fillId="3" borderId="267" xfId="1" applyNumberFormat="1" applyFont="1" applyFill="1" applyBorder="1" applyAlignment="1" applyProtection="1">
      <alignment horizontal="right" vertical="center" indent="4"/>
      <protection hidden="1"/>
    </xf>
    <xf numFmtId="178" fontId="9" fillId="3" borderId="30" xfId="1" applyNumberFormat="1" applyFont="1" applyFill="1" applyBorder="1" applyAlignment="1" applyProtection="1">
      <alignment horizontal="right" vertical="center" indent="4"/>
      <protection hidden="1"/>
    </xf>
    <xf numFmtId="178" fontId="9" fillId="3" borderId="310" xfId="1" applyNumberFormat="1" applyFont="1" applyFill="1" applyBorder="1" applyAlignment="1" applyProtection="1">
      <alignment horizontal="right" vertical="center" indent="4"/>
      <protection hidden="1"/>
    </xf>
    <xf numFmtId="178" fontId="9" fillId="3" borderId="311" xfId="1" applyNumberFormat="1" applyFont="1" applyFill="1" applyBorder="1" applyAlignment="1" applyProtection="1">
      <alignment horizontal="right" vertical="center" indent="4"/>
      <protection hidden="1"/>
    </xf>
    <xf numFmtId="178" fontId="9" fillId="3" borderId="275" xfId="1" applyNumberFormat="1" applyFont="1" applyFill="1" applyBorder="1" applyAlignment="1" applyProtection="1">
      <alignment horizontal="right" vertical="center" indent="4"/>
      <protection hidden="1"/>
    </xf>
    <xf numFmtId="178" fontId="9" fillId="3" borderId="268" xfId="1" applyNumberFormat="1" applyFont="1" applyFill="1" applyBorder="1" applyAlignment="1" applyProtection="1">
      <alignment horizontal="right" vertical="center" indent="4"/>
      <protection hidden="1"/>
    </xf>
    <xf numFmtId="187" fontId="34" fillId="4" borderId="269" xfId="1" applyNumberFormat="1" applyFont="1" applyFill="1" applyBorder="1" applyAlignment="1" applyProtection="1">
      <alignment horizontal="right" vertical="center" indent="7"/>
      <protection hidden="1"/>
    </xf>
    <xf numFmtId="187" fontId="34" fillId="4" borderId="270" xfId="1" applyNumberFormat="1" applyFont="1" applyFill="1" applyBorder="1" applyAlignment="1" applyProtection="1">
      <alignment horizontal="right" vertical="center" indent="7"/>
      <protection hidden="1"/>
    </xf>
    <xf numFmtId="0" fontId="9" fillId="4" borderId="26" xfId="1" applyFont="1" applyFill="1" applyBorder="1" applyAlignment="1" applyProtection="1">
      <alignment horizontal="center" vertical="center"/>
      <protection hidden="1"/>
    </xf>
    <xf numFmtId="184" fontId="22" fillId="3" borderId="324" xfId="1" applyNumberFormat="1" applyFont="1" applyFill="1" applyBorder="1" applyAlignment="1" applyProtection="1">
      <alignment horizontal="left" vertical="center"/>
    </xf>
    <xf numFmtId="172" fontId="91" fillId="12" borderId="0" xfId="1" applyNumberFormat="1" applyFont="1" applyFill="1" applyBorder="1" applyAlignment="1" applyProtection="1">
      <alignment horizontal="left" vertical="center" indent="2"/>
      <protection hidden="1"/>
    </xf>
    <xf numFmtId="195" fontId="9" fillId="6" borderId="289" xfId="8" applyNumberFormat="1" applyFont="1" applyBorder="1" applyAlignment="1" applyProtection="1">
      <alignment horizontal="right"/>
      <protection locked="0"/>
    </xf>
    <xf numFmtId="3" fontId="9" fillId="3" borderId="307" xfId="1" applyNumberFormat="1" applyFont="1" applyFill="1" applyBorder="1" applyAlignment="1" applyProtection="1">
      <alignment horizontal="right" vertical="center" indent="6"/>
    </xf>
    <xf numFmtId="3" fontId="9" fillId="3" borderId="308" xfId="1" applyNumberFormat="1" applyFont="1" applyFill="1" applyBorder="1" applyAlignment="1" applyProtection="1">
      <alignment horizontal="right" vertical="center" indent="6"/>
    </xf>
    <xf numFmtId="3" fontId="9" fillId="3" borderId="309" xfId="1" applyNumberFormat="1" applyFont="1" applyFill="1" applyBorder="1" applyAlignment="1" applyProtection="1">
      <alignment horizontal="right" vertical="center" indent="6"/>
    </xf>
    <xf numFmtId="3" fontId="9" fillId="3" borderId="267" xfId="1" applyNumberFormat="1" applyFont="1" applyFill="1" applyBorder="1" applyAlignment="1" applyProtection="1">
      <alignment horizontal="right" vertical="center" indent="6"/>
    </xf>
    <xf numFmtId="3" fontId="9" fillId="3" borderId="30" xfId="1" applyNumberFormat="1" applyFont="1" applyFill="1" applyBorder="1" applyAlignment="1" applyProtection="1">
      <alignment horizontal="right" vertical="center" indent="6"/>
    </xf>
    <xf numFmtId="3" fontId="9" fillId="3" borderId="272" xfId="1" applyNumberFormat="1" applyFont="1" applyFill="1" applyBorder="1" applyAlignment="1" applyProtection="1">
      <alignment horizontal="right" vertical="center" indent="6"/>
    </xf>
    <xf numFmtId="0" fontId="90" fillId="12" borderId="0" xfId="1" applyFont="1" applyFill="1" applyBorder="1" applyAlignment="1" applyProtection="1">
      <alignment horizontal="left" vertical="center" wrapText="1"/>
      <protection hidden="1"/>
    </xf>
    <xf numFmtId="0" fontId="90" fillId="12" borderId="0" xfId="1" applyFont="1" applyFill="1" applyBorder="1" applyAlignment="1" applyProtection="1">
      <alignment horizontal="left" vertical="center"/>
      <protection hidden="1"/>
    </xf>
    <xf numFmtId="0" fontId="92" fillId="12" borderId="0" xfId="1" applyFont="1" applyFill="1" applyBorder="1" applyAlignment="1" applyProtection="1">
      <alignment horizontal="left" vertical="center" indent="2"/>
      <protection hidden="1"/>
    </xf>
    <xf numFmtId="187" fontId="90" fillId="12" borderId="0" xfId="1" applyNumberFormat="1" applyFont="1" applyFill="1" applyBorder="1" applyAlignment="1" applyProtection="1">
      <alignment horizontal="left" vertical="center" wrapText="1"/>
      <protection hidden="1"/>
    </xf>
    <xf numFmtId="195" fontId="9" fillId="22" borderId="280" xfId="8" applyNumberFormat="1" applyFont="1" applyFill="1" applyBorder="1" applyAlignment="1" applyProtection="1">
      <alignment horizontal="right"/>
      <protection hidden="1"/>
    </xf>
    <xf numFmtId="0" fontId="9" fillId="0" borderId="0" xfId="1" applyFont="1" applyAlignment="1" applyProtection="1">
      <alignment horizontal="right"/>
      <protection hidden="1"/>
    </xf>
    <xf numFmtId="187" fontId="34" fillId="4" borderId="282" xfId="7" applyNumberFormat="1" applyFont="1" applyFill="1" applyBorder="1" applyAlignment="1" applyProtection="1">
      <alignment horizontal="right" indent="1"/>
      <protection hidden="1"/>
    </xf>
    <xf numFmtId="187" fontId="34" fillId="4" borderId="283" xfId="7" applyNumberFormat="1" applyFont="1" applyFill="1" applyBorder="1" applyAlignment="1" applyProtection="1">
      <alignment horizontal="right" indent="1"/>
      <protection hidden="1"/>
    </xf>
    <xf numFmtId="3" fontId="9" fillId="3" borderId="310" xfId="1" applyNumberFormat="1" applyFont="1" applyFill="1" applyBorder="1" applyAlignment="1" applyProtection="1">
      <alignment horizontal="right" vertical="center" indent="6"/>
      <protection hidden="1"/>
    </xf>
    <xf numFmtId="3" fontId="9" fillId="3" borderId="311" xfId="1" applyNumberFormat="1" applyFont="1" applyFill="1" applyBorder="1" applyAlignment="1" applyProtection="1">
      <alignment horizontal="right" vertical="center" indent="6"/>
      <protection hidden="1"/>
    </xf>
    <xf numFmtId="3" fontId="9" fillId="3" borderId="312" xfId="1" applyNumberFormat="1" applyFont="1" applyFill="1" applyBorder="1" applyAlignment="1" applyProtection="1">
      <alignment horizontal="right" vertical="center" indent="6"/>
      <protection hidden="1"/>
    </xf>
    <xf numFmtId="3" fontId="9" fillId="3" borderId="265" xfId="1" applyNumberFormat="1" applyFont="1" applyFill="1" applyBorder="1" applyAlignment="1" applyProtection="1">
      <alignment horizontal="right" vertical="center" indent="3"/>
    </xf>
    <xf numFmtId="3" fontId="9" fillId="3" borderId="0" xfId="1" applyNumberFormat="1" applyFont="1" applyFill="1" applyBorder="1" applyAlignment="1" applyProtection="1">
      <alignment horizontal="right" vertical="center" indent="3"/>
    </xf>
    <xf numFmtId="3" fontId="9" fillId="3" borderId="266" xfId="1" applyNumberFormat="1" applyFont="1" applyFill="1" applyBorder="1" applyAlignment="1" applyProtection="1">
      <alignment horizontal="right" vertical="center" indent="3"/>
    </xf>
    <xf numFmtId="169" fontId="34" fillId="0" borderId="0" xfId="1" applyNumberFormat="1" applyFont="1" applyAlignment="1" applyProtection="1">
      <alignment horizontal="center"/>
      <protection hidden="1"/>
    </xf>
    <xf numFmtId="200" fontId="9" fillId="9" borderId="280" xfId="1" applyNumberFormat="1" applyFont="1" applyFill="1" applyBorder="1" applyAlignment="1" applyProtection="1">
      <alignment horizontal="center" vertical="center"/>
      <protection hidden="1"/>
    </xf>
    <xf numFmtId="187" fontId="9" fillId="6" borderId="299" xfId="8" applyNumberFormat="1" applyFont="1" applyBorder="1" applyAlignment="1" applyProtection="1">
      <alignment horizontal="right" indent="1"/>
      <protection locked="0"/>
    </xf>
    <xf numFmtId="187" fontId="9" fillId="6" borderId="301" xfId="8" applyNumberFormat="1" applyFont="1" applyBorder="1" applyAlignment="1" applyProtection="1">
      <alignment horizontal="right" indent="1"/>
      <protection locked="0"/>
    </xf>
    <xf numFmtId="0" fontId="9" fillId="4" borderId="275" xfId="1" applyFont="1" applyFill="1" applyBorder="1" applyAlignment="1" applyProtection="1">
      <alignment horizontal="center" vertical="top" wrapText="1"/>
      <protection hidden="1"/>
    </xf>
    <xf numFmtId="0" fontId="9" fillId="4" borderId="276" xfId="1" applyFont="1" applyFill="1" applyBorder="1" applyAlignment="1" applyProtection="1">
      <alignment horizontal="center" vertical="top" wrapText="1"/>
      <protection hidden="1"/>
    </xf>
    <xf numFmtId="0" fontId="9" fillId="4" borderId="268" xfId="1" applyFont="1" applyFill="1" applyBorder="1" applyAlignment="1" applyProtection="1">
      <alignment horizontal="center" vertical="top" wrapText="1"/>
      <protection hidden="1"/>
    </xf>
    <xf numFmtId="0" fontId="9" fillId="4" borderId="315" xfId="1" applyFont="1" applyFill="1" applyBorder="1" applyAlignment="1" applyProtection="1">
      <alignment horizontal="center" vertical="center"/>
      <protection hidden="1"/>
    </xf>
    <xf numFmtId="195" fontId="9" fillId="22" borderId="318" xfId="8" applyNumberFormat="1" applyFont="1" applyFill="1" applyBorder="1" applyAlignment="1" applyProtection="1">
      <alignment horizontal="right"/>
      <protection hidden="1"/>
    </xf>
    <xf numFmtId="166" fontId="9" fillId="0" borderId="0" xfId="8" applyNumberFormat="1" applyFont="1" applyFill="1" applyBorder="1" applyAlignment="1" applyProtection="1">
      <alignment horizontal="right"/>
      <protection hidden="1"/>
    </xf>
    <xf numFmtId="187" fontId="9" fillId="0" borderId="0" xfId="7" applyNumberFormat="1" applyFont="1" applyFill="1" applyBorder="1" applyAlignment="1" applyProtection="1">
      <alignment horizontal="right"/>
      <protection hidden="1"/>
    </xf>
    <xf numFmtId="187" fontId="9" fillId="6" borderId="291" xfId="1" applyNumberFormat="1" applyFont="1" applyFill="1" applyBorder="1" applyAlignment="1" applyProtection="1">
      <alignment horizontal="right" vertical="center" indent="1"/>
      <protection locked="0"/>
    </xf>
    <xf numFmtId="187" fontId="9" fillId="6" borderId="293" xfId="1" applyNumberFormat="1" applyFont="1" applyFill="1" applyBorder="1" applyAlignment="1" applyProtection="1">
      <alignment horizontal="right" vertical="center" indent="1"/>
      <protection locked="0"/>
    </xf>
    <xf numFmtId="187" fontId="9" fillId="6" borderId="299" xfId="1" applyNumberFormat="1" applyFont="1" applyFill="1" applyBorder="1" applyAlignment="1" applyProtection="1">
      <alignment horizontal="right" vertical="center" indent="1"/>
      <protection locked="0"/>
    </xf>
    <xf numFmtId="187" fontId="9" fillId="6" borderId="301" xfId="1" applyNumberFormat="1" applyFont="1" applyFill="1" applyBorder="1" applyAlignment="1" applyProtection="1">
      <alignment horizontal="right" vertical="center" indent="1"/>
      <protection locked="0"/>
    </xf>
    <xf numFmtId="187" fontId="34" fillId="4" borderId="275" xfId="1" applyNumberFormat="1" applyFont="1" applyFill="1" applyBorder="1" applyAlignment="1" applyProtection="1">
      <alignment horizontal="right" vertical="center" indent="1"/>
      <protection hidden="1"/>
    </xf>
    <xf numFmtId="187" fontId="34" fillId="4" borderId="276" xfId="1" applyNumberFormat="1" applyFont="1" applyFill="1" applyBorder="1" applyAlignment="1" applyProtection="1">
      <alignment horizontal="right" vertical="center" indent="1"/>
      <protection hidden="1"/>
    </xf>
    <xf numFmtId="0" fontId="34" fillId="4" borderId="269" xfId="1" applyFont="1" applyFill="1" applyBorder="1" applyAlignment="1" applyProtection="1">
      <alignment horizontal="center" vertical="center"/>
      <protection hidden="1"/>
    </xf>
    <xf numFmtId="0" fontId="34" fillId="4" borderId="271" xfId="1" applyFont="1" applyFill="1" applyBorder="1" applyAlignment="1" applyProtection="1">
      <alignment horizontal="center" vertical="center"/>
      <protection hidden="1"/>
    </xf>
    <xf numFmtId="0" fontId="34" fillId="4" borderId="269" xfId="1" applyFont="1" applyFill="1" applyBorder="1" applyAlignment="1" applyProtection="1">
      <alignment vertical="center"/>
      <protection hidden="1"/>
    </xf>
    <xf numFmtId="0" fontId="34" fillId="4" borderId="270" xfId="1" applyFont="1" applyFill="1" applyBorder="1" applyAlignment="1" applyProtection="1">
      <alignment vertical="center"/>
      <protection hidden="1"/>
    </xf>
    <xf numFmtId="0" fontId="34" fillId="4" borderId="271" xfId="1" applyFont="1" applyFill="1" applyBorder="1" applyAlignment="1" applyProtection="1">
      <alignment vertical="center"/>
      <protection hidden="1"/>
    </xf>
    <xf numFmtId="0" fontId="9" fillId="6" borderId="285" xfId="0" applyFont="1" applyFill="1" applyBorder="1" applyAlignment="1" applyProtection="1">
      <alignment horizontal="left" vertical="center"/>
      <protection locked="0"/>
    </xf>
    <xf numFmtId="0" fontId="9" fillId="6" borderId="286" xfId="0" applyFont="1" applyFill="1" applyBorder="1" applyAlignment="1" applyProtection="1">
      <alignment horizontal="left" vertical="center"/>
      <protection locked="0"/>
    </xf>
    <xf numFmtId="0" fontId="9" fillId="6" borderId="292" xfId="0" applyFont="1" applyFill="1" applyBorder="1" applyAlignment="1" applyProtection="1">
      <alignment horizontal="left" vertical="center"/>
      <protection locked="0"/>
    </xf>
    <xf numFmtId="0" fontId="9" fillId="6" borderId="293" xfId="0" applyFont="1" applyFill="1" applyBorder="1" applyAlignment="1" applyProtection="1">
      <alignment horizontal="left" vertical="center"/>
      <protection locked="0"/>
    </xf>
    <xf numFmtId="0" fontId="9" fillId="6" borderId="300" xfId="0" applyFont="1" applyFill="1" applyBorder="1" applyAlignment="1" applyProtection="1">
      <alignment horizontal="left" vertical="center"/>
      <protection locked="0"/>
    </xf>
    <xf numFmtId="0" fontId="9" fillId="6" borderId="301" xfId="0" applyFont="1" applyFill="1" applyBorder="1" applyAlignment="1" applyProtection="1">
      <alignment horizontal="left" vertical="center"/>
      <protection locked="0"/>
    </xf>
    <xf numFmtId="187" fontId="34" fillId="4" borderId="328" xfId="1" quotePrefix="1" applyNumberFormat="1" applyFont="1" applyFill="1" applyBorder="1" applyAlignment="1" applyProtection="1">
      <alignment horizontal="center" vertical="center"/>
      <protection hidden="1"/>
    </xf>
    <xf numFmtId="187" fontId="34" fillId="4" borderId="270" xfId="1" applyNumberFormat="1" applyFont="1" applyFill="1" applyBorder="1" applyAlignment="1" applyProtection="1">
      <alignment horizontal="center" vertical="center"/>
      <protection hidden="1"/>
    </xf>
    <xf numFmtId="0" fontId="9" fillId="6" borderId="284" xfId="1" applyFont="1" applyFill="1" applyBorder="1" applyAlignment="1" applyProtection="1">
      <alignment horizontal="left" vertical="center"/>
      <protection locked="0"/>
    </xf>
    <xf numFmtId="0" fontId="9" fillId="6" borderId="285" xfId="1" applyFont="1" applyFill="1" applyBorder="1" applyAlignment="1" applyProtection="1">
      <alignment horizontal="left" vertical="center"/>
      <protection locked="0"/>
    </xf>
    <xf numFmtId="0" fontId="9" fillId="6" borderId="286" xfId="1" applyFont="1" applyFill="1" applyBorder="1" applyAlignment="1" applyProtection="1">
      <alignment horizontal="left" vertical="center"/>
      <protection locked="0"/>
    </xf>
    <xf numFmtId="0" fontId="9" fillId="6" borderId="291" xfId="1" applyFont="1" applyFill="1" applyBorder="1" applyAlignment="1" applyProtection="1">
      <alignment horizontal="left" vertical="center"/>
      <protection locked="0"/>
    </xf>
    <xf numFmtId="0" fontId="9" fillId="6" borderId="292" xfId="1" applyFont="1" applyFill="1" applyBorder="1" applyAlignment="1" applyProtection="1">
      <alignment horizontal="left" vertical="center"/>
      <protection locked="0"/>
    </xf>
    <xf numFmtId="0" fontId="9" fillId="6" borderId="293" xfId="1" applyFont="1" applyFill="1" applyBorder="1" applyAlignment="1" applyProtection="1">
      <alignment horizontal="left" vertical="center"/>
      <protection locked="0"/>
    </xf>
    <xf numFmtId="0" fontId="9" fillId="6" borderId="299" xfId="1" applyFont="1" applyFill="1" applyBorder="1" applyAlignment="1" applyProtection="1">
      <alignment horizontal="left" vertical="center"/>
      <protection locked="0"/>
    </xf>
    <xf numFmtId="0" fontId="9" fillId="6" borderId="300" xfId="1" applyFont="1" applyFill="1" applyBorder="1" applyAlignment="1" applyProtection="1">
      <alignment horizontal="left" vertical="center"/>
      <protection locked="0"/>
    </xf>
    <xf numFmtId="0" fontId="9" fillId="6" borderId="301" xfId="1" applyFont="1" applyFill="1" applyBorder="1" applyAlignment="1" applyProtection="1">
      <alignment horizontal="left" vertical="center"/>
      <protection locked="0"/>
    </xf>
    <xf numFmtId="187" fontId="9" fillId="6" borderId="284" xfId="1" applyNumberFormat="1" applyFont="1" applyFill="1" applyBorder="1" applyAlignment="1" applyProtection="1">
      <alignment horizontal="right" vertical="center" indent="1"/>
      <protection locked="0"/>
    </xf>
    <xf numFmtId="187" fontId="9" fillId="6" borderId="286" xfId="1" applyNumberFormat="1" applyFont="1" applyFill="1" applyBorder="1" applyAlignment="1" applyProtection="1">
      <alignment horizontal="right" vertical="center" indent="1"/>
      <protection locked="0"/>
    </xf>
    <xf numFmtId="178" fontId="9" fillId="6" borderId="291" xfId="8" applyNumberFormat="1" applyFont="1" applyFill="1" applyBorder="1" applyAlignment="1" applyProtection="1">
      <alignment horizontal="center" vertical="center"/>
      <protection locked="0"/>
    </xf>
    <xf numFmtId="178" fontId="9" fillId="6" borderId="292" xfId="8" applyNumberFormat="1" applyFont="1" applyFill="1" applyBorder="1" applyAlignment="1" applyProtection="1">
      <alignment horizontal="center" vertical="center"/>
      <protection locked="0"/>
    </xf>
    <xf numFmtId="3" fontId="22" fillId="6" borderId="291" xfId="1" applyNumberFormat="1" applyFont="1" applyFill="1" applyBorder="1" applyAlignment="1" applyProtection="1">
      <alignment horizontal="center" vertical="center"/>
      <protection locked="0"/>
    </xf>
    <xf numFmtId="3" fontId="22" fillId="6" borderId="293" xfId="1" applyNumberFormat="1" applyFont="1" applyFill="1" applyBorder="1" applyAlignment="1" applyProtection="1">
      <alignment horizontal="center" vertical="center"/>
      <protection locked="0"/>
    </xf>
    <xf numFmtId="178" fontId="9" fillId="22" borderId="291" xfId="8" applyNumberFormat="1" applyFont="1" applyFill="1" applyBorder="1" applyAlignment="1" applyProtection="1">
      <alignment horizontal="center" vertical="center"/>
    </xf>
    <xf numFmtId="178" fontId="9" fillId="22" borderId="292" xfId="8" applyNumberFormat="1" applyFont="1" applyFill="1" applyBorder="1" applyAlignment="1" applyProtection="1">
      <alignment horizontal="center" vertical="center"/>
    </xf>
    <xf numFmtId="49" fontId="9" fillId="6" borderId="291" xfId="7" applyNumberFormat="1" applyFont="1" applyFill="1" applyBorder="1" applyAlignment="1" applyProtection="1">
      <alignment horizontal="left"/>
      <protection locked="0"/>
    </xf>
    <xf numFmtId="49" fontId="9" fillId="6" borderId="292" xfId="7" applyNumberFormat="1" applyFont="1" applyFill="1" applyBorder="1" applyAlignment="1" applyProtection="1">
      <alignment horizontal="left"/>
      <protection locked="0"/>
    </xf>
    <xf numFmtId="49" fontId="9" fillId="6" borderId="293" xfId="7" applyNumberFormat="1" applyFont="1" applyFill="1" applyBorder="1" applyAlignment="1" applyProtection="1">
      <alignment horizontal="left"/>
      <protection locked="0"/>
    </xf>
    <xf numFmtId="187" fontId="9" fillId="3" borderId="323" xfId="8" applyNumberFormat="1" applyFont="1" applyFill="1" applyBorder="1" applyAlignment="1" applyProtection="1">
      <alignment horizontal="right" indent="1"/>
    </xf>
    <xf numFmtId="187" fontId="9" fillId="3" borderId="325" xfId="8" applyNumberFormat="1" applyFont="1" applyFill="1" applyBorder="1" applyAlignment="1" applyProtection="1">
      <alignment horizontal="right" indent="1"/>
    </xf>
    <xf numFmtId="187" fontId="9" fillId="3" borderId="291" xfId="8" applyNumberFormat="1" applyFont="1" applyFill="1" applyBorder="1" applyAlignment="1" applyProtection="1">
      <alignment horizontal="right" indent="1"/>
    </xf>
    <xf numFmtId="187" fontId="9" fillId="3" borderId="293" xfId="8" applyNumberFormat="1" applyFont="1" applyFill="1" applyBorder="1" applyAlignment="1" applyProtection="1">
      <alignment horizontal="right" indent="1"/>
    </xf>
    <xf numFmtId="187" fontId="9" fillId="3" borderId="299" xfId="8" applyNumberFormat="1" applyFont="1" applyFill="1" applyBorder="1" applyAlignment="1" applyProtection="1">
      <alignment horizontal="right" indent="1"/>
    </xf>
    <xf numFmtId="187" fontId="9" fillId="3" borderId="301" xfId="8" applyNumberFormat="1" applyFont="1" applyFill="1" applyBorder="1" applyAlignment="1" applyProtection="1">
      <alignment horizontal="right" indent="1"/>
    </xf>
    <xf numFmtId="49" fontId="9" fillId="6" borderId="262" xfId="7" applyNumberFormat="1" applyFont="1" applyFill="1" applyBorder="1" applyAlignment="1" applyProtection="1">
      <alignment horizontal="left"/>
      <protection locked="0"/>
    </xf>
    <xf numFmtId="49" fontId="9" fillId="6" borderId="263" xfId="7" applyNumberFormat="1" applyFont="1" applyFill="1" applyBorder="1" applyAlignment="1" applyProtection="1">
      <alignment horizontal="left"/>
      <protection locked="0"/>
    </xf>
    <xf numFmtId="49" fontId="9" fillId="6" borderId="264" xfId="7" applyNumberFormat="1" applyFont="1" applyFill="1" applyBorder="1" applyAlignment="1" applyProtection="1">
      <alignment horizontal="left"/>
      <protection locked="0"/>
    </xf>
    <xf numFmtId="187" fontId="34" fillId="4" borderId="262" xfId="8" applyNumberFormat="1" applyFont="1" applyFill="1" applyBorder="1" applyAlignment="1" applyProtection="1">
      <alignment horizontal="right" indent="1"/>
    </xf>
    <xf numFmtId="187" fontId="34" fillId="4" borderId="264" xfId="8" applyNumberFormat="1" applyFont="1" applyFill="1" applyBorder="1" applyAlignment="1" applyProtection="1">
      <alignment horizontal="right" indent="1"/>
    </xf>
    <xf numFmtId="49" fontId="9" fillId="3" borderId="299" xfId="7" applyNumberFormat="1" applyFont="1" applyFill="1" applyBorder="1" applyAlignment="1" applyProtection="1">
      <alignment horizontal="left"/>
    </xf>
    <xf numFmtId="49" fontId="9" fillId="3" borderId="300" xfId="7" applyNumberFormat="1" applyFont="1" applyFill="1" applyBorder="1" applyAlignment="1" applyProtection="1">
      <alignment horizontal="left"/>
    </xf>
    <xf numFmtId="49" fontId="9" fillId="3" borderId="301" xfId="7" applyNumberFormat="1" applyFont="1" applyFill="1" applyBorder="1" applyAlignment="1" applyProtection="1">
      <alignment horizontal="left"/>
    </xf>
    <xf numFmtId="49" fontId="9" fillId="6" borderId="269" xfId="7" applyNumberFormat="1" applyFont="1" applyFill="1" applyBorder="1" applyAlignment="1" applyProtection="1">
      <alignment horizontal="left"/>
      <protection locked="0"/>
    </xf>
    <xf numFmtId="49" fontId="9" fillId="6" borderId="270" xfId="7" applyNumberFormat="1" applyFont="1" applyFill="1" applyBorder="1" applyAlignment="1" applyProtection="1">
      <alignment horizontal="left"/>
      <protection locked="0"/>
    </xf>
    <xf numFmtId="49" fontId="9" fillId="6" borderId="271" xfId="7" applyNumberFormat="1" applyFont="1" applyFill="1" applyBorder="1" applyAlignment="1" applyProtection="1">
      <alignment horizontal="left"/>
      <protection locked="0"/>
    </xf>
    <xf numFmtId="187" fontId="34" fillId="4" borderId="269" xfId="8" applyNumberFormat="1" applyFont="1" applyFill="1" applyBorder="1" applyAlignment="1" applyProtection="1">
      <alignment horizontal="right" indent="1"/>
    </xf>
    <xf numFmtId="187" fontId="34" fillId="4" borderId="271" xfId="8" applyNumberFormat="1" applyFont="1" applyFill="1" applyBorder="1" applyAlignment="1" applyProtection="1">
      <alignment horizontal="right" indent="1"/>
    </xf>
    <xf numFmtId="3" fontId="22" fillId="22" borderId="269" xfId="1" applyNumberFormat="1" applyFont="1" applyFill="1" applyBorder="1" applyAlignment="1" applyProtection="1">
      <alignment horizontal="center" vertical="center"/>
    </xf>
    <xf numFmtId="3" fontId="22" fillId="22" borderId="271" xfId="1" applyNumberFormat="1" applyFont="1" applyFill="1" applyBorder="1" applyAlignment="1" applyProtection="1">
      <alignment horizontal="center" vertical="center"/>
    </xf>
    <xf numFmtId="178" fontId="34" fillId="4" borderId="269" xfId="1" applyNumberFormat="1" applyFont="1" applyFill="1" applyBorder="1" applyAlignment="1" applyProtection="1">
      <alignment horizontal="center" vertical="center"/>
      <protection hidden="1"/>
    </xf>
    <xf numFmtId="178" fontId="34" fillId="4" borderId="270" xfId="1" applyNumberFormat="1" applyFont="1" applyFill="1" applyBorder="1" applyAlignment="1" applyProtection="1">
      <alignment horizontal="center" vertical="center"/>
      <protection hidden="1"/>
    </xf>
    <xf numFmtId="3" fontId="22" fillId="22" borderId="262" xfId="1" applyNumberFormat="1" applyFont="1" applyFill="1" applyBorder="1" applyAlignment="1" applyProtection="1">
      <alignment horizontal="center" vertical="center"/>
    </xf>
    <xf numFmtId="3" fontId="22" fillId="22" borderId="264" xfId="1" applyNumberFormat="1" applyFont="1" applyFill="1" applyBorder="1" applyAlignment="1" applyProtection="1">
      <alignment horizontal="center" vertical="center"/>
    </xf>
    <xf numFmtId="178" fontId="34" fillId="4" borderId="262" xfId="1" applyNumberFormat="1" applyFont="1" applyFill="1" applyBorder="1" applyAlignment="1" applyProtection="1">
      <alignment horizontal="center" vertical="center"/>
      <protection hidden="1"/>
    </xf>
    <xf numFmtId="178" fontId="34" fillId="4" borderId="263" xfId="1" applyNumberFormat="1" applyFont="1" applyFill="1" applyBorder="1" applyAlignment="1" applyProtection="1">
      <alignment horizontal="center" vertical="center"/>
      <protection hidden="1"/>
    </xf>
    <xf numFmtId="49" fontId="9" fillId="6" borderId="284" xfId="7" applyNumberFormat="1" applyFont="1" applyFill="1" applyBorder="1" applyAlignment="1" applyProtection="1">
      <alignment horizontal="left"/>
      <protection locked="0"/>
    </xf>
    <xf numFmtId="49" fontId="9" fillId="6" borderId="285" xfId="7" applyNumberFormat="1" applyFont="1" applyFill="1" applyBorder="1" applyAlignment="1" applyProtection="1">
      <alignment horizontal="left"/>
      <protection locked="0"/>
    </xf>
    <xf numFmtId="49" fontId="9" fillId="6" borderId="286" xfId="7" applyNumberFormat="1" applyFont="1" applyFill="1" applyBorder="1" applyAlignment="1" applyProtection="1">
      <alignment horizontal="left"/>
      <protection locked="0"/>
    </xf>
    <xf numFmtId="187" fontId="9" fillId="3" borderId="284" xfId="8" applyNumberFormat="1" applyFont="1" applyFill="1" applyBorder="1" applyAlignment="1" applyProtection="1">
      <alignment horizontal="right" indent="1"/>
    </xf>
    <xf numFmtId="187" fontId="9" fillId="3" borderId="286" xfId="8" applyNumberFormat="1" applyFont="1" applyFill="1" applyBorder="1" applyAlignment="1" applyProtection="1">
      <alignment horizontal="right" indent="1"/>
    </xf>
    <xf numFmtId="178" fontId="9" fillId="6" borderId="354" xfId="8" applyNumberFormat="1" applyFont="1" applyFill="1" applyBorder="1" applyAlignment="1" applyProtection="1">
      <alignment horizontal="center" vertical="center"/>
      <protection locked="0"/>
    </xf>
    <xf numFmtId="49" fontId="9" fillId="3" borderId="320" xfId="7" applyNumberFormat="1" applyFont="1" applyFill="1" applyBorder="1" applyAlignment="1" applyProtection="1">
      <alignment horizontal="left"/>
    </xf>
    <xf numFmtId="49" fontId="9" fillId="3" borderId="321" xfId="7" applyNumberFormat="1" applyFont="1" applyFill="1" applyBorder="1" applyAlignment="1" applyProtection="1">
      <alignment horizontal="left"/>
    </xf>
    <xf numFmtId="49" fontId="9" fillId="3" borderId="322" xfId="7" applyNumberFormat="1" applyFont="1" applyFill="1" applyBorder="1" applyAlignment="1" applyProtection="1">
      <alignment horizontal="left"/>
    </xf>
    <xf numFmtId="166" fontId="9" fillId="3" borderId="265" xfId="7" applyNumberFormat="1" applyFont="1" applyFill="1" applyBorder="1" applyAlignment="1" applyProtection="1">
      <alignment horizontal="right"/>
    </xf>
    <xf numFmtId="166" fontId="9" fillId="3" borderId="266" xfId="7" applyNumberFormat="1" applyFont="1" applyFill="1" applyBorder="1" applyAlignment="1" applyProtection="1">
      <alignment horizontal="right"/>
    </xf>
    <xf numFmtId="0" fontId="9" fillId="6" borderId="0" xfId="7" applyFont="1" applyFill="1" applyBorder="1" applyAlignment="1" applyProtection="1">
      <alignment horizontal="left" vertical="center"/>
      <protection locked="0"/>
    </xf>
    <xf numFmtId="187" fontId="9" fillId="3" borderId="320" xfId="8" applyNumberFormat="1" applyFont="1" applyFill="1" applyBorder="1" applyAlignment="1" applyProtection="1">
      <alignment horizontal="right" indent="1"/>
    </xf>
    <xf numFmtId="187" fontId="9" fillId="3" borderId="322" xfId="8" applyNumberFormat="1" applyFont="1" applyFill="1" applyBorder="1" applyAlignment="1" applyProtection="1">
      <alignment horizontal="right" indent="1"/>
    </xf>
    <xf numFmtId="49" fontId="9" fillId="3" borderId="291" xfId="7" applyNumberFormat="1" applyFont="1" applyFill="1" applyBorder="1" applyAlignment="1" applyProtection="1">
      <alignment horizontal="left"/>
    </xf>
    <xf numFmtId="49" fontId="9" fillId="3" borderId="292" xfId="7" applyNumberFormat="1" applyFont="1" applyFill="1" applyBorder="1" applyAlignment="1" applyProtection="1">
      <alignment horizontal="left"/>
    </xf>
    <xf numFmtId="49" fontId="9" fillId="3" borderId="293" xfId="7" applyNumberFormat="1" applyFont="1" applyFill="1" applyBorder="1" applyAlignment="1" applyProtection="1">
      <alignment horizontal="left"/>
    </xf>
    <xf numFmtId="187" fontId="9" fillId="6" borderId="265" xfId="8" applyNumberFormat="1" applyFont="1" applyFill="1" applyBorder="1" applyAlignment="1" applyProtection="1">
      <alignment horizontal="right" indent="1"/>
      <protection locked="0"/>
    </xf>
    <xf numFmtId="187" fontId="9" fillId="6" borderId="266" xfId="8" applyNumberFormat="1" applyFont="1" applyFill="1" applyBorder="1" applyAlignment="1" applyProtection="1">
      <alignment horizontal="right" indent="1"/>
      <protection locked="0"/>
    </xf>
    <xf numFmtId="190" fontId="14" fillId="4" borderId="282" xfId="1" applyNumberFormat="1" applyFont="1" applyFill="1" applyBorder="1" applyAlignment="1" applyProtection="1">
      <alignment horizontal="center" vertical="center"/>
      <protection hidden="1"/>
    </xf>
    <xf numFmtId="190" fontId="14" fillId="4" borderId="283" xfId="1" applyNumberFormat="1" applyFont="1" applyFill="1" applyBorder="1" applyAlignment="1" applyProtection="1">
      <alignment horizontal="center" vertical="center"/>
      <protection hidden="1"/>
    </xf>
    <xf numFmtId="187" fontId="9" fillId="3" borderId="292" xfId="7" applyNumberFormat="1" applyFont="1" applyFill="1" applyBorder="1" applyAlignment="1" applyProtection="1">
      <alignment horizontal="right"/>
    </xf>
    <xf numFmtId="187" fontId="9" fillId="3" borderId="293" xfId="7" applyNumberFormat="1" applyFont="1" applyFill="1" applyBorder="1" applyAlignment="1" applyProtection="1">
      <alignment horizontal="right"/>
    </xf>
    <xf numFmtId="187" fontId="9" fillId="22" borderId="291" xfId="8" applyNumberFormat="1" applyFont="1" applyFill="1" applyBorder="1" applyAlignment="1" applyProtection="1">
      <alignment horizontal="right" indent="1"/>
    </xf>
    <xf numFmtId="187" fontId="9" fillId="22" borderId="293" xfId="8" applyNumberFormat="1" applyFont="1" applyFill="1" applyBorder="1" applyAlignment="1" applyProtection="1">
      <alignment horizontal="right" indent="1"/>
    </xf>
    <xf numFmtId="187" fontId="9" fillId="6" borderId="292" xfId="7" applyNumberFormat="1" applyFont="1" applyFill="1" applyBorder="1" applyAlignment="1" applyProtection="1">
      <alignment horizontal="left"/>
      <protection locked="0"/>
    </xf>
    <xf numFmtId="187" fontId="9" fillId="6" borderId="293" xfId="7" applyNumberFormat="1" applyFont="1" applyFill="1" applyBorder="1" applyAlignment="1" applyProtection="1">
      <alignment horizontal="left"/>
      <protection locked="0"/>
    </xf>
    <xf numFmtId="187" fontId="60" fillId="4" borderId="282" xfId="7" applyNumberFormat="1" applyFont="1" applyFill="1" applyBorder="1" applyAlignment="1" applyProtection="1">
      <alignment horizontal="right" vertical="center" indent="1"/>
    </xf>
    <xf numFmtId="187" fontId="60" fillId="4" borderId="283" xfId="7" applyNumberFormat="1" applyFont="1" applyFill="1" applyBorder="1" applyAlignment="1" applyProtection="1">
      <alignment horizontal="right" vertical="center" indent="1"/>
    </xf>
    <xf numFmtId="187" fontId="34" fillId="22" borderId="262" xfId="8" applyNumberFormat="1" applyFont="1" applyFill="1" applyBorder="1" applyAlignment="1" applyProtection="1">
      <alignment horizontal="right" indent="1"/>
    </xf>
    <xf numFmtId="187" fontId="34" fillId="22" borderId="264" xfId="8" applyNumberFormat="1" applyFont="1" applyFill="1" applyBorder="1" applyAlignment="1" applyProtection="1">
      <alignment horizontal="right" indent="1"/>
    </xf>
    <xf numFmtId="1" fontId="9" fillId="22" borderId="265" xfId="8" applyNumberFormat="1" applyFont="1" applyFill="1" applyBorder="1" applyAlignment="1" applyProtection="1">
      <alignment horizontal="center"/>
    </xf>
    <xf numFmtId="0" fontId="9" fillId="22" borderId="266" xfId="8" applyNumberFormat="1" applyFill="1" applyBorder="1" applyAlignment="1" applyProtection="1">
      <alignment horizontal="center"/>
    </xf>
    <xf numFmtId="187" fontId="34" fillId="3" borderId="323" xfId="8" applyNumberFormat="1" applyFont="1" applyFill="1" applyBorder="1" applyAlignment="1" applyProtection="1">
      <alignment horizontal="right" indent="1"/>
    </xf>
    <xf numFmtId="187" fontId="34" fillId="3" borderId="325" xfId="8" applyNumberFormat="1" applyFont="1" applyFill="1" applyBorder="1" applyAlignment="1" applyProtection="1">
      <alignment horizontal="right" indent="1"/>
    </xf>
    <xf numFmtId="178" fontId="34" fillId="22" borderId="262" xfId="1" applyNumberFormat="1" applyFont="1" applyFill="1" applyBorder="1" applyAlignment="1" applyProtection="1">
      <alignment horizontal="center" vertical="center"/>
      <protection hidden="1"/>
    </xf>
    <xf numFmtId="178" fontId="34" fillId="22" borderId="263" xfId="1" applyNumberFormat="1" applyFont="1" applyFill="1" applyBorder="1" applyAlignment="1" applyProtection="1">
      <alignment horizontal="center" vertical="center"/>
      <protection hidden="1"/>
    </xf>
    <xf numFmtId="187" fontId="9" fillId="22" borderId="284" xfId="8" applyNumberFormat="1" applyFont="1" applyFill="1" applyBorder="1" applyAlignment="1" applyProtection="1">
      <alignment horizontal="right" indent="1"/>
    </xf>
    <xf numFmtId="187" fontId="9" fillId="22" borderId="286" xfId="8" applyNumberFormat="1" applyFont="1" applyFill="1" applyBorder="1" applyAlignment="1" applyProtection="1">
      <alignment horizontal="right" indent="1"/>
    </xf>
    <xf numFmtId="0" fontId="9" fillId="6" borderId="0" xfId="8" applyNumberFormat="1" applyFont="1" applyFill="1" applyBorder="1" applyAlignment="1" applyProtection="1">
      <alignment horizontal="left"/>
      <protection locked="0"/>
    </xf>
    <xf numFmtId="0" fontId="9" fillId="6" borderId="0" xfId="8" applyNumberFormat="1" applyFill="1" applyBorder="1" applyAlignment="1" applyProtection="1">
      <alignment horizontal="left"/>
      <protection locked="0"/>
    </xf>
    <xf numFmtId="0" fontId="9" fillId="6" borderId="266" xfId="8" applyNumberFormat="1" applyFill="1" applyBorder="1" applyAlignment="1" applyProtection="1">
      <alignment horizontal="left"/>
      <protection locked="0"/>
    </xf>
    <xf numFmtId="187" fontId="34" fillId="3" borderId="275" xfId="7" applyNumberFormat="1" applyFont="1" applyFill="1" applyBorder="1" applyAlignment="1" applyProtection="1">
      <alignment horizontal="right" indent="1"/>
    </xf>
    <xf numFmtId="187" fontId="34" fillId="3" borderId="276" xfId="7" applyNumberFormat="1" applyFont="1" applyFill="1" applyBorder="1" applyAlignment="1" applyProtection="1">
      <alignment horizontal="right" indent="1"/>
    </xf>
    <xf numFmtId="187" fontId="9" fillId="3" borderId="269" xfId="8" applyNumberFormat="1" applyFont="1" applyFill="1" applyBorder="1" applyAlignment="1" applyProtection="1">
      <alignment horizontal="right" indent="1"/>
    </xf>
    <xf numFmtId="187" fontId="9" fillId="3" borderId="271" xfId="8" applyNumberFormat="1" applyFont="1" applyFill="1" applyBorder="1" applyAlignment="1" applyProtection="1">
      <alignment horizontal="right" indent="1"/>
    </xf>
    <xf numFmtId="49" fontId="9" fillId="3" borderId="270" xfId="7" applyNumberFormat="1" applyFont="1" applyFill="1" applyBorder="1" applyAlignment="1" applyProtection="1">
      <alignment horizontal="left"/>
    </xf>
    <xf numFmtId="49" fontId="9" fillId="3" borderId="271" xfId="7" applyNumberFormat="1" applyFont="1" applyFill="1" applyBorder="1" applyAlignment="1" applyProtection="1">
      <alignment horizontal="left"/>
    </xf>
    <xf numFmtId="187" fontId="34" fillId="3" borderId="265" xfId="8" applyNumberFormat="1" applyFont="1" applyFill="1" applyBorder="1" applyAlignment="1" applyProtection="1">
      <alignment horizontal="right" indent="1"/>
    </xf>
    <xf numFmtId="187" fontId="34" fillId="3" borderId="266" xfId="8" applyNumberFormat="1" applyFont="1" applyFill="1" applyBorder="1" applyAlignment="1" applyProtection="1">
      <alignment horizontal="right" indent="1"/>
    </xf>
    <xf numFmtId="187" fontId="34" fillId="3" borderId="323" xfId="7" applyNumberFormat="1" applyFont="1" applyFill="1" applyBorder="1" applyAlignment="1" applyProtection="1">
      <alignment horizontal="right" indent="1"/>
    </xf>
    <xf numFmtId="187" fontId="34" fillId="3" borderId="325" xfId="7" applyNumberFormat="1" applyFont="1" applyFill="1" applyBorder="1" applyAlignment="1" applyProtection="1">
      <alignment horizontal="right" indent="1"/>
    </xf>
    <xf numFmtId="187" fontId="34" fillId="4" borderId="269" xfId="8" applyNumberFormat="1" applyFont="1" applyFill="1" applyBorder="1" applyAlignment="1" applyProtection="1">
      <alignment horizontal="right" indent="1"/>
      <protection hidden="1"/>
    </xf>
    <xf numFmtId="187" fontId="34" fillId="4" borderId="271" xfId="8" applyNumberFormat="1" applyFont="1" applyFill="1" applyBorder="1" applyAlignment="1" applyProtection="1">
      <alignment horizontal="right" indent="1"/>
      <protection hidden="1"/>
    </xf>
    <xf numFmtId="3" fontId="22" fillId="22" borderId="269" xfId="1" applyNumberFormat="1" applyFont="1" applyFill="1" applyBorder="1" applyAlignment="1" applyProtection="1">
      <alignment horizontal="center" vertical="center"/>
      <protection hidden="1"/>
    </xf>
    <xf numFmtId="3" fontId="22" fillId="22" borderId="271" xfId="1" applyNumberFormat="1" applyFont="1" applyFill="1" applyBorder="1" applyAlignment="1" applyProtection="1">
      <alignment horizontal="center" vertical="center"/>
      <protection hidden="1"/>
    </xf>
    <xf numFmtId="0" fontId="17" fillId="4" borderId="269" xfId="1" applyFont="1" applyFill="1" applyBorder="1" applyAlignment="1" applyProtection="1">
      <alignment horizontal="left" vertical="center"/>
      <protection hidden="1"/>
    </xf>
    <xf numFmtId="0" fontId="17" fillId="4" borderId="270" xfId="1" applyFont="1" applyFill="1" applyBorder="1" applyAlignment="1" applyProtection="1">
      <alignment horizontal="left" vertical="center"/>
      <protection hidden="1"/>
    </xf>
    <xf numFmtId="0" fontId="17" fillId="4" borderId="271" xfId="1" applyFont="1" applyFill="1" applyBorder="1" applyAlignment="1" applyProtection="1">
      <alignment horizontal="left" vertical="center"/>
      <protection hidden="1"/>
    </xf>
    <xf numFmtId="187" fontId="9" fillId="3" borderId="291" xfId="8" applyNumberFormat="1" applyFont="1" applyFill="1" applyBorder="1" applyAlignment="1" applyProtection="1"/>
    <xf numFmtId="187" fontId="9" fillId="3" borderId="292" xfId="8" applyNumberFormat="1" applyFont="1" applyFill="1" applyBorder="1" applyAlignment="1" applyProtection="1"/>
    <xf numFmtId="187" fontId="9" fillId="3" borderId="293" xfId="8" applyNumberFormat="1" applyFont="1" applyFill="1" applyBorder="1" applyAlignment="1" applyProtection="1"/>
    <xf numFmtId="178" fontId="34" fillId="4" borderId="317" xfId="1" applyNumberFormat="1" applyFont="1" applyFill="1" applyBorder="1" applyAlignment="1" applyProtection="1">
      <alignment horizontal="center" vertical="center"/>
      <protection hidden="1"/>
    </xf>
    <xf numFmtId="178" fontId="34" fillId="4" borderId="318" xfId="1" applyNumberFormat="1" applyFont="1" applyFill="1" applyBorder="1" applyAlignment="1" applyProtection="1">
      <alignment horizontal="center" vertical="center"/>
      <protection hidden="1"/>
    </xf>
    <xf numFmtId="197" fontId="9" fillId="3" borderId="299" xfId="5" applyNumberFormat="1" applyFont="1" applyFill="1" applyBorder="1" applyAlignment="1" applyProtection="1">
      <alignment horizontal="right" vertical="center"/>
    </xf>
    <xf numFmtId="197" fontId="9" fillId="3" borderId="300" xfId="5" applyNumberFormat="1" applyFont="1" applyFill="1" applyBorder="1" applyAlignment="1" applyProtection="1">
      <alignment horizontal="right" vertical="center"/>
    </xf>
    <xf numFmtId="49" fontId="9" fillId="3" borderId="299" xfId="7" applyNumberFormat="1" applyFont="1" applyFill="1" applyBorder="1" applyAlignment="1" applyProtection="1">
      <alignment horizontal="left"/>
      <protection hidden="1"/>
    </xf>
    <xf numFmtId="49" fontId="9" fillId="3" borderId="300" xfId="7" applyNumberFormat="1" applyFont="1" applyFill="1" applyBorder="1" applyAlignment="1" applyProtection="1">
      <alignment horizontal="left"/>
      <protection hidden="1"/>
    </xf>
    <xf numFmtId="49" fontId="9" fillId="3" borderId="301" xfId="7" applyNumberFormat="1" applyFont="1" applyFill="1" applyBorder="1" applyAlignment="1" applyProtection="1">
      <alignment horizontal="left"/>
      <protection hidden="1"/>
    </xf>
    <xf numFmtId="49" fontId="9" fillId="3" borderId="284" xfId="7" applyNumberFormat="1" applyFont="1" applyFill="1" applyBorder="1" applyAlignment="1" applyProtection="1">
      <alignment horizontal="left"/>
    </xf>
    <xf numFmtId="49" fontId="9" fillId="3" borderId="285" xfId="7" applyNumberFormat="1" applyFont="1" applyFill="1" applyBorder="1" applyAlignment="1" applyProtection="1">
      <alignment horizontal="left"/>
    </xf>
    <xf numFmtId="49" fontId="9" fillId="3" borderId="286" xfId="7" applyNumberFormat="1" applyFont="1" applyFill="1" applyBorder="1" applyAlignment="1" applyProtection="1">
      <alignment horizontal="left"/>
    </xf>
    <xf numFmtId="0" fontId="34" fillId="4" borderId="345" xfId="1" applyFont="1" applyFill="1" applyBorder="1" applyAlignment="1" applyProtection="1">
      <alignment horizontal="center" vertical="top" wrapText="1"/>
      <protection hidden="1"/>
    </xf>
    <xf numFmtId="0" fontId="34" fillId="4" borderId="262" xfId="1" applyFont="1" applyFill="1" applyBorder="1" applyAlignment="1" applyProtection="1">
      <alignment horizontal="center" vertical="center" wrapText="1"/>
      <protection hidden="1"/>
    </xf>
    <xf numFmtId="0" fontId="34" fillId="4" borderId="263" xfId="1" applyFont="1" applyFill="1" applyBorder="1" applyAlignment="1" applyProtection="1">
      <alignment horizontal="center" vertical="center" wrapText="1"/>
      <protection hidden="1"/>
    </xf>
    <xf numFmtId="0" fontId="34" fillId="4" borderId="264" xfId="1" applyFont="1" applyFill="1" applyBorder="1" applyAlignment="1" applyProtection="1">
      <alignment horizontal="center" vertical="center" wrapText="1"/>
      <protection hidden="1"/>
    </xf>
    <xf numFmtId="0" fontId="34" fillId="4" borderId="265" xfId="1" applyFont="1" applyFill="1" applyBorder="1" applyAlignment="1" applyProtection="1">
      <alignment horizontal="center" vertical="center" wrapText="1"/>
      <protection hidden="1"/>
    </xf>
    <xf numFmtId="0" fontId="34" fillId="4" borderId="0" xfId="1" applyFont="1" applyFill="1" applyBorder="1" applyAlignment="1" applyProtection="1">
      <alignment horizontal="center" vertical="center" wrapText="1"/>
      <protection hidden="1"/>
    </xf>
    <xf numFmtId="0" fontId="34" fillId="4" borderId="266" xfId="1" applyFont="1" applyFill="1" applyBorder="1" applyAlignment="1" applyProtection="1">
      <alignment horizontal="center" vertical="center" wrapText="1"/>
      <protection hidden="1"/>
    </xf>
    <xf numFmtId="197" fontId="9" fillId="3" borderId="291" xfId="5" applyNumberFormat="1" applyFont="1" applyFill="1" applyBorder="1" applyAlignment="1" applyProtection="1">
      <alignment horizontal="right" vertical="center"/>
    </xf>
    <xf numFmtId="197" fontId="9" fillId="3" borderId="292" xfId="5" applyNumberFormat="1" applyFont="1" applyFill="1" applyBorder="1" applyAlignment="1" applyProtection="1">
      <alignment horizontal="right" vertical="center"/>
    </xf>
    <xf numFmtId="197" fontId="9" fillId="3" borderId="284" xfId="5" applyNumberFormat="1" applyFont="1" applyFill="1" applyBorder="1" applyAlignment="1" applyProtection="1">
      <alignment horizontal="right" vertical="center"/>
    </xf>
    <xf numFmtId="197" fontId="9" fillId="3" borderId="285" xfId="5" applyNumberFormat="1" applyFont="1" applyFill="1" applyBorder="1" applyAlignment="1" applyProtection="1">
      <alignment horizontal="right" vertical="center"/>
    </xf>
    <xf numFmtId="187" fontId="14" fillId="4" borderId="269" xfId="1" applyNumberFormat="1" applyFont="1" applyFill="1" applyBorder="1" applyAlignment="1" applyProtection="1">
      <alignment horizontal="center" vertical="center"/>
      <protection hidden="1"/>
    </xf>
    <xf numFmtId="187" fontId="14" fillId="4" borderId="270" xfId="1" applyNumberFormat="1" applyFont="1" applyFill="1" applyBorder="1" applyAlignment="1" applyProtection="1">
      <alignment horizontal="center" vertical="center"/>
      <protection hidden="1"/>
    </xf>
    <xf numFmtId="197" fontId="34" fillId="4" borderId="269" xfId="8" applyNumberFormat="1" applyFont="1" applyFill="1" applyBorder="1" applyAlignment="1" applyProtection="1">
      <alignment horizontal="right" vertical="center"/>
    </xf>
    <xf numFmtId="197" fontId="34" fillId="4" borderId="270" xfId="8" applyNumberFormat="1" applyFont="1" applyFill="1" applyBorder="1" applyAlignment="1" applyProtection="1">
      <alignment horizontal="right" vertical="center"/>
    </xf>
    <xf numFmtId="177" fontId="82" fillId="0" borderId="103" xfId="1" applyNumberFormat="1" applyFont="1" applyFill="1" applyBorder="1" applyAlignment="1" applyProtection="1">
      <alignment horizontal="right" vertical="center"/>
      <protection hidden="1"/>
    </xf>
    <xf numFmtId="177" fontId="82" fillId="0" borderId="101" xfId="1" applyNumberFormat="1" applyFont="1" applyFill="1" applyBorder="1" applyAlignment="1" applyProtection="1">
      <alignment vertical="center"/>
      <protection hidden="1"/>
    </xf>
    <xf numFmtId="177" fontId="81" fillId="0" borderId="0" xfId="1" applyNumberFormat="1" applyFont="1" applyFill="1" applyBorder="1" applyAlignment="1" applyProtection="1">
      <alignment horizontal="right" vertical="center"/>
      <protection hidden="1"/>
    </xf>
    <xf numFmtId="177" fontId="81" fillId="0" borderId="110" xfId="1" applyNumberFormat="1" applyFont="1" applyFill="1" applyBorder="1" applyAlignment="1" applyProtection="1">
      <alignment vertical="center"/>
      <protection hidden="1"/>
    </xf>
    <xf numFmtId="177" fontId="82" fillId="0" borderId="103" xfId="1" applyNumberFormat="1" applyFont="1" applyFill="1" applyBorder="1" applyAlignment="1" applyProtection="1">
      <alignment vertical="center"/>
      <protection hidden="1"/>
    </xf>
    <xf numFmtId="177" fontId="81" fillId="0" borderId="0" xfId="0" applyNumberFormat="1" applyFont="1" applyBorder="1" applyProtection="1">
      <protection hidden="1"/>
    </xf>
    <xf numFmtId="177" fontId="81" fillId="0" borderId="101" xfId="1" applyNumberFormat="1" applyFont="1" applyFill="1" applyBorder="1" applyAlignment="1" applyProtection="1">
      <alignment vertical="center"/>
      <protection hidden="1"/>
    </xf>
    <xf numFmtId="195" fontId="9" fillId="6" borderId="373" xfId="8" applyNumberFormat="1" applyFont="1" applyBorder="1" applyAlignment="1" applyProtection="1">
      <alignment horizontal="right"/>
      <protection locked="0"/>
    </xf>
    <xf numFmtId="179" fontId="22" fillId="3" borderId="300" xfId="1" applyNumberFormat="1" applyFont="1" applyFill="1" applyBorder="1" applyAlignment="1" applyProtection="1">
      <alignment vertical="center"/>
      <protection hidden="1"/>
    </xf>
    <xf numFmtId="179" fontId="22" fillId="3" borderId="301" xfId="1" applyNumberFormat="1" applyFont="1" applyFill="1" applyBorder="1" applyAlignment="1" applyProtection="1">
      <alignment vertical="center"/>
      <protection hidden="1"/>
    </xf>
    <xf numFmtId="179" fontId="22" fillId="3" borderId="324" xfId="1" applyNumberFormat="1" applyFont="1" applyFill="1" applyBorder="1" applyAlignment="1" applyProtection="1">
      <alignment vertical="center"/>
      <protection hidden="1"/>
    </xf>
    <xf numFmtId="0" fontId="34" fillId="0" borderId="271" xfId="1" applyFont="1" applyFill="1" applyBorder="1" applyAlignment="1" applyProtection="1">
      <alignment vertical="center"/>
      <protection hidden="1"/>
    </xf>
    <xf numFmtId="187" fontId="9" fillId="6" borderId="404" xfId="8" applyNumberFormat="1" applyFont="1" applyBorder="1" applyAlignment="1" applyProtection="1">
      <alignment horizontal="right" indent="1"/>
      <protection locked="0"/>
    </xf>
    <xf numFmtId="187" fontId="9" fillId="6" borderId="405" xfId="8" applyNumberFormat="1" applyFont="1" applyBorder="1" applyAlignment="1" applyProtection="1">
      <alignment horizontal="right" indent="1"/>
      <protection locked="0"/>
    </xf>
    <xf numFmtId="187" fontId="9" fillId="6" borderId="406" xfId="8" applyNumberFormat="1" applyFont="1" applyBorder="1" applyAlignment="1" applyProtection="1">
      <alignment horizontal="right" indent="1"/>
      <protection locked="0"/>
    </xf>
    <xf numFmtId="187" fontId="9" fillId="6" borderId="407" xfId="8" applyNumberFormat="1" applyFont="1" applyBorder="1" applyAlignment="1" applyProtection="1">
      <alignment horizontal="right" indent="1"/>
      <protection locked="0"/>
    </xf>
    <xf numFmtId="200" fontId="9" fillId="9" borderId="318" xfId="1" applyNumberFormat="1" applyFont="1" applyFill="1" applyBorder="1" applyAlignment="1" applyProtection="1">
      <alignment horizontal="center" vertical="center"/>
      <protection hidden="1"/>
    </xf>
    <xf numFmtId="195" fontId="9" fillId="6" borderId="371" xfId="8" applyNumberFormat="1" applyFont="1" applyBorder="1" applyAlignment="1" applyProtection="1">
      <alignment horizontal="right"/>
      <protection locked="0"/>
    </xf>
    <xf numFmtId="195" fontId="9" fillId="6" borderId="375" xfId="8" applyNumberFormat="1" applyFont="1" applyBorder="1" applyAlignment="1" applyProtection="1">
      <alignment horizontal="right"/>
      <protection locked="0"/>
    </xf>
    <xf numFmtId="187" fontId="34" fillId="4" borderId="262" xfId="8" applyNumberFormat="1" applyFont="1" applyFill="1" applyBorder="1" applyAlignment="1" applyProtection="1">
      <alignment horizontal="right" indent="1"/>
      <protection hidden="1"/>
    </xf>
    <xf numFmtId="187" fontId="34" fillId="4" borderId="264" xfId="8" applyNumberFormat="1" applyFont="1" applyFill="1" applyBorder="1" applyAlignment="1" applyProtection="1">
      <alignment horizontal="right" indent="1"/>
      <protection hidden="1"/>
    </xf>
    <xf numFmtId="3" fontId="22" fillId="22" borderId="262" xfId="1" applyNumberFormat="1" applyFont="1" applyFill="1" applyBorder="1" applyAlignment="1" applyProtection="1">
      <alignment horizontal="center" vertical="center"/>
      <protection hidden="1"/>
    </xf>
    <xf numFmtId="3" fontId="22" fillId="22" borderId="264" xfId="1" applyNumberFormat="1" applyFont="1" applyFill="1" applyBorder="1" applyAlignment="1" applyProtection="1">
      <alignment horizontal="center" vertical="center"/>
      <protection hidden="1"/>
    </xf>
    <xf numFmtId="178" fontId="34" fillId="4" borderId="382" xfId="1" applyNumberFormat="1" applyFont="1" applyFill="1" applyBorder="1" applyAlignment="1" applyProtection="1">
      <alignment horizontal="center" vertical="center"/>
      <protection hidden="1"/>
    </xf>
    <xf numFmtId="178" fontId="34" fillId="4" borderId="383" xfId="1" applyNumberFormat="1" applyFont="1" applyFill="1" applyBorder="1" applyAlignment="1" applyProtection="1">
      <alignment horizontal="center" vertical="center"/>
      <protection hidden="1"/>
    </xf>
    <xf numFmtId="178" fontId="34" fillId="4" borderId="387" xfId="1" applyNumberFormat="1" applyFont="1" applyFill="1" applyBorder="1" applyAlignment="1" applyProtection="1">
      <alignment horizontal="center" vertical="center"/>
      <protection hidden="1"/>
    </xf>
    <xf numFmtId="49" fontId="9" fillId="6" borderId="384" xfId="7" applyNumberFormat="1" applyFont="1" applyFill="1" applyBorder="1" applyAlignment="1" applyProtection="1">
      <alignment horizontal="left"/>
      <protection locked="0"/>
    </xf>
    <xf numFmtId="49" fontId="9" fillId="6" borderId="386" xfId="7" applyNumberFormat="1" applyFont="1" applyFill="1" applyBorder="1" applyAlignment="1" applyProtection="1">
      <alignment horizontal="left"/>
      <protection locked="0"/>
    </xf>
    <xf numFmtId="49" fontId="9" fillId="6" borderId="385" xfId="7" applyNumberFormat="1" applyFont="1" applyFill="1" applyBorder="1" applyAlignment="1" applyProtection="1">
      <alignment horizontal="left"/>
      <protection locked="0"/>
    </xf>
    <xf numFmtId="187" fontId="9" fillId="6" borderId="384" xfId="8" applyNumberFormat="1" applyFont="1" applyBorder="1" applyAlignment="1" applyProtection="1">
      <alignment horizontal="right" indent="1"/>
      <protection locked="0"/>
    </xf>
    <xf numFmtId="187" fontId="9" fillId="6" borderId="385" xfId="8" applyNumberFormat="1" applyFont="1" applyBorder="1" applyAlignment="1" applyProtection="1">
      <alignment horizontal="right" indent="1"/>
      <protection locked="0"/>
    </xf>
    <xf numFmtId="178" fontId="34" fillId="4" borderId="380" xfId="1" applyNumberFormat="1" applyFont="1" applyFill="1" applyBorder="1" applyAlignment="1" applyProtection="1">
      <alignment horizontal="center" vertical="center"/>
      <protection hidden="1"/>
    </xf>
    <xf numFmtId="49" fontId="9" fillId="6" borderId="323" xfId="7" applyNumberFormat="1" applyFont="1" applyFill="1" applyBorder="1" applyAlignment="1" applyProtection="1">
      <alignment horizontal="left"/>
      <protection locked="0"/>
    </xf>
    <xf numFmtId="49" fontId="9" fillId="6" borderId="324" xfId="7" applyNumberFormat="1" applyFont="1" applyFill="1" applyBorder="1" applyAlignment="1" applyProtection="1">
      <alignment horizontal="left"/>
      <protection locked="0"/>
    </xf>
    <xf numFmtId="49" fontId="9" fillId="6" borderId="325" xfId="7" applyNumberFormat="1" applyFont="1" applyFill="1" applyBorder="1" applyAlignment="1" applyProtection="1">
      <alignment horizontal="left"/>
      <protection locked="0"/>
    </xf>
    <xf numFmtId="187" fontId="9" fillId="6" borderId="323" xfId="8" applyNumberFormat="1" applyFont="1" applyBorder="1" applyAlignment="1" applyProtection="1">
      <alignment horizontal="right" indent="1"/>
      <protection locked="0"/>
    </xf>
    <xf numFmtId="187" fontId="9" fillId="6" borderId="325" xfId="8" applyNumberFormat="1" applyFont="1" applyBorder="1" applyAlignment="1" applyProtection="1">
      <alignment horizontal="right" indent="1"/>
      <protection locked="0"/>
    </xf>
    <xf numFmtId="3" fontId="22" fillId="6" borderId="323" xfId="1" applyNumberFormat="1" applyFont="1" applyFill="1" applyBorder="1" applyAlignment="1" applyProtection="1">
      <alignment horizontal="center" vertical="center"/>
      <protection locked="0"/>
    </xf>
    <xf numFmtId="3" fontId="22" fillId="6" borderId="325" xfId="1" applyNumberFormat="1" applyFont="1" applyFill="1" applyBorder="1" applyAlignment="1" applyProtection="1">
      <alignment horizontal="center" vertical="center"/>
      <protection locked="0"/>
    </xf>
    <xf numFmtId="49" fontId="9" fillId="6" borderId="291" xfId="1" applyNumberFormat="1" applyFont="1" applyFill="1" applyBorder="1" applyAlignment="1" applyProtection="1">
      <alignment horizontal="left" vertical="center"/>
      <protection locked="0"/>
    </xf>
    <xf numFmtId="49" fontId="9" fillId="6" borderId="292" xfId="1" applyNumberFormat="1" applyFont="1" applyFill="1" applyBorder="1" applyAlignment="1" applyProtection="1">
      <alignment horizontal="left" vertical="center"/>
      <protection locked="0"/>
    </xf>
    <xf numFmtId="49" fontId="9" fillId="6" borderId="293" xfId="1" applyNumberFormat="1" applyFont="1" applyFill="1" applyBorder="1" applyAlignment="1" applyProtection="1">
      <alignment horizontal="left" vertical="center"/>
      <protection locked="0"/>
    </xf>
    <xf numFmtId="49" fontId="9" fillId="6" borderId="284" xfId="1" applyNumberFormat="1" applyFont="1" applyFill="1" applyBorder="1" applyAlignment="1" applyProtection="1">
      <alignment horizontal="left" vertical="center"/>
      <protection locked="0"/>
    </xf>
    <xf numFmtId="49" fontId="9" fillId="6" borderId="285" xfId="1" applyNumberFormat="1" applyFont="1" applyFill="1" applyBorder="1" applyAlignment="1" applyProtection="1">
      <alignment horizontal="left" vertical="center"/>
      <protection locked="0"/>
    </xf>
    <xf numFmtId="49" fontId="9" fillId="6" borderId="286" xfId="1" applyNumberFormat="1" applyFont="1" applyFill="1" applyBorder="1" applyAlignment="1" applyProtection="1">
      <alignment horizontal="left" vertical="center"/>
      <protection locked="0"/>
    </xf>
    <xf numFmtId="3" fontId="22" fillId="6" borderId="384" xfId="1" applyNumberFormat="1" applyFont="1" applyFill="1" applyBorder="1" applyAlignment="1" applyProtection="1">
      <alignment horizontal="center" vertical="center"/>
      <protection locked="0"/>
    </xf>
    <xf numFmtId="3" fontId="22" fillId="6" borderId="385" xfId="1" applyNumberFormat="1" applyFont="1" applyFill="1" applyBorder="1" applyAlignment="1" applyProtection="1">
      <alignment horizontal="center" vertical="center"/>
      <protection locked="0"/>
    </xf>
    <xf numFmtId="178" fontId="9" fillId="6" borderId="384" xfId="8" applyNumberFormat="1" applyFont="1" applyFill="1" applyBorder="1" applyAlignment="1" applyProtection="1">
      <alignment horizontal="center" vertical="center"/>
      <protection locked="0"/>
    </xf>
    <xf numFmtId="178" fontId="9" fillId="6" borderId="386" xfId="8" applyNumberFormat="1" applyFont="1" applyFill="1" applyBorder="1" applyAlignment="1" applyProtection="1">
      <alignment horizontal="center" vertical="center"/>
      <protection locked="0"/>
    </xf>
    <xf numFmtId="178" fontId="9" fillId="6" borderId="323" xfId="8" applyNumberFormat="1" applyFont="1" applyFill="1" applyBorder="1" applyAlignment="1" applyProtection="1">
      <alignment horizontal="center" vertical="center"/>
      <protection locked="0"/>
    </xf>
    <xf numFmtId="178" fontId="9" fillId="6" borderId="324" xfId="8" applyNumberFormat="1" applyFont="1" applyFill="1" applyBorder="1" applyAlignment="1" applyProtection="1">
      <alignment horizontal="center" vertical="center"/>
      <protection locked="0"/>
    </xf>
    <xf numFmtId="195" fontId="9" fillId="6" borderId="87" xfId="8" applyNumberFormat="1" applyFont="1" applyBorder="1" applyAlignment="1" applyProtection="1">
      <alignment horizontal="right"/>
      <protection locked="0"/>
    </xf>
    <xf numFmtId="195" fontId="9" fillId="6" borderId="83" xfId="8" applyNumberFormat="1" applyFont="1" applyBorder="1" applyAlignment="1" applyProtection="1">
      <alignment horizontal="right"/>
      <protection locked="0"/>
    </xf>
    <xf numFmtId="201" fontId="9" fillId="3" borderId="267" xfId="1" applyNumberFormat="1" applyFont="1" applyFill="1" applyBorder="1" applyAlignment="1" applyProtection="1">
      <alignment horizontal="right" vertical="center"/>
      <protection hidden="1"/>
    </xf>
    <xf numFmtId="201" fontId="9" fillId="3" borderId="272" xfId="1" applyNumberFormat="1" applyFont="1" applyFill="1" applyBorder="1" applyAlignment="1" applyProtection="1">
      <alignment horizontal="right" vertical="center"/>
      <protection hidden="1"/>
    </xf>
    <xf numFmtId="187" fontId="9" fillId="0" borderId="0" xfId="7" applyNumberFormat="1" applyFont="1" applyFill="1" applyBorder="1" applyAlignment="1" applyProtection="1">
      <alignment horizontal="right"/>
    </xf>
    <xf numFmtId="166" fontId="9" fillId="0" borderId="0" xfId="8" applyNumberFormat="1" applyFont="1" applyFill="1" applyBorder="1" applyAlignment="1" applyProtection="1">
      <alignment horizontal="right"/>
    </xf>
    <xf numFmtId="187" fontId="9" fillId="6" borderId="267" xfId="8" applyNumberFormat="1" applyFont="1" applyBorder="1" applyAlignment="1" applyProtection="1">
      <alignment horizontal="right" indent="1"/>
      <protection locked="0"/>
    </xf>
    <xf numFmtId="187" fontId="9" fillId="6" borderId="272" xfId="8" applyNumberFormat="1" applyFont="1" applyBorder="1" applyAlignment="1" applyProtection="1">
      <alignment horizontal="right" indent="1"/>
      <protection locked="0"/>
    </xf>
    <xf numFmtId="187" fontId="9" fillId="6" borderId="310" xfId="8" applyNumberFormat="1" applyFont="1" applyBorder="1" applyAlignment="1" applyProtection="1">
      <alignment horizontal="right" indent="1"/>
      <protection locked="0"/>
    </xf>
    <xf numFmtId="187" fontId="9" fillId="6" borderId="312" xfId="8" applyNumberFormat="1" applyFont="1" applyBorder="1" applyAlignment="1" applyProtection="1">
      <alignment horizontal="right" indent="1"/>
      <protection locked="0"/>
    </xf>
    <xf numFmtId="3" fontId="34" fillId="3" borderId="269" xfId="1" applyNumberFormat="1" applyFont="1" applyFill="1" applyBorder="1" applyAlignment="1" applyProtection="1">
      <alignment horizontal="right" vertical="center" indent="6"/>
      <protection hidden="1"/>
    </xf>
    <xf numFmtId="3" fontId="34" fillId="3" borderId="270" xfId="1" applyNumberFormat="1" applyFont="1" applyFill="1" applyBorder="1" applyAlignment="1" applyProtection="1">
      <alignment horizontal="right" vertical="center" indent="6"/>
      <protection hidden="1"/>
    </xf>
    <xf numFmtId="3" fontId="34" fillId="3" borderId="271" xfId="1" applyNumberFormat="1" applyFont="1" applyFill="1" applyBorder="1" applyAlignment="1" applyProtection="1">
      <alignment horizontal="right" vertical="center" indent="6"/>
      <protection hidden="1"/>
    </xf>
    <xf numFmtId="178" fontId="9" fillId="3" borderId="269" xfId="1" applyNumberFormat="1" applyFont="1" applyFill="1" applyBorder="1" applyAlignment="1" applyProtection="1">
      <alignment horizontal="right" vertical="center" indent="4"/>
      <protection hidden="1"/>
    </xf>
    <xf numFmtId="178" fontId="9" fillId="3" borderId="270" xfId="1" applyNumberFormat="1" applyFont="1" applyFill="1" applyBorder="1" applyAlignment="1" applyProtection="1">
      <alignment horizontal="right" vertical="center" indent="4"/>
      <protection hidden="1"/>
    </xf>
    <xf numFmtId="178" fontId="9" fillId="3" borderId="380" xfId="1" applyNumberFormat="1" applyFont="1" applyFill="1" applyBorder="1" applyAlignment="1" applyProtection="1">
      <alignment horizontal="right" vertical="center" indent="3"/>
      <protection hidden="1"/>
    </xf>
    <xf numFmtId="178" fontId="9" fillId="3" borderId="381" xfId="1" applyNumberFormat="1" applyFont="1" applyFill="1" applyBorder="1" applyAlignment="1" applyProtection="1">
      <alignment horizontal="right" vertical="center" indent="3"/>
      <protection hidden="1"/>
    </xf>
    <xf numFmtId="178" fontId="34" fillId="3" borderId="270" xfId="1" applyNumberFormat="1" applyFont="1" applyFill="1" applyBorder="1" applyAlignment="1" applyProtection="1">
      <alignment horizontal="right" vertical="center" indent="4"/>
      <protection hidden="1"/>
    </xf>
    <xf numFmtId="178" fontId="34" fillId="3" borderId="271" xfId="1" applyNumberFormat="1" applyFont="1" applyFill="1" applyBorder="1" applyAlignment="1" applyProtection="1">
      <alignment horizontal="right" vertical="center" indent="4"/>
      <protection hidden="1"/>
    </xf>
    <xf numFmtId="201" fontId="9" fillId="3" borderId="262" xfId="1" applyNumberFormat="1" applyFont="1" applyFill="1" applyBorder="1" applyAlignment="1" applyProtection="1">
      <alignment horizontal="right" vertical="center"/>
      <protection hidden="1"/>
    </xf>
    <xf numFmtId="201" fontId="9" fillId="3" borderId="264" xfId="1" applyNumberFormat="1" applyFont="1" applyFill="1" applyBorder="1" applyAlignment="1" applyProtection="1">
      <alignment horizontal="right" vertical="center"/>
      <protection hidden="1"/>
    </xf>
    <xf numFmtId="195" fontId="9" fillId="6" borderId="364" xfId="8" applyNumberFormat="1" applyFont="1" applyBorder="1" applyAlignment="1" applyProtection="1">
      <alignment horizontal="right"/>
      <protection locked="0"/>
    </xf>
    <xf numFmtId="201" fontId="9" fillId="3" borderId="310" xfId="1" applyNumberFormat="1" applyFont="1" applyFill="1" applyBorder="1" applyAlignment="1" applyProtection="1">
      <alignment horizontal="right" vertical="center"/>
      <protection hidden="1"/>
    </xf>
    <xf numFmtId="201" fontId="9" fillId="3" borderId="312" xfId="1" applyNumberFormat="1" applyFont="1" applyFill="1" applyBorder="1" applyAlignment="1" applyProtection="1">
      <alignment horizontal="right" vertical="center"/>
      <protection hidden="1"/>
    </xf>
    <xf numFmtId="195" fontId="9" fillId="6" borderId="378" xfId="8" applyNumberFormat="1" applyFont="1" applyBorder="1" applyAlignment="1" applyProtection="1">
      <alignment horizontal="right"/>
      <protection locked="0"/>
    </xf>
    <xf numFmtId="195" fontId="9" fillId="6" borderId="379" xfId="8" applyNumberFormat="1" applyFont="1" applyBorder="1" applyAlignment="1" applyProtection="1">
      <alignment horizontal="right"/>
      <protection locked="0"/>
    </xf>
    <xf numFmtId="187" fontId="9" fillId="6" borderId="324" xfId="8" applyNumberFormat="1" applyFont="1" applyBorder="1" applyAlignment="1" applyProtection="1">
      <alignment horizontal="right" indent="1"/>
      <protection locked="0"/>
    </xf>
    <xf numFmtId="187" fontId="9" fillId="6" borderId="292" xfId="8" applyNumberFormat="1" applyFont="1" applyBorder="1" applyAlignment="1" applyProtection="1">
      <alignment horizontal="right" indent="1"/>
      <protection locked="0"/>
    </xf>
    <xf numFmtId="178" fontId="9" fillId="6" borderId="388" xfId="8" applyNumberFormat="1" applyFont="1" applyFill="1" applyBorder="1" applyAlignment="1" applyProtection="1">
      <alignment horizontal="center" vertical="center"/>
      <protection locked="0"/>
    </xf>
    <xf numFmtId="165" fontId="81" fillId="0" borderId="107" xfId="1" applyNumberFormat="1" applyFont="1" applyBorder="1" applyAlignment="1" applyProtection="1">
      <alignment horizontal="center" vertical="center"/>
      <protection hidden="1"/>
    </xf>
    <xf numFmtId="165" fontId="81" fillId="0" borderId="108" xfId="1" applyNumberFormat="1" applyFont="1" applyBorder="1" applyAlignment="1" applyProtection="1">
      <alignment horizontal="center" vertical="center"/>
      <protection hidden="1"/>
    </xf>
    <xf numFmtId="187" fontId="9" fillId="3" borderId="287" xfId="8" applyNumberFormat="1" applyFont="1" applyFill="1" applyBorder="1" applyAlignment="1" applyProtection="1">
      <alignment horizontal="right" indent="1"/>
    </xf>
    <xf numFmtId="0" fontId="0" fillId="3" borderId="0" xfId="0" applyFill="1" applyBorder="1" applyAlignment="1">
      <alignment horizontal="center"/>
    </xf>
    <xf numFmtId="182" fontId="0" fillId="2" borderId="0" xfId="0" applyNumberFormat="1" applyFill="1" applyBorder="1" applyAlignment="1">
      <alignment horizontal="right" vertical="center" indent="1"/>
    </xf>
    <xf numFmtId="0" fontId="130" fillId="4" borderId="0" xfId="0" applyFont="1" applyFill="1" applyBorder="1" applyAlignment="1">
      <alignment horizontal="left" vertical="center"/>
    </xf>
    <xf numFmtId="0" fontId="12" fillId="12" borderId="0" xfId="0" applyFont="1" applyFill="1" applyAlignment="1">
      <alignment vertical="center" wrapText="1"/>
    </xf>
    <xf numFmtId="0" fontId="13" fillId="4" borderId="0" xfId="0" applyFont="1" applyFill="1" applyBorder="1" applyAlignment="1">
      <alignment horizontal="center" vertical="center"/>
    </xf>
    <xf numFmtId="0" fontId="48" fillId="2" borderId="0" xfId="0" applyFont="1" applyFill="1" applyBorder="1" applyAlignment="1" applyProtection="1">
      <alignment horizontal="center" vertical="center"/>
      <protection locked="0"/>
    </xf>
    <xf numFmtId="0" fontId="15" fillId="3" borderId="0" xfId="0" applyFont="1" applyFill="1" applyBorder="1" applyAlignment="1">
      <alignment horizontal="left" vertical="top" wrapText="1"/>
    </xf>
    <xf numFmtId="0" fontId="120" fillId="0" borderId="389" xfId="0" applyFont="1" applyFill="1" applyBorder="1" applyAlignment="1">
      <alignment horizontal="center"/>
    </xf>
    <xf numFmtId="0" fontId="120" fillId="0" borderId="321" xfId="0" applyFont="1" applyFill="1" applyBorder="1" applyAlignment="1">
      <alignment horizontal="center"/>
    </xf>
    <xf numFmtId="3" fontId="0" fillId="2" borderId="0" xfId="0" applyNumberFormat="1" applyFill="1" applyBorder="1" applyAlignment="1">
      <alignment horizontal="right" vertical="center" indent="1"/>
    </xf>
    <xf numFmtId="49" fontId="130" fillId="4" borderId="0" xfId="0" applyNumberFormat="1" applyFont="1" applyFill="1" applyBorder="1" applyAlignment="1">
      <alignment horizontal="left" vertical="center"/>
    </xf>
    <xf numFmtId="49" fontId="15" fillId="2" borderId="0" xfId="0" applyNumberFormat="1" applyFont="1" applyFill="1" applyBorder="1" applyAlignment="1" applyProtection="1">
      <alignment horizontal="left" vertical="center"/>
      <protection locked="0"/>
    </xf>
    <xf numFmtId="49" fontId="19" fillId="2" borderId="0" xfId="0" applyNumberFormat="1" applyFont="1" applyFill="1" applyBorder="1" applyAlignment="1" applyProtection="1">
      <alignment horizontal="left" vertical="center" wrapText="1"/>
      <protection locked="0"/>
    </xf>
    <xf numFmtId="0" fontId="47" fillId="2" borderId="0" xfId="0" applyFont="1" applyFill="1" applyBorder="1" applyAlignment="1" applyProtection="1">
      <alignment horizontal="center" vertical="center"/>
      <protection locked="0"/>
    </xf>
    <xf numFmtId="0" fontId="0" fillId="0" borderId="0" xfId="0"/>
    <xf numFmtId="0" fontId="12" fillId="5" borderId="0" xfId="0" applyFont="1" applyFill="1" applyBorder="1" applyAlignment="1" applyProtection="1">
      <alignment horizontal="left" vertical="center"/>
      <protection locked="0"/>
    </xf>
    <xf numFmtId="3" fontId="0" fillId="0" borderId="0" xfId="0" applyNumberFormat="1" applyBorder="1" applyAlignment="1">
      <alignment horizontal="right" vertical="center" indent="1"/>
    </xf>
    <xf numFmtId="0" fontId="12" fillId="3" borderId="0" xfId="0" applyNumberFormat="1" applyFont="1" applyFill="1" applyBorder="1" applyAlignment="1">
      <alignment vertical="center"/>
    </xf>
    <xf numFmtId="182" fontId="17" fillId="0" borderId="0" xfId="0" applyNumberFormat="1" applyFont="1" applyFill="1" applyBorder="1" applyAlignment="1">
      <alignment horizontal="right" vertical="center" indent="1"/>
    </xf>
    <xf numFmtId="0" fontId="17" fillId="4" borderId="374" xfId="0" applyNumberFormat="1" applyFont="1" applyFill="1" applyBorder="1" applyAlignment="1">
      <alignment horizontal="center" vertical="top" wrapText="1"/>
    </xf>
    <xf numFmtId="0" fontId="17" fillId="4" borderId="375" xfId="0" applyNumberFormat="1" applyFont="1" applyFill="1" applyBorder="1" applyAlignment="1">
      <alignment horizontal="center" vertical="top" wrapText="1"/>
    </xf>
    <xf numFmtId="49" fontId="12" fillId="0" borderId="0" xfId="0" applyNumberFormat="1" applyFont="1" applyAlignment="1">
      <alignment horizontal="center" vertical="center"/>
    </xf>
    <xf numFmtId="49" fontId="0" fillId="0" borderId="0" xfId="0" applyNumberFormat="1" applyAlignment="1">
      <alignment horizontal="center" vertical="center"/>
    </xf>
    <xf numFmtId="49" fontId="17" fillId="4" borderId="375" xfId="0" applyNumberFormat="1" applyFont="1" applyFill="1" applyBorder="1" applyAlignment="1">
      <alignment horizontal="center" vertical="top" wrapText="1"/>
    </xf>
    <xf numFmtId="3" fontId="0" fillId="3" borderId="314" xfId="0" applyNumberFormat="1" applyFill="1" applyBorder="1" applyAlignment="1">
      <alignment horizontal="right" vertical="center" indent="1"/>
    </xf>
    <xf numFmtId="3" fontId="0" fillId="3" borderId="315" xfId="0" applyNumberFormat="1" applyFill="1" applyBorder="1" applyAlignment="1">
      <alignment horizontal="right" vertical="center" indent="1"/>
    </xf>
    <xf numFmtId="3" fontId="0" fillId="3" borderId="316" xfId="0" applyNumberFormat="1" applyFill="1" applyBorder="1" applyAlignment="1">
      <alignment horizontal="right" vertical="center" indent="1"/>
    </xf>
    <xf numFmtId="3" fontId="0" fillId="0" borderId="315" xfId="0" applyNumberFormat="1" applyBorder="1" applyAlignment="1">
      <alignment horizontal="right" vertical="center" indent="1"/>
    </xf>
    <xf numFmtId="3" fontId="0" fillId="0" borderId="316" xfId="0" applyNumberFormat="1" applyBorder="1" applyAlignment="1">
      <alignment horizontal="right" vertical="center" indent="1"/>
    </xf>
    <xf numFmtId="3" fontId="17" fillId="4" borderId="315" xfId="0" applyNumberFormat="1" applyFont="1" applyFill="1" applyBorder="1" applyAlignment="1">
      <alignment horizontal="right" vertical="center" indent="1"/>
    </xf>
    <xf numFmtId="3" fontId="17" fillId="4" borderId="316" xfId="0" applyNumberFormat="1" applyFont="1" applyFill="1" applyBorder="1" applyAlignment="1">
      <alignment horizontal="right" vertical="center" indent="1"/>
    </xf>
    <xf numFmtId="3" fontId="1" fillId="3" borderId="315" xfId="0" applyNumberFormat="1" applyFont="1" applyFill="1" applyBorder="1" applyAlignment="1">
      <alignment horizontal="right" vertical="center" indent="1"/>
    </xf>
    <xf numFmtId="3" fontId="1" fillId="3" borderId="316" xfId="0" applyNumberFormat="1" applyFont="1" applyFill="1" applyBorder="1" applyAlignment="1">
      <alignment horizontal="right" vertical="center" indent="1"/>
    </xf>
    <xf numFmtId="3" fontId="117" fillId="4" borderId="315" xfId="0" applyNumberFormat="1" applyFont="1" applyFill="1" applyBorder="1" applyAlignment="1">
      <alignment horizontal="right" vertical="center" indent="1"/>
    </xf>
    <xf numFmtId="3" fontId="117" fillId="4" borderId="316" xfId="0" applyNumberFormat="1" applyFont="1" applyFill="1" applyBorder="1" applyAlignment="1">
      <alignment horizontal="right" vertical="center" indent="1"/>
    </xf>
    <xf numFmtId="0" fontId="17" fillId="4" borderId="371" xfId="0" applyFont="1" applyFill="1" applyBorder="1" applyAlignment="1">
      <alignment horizontal="center" vertical="center"/>
    </xf>
    <xf numFmtId="0" fontId="17" fillId="0" borderId="315" xfId="0" applyFont="1" applyBorder="1" applyAlignment="1">
      <alignment horizontal="right" vertical="center" indent="1"/>
    </xf>
    <xf numFmtId="3" fontId="118" fillId="0" borderId="315" xfId="0" applyNumberFormat="1" applyFont="1" applyBorder="1" applyAlignment="1">
      <alignment horizontal="right" vertical="center" indent="1"/>
    </xf>
    <xf numFmtId="0" fontId="17" fillId="0" borderId="316" xfId="0" applyFont="1" applyBorder="1" applyAlignment="1">
      <alignment horizontal="right" vertical="center" indent="1"/>
    </xf>
    <xf numFmtId="3" fontId="118" fillId="0" borderId="316" xfId="0" applyNumberFormat="1" applyFont="1" applyBorder="1" applyAlignment="1">
      <alignment horizontal="right" vertical="center" indent="1"/>
    </xf>
    <xf numFmtId="3" fontId="0" fillId="0" borderId="314" xfId="0" applyNumberFormat="1" applyBorder="1" applyAlignment="1">
      <alignment horizontal="right" vertical="center" indent="1"/>
    </xf>
    <xf numFmtId="0" fontId="17" fillId="4" borderId="350" xfId="0" applyFont="1" applyFill="1" applyBorder="1" applyAlignment="1">
      <alignment horizontal="center" vertical="center"/>
    </xf>
    <xf numFmtId="0" fontId="17" fillId="4" borderId="352" xfId="0" applyNumberFormat="1" applyFont="1" applyFill="1" applyBorder="1" applyAlignment="1">
      <alignment horizontal="center" vertical="top" wrapText="1"/>
    </xf>
    <xf numFmtId="3" fontId="0" fillId="0" borderId="314" xfId="0" applyNumberFormat="1" applyBorder="1" applyAlignment="1">
      <alignment horizontal="center" vertical="center"/>
    </xf>
    <xf numFmtId="3" fontId="0" fillId="0" borderId="315" xfId="0" applyNumberFormat="1" applyBorder="1" applyAlignment="1">
      <alignment horizontal="center" vertical="center"/>
    </xf>
    <xf numFmtId="3" fontId="17" fillId="4" borderId="314" xfId="0" applyNumberFormat="1" applyFont="1" applyFill="1" applyBorder="1" applyAlignment="1">
      <alignment horizontal="right" vertical="center" indent="1"/>
    </xf>
    <xf numFmtId="3" fontId="1" fillId="3" borderId="314" xfId="0" applyNumberFormat="1" applyFont="1" applyFill="1" applyBorder="1" applyAlignment="1">
      <alignment horizontal="right" vertical="center" indent="1"/>
    </xf>
    <xf numFmtId="3" fontId="0" fillId="3" borderId="315" xfId="0" applyNumberFormat="1" applyFill="1" applyBorder="1" applyAlignment="1">
      <alignment horizontal="center" vertical="center"/>
    </xf>
    <xf numFmtId="3" fontId="0" fillId="3" borderId="316" xfId="0" applyNumberFormat="1" applyFill="1" applyBorder="1" applyAlignment="1">
      <alignment horizontal="center" vertical="center"/>
    </xf>
    <xf numFmtId="3" fontId="12" fillId="3" borderId="315" xfId="0" applyNumberFormat="1" applyFont="1" applyFill="1" applyBorder="1" applyAlignment="1">
      <alignment horizontal="right" vertical="center" indent="1"/>
    </xf>
    <xf numFmtId="3" fontId="12" fillId="3" borderId="316" xfId="0" applyNumberFormat="1" applyFont="1" applyFill="1" applyBorder="1" applyAlignment="1">
      <alignment horizontal="right" vertical="center" indent="1"/>
    </xf>
    <xf numFmtId="182" fontId="0" fillId="3" borderId="348" xfId="0" applyNumberFormat="1" applyFill="1" applyBorder="1" applyAlignment="1">
      <alignment horizontal="right" vertical="center" indent="1"/>
    </xf>
    <xf numFmtId="182" fontId="0" fillId="3" borderId="349" xfId="0" applyNumberFormat="1" applyFill="1" applyBorder="1" applyAlignment="1">
      <alignment horizontal="right" vertical="center" indent="1"/>
    </xf>
    <xf numFmtId="182" fontId="17" fillId="4" borderId="315" xfId="0" applyNumberFormat="1" applyFont="1" applyFill="1" applyBorder="1" applyAlignment="1">
      <alignment horizontal="right" vertical="center" indent="1"/>
    </xf>
    <xf numFmtId="182" fontId="17" fillId="4" borderId="316" xfId="0" applyNumberFormat="1" applyFont="1" applyFill="1" applyBorder="1" applyAlignment="1">
      <alignment horizontal="right" vertical="center" indent="1"/>
    </xf>
    <xf numFmtId="3" fontId="0" fillId="3" borderId="314" xfId="0" applyNumberFormat="1" applyFill="1" applyBorder="1" applyAlignment="1">
      <alignment horizontal="center" vertical="center"/>
    </xf>
    <xf numFmtId="3" fontId="12" fillId="3" borderId="314" xfId="0" applyNumberFormat="1" applyFont="1" applyFill="1" applyBorder="1" applyAlignment="1">
      <alignment horizontal="right" vertical="center" indent="1"/>
    </xf>
    <xf numFmtId="182" fontId="17" fillId="4" borderId="314" xfId="0" applyNumberFormat="1" applyFont="1" applyFill="1" applyBorder="1" applyAlignment="1">
      <alignment horizontal="right" vertical="center" indent="1"/>
    </xf>
    <xf numFmtId="3" fontId="49" fillId="3" borderId="314" xfId="0" applyNumberFormat="1" applyFont="1" applyFill="1" applyBorder="1" applyAlignment="1">
      <alignment horizontal="right" vertical="center" indent="1"/>
    </xf>
    <xf numFmtId="3" fontId="49" fillId="3" borderId="315" xfId="0" applyNumberFormat="1" applyFont="1" applyFill="1" applyBorder="1" applyAlignment="1">
      <alignment horizontal="right" vertical="center" indent="1"/>
    </xf>
    <xf numFmtId="3" fontId="49" fillId="3" borderId="316" xfId="0" applyNumberFormat="1" applyFont="1" applyFill="1" applyBorder="1" applyAlignment="1">
      <alignment horizontal="right" vertical="center" indent="1"/>
    </xf>
    <xf numFmtId="182" fontId="0" fillId="3" borderId="314" xfId="0" applyNumberFormat="1" applyFill="1" applyBorder="1" applyAlignment="1">
      <alignment horizontal="right" vertical="center" indent="1"/>
    </xf>
    <xf numFmtId="182" fontId="0" fillId="3" borderId="315" xfId="0" applyNumberFormat="1" applyFill="1" applyBorder="1" applyAlignment="1">
      <alignment horizontal="right" vertical="center" indent="1"/>
    </xf>
    <xf numFmtId="182" fontId="0" fillId="3" borderId="347" xfId="0" applyNumberFormat="1" applyFill="1" applyBorder="1" applyAlignment="1">
      <alignment horizontal="right" vertical="center" indent="1"/>
    </xf>
    <xf numFmtId="182" fontId="0" fillId="3" borderId="316" xfId="0" applyNumberFormat="1" applyFill="1" applyBorder="1" applyAlignment="1">
      <alignment horizontal="right" vertical="center" indent="1"/>
    </xf>
    <xf numFmtId="0" fontId="17" fillId="4" borderId="370" xfId="0" applyFont="1" applyFill="1" applyBorder="1" applyAlignment="1">
      <alignment horizontal="center" vertical="center"/>
    </xf>
    <xf numFmtId="3" fontId="118" fillId="0" borderId="314" xfId="0" applyNumberFormat="1" applyFont="1" applyBorder="1" applyAlignment="1">
      <alignment horizontal="right" vertical="center" indent="1"/>
    </xf>
    <xf numFmtId="3" fontId="117" fillId="4" borderId="314" xfId="0" applyNumberFormat="1" applyFont="1" applyFill="1" applyBorder="1" applyAlignment="1">
      <alignment horizontal="right" vertical="center" indent="1"/>
    </xf>
    <xf numFmtId="0" fontId="17" fillId="0" borderId="314" xfId="0" applyFont="1" applyBorder="1" applyAlignment="1">
      <alignment horizontal="center" vertical="center"/>
    </xf>
    <xf numFmtId="0" fontId="17" fillId="0" borderId="315" xfId="0" applyFont="1" applyBorder="1" applyAlignment="1">
      <alignment horizontal="center" vertical="center"/>
    </xf>
  </cellXfs>
  <cellStyles count="10">
    <cellStyle name="Eingabe" xfId="8" xr:uid="{00000000-0005-0000-0000-000000000000}"/>
    <cellStyle name="Komma" xfId="6" builtinId="3"/>
    <cellStyle name="Link" xfId="4" builtinId="8"/>
    <cellStyle name="Normal 2" xfId="7" xr:uid="{00000000-0005-0000-0000-000003000000}"/>
    <cellStyle name="Normal 3" xfId="9" xr:uid="{00000000-0005-0000-0000-000004000000}"/>
    <cellStyle name="Prozent" xfId="5" builtinId="5"/>
    <cellStyle name="Standard" xfId="0" builtinId="0"/>
    <cellStyle name="Standard 2" xfId="1" xr:uid="{00000000-0005-0000-0000-000007000000}"/>
    <cellStyle name="Standard 3" xfId="3" xr:uid="{00000000-0005-0000-0000-000008000000}"/>
    <cellStyle name="Standard_Zusammenfassung Energiesysteme" xfId="2" xr:uid="{00000000-0005-0000-0000-000009000000}"/>
  </cellStyles>
  <dxfs count="2008">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4" tint="0.79998168889431442"/>
      </font>
    </dxf>
    <dxf>
      <font>
        <color theme="4" tint="0.79998168889431442"/>
      </font>
    </dxf>
    <dxf>
      <font>
        <color theme="4" tint="0.79998168889431442"/>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79998168889431442"/>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rgb="FF0000FF"/>
      </font>
    </dxf>
    <dxf>
      <font>
        <color rgb="FF0000FF"/>
      </font>
    </dxf>
    <dxf>
      <font>
        <color theme="0" tint="-0.24994659260841701"/>
      </font>
    </dxf>
    <dxf>
      <font>
        <color rgb="FF0000FF"/>
      </font>
    </dxf>
    <dxf>
      <font>
        <color rgb="FF0000FF"/>
      </font>
    </dxf>
    <dxf>
      <font>
        <color theme="0" tint="-0.24994659260841701"/>
      </font>
    </dxf>
    <dxf>
      <font>
        <color rgb="FF0000FF"/>
      </font>
    </dxf>
    <dxf>
      <font>
        <color rgb="FF0000FF"/>
      </font>
    </dxf>
    <dxf>
      <font>
        <color theme="0" tint="-0.24994659260841701"/>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rgb="FF0000FF"/>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rgb="FF0000FF"/>
      </font>
    </dxf>
    <dxf>
      <font>
        <color rgb="FF0000FF"/>
      </font>
    </dxf>
    <dxf>
      <font>
        <color theme="0" tint="-0.24994659260841701"/>
      </font>
    </dxf>
    <dxf>
      <font>
        <color rgb="FF0000FF"/>
      </font>
    </dxf>
    <dxf>
      <font>
        <color rgb="FF0000FF"/>
      </font>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ill>
        <patternFill>
          <bgColor rgb="FFFFFF99"/>
        </patternFill>
      </fill>
    </dxf>
    <dxf>
      <font>
        <color rgb="FF0000FF"/>
      </font>
    </dxf>
    <dxf>
      <font>
        <color rgb="FFFF0000"/>
      </font>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ill>
        <patternFill>
          <bgColor rgb="FFFFFF99"/>
        </patternFill>
      </fill>
    </dxf>
    <dxf>
      <font>
        <color rgb="FF0000FF"/>
      </font>
    </dxf>
    <dxf>
      <fill>
        <patternFill>
          <bgColor rgb="FFFFFF99"/>
        </patternFill>
      </fill>
    </dxf>
    <dxf>
      <font>
        <color rgb="FF0000FF"/>
      </font>
    </dxf>
    <dxf>
      <font>
        <color rgb="FF0000FF"/>
      </font>
    </dxf>
    <dxf>
      <font>
        <color rgb="FFFF0000"/>
      </font>
    </dxf>
    <dxf>
      <font>
        <color theme="0" tint="-0.24994659260841701"/>
      </font>
    </dxf>
    <dxf>
      <font>
        <color rgb="FF0000FF"/>
      </font>
    </dxf>
    <dxf>
      <font>
        <color rgb="FF0000FF"/>
      </font>
    </dxf>
    <dxf>
      <font>
        <color theme="0" tint="-0.24994659260841701"/>
      </font>
    </dxf>
    <dxf>
      <font>
        <color rgb="FF0000FF"/>
      </font>
    </dxf>
    <dxf>
      <font>
        <color rgb="FF0000FF"/>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rgb="FF0000FF"/>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rgb="FF0000FF"/>
      </font>
    </dxf>
    <dxf>
      <font>
        <color rgb="FF0000FF"/>
      </font>
    </dxf>
    <dxf>
      <font>
        <color theme="0" tint="-0.24994659260841701"/>
      </font>
    </dxf>
    <dxf>
      <font>
        <color rgb="FF0000FF"/>
      </font>
    </dxf>
    <dxf>
      <font>
        <color rgb="FF0000FF"/>
      </font>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ill>
        <patternFill>
          <bgColor rgb="FFFFFF99"/>
        </patternFill>
      </fill>
    </dxf>
    <dxf>
      <font>
        <color rgb="FF0000FF"/>
      </font>
    </dxf>
    <dxf>
      <font>
        <color rgb="FFFF0000"/>
      </font>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ill>
        <patternFill>
          <bgColor rgb="FFFFFF99"/>
        </patternFill>
      </fill>
    </dxf>
    <dxf>
      <font>
        <color rgb="FF0000FF"/>
      </font>
    </dxf>
    <dxf>
      <fill>
        <patternFill>
          <bgColor rgb="FFFFFF99"/>
        </patternFill>
      </fill>
    </dxf>
    <dxf>
      <font>
        <color rgb="FF0000FF"/>
      </font>
    </dxf>
    <dxf>
      <font>
        <color rgb="FF0000FF"/>
      </font>
    </dxf>
    <dxf>
      <font>
        <color rgb="FFFF0000"/>
      </font>
    </dxf>
    <dxf>
      <font>
        <color theme="0" tint="-0.24994659260841701"/>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theme="0" tint="-0.24994659260841701"/>
      </font>
    </dxf>
    <dxf>
      <font>
        <color theme="0" tint="-0.24994659260841701"/>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ill>
        <patternFill>
          <bgColor rgb="FFFFFF99"/>
        </patternFill>
      </fill>
    </dxf>
    <dxf>
      <font>
        <color rgb="FF0000FF"/>
      </font>
    </dxf>
    <dxf>
      <font>
        <color rgb="FFFF0000"/>
      </font>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ill>
        <patternFill>
          <bgColor rgb="FFFFFF99"/>
        </patternFill>
      </fill>
    </dxf>
    <dxf>
      <font>
        <color rgb="FF0000FF"/>
      </font>
    </dxf>
    <dxf>
      <fill>
        <patternFill>
          <bgColor rgb="FFFFFF99"/>
        </patternFill>
      </fill>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theme="0" tint="-0.24994659260841701"/>
      </font>
    </dxf>
    <dxf>
      <font>
        <color theme="0" tint="-0.24994659260841701"/>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theme="0" tint="-0.24994659260841701"/>
      </font>
    </dxf>
    <dxf>
      <font>
        <color theme="0" tint="-0.24994659260841701"/>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0000FF"/>
      </font>
    </dxf>
    <dxf>
      <font>
        <color theme="0" tint="-0.24994659260841701"/>
      </font>
    </dxf>
    <dxf>
      <font>
        <color rgb="FF0000FF"/>
      </font>
    </dxf>
    <dxf>
      <font>
        <color theme="0" tint="-0.24994659260841701"/>
      </font>
    </dxf>
    <dxf>
      <font>
        <color rgb="FF0000FF"/>
      </font>
    </dxf>
    <dxf>
      <font>
        <color theme="0" tint="-0.24994659260841701"/>
      </font>
    </dxf>
    <dxf>
      <font>
        <color theme="0" tint="-0.24994659260841701"/>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rgb="FF0000FF"/>
      </font>
    </dxf>
    <dxf>
      <fill>
        <patternFill>
          <bgColor rgb="FFFFFF99"/>
        </patternFill>
      </fill>
    </dxf>
    <dxf>
      <font>
        <color rgb="FF0000FF"/>
      </font>
    </dxf>
    <dxf>
      <font>
        <color rgb="FFFF0000"/>
      </font>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7" tint="0.59996337778862885"/>
        </patternFill>
      </fill>
    </dxf>
    <dxf>
      <font>
        <color auto="1"/>
      </font>
      <fill>
        <patternFill>
          <bgColor rgb="FFFFFF99"/>
        </patternFill>
      </fill>
      <border>
        <top style="dotted">
          <color auto="1"/>
        </top>
        <bottom style="thin">
          <color auto="1"/>
        </bottom>
      </border>
    </dxf>
    <dxf>
      <font>
        <color theme="1"/>
      </font>
      <fill>
        <patternFill patternType="none">
          <bgColor auto="1"/>
        </patternFill>
      </fill>
      <border>
        <left/>
        <right style="thin">
          <color auto="1"/>
        </right>
        <top style="dotted">
          <color auto="1"/>
        </top>
        <bottom style="thin">
          <color auto="1"/>
        </bottom>
        <vertical/>
        <horizontal/>
      </border>
    </dxf>
    <dxf>
      <font>
        <color theme="7" tint="0.59996337778862885"/>
      </font>
    </dxf>
    <dxf>
      <font>
        <color theme="1"/>
      </font>
      <fill>
        <patternFill patternType="none">
          <bgColor auto="1"/>
        </patternFill>
      </fill>
    </dxf>
    <dxf>
      <font>
        <color auto="1"/>
      </font>
      <fill>
        <patternFill patternType="none">
          <bgColor auto="1"/>
        </patternFill>
      </fill>
      <border>
        <left/>
        <right/>
        <top style="dotted">
          <color auto="1"/>
        </top>
        <bottom style="thin">
          <color auto="1"/>
        </bottom>
      </border>
    </dxf>
    <dxf>
      <font>
        <color rgb="FFFF0000"/>
      </font>
    </dxf>
    <dxf>
      <fill>
        <patternFill>
          <bgColor theme="7" tint="0.59996337778862885"/>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7" tint="0.59996337778862885"/>
        </patternFill>
      </fill>
    </dxf>
    <dxf>
      <font>
        <color auto="1"/>
      </font>
      <fill>
        <patternFill>
          <bgColor rgb="FFFFFF99"/>
        </patternFill>
      </fill>
      <border>
        <top style="dotted">
          <color auto="1"/>
        </top>
        <bottom style="thin">
          <color auto="1"/>
        </bottom>
      </border>
    </dxf>
    <dxf>
      <font>
        <color theme="1"/>
      </font>
      <fill>
        <patternFill patternType="none">
          <bgColor auto="1"/>
        </patternFill>
      </fill>
      <border>
        <left/>
        <right style="thin">
          <color auto="1"/>
        </right>
        <top style="dotted">
          <color auto="1"/>
        </top>
        <bottom style="thin">
          <color auto="1"/>
        </bottom>
        <vertical/>
        <horizontal/>
      </border>
    </dxf>
    <dxf>
      <font>
        <color theme="7" tint="0.59996337778862885"/>
      </font>
    </dxf>
    <dxf>
      <font>
        <color theme="1"/>
      </font>
      <fill>
        <patternFill patternType="none">
          <bgColor auto="1"/>
        </patternFill>
      </fill>
    </dxf>
    <dxf>
      <font>
        <color auto="1"/>
      </font>
      <fill>
        <patternFill patternType="none">
          <bgColor auto="1"/>
        </patternFill>
      </fill>
      <border>
        <left/>
        <right/>
        <top style="dotted">
          <color auto="1"/>
        </top>
        <bottom style="thin">
          <color auto="1"/>
        </bottom>
      </border>
    </dxf>
    <dxf>
      <font>
        <color rgb="FFFF0000"/>
      </font>
    </dxf>
    <dxf>
      <fill>
        <patternFill>
          <bgColor theme="7" tint="0.59996337778862885"/>
        </patternFill>
      </fill>
    </dxf>
    <dxf>
      <fill>
        <patternFill>
          <bgColor theme="7" tint="0.59996337778862885"/>
        </patternFill>
      </fill>
    </dxf>
    <dxf>
      <font>
        <color auto="1"/>
      </font>
      <fill>
        <patternFill>
          <bgColor rgb="FFFFFF99"/>
        </patternFill>
      </fill>
      <border>
        <top style="dotted">
          <color auto="1"/>
        </top>
        <bottom style="thin">
          <color auto="1"/>
        </bottom>
      </border>
    </dxf>
    <dxf>
      <font>
        <color theme="1"/>
      </font>
      <fill>
        <patternFill patternType="none">
          <bgColor auto="1"/>
        </patternFill>
      </fill>
      <border>
        <left/>
        <right style="thin">
          <color auto="1"/>
        </right>
        <top style="dotted">
          <color auto="1"/>
        </top>
        <bottom style="thin">
          <color auto="1"/>
        </bottom>
        <vertical/>
        <horizontal/>
      </border>
    </dxf>
    <dxf>
      <font>
        <color theme="7" tint="0.59996337778862885"/>
      </font>
    </dxf>
    <dxf>
      <font>
        <color theme="1"/>
      </font>
      <fill>
        <patternFill patternType="none">
          <bgColor auto="1"/>
        </patternFill>
      </fill>
    </dxf>
    <dxf>
      <font>
        <color auto="1"/>
      </font>
      <fill>
        <patternFill patternType="none">
          <bgColor auto="1"/>
        </patternFill>
      </fill>
      <border>
        <left/>
        <right/>
        <top style="dotted">
          <color auto="1"/>
        </top>
        <bottom style="thin">
          <color auto="1"/>
        </bottom>
      </border>
    </dxf>
    <dxf>
      <font>
        <color rgb="FFFF0000"/>
      </font>
    </dxf>
    <dxf>
      <fill>
        <patternFill>
          <bgColor theme="7" tint="0.59996337778862885"/>
        </patternFill>
      </fill>
    </dxf>
    <dxf>
      <fill>
        <patternFill>
          <bgColor theme="7" tint="0.59996337778862885"/>
        </patternFill>
      </fill>
    </dxf>
    <dxf>
      <font>
        <color auto="1"/>
      </font>
      <fill>
        <patternFill>
          <bgColor rgb="FFFFFF99"/>
        </patternFill>
      </fill>
      <border>
        <top style="dotted">
          <color auto="1"/>
        </top>
        <bottom style="thin">
          <color auto="1"/>
        </bottom>
      </border>
    </dxf>
    <dxf>
      <font>
        <color theme="1"/>
      </font>
      <fill>
        <patternFill patternType="none">
          <bgColor auto="1"/>
        </patternFill>
      </fill>
      <border>
        <left/>
        <right style="thin">
          <color auto="1"/>
        </right>
        <top style="dotted">
          <color auto="1"/>
        </top>
        <bottom style="thin">
          <color auto="1"/>
        </bottom>
        <vertical/>
        <horizontal/>
      </border>
    </dxf>
    <dxf>
      <font>
        <color theme="7" tint="0.59996337778862885"/>
      </font>
    </dxf>
    <dxf>
      <font>
        <color theme="1"/>
      </font>
      <fill>
        <patternFill patternType="none">
          <bgColor auto="1"/>
        </patternFill>
      </fill>
    </dxf>
    <dxf>
      <font>
        <color auto="1"/>
      </font>
      <fill>
        <patternFill patternType="none">
          <bgColor auto="1"/>
        </patternFill>
      </fill>
      <border>
        <left/>
        <right/>
        <top style="dotted">
          <color auto="1"/>
        </top>
        <bottom style="thin">
          <color auto="1"/>
        </bottom>
      </border>
    </dxf>
    <dxf>
      <font>
        <color rgb="FFFF0000"/>
      </font>
    </dxf>
    <dxf>
      <fill>
        <patternFill>
          <bgColor theme="5" tint="0.59996337778862885"/>
        </patternFill>
      </fill>
    </dxf>
    <dxf>
      <font>
        <color rgb="FFFF0000"/>
      </font>
    </dxf>
    <dxf>
      <fill>
        <patternFill>
          <bgColor theme="7" tint="0.59996337778862885"/>
        </patternFill>
      </fill>
    </dxf>
    <dxf>
      <font>
        <color rgb="FFFF0000"/>
      </font>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ont>
        <color rgb="FFFF0000"/>
      </font>
    </dxf>
    <dxf>
      <fill>
        <patternFill>
          <bgColor theme="4" tint="0.59996337778862885"/>
        </patternFill>
      </fill>
    </dxf>
    <dxf>
      <font>
        <color rgb="FFFF0000"/>
      </font>
    </dxf>
    <dxf>
      <font>
        <color rgb="FFFF0000"/>
      </font>
    </dxf>
    <dxf>
      <font>
        <color rgb="FFFF0000"/>
      </font>
    </dxf>
    <dxf>
      <fill>
        <patternFill>
          <bgColor theme="9" tint="0.39994506668294322"/>
        </patternFill>
      </fill>
    </dxf>
    <dxf>
      <fill>
        <patternFill>
          <bgColor theme="9" tint="0.39994506668294322"/>
        </patternFill>
      </fill>
    </dxf>
    <dxf>
      <font>
        <color rgb="FFFF0000"/>
      </font>
    </dxf>
    <dxf>
      <fill>
        <patternFill>
          <bgColor theme="9" tint="0.39994506668294322"/>
        </patternFill>
      </fill>
    </dxf>
    <dxf>
      <font>
        <color rgb="FFFF0000"/>
      </font>
    </dxf>
    <dxf>
      <font>
        <color rgb="FFFF0000"/>
      </font>
    </dxf>
    <dxf>
      <font>
        <color rgb="FF00B050"/>
      </font>
    </dxf>
    <dxf>
      <font>
        <color theme="0"/>
      </font>
    </dxf>
    <dxf>
      <font>
        <color theme="0"/>
      </font>
    </dxf>
    <dxf>
      <font>
        <color theme="0"/>
      </font>
    </dxf>
    <dxf>
      <font>
        <color rgb="FF00B050"/>
      </font>
    </dxf>
    <dxf>
      <font>
        <color theme="0"/>
      </font>
    </dxf>
    <dxf>
      <fill>
        <patternFill>
          <bgColor theme="6" tint="0.39994506668294322"/>
        </patternFill>
      </fill>
    </dxf>
    <dxf>
      <font>
        <color rgb="FFFF0000"/>
      </font>
    </dxf>
    <dxf>
      <fill>
        <patternFill>
          <bgColor theme="6" tint="0.39994506668294322"/>
        </patternFill>
      </fill>
    </dxf>
    <dxf>
      <font>
        <color rgb="FFFF0000"/>
      </font>
    </dxf>
    <dxf>
      <fill>
        <patternFill>
          <bgColor theme="9" tint="0.39994506668294322"/>
        </patternFill>
      </fill>
    </dxf>
    <dxf>
      <fill>
        <patternFill>
          <bgColor theme="6" tint="0.39994506668294322"/>
        </patternFill>
      </fill>
    </dxf>
    <dxf>
      <font>
        <color rgb="FFFF0000"/>
      </font>
    </dxf>
    <dxf>
      <font>
        <color theme="0" tint="-0.24994659260841701"/>
      </font>
    </dxf>
    <dxf>
      <font>
        <color theme="0" tint="-0.24994659260841701"/>
      </font>
    </dxf>
    <dxf>
      <font>
        <color theme="0" tint="-0.24994659260841701"/>
      </font>
    </dxf>
    <dxf>
      <font>
        <color rgb="FFFF0000"/>
      </font>
    </dxf>
    <dxf>
      <font>
        <color rgb="FFFF0000"/>
      </font>
    </dxf>
    <dxf>
      <fill>
        <patternFill>
          <bgColor theme="9" tint="0.39994506668294322"/>
        </patternFill>
      </fill>
    </dxf>
    <dxf>
      <font>
        <color rgb="FFFF0000"/>
      </font>
    </dxf>
    <dxf>
      <fill>
        <patternFill>
          <bgColor theme="4" tint="0.59996337778862885"/>
        </patternFill>
      </fill>
    </dxf>
    <dxf>
      <font>
        <color theme="0" tint="-0.24994659260841701"/>
      </font>
    </dxf>
    <dxf>
      <font>
        <color rgb="FFFF0000"/>
      </font>
    </dxf>
    <dxf>
      <font>
        <color rgb="FFFF0000"/>
      </font>
    </dxf>
    <dxf>
      <fill>
        <patternFill>
          <bgColor theme="4" tint="0.59996337778862885"/>
        </patternFill>
      </fill>
    </dxf>
    <dxf>
      <font>
        <color theme="0" tint="-0.24994659260841701"/>
      </font>
    </dxf>
    <dxf>
      <font>
        <color theme="0" tint="-0.24994659260841701"/>
      </font>
    </dxf>
    <dxf>
      <font>
        <color theme="0" tint="-0.24994659260841701"/>
      </font>
    </dxf>
    <dxf>
      <font>
        <color rgb="FFFF000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FF0000"/>
      </font>
    </dxf>
    <dxf>
      <fill>
        <patternFill>
          <bgColor theme="7" tint="0.59996337778862885"/>
        </patternFill>
      </fill>
    </dxf>
    <dxf>
      <fill>
        <patternFill>
          <bgColor theme="5" tint="0.59996337778862885"/>
        </patternFill>
      </fill>
    </dxf>
    <dxf>
      <font>
        <color rgb="FFFF0000"/>
      </font>
    </dxf>
    <dxf>
      <fill>
        <patternFill>
          <bgColor theme="9" tint="0.39994506668294322"/>
        </patternFill>
      </fill>
    </dxf>
    <dxf>
      <font>
        <color rgb="FFFF0000"/>
      </font>
    </dxf>
    <dxf>
      <fill>
        <patternFill>
          <bgColor theme="4" tint="0.59996337778862885"/>
        </patternFill>
      </fill>
    </dxf>
    <dxf>
      <font>
        <color rgb="FFFF0000"/>
      </font>
    </dxf>
    <dxf>
      <font>
        <color rgb="FFFF0000"/>
      </font>
    </dxf>
    <dxf>
      <fill>
        <patternFill>
          <bgColor theme="4" tint="0.59996337778862885"/>
        </patternFill>
      </fill>
    </dxf>
    <dxf>
      <font>
        <color rgb="FFFF0000"/>
      </font>
    </dxf>
    <dxf>
      <fill>
        <patternFill>
          <bgColor theme="9" tint="0.39994506668294322"/>
        </patternFill>
      </fill>
    </dxf>
    <dxf>
      <fill>
        <patternFill>
          <bgColor theme="6" tint="0.39994506668294322"/>
        </patternFill>
      </fill>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ill>
        <patternFill>
          <bgColor rgb="FFFFCC99"/>
        </patternFill>
      </fill>
    </dxf>
    <dxf>
      <font>
        <color rgb="FFFF0000"/>
      </font>
    </dxf>
    <dxf>
      <font>
        <color rgb="FFFF0000"/>
      </font>
    </dxf>
    <dxf>
      <font>
        <color rgb="FFFF0000"/>
      </font>
    </dxf>
    <dxf>
      <font>
        <color rgb="FFFF0000"/>
      </font>
    </dxf>
    <dxf>
      <fill>
        <patternFill>
          <bgColor theme="4" tint="0.59996337778862885"/>
        </patternFill>
      </fill>
    </dxf>
    <dxf>
      <fill>
        <patternFill>
          <bgColor theme="4" tint="0.59996337778862885"/>
        </patternFill>
      </fill>
    </dxf>
    <dxf>
      <font>
        <color rgb="FFFF0000"/>
      </font>
    </dxf>
    <dxf>
      <fill>
        <patternFill>
          <bgColor theme="4" tint="0.59996337778862885"/>
        </patternFill>
      </fill>
    </dxf>
    <dxf>
      <fill>
        <patternFill>
          <bgColor theme="5"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ont>
        <color rgb="FFFF0000"/>
      </font>
    </dxf>
    <dxf>
      <fill>
        <patternFill>
          <bgColor theme="5" tint="0.59996337778862885"/>
        </patternFill>
      </fill>
    </dxf>
    <dxf>
      <fill>
        <patternFill>
          <bgColor theme="9" tint="0.39994506668294322"/>
        </patternFill>
      </fill>
    </dxf>
    <dxf>
      <fill>
        <patternFill>
          <bgColor rgb="FFFFC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C000"/>
        </patternFill>
      </fill>
    </dxf>
    <dxf>
      <font>
        <color rgb="FFFF0000"/>
      </font>
    </dxf>
    <dxf>
      <fill>
        <patternFill>
          <bgColor theme="5" tint="0.59996337778862885"/>
        </patternFill>
      </fill>
    </dxf>
    <dxf>
      <font>
        <color rgb="FFFF0000"/>
      </font>
    </dxf>
    <dxf>
      <fill>
        <patternFill>
          <bgColor theme="5" tint="0.59996337778862885"/>
        </patternFill>
      </fill>
    </dxf>
    <dxf>
      <fill>
        <patternFill>
          <bgColor theme="9" tint="0.39994506668294322"/>
        </patternFill>
      </fill>
    </dxf>
    <dxf>
      <fill>
        <patternFill>
          <bgColor theme="9" tint="0.39994506668294322"/>
        </patternFill>
      </fill>
    </dxf>
    <dxf>
      <fill>
        <patternFill>
          <bgColor theme="5" tint="0.59996337778862885"/>
        </patternFill>
      </fill>
    </dxf>
    <dxf>
      <fill>
        <patternFill>
          <bgColor theme="5" tint="0.5999633777886288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6" tint="0.39994506668294322"/>
        </patternFill>
      </fill>
    </dxf>
    <dxf>
      <fill>
        <patternFill>
          <bgColor theme="4" tint="0.59996337778862885"/>
        </patternFill>
      </fill>
    </dxf>
    <dxf>
      <fill>
        <patternFill>
          <bgColor theme="9" tint="0.39994506668294322"/>
        </patternFill>
      </fill>
    </dxf>
    <dxf>
      <fill>
        <patternFill>
          <bgColor theme="6" tint="0.39994506668294322"/>
        </patternFill>
      </fill>
    </dxf>
    <dxf>
      <fill>
        <patternFill>
          <bgColor theme="4"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7" tint="0.59996337778862885"/>
        </patternFill>
      </fill>
    </dxf>
    <dxf>
      <font>
        <color auto="1"/>
      </font>
      <fill>
        <patternFill>
          <bgColor rgb="FFFFFF99"/>
        </patternFill>
      </fill>
      <border>
        <top style="dotted">
          <color auto="1"/>
        </top>
        <bottom style="thin">
          <color auto="1"/>
        </bottom>
      </border>
    </dxf>
    <dxf>
      <font>
        <color theme="1"/>
      </font>
      <fill>
        <patternFill patternType="none">
          <bgColor auto="1"/>
        </patternFill>
      </fill>
      <border>
        <left/>
        <right style="thin">
          <color auto="1"/>
        </right>
        <top style="dotted">
          <color auto="1"/>
        </top>
        <bottom style="thin">
          <color auto="1"/>
        </bottom>
        <vertical/>
        <horizontal/>
      </border>
    </dxf>
    <dxf>
      <font>
        <color theme="7" tint="0.59996337778862885"/>
      </font>
    </dxf>
    <dxf>
      <font>
        <color theme="1"/>
      </font>
      <fill>
        <patternFill patternType="none">
          <bgColor auto="1"/>
        </patternFill>
      </fill>
    </dxf>
    <dxf>
      <font>
        <color auto="1"/>
      </font>
      <fill>
        <patternFill patternType="none">
          <bgColor auto="1"/>
        </patternFill>
      </fill>
      <border>
        <left/>
        <right/>
        <top style="dotted">
          <color auto="1"/>
        </top>
        <bottom style="thin">
          <color auto="1"/>
        </bottom>
      </border>
    </dxf>
    <dxf>
      <font>
        <color rgb="FFFF0000"/>
      </font>
    </dxf>
    <dxf>
      <fill>
        <patternFill>
          <bgColor theme="7" tint="0.59996337778862885"/>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7" tint="0.59996337778862885"/>
        </patternFill>
      </fill>
    </dxf>
    <dxf>
      <font>
        <color auto="1"/>
      </font>
      <fill>
        <patternFill>
          <bgColor rgb="FFFFFF99"/>
        </patternFill>
      </fill>
      <border>
        <top style="dotted">
          <color auto="1"/>
        </top>
        <bottom style="thin">
          <color auto="1"/>
        </bottom>
      </border>
    </dxf>
    <dxf>
      <font>
        <color theme="1"/>
      </font>
      <fill>
        <patternFill patternType="none">
          <bgColor auto="1"/>
        </patternFill>
      </fill>
      <border>
        <left/>
        <right style="thin">
          <color auto="1"/>
        </right>
        <top style="dotted">
          <color auto="1"/>
        </top>
        <bottom style="thin">
          <color auto="1"/>
        </bottom>
        <vertical/>
        <horizontal/>
      </border>
    </dxf>
    <dxf>
      <font>
        <color theme="7" tint="0.59996337778862885"/>
      </font>
    </dxf>
    <dxf>
      <font>
        <color theme="1"/>
      </font>
      <fill>
        <patternFill patternType="none">
          <bgColor auto="1"/>
        </patternFill>
      </fill>
    </dxf>
    <dxf>
      <font>
        <color auto="1"/>
      </font>
      <fill>
        <patternFill patternType="none">
          <bgColor auto="1"/>
        </patternFill>
      </fill>
      <border>
        <left/>
        <right/>
        <top style="dotted">
          <color auto="1"/>
        </top>
        <bottom style="thin">
          <color auto="1"/>
        </bottom>
      </border>
    </dxf>
    <dxf>
      <font>
        <color rgb="FFFF0000"/>
      </font>
    </dxf>
    <dxf>
      <fill>
        <patternFill>
          <bgColor theme="7" tint="0.59996337778862885"/>
        </patternFill>
      </fill>
    </dxf>
    <dxf>
      <fill>
        <patternFill>
          <bgColor theme="7" tint="0.59996337778862885"/>
        </patternFill>
      </fill>
    </dxf>
    <dxf>
      <font>
        <color auto="1"/>
      </font>
      <fill>
        <patternFill>
          <bgColor rgb="FFFFFF99"/>
        </patternFill>
      </fill>
      <border>
        <top style="dotted">
          <color auto="1"/>
        </top>
        <bottom style="thin">
          <color auto="1"/>
        </bottom>
      </border>
    </dxf>
    <dxf>
      <font>
        <color theme="1"/>
      </font>
      <fill>
        <patternFill patternType="none">
          <bgColor auto="1"/>
        </patternFill>
      </fill>
      <border>
        <left/>
        <right style="thin">
          <color auto="1"/>
        </right>
        <top style="dotted">
          <color auto="1"/>
        </top>
        <bottom style="thin">
          <color auto="1"/>
        </bottom>
        <vertical/>
        <horizontal/>
      </border>
    </dxf>
    <dxf>
      <font>
        <color theme="7" tint="0.59996337778862885"/>
      </font>
    </dxf>
    <dxf>
      <font>
        <color theme="1"/>
      </font>
      <fill>
        <patternFill patternType="none">
          <bgColor auto="1"/>
        </patternFill>
      </fill>
    </dxf>
    <dxf>
      <font>
        <color auto="1"/>
      </font>
      <fill>
        <patternFill patternType="none">
          <bgColor auto="1"/>
        </patternFill>
      </fill>
      <border>
        <left/>
        <right/>
        <top style="dotted">
          <color auto="1"/>
        </top>
        <bottom style="thin">
          <color auto="1"/>
        </bottom>
      </border>
    </dxf>
    <dxf>
      <font>
        <color rgb="FFFF0000"/>
      </font>
    </dxf>
    <dxf>
      <fill>
        <patternFill>
          <bgColor theme="7" tint="0.59996337778862885"/>
        </patternFill>
      </fill>
    </dxf>
    <dxf>
      <fill>
        <patternFill>
          <bgColor theme="7" tint="0.59996337778862885"/>
        </patternFill>
      </fill>
    </dxf>
    <dxf>
      <font>
        <color auto="1"/>
      </font>
      <fill>
        <patternFill>
          <bgColor rgb="FFFFFF99"/>
        </patternFill>
      </fill>
      <border>
        <top style="dotted">
          <color auto="1"/>
        </top>
        <bottom style="thin">
          <color auto="1"/>
        </bottom>
      </border>
    </dxf>
    <dxf>
      <font>
        <color theme="1"/>
      </font>
      <fill>
        <patternFill patternType="none">
          <bgColor auto="1"/>
        </patternFill>
      </fill>
      <border>
        <left/>
        <right style="thin">
          <color auto="1"/>
        </right>
        <top style="dotted">
          <color auto="1"/>
        </top>
        <bottom style="thin">
          <color auto="1"/>
        </bottom>
        <vertical/>
        <horizontal/>
      </border>
    </dxf>
    <dxf>
      <font>
        <color theme="7" tint="0.59996337778862885"/>
      </font>
    </dxf>
    <dxf>
      <font>
        <color theme="1"/>
      </font>
      <fill>
        <patternFill patternType="none">
          <bgColor auto="1"/>
        </patternFill>
      </fill>
    </dxf>
    <dxf>
      <font>
        <color auto="1"/>
      </font>
      <fill>
        <patternFill patternType="none">
          <bgColor auto="1"/>
        </patternFill>
      </fill>
      <border>
        <left/>
        <right/>
        <top style="dotted">
          <color auto="1"/>
        </top>
        <bottom style="thin">
          <color auto="1"/>
        </bottom>
      </border>
    </dxf>
    <dxf>
      <font>
        <color rgb="FFFF0000"/>
      </font>
    </dxf>
    <dxf>
      <fill>
        <patternFill>
          <bgColor theme="5" tint="0.59996337778862885"/>
        </patternFill>
      </fill>
    </dxf>
    <dxf>
      <font>
        <color rgb="FFFF0000"/>
      </font>
    </dxf>
    <dxf>
      <fill>
        <patternFill>
          <bgColor theme="7" tint="0.59996337778862885"/>
        </patternFill>
      </fill>
    </dxf>
    <dxf>
      <font>
        <color rgb="FFFF0000"/>
      </font>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ont>
        <color rgb="FFFF0000"/>
      </font>
    </dxf>
    <dxf>
      <fill>
        <patternFill>
          <bgColor theme="4" tint="0.59996337778862885"/>
        </patternFill>
      </fill>
    </dxf>
    <dxf>
      <font>
        <color rgb="FFFF0000"/>
      </font>
    </dxf>
    <dxf>
      <font>
        <color rgb="FFFF0000"/>
      </font>
    </dxf>
    <dxf>
      <font>
        <color rgb="FFFF0000"/>
      </font>
      <fill>
        <patternFill patternType="none">
          <bgColor auto="1"/>
        </patternFill>
      </fill>
    </dxf>
    <dxf>
      <fill>
        <patternFill>
          <bgColor theme="9" tint="0.39994506668294322"/>
        </patternFill>
      </fill>
    </dxf>
    <dxf>
      <fill>
        <patternFill>
          <bgColor theme="9" tint="0.39994506668294322"/>
        </patternFill>
      </fill>
    </dxf>
    <dxf>
      <font>
        <color rgb="FFFF0000"/>
      </font>
    </dxf>
    <dxf>
      <fill>
        <patternFill>
          <bgColor theme="9" tint="0.39994506668294322"/>
        </patternFill>
      </fill>
    </dxf>
    <dxf>
      <font>
        <color rgb="FFFF0000"/>
      </font>
    </dxf>
    <dxf>
      <font>
        <color rgb="FF00B050"/>
      </font>
    </dxf>
    <dxf>
      <font>
        <color theme="2"/>
      </font>
    </dxf>
    <dxf>
      <font>
        <color theme="2"/>
      </font>
    </dxf>
    <dxf>
      <font>
        <color theme="2"/>
      </font>
    </dxf>
    <dxf>
      <font>
        <color rgb="FF00B050"/>
      </font>
    </dxf>
    <dxf>
      <font>
        <color theme="2"/>
      </font>
    </dxf>
    <dxf>
      <fill>
        <patternFill>
          <bgColor theme="6" tint="0.39994506668294322"/>
        </patternFill>
      </fill>
    </dxf>
    <dxf>
      <font>
        <color rgb="FFFF0000"/>
      </font>
    </dxf>
    <dxf>
      <fill>
        <patternFill>
          <bgColor theme="6" tint="0.39994506668294322"/>
        </patternFill>
      </fill>
    </dxf>
    <dxf>
      <font>
        <color rgb="FFFF0000"/>
      </font>
    </dxf>
    <dxf>
      <fill>
        <patternFill>
          <bgColor theme="9" tint="0.39994506668294322"/>
        </patternFill>
      </fill>
    </dxf>
    <dxf>
      <fill>
        <patternFill>
          <bgColor theme="6" tint="0.39994506668294322"/>
        </patternFill>
      </fill>
    </dxf>
    <dxf>
      <font>
        <color rgb="FFFF0000"/>
      </font>
    </dxf>
    <dxf>
      <font>
        <color rgb="FFFF0000"/>
      </font>
    </dxf>
    <dxf>
      <fill>
        <patternFill>
          <bgColor theme="7" tint="0.59996337778862885"/>
        </patternFill>
      </fill>
    </dxf>
    <dxf>
      <font>
        <color theme="0" tint="-0.24994659260841701"/>
      </font>
    </dxf>
    <dxf>
      <font>
        <color theme="0" tint="-0.24994659260841701"/>
      </font>
    </dxf>
    <dxf>
      <font>
        <color theme="0" tint="-0.24994659260841701"/>
      </font>
    </dxf>
    <dxf>
      <font>
        <color rgb="FFFF0000"/>
      </font>
    </dxf>
    <dxf>
      <font>
        <color rgb="FFFF0000"/>
      </font>
    </dxf>
    <dxf>
      <fill>
        <patternFill>
          <bgColor theme="9" tint="0.39994506668294322"/>
        </patternFill>
      </fill>
    </dxf>
    <dxf>
      <font>
        <color rgb="FFFF0000"/>
      </font>
    </dxf>
    <dxf>
      <fill>
        <patternFill>
          <bgColor theme="4" tint="0.59996337778862885"/>
        </patternFill>
      </fill>
    </dxf>
    <dxf>
      <font>
        <color theme="0" tint="-0.24994659260841701"/>
      </font>
    </dxf>
    <dxf>
      <font>
        <color rgb="FFFF0000"/>
      </font>
    </dxf>
    <dxf>
      <font>
        <color rgb="FFFF0000"/>
      </font>
    </dxf>
    <dxf>
      <fill>
        <patternFill>
          <bgColor theme="4" tint="0.59996337778862885"/>
        </patternFill>
      </fill>
    </dxf>
    <dxf>
      <font>
        <color theme="0" tint="-0.24994659260841701"/>
      </font>
    </dxf>
    <dxf>
      <font>
        <color theme="0" tint="-0.24994659260841701"/>
      </font>
    </dxf>
    <dxf>
      <font>
        <color theme="0" tint="-0.24994659260841701"/>
      </font>
    </dxf>
    <dxf>
      <font>
        <color rgb="FFFF000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FF0000"/>
      </font>
    </dxf>
    <dxf>
      <fill>
        <patternFill>
          <bgColor theme="5" tint="0.59996337778862885"/>
        </patternFill>
      </fill>
    </dxf>
    <dxf>
      <font>
        <color rgb="FFFF0000"/>
      </font>
    </dxf>
    <dxf>
      <fill>
        <patternFill>
          <bgColor theme="9" tint="0.39994506668294322"/>
        </patternFill>
      </fill>
    </dxf>
    <dxf>
      <font>
        <color rgb="FFFF0000"/>
      </font>
    </dxf>
    <dxf>
      <fill>
        <patternFill>
          <bgColor theme="4" tint="0.59996337778862885"/>
        </patternFill>
      </fill>
    </dxf>
    <dxf>
      <font>
        <color rgb="FFFF0000"/>
      </font>
    </dxf>
    <dxf>
      <font>
        <color rgb="FFFF0000"/>
      </font>
    </dxf>
    <dxf>
      <fill>
        <patternFill>
          <bgColor theme="4" tint="0.59996337778862885"/>
        </patternFill>
      </fill>
    </dxf>
    <dxf>
      <font>
        <color rgb="FFFF0000"/>
      </font>
    </dxf>
    <dxf>
      <fill>
        <patternFill>
          <bgColor theme="9" tint="0.39994506668294322"/>
        </patternFill>
      </fill>
    </dxf>
    <dxf>
      <fill>
        <patternFill>
          <bgColor theme="6" tint="0.39994506668294322"/>
        </patternFill>
      </fill>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ill>
        <patternFill>
          <bgColor rgb="FFFFCC99"/>
        </patternFill>
      </fill>
    </dxf>
    <dxf>
      <font>
        <color rgb="FFFF0000"/>
      </font>
    </dxf>
    <dxf>
      <font>
        <color rgb="FFFF0000"/>
      </font>
    </dxf>
    <dxf>
      <font>
        <color rgb="FFFF0000"/>
      </font>
    </dxf>
    <dxf>
      <font>
        <color rgb="FFFF0000"/>
      </font>
    </dxf>
    <dxf>
      <fill>
        <patternFill>
          <bgColor theme="4" tint="0.59996337778862885"/>
        </patternFill>
      </fill>
    </dxf>
    <dxf>
      <fill>
        <patternFill>
          <bgColor theme="4" tint="0.59996337778862885"/>
        </patternFill>
      </fill>
    </dxf>
    <dxf>
      <font>
        <color rgb="FFFF0000"/>
      </font>
    </dxf>
    <dxf>
      <fill>
        <patternFill>
          <bgColor theme="4" tint="0.59996337778862885"/>
        </patternFill>
      </fill>
    </dxf>
    <dxf>
      <fill>
        <patternFill>
          <bgColor theme="5"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ont>
        <color rgb="FFFF0000"/>
      </font>
    </dxf>
    <dxf>
      <fill>
        <patternFill>
          <bgColor theme="5" tint="0.59996337778862885"/>
        </patternFill>
      </fill>
    </dxf>
    <dxf>
      <fill>
        <patternFill>
          <bgColor theme="9" tint="0.39994506668294322"/>
        </patternFill>
      </fill>
    </dxf>
    <dxf>
      <fill>
        <patternFill>
          <bgColor rgb="FFFFC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C000"/>
        </patternFill>
      </fill>
    </dxf>
    <dxf>
      <font>
        <color rgb="FFFF0000"/>
      </font>
    </dxf>
    <dxf>
      <fill>
        <patternFill>
          <bgColor theme="5" tint="0.59996337778862885"/>
        </patternFill>
      </fill>
    </dxf>
    <dxf>
      <font>
        <color rgb="FFFF0000"/>
      </font>
    </dxf>
    <dxf>
      <fill>
        <patternFill>
          <bgColor theme="5" tint="0.59996337778862885"/>
        </patternFill>
      </fill>
    </dxf>
    <dxf>
      <fill>
        <patternFill>
          <bgColor theme="9" tint="0.39994506668294322"/>
        </patternFill>
      </fill>
    </dxf>
    <dxf>
      <fill>
        <patternFill>
          <bgColor theme="9" tint="0.39994506668294322"/>
        </patternFill>
      </fill>
    </dxf>
    <dxf>
      <fill>
        <patternFill>
          <bgColor theme="5" tint="0.59996337778862885"/>
        </patternFill>
      </fill>
    </dxf>
    <dxf>
      <fill>
        <patternFill>
          <bgColor theme="5" tint="0.5999633777886288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6" tint="0.39994506668294322"/>
        </patternFill>
      </fill>
    </dxf>
    <dxf>
      <fill>
        <patternFill>
          <bgColor theme="4" tint="0.59996337778862885"/>
        </patternFill>
      </fill>
    </dxf>
    <dxf>
      <fill>
        <patternFill>
          <bgColor theme="9" tint="0.39994506668294322"/>
        </patternFill>
      </fill>
    </dxf>
    <dxf>
      <fill>
        <patternFill>
          <bgColor theme="6" tint="0.39994506668294322"/>
        </patternFill>
      </fill>
    </dxf>
    <dxf>
      <fill>
        <patternFill>
          <bgColor theme="4"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7" tint="0.59996337778862885"/>
        </patternFill>
      </fill>
    </dxf>
    <dxf>
      <font>
        <color auto="1"/>
      </font>
      <fill>
        <patternFill>
          <bgColor rgb="FFFFFF99"/>
        </patternFill>
      </fill>
      <border>
        <top style="dotted">
          <color auto="1"/>
        </top>
        <bottom style="thin">
          <color auto="1"/>
        </bottom>
      </border>
    </dxf>
    <dxf>
      <font>
        <color theme="1"/>
      </font>
      <fill>
        <patternFill patternType="none">
          <bgColor auto="1"/>
        </patternFill>
      </fill>
      <border>
        <left/>
        <right style="thin">
          <color auto="1"/>
        </right>
        <top style="dotted">
          <color auto="1"/>
        </top>
        <bottom style="thin">
          <color auto="1"/>
        </bottom>
        <vertical/>
        <horizontal/>
      </border>
    </dxf>
    <dxf>
      <font>
        <color theme="7" tint="0.59996337778862885"/>
      </font>
    </dxf>
    <dxf>
      <font>
        <color theme="1"/>
      </font>
      <fill>
        <patternFill patternType="none">
          <bgColor auto="1"/>
        </patternFill>
      </fill>
    </dxf>
    <dxf>
      <font>
        <color auto="1"/>
      </font>
      <fill>
        <patternFill patternType="none">
          <bgColor auto="1"/>
        </patternFill>
      </fill>
      <border>
        <left/>
        <right/>
        <top style="dotted">
          <color auto="1"/>
        </top>
        <bottom style="thin">
          <color auto="1"/>
        </bottom>
      </border>
    </dxf>
    <dxf>
      <font>
        <color rgb="FFFF0000"/>
      </font>
    </dxf>
    <dxf>
      <fill>
        <patternFill>
          <bgColor theme="7" tint="0.59996337778862885"/>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7" tint="0.59996337778862885"/>
        </patternFill>
      </fill>
    </dxf>
    <dxf>
      <font>
        <color auto="1"/>
      </font>
      <fill>
        <patternFill>
          <bgColor rgb="FFFFFF99"/>
        </patternFill>
      </fill>
      <border>
        <top style="dotted">
          <color auto="1"/>
        </top>
        <bottom style="thin">
          <color auto="1"/>
        </bottom>
      </border>
    </dxf>
    <dxf>
      <font>
        <color theme="1"/>
      </font>
      <fill>
        <patternFill patternType="none">
          <bgColor auto="1"/>
        </patternFill>
      </fill>
      <border>
        <left/>
        <right style="thin">
          <color auto="1"/>
        </right>
        <top style="dotted">
          <color auto="1"/>
        </top>
        <bottom style="thin">
          <color auto="1"/>
        </bottom>
        <vertical/>
        <horizontal/>
      </border>
    </dxf>
    <dxf>
      <font>
        <color theme="7" tint="0.59996337778862885"/>
      </font>
    </dxf>
    <dxf>
      <font>
        <color theme="1"/>
      </font>
      <fill>
        <patternFill patternType="none">
          <bgColor auto="1"/>
        </patternFill>
      </fill>
    </dxf>
    <dxf>
      <font>
        <color auto="1"/>
      </font>
      <fill>
        <patternFill patternType="none">
          <bgColor auto="1"/>
        </patternFill>
      </fill>
      <border>
        <left/>
        <right/>
        <top style="dotted">
          <color auto="1"/>
        </top>
        <bottom style="thin">
          <color auto="1"/>
        </bottom>
      </border>
    </dxf>
    <dxf>
      <font>
        <color rgb="FFFF0000"/>
      </font>
    </dxf>
    <dxf>
      <fill>
        <patternFill>
          <bgColor theme="7" tint="0.59996337778862885"/>
        </patternFill>
      </fill>
    </dxf>
    <dxf>
      <fill>
        <patternFill>
          <bgColor theme="7" tint="0.59996337778862885"/>
        </patternFill>
      </fill>
    </dxf>
    <dxf>
      <font>
        <color auto="1"/>
      </font>
      <fill>
        <patternFill>
          <bgColor rgb="FFFFFF99"/>
        </patternFill>
      </fill>
      <border>
        <top style="dotted">
          <color auto="1"/>
        </top>
        <bottom style="thin">
          <color auto="1"/>
        </bottom>
      </border>
    </dxf>
    <dxf>
      <font>
        <color theme="1"/>
      </font>
      <fill>
        <patternFill patternType="none">
          <bgColor auto="1"/>
        </patternFill>
      </fill>
      <border>
        <left/>
        <right style="thin">
          <color auto="1"/>
        </right>
        <top style="dotted">
          <color auto="1"/>
        </top>
        <bottom style="thin">
          <color auto="1"/>
        </bottom>
        <vertical/>
        <horizontal/>
      </border>
    </dxf>
    <dxf>
      <font>
        <color theme="7" tint="0.59996337778862885"/>
      </font>
    </dxf>
    <dxf>
      <font>
        <color theme="1"/>
      </font>
      <fill>
        <patternFill patternType="none">
          <bgColor auto="1"/>
        </patternFill>
      </fill>
    </dxf>
    <dxf>
      <font>
        <color auto="1"/>
      </font>
      <fill>
        <patternFill patternType="none">
          <bgColor auto="1"/>
        </patternFill>
      </fill>
      <border>
        <left/>
        <right/>
        <top style="dotted">
          <color auto="1"/>
        </top>
        <bottom style="thin">
          <color auto="1"/>
        </bottom>
      </border>
    </dxf>
    <dxf>
      <font>
        <color rgb="FFFF0000"/>
      </font>
    </dxf>
    <dxf>
      <fill>
        <patternFill>
          <bgColor theme="7" tint="0.59996337778862885"/>
        </patternFill>
      </fill>
    </dxf>
    <dxf>
      <fill>
        <patternFill>
          <bgColor theme="7" tint="0.59996337778862885"/>
        </patternFill>
      </fill>
    </dxf>
    <dxf>
      <font>
        <color auto="1"/>
      </font>
      <fill>
        <patternFill>
          <bgColor rgb="FFFFFF99"/>
        </patternFill>
      </fill>
      <border>
        <top style="dotted">
          <color auto="1"/>
        </top>
        <bottom style="thin">
          <color auto="1"/>
        </bottom>
      </border>
    </dxf>
    <dxf>
      <font>
        <color theme="1"/>
      </font>
      <fill>
        <patternFill patternType="none">
          <bgColor auto="1"/>
        </patternFill>
      </fill>
      <border>
        <left/>
        <right style="thin">
          <color auto="1"/>
        </right>
        <top style="dotted">
          <color auto="1"/>
        </top>
        <bottom style="thin">
          <color auto="1"/>
        </bottom>
        <vertical/>
        <horizontal/>
      </border>
    </dxf>
    <dxf>
      <font>
        <color theme="7" tint="0.59996337778862885"/>
      </font>
    </dxf>
    <dxf>
      <font>
        <color theme="1"/>
      </font>
      <fill>
        <patternFill patternType="none">
          <bgColor auto="1"/>
        </patternFill>
      </fill>
    </dxf>
    <dxf>
      <font>
        <color auto="1"/>
      </font>
      <fill>
        <patternFill patternType="none">
          <bgColor auto="1"/>
        </patternFill>
      </fill>
      <border>
        <left/>
        <right/>
        <top style="dotted">
          <color auto="1"/>
        </top>
        <bottom style="thin">
          <color auto="1"/>
        </bottom>
      </border>
    </dxf>
    <dxf>
      <font>
        <color rgb="FFFF0000"/>
      </font>
    </dxf>
    <dxf>
      <fill>
        <patternFill>
          <bgColor theme="5" tint="0.59996337778862885"/>
        </patternFill>
      </fill>
    </dxf>
    <dxf>
      <font>
        <color rgb="FFFF0000"/>
      </font>
    </dxf>
    <dxf>
      <fill>
        <patternFill>
          <bgColor theme="7" tint="0.59996337778862885"/>
        </patternFill>
      </fill>
    </dxf>
    <dxf>
      <font>
        <color rgb="FFFF0000"/>
      </font>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ont>
        <color rgb="FFFF0000"/>
      </font>
    </dxf>
    <dxf>
      <fill>
        <patternFill>
          <bgColor theme="4" tint="0.59996337778862885"/>
        </patternFill>
      </fill>
    </dxf>
    <dxf>
      <font>
        <color rgb="FFFF0000"/>
      </font>
    </dxf>
    <dxf>
      <font>
        <color rgb="FFFF0000"/>
      </font>
    </dxf>
    <dxf>
      <font>
        <color rgb="FFFF0000"/>
      </font>
    </dxf>
    <dxf>
      <fill>
        <patternFill>
          <bgColor theme="9" tint="0.39994506668294322"/>
        </patternFill>
      </fill>
    </dxf>
    <dxf>
      <fill>
        <patternFill>
          <bgColor theme="9" tint="0.39994506668294322"/>
        </patternFill>
      </fill>
    </dxf>
    <dxf>
      <font>
        <color rgb="FFFF0000"/>
      </font>
    </dxf>
    <dxf>
      <fill>
        <patternFill>
          <bgColor theme="9" tint="0.39994506668294322"/>
        </patternFill>
      </fill>
    </dxf>
    <dxf>
      <font>
        <color rgb="FFFF0000"/>
      </font>
    </dxf>
    <dxf>
      <font>
        <color theme="2"/>
      </font>
    </dxf>
    <dxf>
      <font>
        <color rgb="FF00B050"/>
      </font>
    </dxf>
    <dxf>
      <font>
        <color theme="2"/>
      </font>
    </dxf>
    <dxf>
      <font>
        <color theme="0" tint="-0.24994659260841701"/>
      </font>
    </dxf>
    <dxf>
      <font>
        <color rgb="FFFF0000"/>
      </font>
    </dxf>
    <dxf>
      <font>
        <color rgb="FFFF0000"/>
      </font>
    </dxf>
    <dxf>
      <fill>
        <patternFill>
          <bgColor theme="9" tint="0.39994506668294322"/>
        </patternFill>
      </fill>
    </dxf>
    <dxf>
      <font>
        <color rgb="FF00B050"/>
      </font>
    </dxf>
    <dxf>
      <font>
        <color theme="2"/>
      </font>
    </dxf>
    <dxf>
      <font>
        <color theme="2"/>
      </font>
    </dxf>
    <dxf>
      <fill>
        <patternFill>
          <bgColor theme="6" tint="0.39994506668294322"/>
        </patternFill>
      </fill>
    </dxf>
    <dxf>
      <font>
        <color rgb="FFFF0000"/>
      </font>
    </dxf>
    <dxf>
      <fill>
        <patternFill>
          <bgColor theme="6" tint="0.39994506668294322"/>
        </patternFill>
      </fill>
    </dxf>
    <dxf>
      <font>
        <color rgb="FFFF0000"/>
      </font>
    </dxf>
    <dxf>
      <fill>
        <patternFill>
          <bgColor theme="9" tint="0.39994506668294322"/>
        </patternFill>
      </fill>
    </dxf>
    <dxf>
      <fill>
        <patternFill>
          <bgColor theme="6" tint="0.39994506668294322"/>
        </patternFill>
      </fill>
    </dxf>
    <dxf>
      <font>
        <color rgb="FFFF0000"/>
      </font>
    </dxf>
    <dxf>
      <font>
        <color rgb="FFFF0000"/>
      </font>
    </dxf>
    <dxf>
      <fill>
        <patternFill>
          <bgColor theme="7" tint="0.59996337778862885"/>
        </patternFill>
      </fill>
    </dxf>
    <dxf>
      <font>
        <color theme="0" tint="-0.24994659260841701"/>
      </font>
    </dxf>
    <dxf>
      <font>
        <color theme="0" tint="-0.24994659260841701"/>
      </font>
    </dxf>
    <dxf>
      <font>
        <color rgb="FFFF0000"/>
      </font>
    </dxf>
    <dxf>
      <fill>
        <patternFill>
          <bgColor theme="4" tint="0.59996337778862885"/>
        </patternFill>
      </fill>
    </dxf>
    <dxf>
      <font>
        <color theme="0" tint="-0.24994659260841701"/>
      </font>
    </dxf>
    <dxf>
      <font>
        <color rgb="FFFF0000"/>
      </font>
    </dxf>
    <dxf>
      <font>
        <color rgb="FFFF0000"/>
      </font>
    </dxf>
    <dxf>
      <fill>
        <patternFill>
          <bgColor theme="4" tint="0.59996337778862885"/>
        </patternFill>
      </fill>
    </dxf>
    <dxf>
      <font>
        <color theme="0" tint="-0.24994659260841701"/>
      </font>
    </dxf>
    <dxf>
      <font>
        <color theme="0" tint="-0.24994659260841701"/>
      </font>
    </dxf>
    <dxf>
      <font>
        <color theme="0" tint="-0.24994659260841701"/>
      </font>
    </dxf>
    <dxf>
      <font>
        <color rgb="FFFF000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FF0000"/>
      </font>
    </dxf>
    <dxf>
      <fill>
        <patternFill>
          <bgColor theme="5" tint="0.59996337778862885"/>
        </patternFill>
      </fill>
    </dxf>
    <dxf>
      <font>
        <color rgb="FFFF0000"/>
      </font>
    </dxf>
    <dxf>
      <fill>
        <patternFill>
          <bgColor theme="9" tint="0.39994506668294322"/>
        </patternFill>
      </fill>
    </dxf>
    <dxf>
      <font>
        <color rgb="FFFF0000"/>
      </font>
    </dxf>
    <dxf>
      <fill>
        <patternFill>
          <bgColor theme="4" tint="0.59996337778862885"/>
        </patternFill>
      </fill>
    </dxf>
    <dxf>
      <font>
        <color rgb="FFFF0000"/>
      </font>
    </dxf>
    <dxf>
      <font>
        <color rgb="FFFF0000"/>
      </font>
    </dxf>
    <dxf>
      <fill>
        <patternFill>
          <bgColor theme="4" tint="0.59996337778862885"/>
        </patternFill>
      </fill>
    </dxf>
    <dxf>
      <font>
        <color rgb="FFFF0000"/>
      </font>
    </dxf>
    <dxf>
      <fill>
        <patternFill>
          <bgColor theme="9" tint="0.39994506668294322"/>
        </patternFill>
      </fill>
    </dxf>
    <dxf>
      <fill>
        <patternFill>
          <bgColor theme="6" tint="0.39994506668294322"/>
        </patternFill>
      </fill>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ill>
        <patternFill>
          <bgColor rgb="FFFFCC99"/>
        </patternFill>
      </fill>
    </dxf>
    <dxf>
      <font>
        <color rgb="FFFF0000"/>
      </font>
    </dxf>
    <dxf>
      <font>
        <color rgb="FFFF0000"/>
      </font>
    </dxf>
    <dxf>
      <font>
        <color rgb="FFFF0000"/>
      </font>
    </dxf>
    <dxf>
      <font>
        <color rgb="FFFF0000"/>
      </font>
    </dxf>
    <dxf>
      <fill>
        <patternFill>
          <bgColor theme="4" tint="0.59996337778862885"/>
        </patternFill>
      </fill>
    </dxf>
    <dxf>
      <fill>
        <patternFill>
          <bgColor theme="4" tint="0.59996337778862885"/>
        </patternFill>
      </fill>
    </dxf>
    <dxf>
      <font>
        <color rgb="FFFF0000"/>
      </font>
    </dxf>
    <dxf>
      <fill>
        <patternFill>
          <bgColor theme="4" tint="0.59996337778862885"/>
        </patternFill>
      </fill>
    </dxf>
    <dxf>
      <fill>
        <patternFill>
          <bgColor theme="5"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ont>
        <color rgb="FFFF0000"/>
      </font>
    </dxf>
    <dxf>
      <fill>
        <patternFill>
          <bgColor theme="5" tint="0.59996337778862885"/>
        </patternFill>
      </fill>
    </dxf>
    <dxf>
      <fill>
        <patternFill>
          <bgColor theme="9" tint="0.39994506668294322"/>
        </patternFill>
      </fill>
    </dxf>
    <dxf>
      <fill>
        <patternFill>
          <bgColor rgb="FFFFC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C000"/>
        </patternFill>
      </fill>
    </dxf>
    <dxf>
      <font>
        <color rgb="FFFF0000"/>
      </font>
    </dxf>
    <dxf>
      <fill>
        <patternFill>
          <bgColor theme="5" tint="0.59996337778862885"/>
        </patternFill>
      </fill>
    </dxf>
    <dxf>
      <font>
        <color rgb="FFFF0000"/>
      </font>
    </dxf>
    <dxf>
      <fill>
        <patternFill>
          <bgColor theme="5" tint="0.59996337778862885"/>
        </patternFill>
      </fill>
    </dxf>
    <dxf>
      <fill>
        <patternFill>
          <bgColor theme="9" tint="0.39994506668294322"/>
        </patternFill>
      </fill>
    </dxf>
    <dxf>
      <fill>
        <patternFill>
          <bgColor theme="9" tint="0.39994506668294322"/>
        </patternFill>
      </fill>
    </dxf>
    <dxf>
      <fill>
        <patternFill>
          <bgColor theme="5" tint="0.59996337778862885"/>
        </patternFill>
      </fill>
    </dxf>
    <dxf>
      <fill>
        <patternFill>
          <bgColor theme="5" tint="0.5999633777886288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6" tint="0.39994506668294322"/>
        </patternFill>
      </fill>
    </dxf>
    <dxf>
      <fill>
        <patternFill>
          <bgColor theme="4" tint="0.59996337778862885"/>
        </patternFill>
      </fill>
    </dxf>
    <dxf>
      <fill>
        <patternFill>
          <bgColor theme="9" tint="0.39994506668294322"/>
        </patternFill>
      </fill>
    </dxf>
    <dxf>
      <fill>
        <patternFill>
          <bgColor theme="6" tint="0.39994506668294322"/>
        </patternFill>
      </fill>
    </dxf>
    <dxf>
      <fill>
        <patternFill>
          <bgColor theme="4"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7" tint="0.59996337778862885"/>
        </patternFill>
      </fill>
    </dxf>
    <dxf>
      <font>
        <color auto="1"/>
      </font>
      <fill>
        <patternFill>
          <bgColor rgb="FFFFFF99"/>
        </patternFill>
      </fill>
      <border>
        <top style="dotted">
          <color auto="1"/>
        </top>
        <bottom style="thin">
          <color auto="1"/>
        </bottom>
      </border>
    </dxf>
    <dxf>
      <font>
        <color theme="1"/>
      </font>
      <fill>
        <patternFill patternType="none">
          <bgColor auto="1"/>
        </patternFill>
      </fill>
      <border>
        <left/>
        <right style="thin">
          <color auto="1"/>
        </right>
        <top style="dotted">
          <color auto="1"/>
        </top>
        <bottom style="thin">
          <color auto="1"/>
        </bottom>
        <vertical/>
        <horizontal/>
      </border>
    </dxf>
    <dxf>
      <font>
        <color theme="7" tint="0.59996337778862885"/>
      </font>
    </dxf>
    <dxf>
      <font>
        <color theme="1"/>
      </font>
      <fill>
        <patternFill patternType="none">
          <bgColor auto="1"/>
        </patternFill>
      </fill>
    </dxf>
    <dxf>
      <font>
        <color auto="1"/>
      </font>
      <fill>
        <patternFill patternType="none">
          <bgColor auto="1"/>
        </patternFill>
      </fill>
      <border>
        <left/>
        <right/>
        <top style="dotted">
          <color auto="1"/>
        </top>
        <bottom style="thin">
          <color auto="1"/>
        </bottom>
      </border>
    </dxf>
    <dxf>
      <font>
        <color rgb="FFFF0000"/>
      </font>
    </dxf>
    <dxf>
      <fill>
        <patternFill>
          <bgColor theme="7" tint="0.59996337778862885"/>
        </patternFill>
      </fill>
    </dxf>
    <dxf>
      <fill>
        <patternFill>
          <bgColor theme="7" tint="0.59996337778862885"/>
        </patternFill>
      </fill>
    </dxf>
    <dxf>
      <font>
        <color auto="1"/>
      </font>
      <fill>
        <patternFill>
          <bgColor rgb="FFFFFF99"/>
        </patternFill>
      </fill>
      <border>
        <top style="dotted">
          <color auto="1"/>
        </top>
        <bottom style="thin">
          <color auto="1"/>
        </bottom>
      </border>
    </dxf>
    <dxf>
      <font>
        <color theme="1"/>
      </font>
      <fill>
        <patternFill patternType="none">
          <bgColor auto="1"/>
        </patternFill>
      </fill>
      <border>
        <left/>
        <right style="thin">
          <color auto="1"/>
        </right>
        <top style="dotted">
          <color auto="1"/>
        </top>
        <bottom style="thin">
          <color auto="1"/>
        </bottom>
        <vertical/>
        <horizontal/>
      </border>
    </dxf>
    <dxf>
      <font>
        <color theme="7" tint="0.59996337778862885"/>
      </font>
    </dxf>
    <dxf>
      <font>
        <color theme="1"/>
      </font>
      <fill>
        <patternFill patternType="none">
          <bgColor auto="1"/>
        </patternFill>
      </fill>
    </dxf>
    <dxf>
      <font>
        <color auto="1"/>
      </font>
      <fill>
        <patternFill patternType="none">
          <bgColor auto="1"/>
        </patternFill>
      </fill>
      <border>
        <left/>
        <right/>
        <top style="dotted">
          <color auto="1"/>
        </top>
        <bottom style="thin">
          <color auto="1"/>
        </bottom>
      </border>
    </dxf>
    <dxf>
      <font>
        <color rgb="FFFF0000"/>
      </font>
    </dxf>
    <dxf>
      <fill>
        <patternFill>
          <bgColor theme="7" tint="0.59996337778862885"/>
        </patternFill>
      </fill>
    </dxf>
    <dxf>
      <fill>
        <patternFill>
          <bgColor theme="7" tint="0.59996337778862885"/>
        </patternFill>
      </fill>
    </dxf>
    <dxf>
      <font>
        <color auto="1"/>
      </font>
      <fill>
        <patternFill>
          <bgColor rgb="FFFFFF99"/>
        </patternFill>
      </fill>
      <border>
        <top style="dotted">
          <color auto="1"/>
        </top>
        <bottom style="thin">
          <color auto="1"/>
        </bottom>
      </border>
    </dxf>
    <dxf>
      <font>
        <color theme="1"/>
      </font>
      <fill>
        <patternFill patternType="none">
          <bgColor auto="1"/>
        </patternFill>
      </fill>
      <border>
        <left/>
        <right style="thin">
          <color auto="1"/>
        </right>
        <top style="dotted">
          <color auto="1"/>
        </top>
        <bottom style="thin">
          <color auto="1"/>
        </bottom>
        <vertical/>
        <horizontal/>
      </border>
    </dxf>
    <dxf>
      <font>
        <color theme="7" tint="0.59996337778862885"/>
      </font>
    </dxf>
    <dxf>
      <font>
        <color theme="1"/>
      </font>
      <fill>
        <patternFill patternType="none">
          <bgColor auto="1"/>
        </patternFill>
      </fill>
    </dxf>
    <dxf>
      <font>
        <color auto="1"/>
      </font>
      <fill>
        <patternFill patternType="none">
          <bgColor auto="1"/>
        </patternFill>
      </fill>
      <border>
        <left/>
        <right/>
        <top style="dotted">
          <color auto="1"/>
        </top>
        <bottom style="thin">
          <color auto="1"/>
        </bottom>
      </border>
    </dxf>
    <dxf>
      <font>
        <color rgb="FFFF0000"/>
      </font>
    </dxf>
    <dxf>
      <fill>
        <patternFill>
          <bgColor theme="7" tint="0.59996337778862885"/>
        </patternFill>
      </fill>
    </dxf>
    <dxf>
      <fill>
        <patternFill>
          <bgColor theme="7" tint="0.59996337778862885"/>
        </patternFill>
      </fill>
    </dxf>
    <dxf>
      <font>
        <color auto="1"/>
      </font>
      <fill>
        <patternFill>
          <bgColor rgb="FFFFFF99"/>
        </patternFill>
      </fill>
      <border>
        <top style="dotted">
          <color auto="1"/>
        </top>
        <bottom style="thin">
          <color auto="1"/>
        </bottom>
      </border>
    </dxf>
    <dxf>
      <font>
        <color rgb="FFFF0000"/>
      </font>
    </dxf>
    <dxf>
      <font>
        <color rgb="FFFF0000"/>
      </font>
    </dxf>
    <dxf>
      <font>
        <color rgb="FFFF0000"/>
      </font>
    </dxf>
    <dxf>
      <font>
        <color rgb="FFFF0000"/>
      </font>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4" tint="0.59996337778862885"/>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ont>
        <color rgb="FFFF0000"/>
      </font>
    </dxf>
    <dxf>
      <fill>
        <patternFill>
          <bgColor theme="9" tint="0.39994506668294322"/>
        </patternFill>
      </fill>
    </dxf>
    <dxf>
      <fill>
        <patternFill>
          <bgColor theme="9" tint="0.39994506668294322"/>
        </patternFill>
      </fill>
    </dxf>
    <dxf>
      <font>
        <color rgb="FFFF0000"/>
      </font>
    </dxf>
    <dxf>
      <fill>
        <patternFill>
          <bgColor theme="9" tint="0.39994506668294322"/>
        </patternFill>
      </fill>
    </dxf>
    <dxf>
      <font>
        <color rgb="FFFF0000"/>
      </font>
    </dxf>
    <dxf>
      <font>
        <color rgb="FF00B050"/>
      </font>
    </dxf>
    <dxf>
      <font>
        <color theme="2"/>
      </font>
    </dxf>
    <dxf>
      <font>
        <color theme="2"/>
      </font>
    </dxf>
    <dxf>
      <font>
        <color theme="2"/>
      </font>
    </dxf>
    <dxf>
      <fill>
        <patternFill>
          <bgColor theme="6" tint="0.39994506668294322"/>
        </patternFill>
      </fill>
    </dxf>
    <dxf>
      <font>
        <color rgb="FFFF0000"/>
      </font>
    </dxf>
    <dxf>
      <fill>
        <patternFill>
          <bgColor theme="6" tint="0.39994506668294322"/>
        </patternFill>
      </fill>
    </dxf>
    <dxf>
      <font>
        <color rgb="FFFF0000"/>
      </font>
    </dxf>
    <dxf>
      <font>
        <color rgb="FF00B050"/>
      </font>
    </dxf>
    <dxf>
      <font>
        <color theme="2"/>
      </font>
    </dxf>
    <dxf>
      <font>
        <color theme="1"/>
      </font>
      <fill>
        <patternFill patternType="none">
          <bgColor auto="1"/>
        </patternFill>
      </fill>
      <border>
        <left/>
        <right style="thin">
          <color auto="1"/>
        </right>
        <top style="dotted">
          <color auto="1"/>
        </top>
        <bottom style="thin">
          <color auto="1"/>
        </bottom>
        <vertical/>
        <horizontal/>
      </border>
    </dxf>
    <dxf>
      <fill>
        <patternFill>
          <bgColor theme="9" tint="0.39994506668294322"/>
        </patternFill>
      </fill>
    </dxf>
    <dxf>
      <fill>
        <patternFill>
          <bgColor theme="6" tint="0.39994506668294322"/>
        </patternFill>
      </fill>
    </dxf>
    <dxf>
      <font>
        <color rgb="FFFF0000"/>
      </font>
    </dxf>
    <dxf>
      <font>
        <color rgb="FFFF0000"/>
      </font>
    </dxf>
    <dxf>
      <fill>
        <patternFill>
          <bgColor theme="9" tint="0.39994506668294322"/>
        </patternFill>
      </fill>
    </dxf>
    <dxf>
      <font>
        <color theme="7" tint="0.59996337778862885"/>
      </font>
    </dxf>
    <dxf>
      <font>
        <color theme="1"/>
      </font>
      <fill>
        <patternFill patternType="none">
          <bgColor auto="1"/>
        </patternFill>
      </fill>
    </dxf>
    <dxf>
      <font>
        <color theme="0" tint="-0.24994659260841701"/>
      </font>
    </dxf>
    <dxf>
      <font>
        <color rgb="FFFF0000"/>
      </font>
    </dxf>
    <dxf>
      <font>
        <color rgb="FFFF0000"/>
      </font>
    </dxf>
    <dxf>
      <fill>
        <patternFill>
          <bgColor theme="9" tint="0.39994506668294322"/>
        </patternFill>
      </fill>
    </dxf>
    <dxf>
      <font>
        <color rgb="FFFF0000"/>
      </font>
    </dxf>
    <dxf>
      <fill>
        <patternFill>
          <bgColor theme="4" tint="0.59996337778862885"/>
        </patternFill>
      </fill>
    </dxf>
    <dxf>
      <font>
        <color theme="0" tint="-0.24994659260841701"/>
      </font>
    </dxf>
    <dxf>
      <font>
        <color rgb="FFFF0000"/>
      </font>
    </dxf>
    <dxf>
      <font>
        <color rgb="FFFF0000"/>
      </font>
    </dxf>
    <dxf>
      <fill>
        <patternFill>
          <bgColor theme="4" tint="0.59996337778862885"/>
        </patternFill>
      </fill>
    </dxf>
    <dxf>
      <font>
        <color auto="1"/>
      </font>
      <fill>
        <patternFill patternType="none">
          <bgColor auto="1"/>
        </patternFill>
      </fill>
      <border>
        <left/>
        <right/>
        <top style="dotted">
          <color auto="1"/>
        </top>
        <bottom style="thin">
          <color auto="1"/>
        </bottom>
      </border>
    </dxf>
    <dxf>
      <font>
        <color theme="0" tint="-0.24994659260841701"/>
      </font>
    </dxf>
    <dxf>
      <font>
        <color theme="0" tint="-0.24994659260841701"/>
      </font>
    </dxf>
    <dxf>
      <font>
        <color theme="0" tint="-0.24994659260841701"/>
      </font>
    </dxf>
    <dxf>
      <font>
        <color rgb="FFFF000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FF0000"/>
      </font>
    </dxf>
    <dxf>
      <fill>
        <patternFill>
          <bgColor theme="7" tint="0.59996337778862885"/>
        </patternFill>
      </fill>
    </dxf>
    <dxf>
      <fill>
        <patternFill>
          <bgColor theme="5" tint="0.59996337778862885"/>
        </patternFill>
      </fill>
    </dxf>
    <dxf>
      <font>
        <color rgb="FFFF0000"/>
      </font>
    </dxf>
    <dxf>
      <fill>
        <patternFill>
          <bgColor theme="9" tint="0.39994506668294322"/>
        </patternFill>
      </fill>
    </dxf>
    <dxf>
      <font>
        <color rgb="FFFF0000"/>
      </font>
    </dxf>
    <dxf>
      <fill>
        <patternFill>
          <bgColor theme="4" tint="0.59996337778862885"/>
        </patternFill>
      </fill>
    </dxf>
    <dxf>
      <font>
        <color rgb="FFFF0000"/>
      </font>
    </dxf>
    <dxf>
      <font>
        <color rgb="FFFF0000"/>
      </font>
    </dxf>
    <dxf>
      <fill>
        <patternFill>
          <bgColor theme="4" tint="0.59996337778862885"/>
        </patternFill>
      </fill>
    </dxf>
    <dxf>
      <font>
        <color rgb="FFFF0000"/>
      </font>
    </dxf>
    <dxf>
      <fill>
        <patternFill>
          <bgColor theme="9" tint="0.39994506668294322"/>
        </patternFill>
      </fill>
    </dxf>
    <dxf>
      <font>
        <color rgb="FFFF0000"/>
      </font>
    </dxf>
    <dxf>
      <fill>
        <patternFill>
          <bgColor theme="5" tint="0.59996337778862885"/>
        </patternFill>
      </fill>
    </dxf>
    <dxf>
      <fill>
        <patternFill>
          <bgColor theme="6" tint="0.39994506668294322"/>
        </patternFill>
      </fill>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ill>
        <patternFill>
          <bgColor rgb="FFFFCC99"/>
        </patternFill>
      </fill>
    </dxf>
    <dxf>
      <font>
        <color rgb="FFFF0000"/>
      </font>
    </dxf>
    <dxf>
      <font>
        <color rgb="FFFF0000"/>
      </font>
    </dxf>
    <dxf>
      <font>
        <color rgb="FFFF0000"/>
      </font>
    </dxf>
    <dxf>
      <font>
        <color rgb="FFFF0000"/>
      </font>
    </dxf>
    <dxf>
      <fill>
        <patternFill>
          <bgColor theme="4" tint="0.59996337778862885"/>
        </patternFill>
      </fill>
    </dxf>
    <dxf>
      <fill>
        <patternFill>
          <bgColor theme="4" tint="0.59996337778862885"/>
        </patternFill>
      </fill>
    </dxf>
    <dxf>
      <font>
        <color rgb="FFFF0000"/>
      </font>
    </dxf>
    <dxf>
      <fill>
        <patternFill>
          <bgColor theme="4" tint="0.59996337778862885"/>
        </patternFill>
      </fill>
    </dxf>
    <dxf>
      <fill>
        <patternFill>
          <bgColor theme="5"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ont>
        <color rgb="FFFF0000"/>
      </font>
    </dxf>
    <dxf>
      <fill>
        <patternFill>
          <bgColor theme="5" tint="0.59996337778862885"/>
        </patternFill>
      </fill>
    </dxf>
    <dxf>
      <fill>
        <patternFill>
          <bgColor rgb="FFFFC000"/>
        </patternFill>
      </fill>
    </dxf>
    <dxf>
      <fill>
        <patternFill>
          <bgColor theme="9" tint="0.39994506668294322"/>
        </patternFill>
      </fill>
    </dxf>
    <dxf>
      <font>
        <color rgb="FFFF0000"/>
      </font>
    </dxf>
    <dxf>
      <fill>
        <patternFill>
          <bgColor theme="7"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C000"/>
        </patternFill>
      </fill>
    </dxf>
    <dxf>
      <font>
        <color rgb="FFFF0000"/>
      </font>
    </dxf>
    <dxf>
      <fill>
        <patternFill>
          <bgColor theme="5" tint="0.59996337778862885"/>
        </patternFill>
      </fill>
    </dxf>
    <dxf>
      <font>
        <color rgb="FFFF0000"/>
      </font>
    </dxf>
    <dxf>
      <fill>
        <patternFill>
          <bgColor theme="5" tint="0.59996337778862885"/>
        </patternFill>
      </fill>
    </dxf>
    <dxf>
      <fill>
        <patternFill>
          <bgColor theme="9" tint="0.39994506668294322"/>
        </patternFill>
      </fill>
    </dxf>
    <dxf>
      <fill>
        <patternFill>
          <bgColor theme="9" tint="0.39994506668294322"/>
        </patternFill>
      </fill>
    </dxf>
    <dxf>
      <fill>
        <patternFill>
          <bgColor theme="5" tint="0.59996337778862885"/>
        </patternFill>
      </fill>
    </dxf>
    <dxf>
      <fill>
        <patternFill>
          <bgColor theme="5" tint="0.5999633777886288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6" tint="0.39994506668294322"/>
        </patternFill>
      </fill>
    </dxf>
    <dxf>
      <fill>
        <patternFill>
          <bgColor theme="4" tint="0.59996337778862885"/>
        </patternFill>
      </fill>
    </dxf>
    <dxf>
      <fill>
        <patternFill>
          <bgColor theme="9" tint="0.39994506668294322"/>
        </patternFill>
      </fill>
    </dxf>
    <dxf>
      <fill>
        <patternFill>
          <bgColor theme="6" tint="0.39994506668294322"/>
        </patternFill>
      </fill>
    </dxf>
    <dxf>
      <fill>
        <patternFill>
          <bgColor theme="4"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6" tint="0.79998168889431442"/>
      </font>
    </dxf>
    <dxf>
      <font>
        <color theme="2"/>
      </font>
    </dxf>
    <dxf>
      <font>
        <color theme="2"/>
      </font>
    </dxf>
    <dxf>
      <font>
        <color theme="2"/>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FF0000"/>
      </font>
    </dxf>
    <dxf>
      <font>
        <color rgb="FFFF0000"/>
      </font>
    </dxf>
    <dxf>
      <font>
        <color rgb="FF0000FF"/>
      </font>
    </dxf>
    <dxf>
      <font>
        <color theme="0" tint="-0.24994659260841701"/>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0000FF"/>
      </font>
    </dxf>
    <dxf>
      <font>
        <color rgb="FF0000FF"/>
      </font>
    </dxf>
    <dxf>
      <font>
        <color rgb="FF0000FF"/>
      </font>
    </dxf>
    <dxf>
      <font>
        <color rgb="FF0000FF"/>
      </font>
    </dxf>
    <dxf>
      <font>
        <color rgb="FF0000FF"/>
      </font>
    </dxf>
    <dxf>
      <font>
        <color rgb="FFFF0000"/>
      </font>
    </dxf>
    <dxf>
      <font>
        <color rgb="FF0000FF"/>
      </font>
    </dxf>
    <dxf>
      <font>
        <color rgb="FFFF0000"/>
      </font>
    </dxf>
    <dxf>
      <font>
        <color rgb="FF0000FF"/>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FF0000"/>
      </font>
    </dxf>
    <dxf>
      <font>
        <color theme="2"/>
      </font>
    </dxf>
    <dxf>
      <font>
        <color rgb="FF0000FF"/>
      </font>
    </dxf>
    <dxf>
      <font>
        <color theme="2"/>
      </font>
    </dxf>
    <dxf>
      <font>
        <color rgb="FF0000FF"/>
      </font>
    </dxf>
    <dxf>
      <font>
        <color theme="0" tint="-0.24994659260841701"/>
      </font>
    </dxf>
    <dxf>
      <font>
        <color theme="0" tint="-0.24994659260841701"/>
      </font>
    </dxf>
    <dxf>
      <font>
        <color theme="0" tint="-0.24994659260841701"/>
      </font>
    </dxf>
    <dxf>
      <font>
        <color rgb="FFFF0000"/>
      </font>
    </dxf>
    <dxf>
      <font>
        <color theme="0" tint="-0.24994659260841701"/>
      </font>
    </dxf>
    <dxf>
      <font>
        <color theme="0" tint="-0.24994659260841701"/>
      </font>
    </dxf>
    <dxf>
      <font>
        <color rgb="FF0000FF"/>
      </font>
    </dxf>
    <dxf>
      <font>
        <color theme="0" tint="-0.24994659260841701"/>
      </font>
    </dxf>
    <dxf>
      <font>
        <color rgb="FFFF0000"/>
      </font>
    </dxf>
    <dxf>
      <font>
        <color rgb="FF0000FF"/>
      </font>
    </dxf>
    <dxf>
      <font>
        <color rgb="FFFF000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0000FF"/>
      </font>
    </dxf>
    <dxf>
      <font>
        <color rgb="FFFF0000"/>
      </font>
    </dxf>
    <dxf>
      <font>
        <color rgb="FFFF0000"/>
      </font>
    </dxf>
    <dxf>
      <font>
        <color rgb="FFFF0000"/>
      </font>
    </dxf>
    <dxf>
      <font>
        <color rgb="FF0000FF"/>
      </font>
    </dxf>
    <dxf>
      <font>
        <color theme="0" tint="-0.24994659260841701"/>
      </font>
    </dxf>
    <dxf>
      <font>
        <color theme="0" tint="-0.24994659260841701"/>
      </font>
    </dxf>
    <dxf>
      <font>
        <color theme="0" tint="-0.24994659260841701"/>
      </font>
    </dxf>
    <dxf>
      <font>
        <color theme="2"/>
      </font>
    </dxf>
    <dxf>
      <font>
        <color theme="0" tint="-0.24994659260841701"/>
      </font>
    </dxf>
    <dxf>
      <font>
        <color theme="0" tint="-0.24994659260841701"/>
      </font>
    </dxf>
    <dxf>
      <font>
        <color theme="0" tint="-0.24994659260841701"/>
      </font>
    </dxf>
    <dxf>
      <font>
        <color theme="0" tint="-0.24994659260841701"/>
      </font>
    </dxf>
    <dxf>
      <font>
        <color theme="2"/>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2"/>
      </font>
    </dxf>
    <dxf>
      <font>
        <color theme="0" tint="-0.24994659260841701"/>
      </font>
    </dxf>
    <dxf>
      <font>
        <color theme="0" tint="-0.24994659260841701"/>
      </font>
    </dxf>
    <dxf>
      <font>
        <color rgb="FFFF0000"/>
      </font>
    </dxf>
    <dxf>
      <font>
        <color rgb="FF0000FF"/>
      </font>
    </dxf>
    <dxf>
      <font>
        <color rgb="FFFF000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s>
  <tableStyles count="0" defaultTableStyle="TableStyleMedium9" defaultPivotStyle="PivotStyleLight16"/>
  <colors>
    <mruColors>
      <color rgb="FFE4DFEC"/>
      <color rgb="FFFFFF99"/>
      <color rgb="FF9900FF"/>
      <color rgb="FF0000FF"/>
      <color rgb="FF66FFFF"/>
      <color rgb="FFCCFFCC"/>
      <color rgb="FFF7EEE5"/>
      <color rgb="FFF3E6D9"/>
      <color rgb="FFEAEAEA"/>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860166415367958"/>
          <c:y val="2.9125911969615392E-2"/>
          <c:w val="0.80139833584631659"/>
          <c:h val="0.9523528212657848"/>
        </c:manualLayout>
      </c:layout>
      <c:barChart>
        <c:barDir val="col"/>
        <c:grouping val="stacked"/>
        <c:varyColors val="0"/>
        <c:ser>
          <c:idx val="1"/>
          <c:order val="0"/>
          <c:tx>
            <c:strRef>
              <c:f>Berechnungen!$O$12</c:f>
              <c:strCache>
                <c:ptCount val="1"/>
                <c:pt idx="0">
                  <c:v>Förder-beiträge</c:v>
                </c:pt>
              </c:strCache>
            </c:strRef>
          </c:tx>
          <c:spPr>
            <a:solidFill>
              <a:schemeClr val="accent3">
                <a:lumMod val="75000"/>
              </a:schemeClr>
            </a:solidFill>
            <a:effectLst>
              <a:outerShdw blurRad="50800" dist="38100" dir="2700000" algn="tl" rotWithShape="0">
                <a:prstClr val="black">
                  <a:alpha val="40000"/>
                </a:prstClr>
              </a:outerShdw>
            </a:effectLst>
          </c:spPr>
          <c:invertIfNegative val="0"/>
          <c:dLbls>
            <c:numFmt formatCode="#,##0;#,##0;&quot;&quot;" sourceLinked="0"/>
            <c:spPr>
              <a:noFill/>
              <a:ln>
                <a:noFill/>
              </a:ln>
            </c:spPr>
            <c:txPr>
              <a:bodyPr/>
              <a:lstStyle/>
              <a:p>
                <a:pPr>
                  <a:defRPr sz="1000">
                    <a:latin typeface="Arial" pitchFamily="34" charset="0"/>
                    <a:cs typeface="Arial"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Berechnungen!$D$11:$K$11</c15:sqref>
                  </c15:fullRef>
                </c:ext>
              </c:extLst>
              <c:f>(Berechnungen!$D$11,Berechnungen!$F$11,Berechnungen!$H$11,Berechnungen!$J$11)</c:f>
              <c:numCache>
                <c:formatCode>#,##0</c:formatCode>
                <c:ptCount val="4"/>
                <c:pt idx="0">
                  <c:v>0</c:v>
                </c:pt>
                <c:pt idx="1">
                  <c:v>0</c:v>
                </c:pt>
                <c:pt idx="2">
                  <c:v>0</c:v>
                </c:pt>
                <c:pt idx="3">
                  <c:v>0</c:v>
                </c:pt>
              </c:numCache>
            </c:numRef>
          </c:val>
          <c:extLst>
            <c:ext xmlns:c16="http://schemas.microsoft.com/office/drawing/2014/chart" uri="{C3380CC4-5D6E-409C-BE32-E72D297353CC}">
              <c16:uniqueId val="{00000000-19B4-42CD-9E45-798539E5A6E1}"/>
            </c:ext>
          </c:extLst>
        </c:ser>
        <c:ser>
          <c:idx val="0"/>
          <c:order val="1"/>
          <c:tx>
            <c:strRef>
              <c:f>Berechnungen!$O$10</c:f>
              <c:strCache>
                <c:ptCount val="1"/>
                <c:pt idx="0">
                  <c:v>Investitions-kosten</c:v>
                </c:pt>
              </c:strCache>
            </c:strRef>
          </c:tx>
          <c:spPr>
            <a:solidFill>
              <a:schemeClr val="tx2">
                <a:lumMod val="60000"/>
                <a:lumOff val="40000"/>
              </a:schemeClr>
            </a:solidFill>
            <a:effectLst>
              <a:outerShdw blurRad="50800" dist="38100" dir="2700000" algn="tl" rotWithShape="0">
                <a:prstClr val="black">
                  <a:alpha val="40000"/>
                </a:prstClr>
              </a:outerShdw>
            </a:effectLst>
          </c:spPr>
          <c:invertIfNegative val="0"/>
          <c:dLbls>
            <c:numFmt formatCode="#,##0_ ;[Red]\-#,##0;&quot;&quot;" sourceLinked="0"/>
            <c:spPr>
              <a:noFill/>
            </c:spPr>
            <c:txPr>
              <a:bodyPr/>
              <a:lstStyle/>
              <a:p>
                <a:pPr>
                  <a:defRPr sz="1000">
                    <a:latin typeface="Arial" pitchFamily="34" charset="0"/>
                    <a:cs typeface="Arial"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Berechnungen!$D$10:$K$10</c15:sqref>
                  </c15:fullRef>
                </c:ext>
              </c:extLst>
              <c:f>(Berechnungen!$D$10,Berechnungen!$F$10,Berechnungen!$H$10,Berechnungen!$J$10)</c:f>
              <c:numCache>
                <c:formatCode>#,##0</c:formatCode>
                <c:ptCount val="4"/>
                <c:pt idx="0">
                  <c:v>0</c:v>
                </c:pt>
                <c:pt idx="1">
                  <c:v>0</c:v>
                </c:pt>
                <c:pt idx="2">
                  <c:v>0</c:v>
                </c:pt>
                <c:pt idx="3">
                  <c:v>0</c:v>
                </c:pt>
              </c:numCache>
            </c:numRef>
          </c:val>
          <c:extLst>
            <c:ext xmlns:c16="http://schemas.microsoft.com/office/drawing/2014/chart" uri="{C3380CC4-5D6E-409C-BE32-E72D297353CC}">
              <c16:uniqueId val="{00000001-19B4-42CD-9E45-798539E5A6E1}"/>
            </c:ext>
          </c:extLst>
        </c:ser>
        <c:dLbls>
          <c:showLegendKey val="0"/>
          <c:showVal val="0"/>
          <c:showCatName val="0"/>
          <c:showSerName val="0"/>
          <c:showPercent val="0"/>
          <c:showBubbleSize val="0"/>
        </c:dLbls>
        <c:gapWidth val="150"/>
        <c:overlap val="100"/>
        <c:axId val="416428408"/>
        <c:axId val="416428800"/>
      </c:barChart>
      <c:catAx>
        <c:axId val="416428408"/>
        <c:scaling>
          <c:orientation val="minMax"/>
        </c:scaling>
        <c:delete val="0"/>
        <c:axPos val="b"/>
        <c:numFmt formatCode="General" sourceLinked="0"/>
        <c:majorTickMark val="none"/>
        <c:minorTickMark val="none"/>
        <c:tickLblPos val="none"/>
        <c:spPr>
          <a:ln w="12700"/>
        </c:spPr>
        <c:crossAx val="416428800"/>
        <c:crosses val="autoZero"/>
        <c:auto val="1"/>
        <c:lblAlgn val="ctr"/>
        <c:lblOffset val="100"/>
        <c:noMultiLvlLbl val="0"/>
      </c:catAx>
      <c:valAx>
        <c:axId val="416428800"/>
        <c:scaling>
          <c:orientation val="minMax"/>
        </c:scaling>
        <c:delete val="0"/>
        <c:axPos val="l"/>
        <c:majorGridlines>
          <c:spPr>
            <a:ln w="6350">
              <a:solidFill>
                <a:sysClr val="windowText" lastClr="000000">
                  <a:tint val="75000"/>
                  <a:shade val="95000"/>
                  <a:satMod val="105000"/>
                </a:sysClr>
              </a:solidFill>
            </a:ln>
          </c:spPr>
        </c:majorGridlines>
        <c:numFmt formatCode="#,##0" sourceLinked="1"/>
        <c:majorTickMark val="out"/>
        <c:minorTickMark val="none"/>
        <c:tickLblPos val="nextTo"/>
        <c:txPr>
          <a:bodyPr/>
          <a:lstStyle/>
          <a:p>
            <a:pPr>
              <a:defRPr sz="1100">
                <a:latin typeface="Arial" pitchFamily="34" charset="0"/>
                <a:cs typeface="Arial" pitchFamily="34" charset="0"/>
              </a:defRPr>
            </a:pPr>
            <a:endParaRPr lang="de-DE"/>
          </a:p>
        </c:txPr>
        <c:crossAx val="416428408"/>
        <c:crosses val="autoZero"/>
        <c:crossBetween val="between"/>
      </c:valAx>
      <c:spPr>
        <a:noFill/>
        <a:ln w="25400">
          <a:noFill/>
        </a:ln>
      </c:spPr>
    </c:plotArea>
    <c:legend>
      <c:legendPos val="l"/>
      <c:layout>
        <c:manualLayout>
          <c:xMode val="edge"/>
          <c:yMode val="edge"/>
          <c:x val="0"/>
          <c:y val="0.22008305291728397"/>
          <c:w val="0.10327527290961469"/>
          <c:h val="0.41377565376178616"/>
        </c:manualLayout>
      </c:layout>
      <c:overlay val="0"/>
      <c:txPr>
        <a:bodyPr/>
        <a:lstStyle/>
        <a:p>
          <a:pPr>
            <a:defRPr sz="1100">
              <a:latin typeface="Arial" pitchFamily="34" charset="0"/>
              <a:cs typeface="Arial" pitchFamily="34" charset="0"/>
            </a:defRPr>
          </a:pPr>
          <a:endParaRPr lang="de-DE"/>
        </a:p>
      </c:txPr>
    </c:legend>
    <c:plotVisOnly val="1"/>
    <c:dispBlanksAs val="gap"/>
    <c:showDLblsOverMax val="0"/>
  </c:chart>
  <c:spPr>
    <a:noFill/>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860166415367958"/>
          <c:y val="2.9125911969615392E-2"/>
          <c:w val="0.80139833584631659"/>
          <c:h val="0.9523528212657848"/>
        </c:manualLayout>
      </c:layout>
      <c:barChart>
        <c:barDir val="col"/>
        <c:grouping val="stacked"/>
        <c:varyColors val="0"/>
        <c:ser>
          <c:idx val="0"/>
          <c:order val="0"/>
          <c:tx>
            <c:strRef>
              <c:f>Berechnungen!$O$24</c:f>
              <c:strCache>
                <c:ptCount val="1"/>
                <c:pt idx="0">
                  <c:v>Finanzie-rungs-kosten</c:v>
                </c:pt>
              </c:strCache>
            </c:strRef>
          </c:tx>
          <c:spPr>
            <a:solidFill>
              <a:schemeClr val="accent1"/>
            </a:solidFill>
            <a:effectLst>
              <a:outerShdw blurRad="50800" dist="38100" dir="2700000" algn="tl" rotWithShape="0">
                <a:prstClr val="black">
                  <a:alpha val="40000"/>
                </a:prstClr>
              </a:outerShdw>
            </a:effectLst>
          </c:spPr>
          <c:invertIfNegative val="0"/>
          <c:dLbls>
            <c:numFmt formatCode="#,##0_ ;[Red]\-#,##0;&quot;&quot;" sourceLinked="0"/>
            <c:spPr>
              <a:noFill/>
            </c:spPr>
            <c:txPr>
              <a:bodyPr/>
              <a:lstStyle/>
              <a:p>
                <a:pPr>
                  <a:defRPr sz="10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Berechnungen!$D$24:$J$24</c15:sqref>
                  </c15:fullRef>
                </c:ext>
              </c:extLst>
              <c:f>(Berechnungen!$D$24,Berechnungen!$F$24,Berechnungen!$H$24,Berechnungen!$J$24)</c:f>
              <c:numCache>
                <c:formatCode>#,##0</c:formatCode>
                <c:ptCount val="4"/>
                <c:pt idx="0">
                  <c:v>0</c:v>
                </c:pt>
                <c:pt idx="1">
                  <c:v>0</c:v>
                </c:pt>
                <c:pt idx="2">
                  <c:v>0</c:v>
                </c:pt>
                <c:pt idx="3">
                  <c:v>0</c:v>
                </c:pt>
              </c:numCache>
            </c:numRef>
          </c:val>
          <c:extLst>
            <c:ext xmlns:c16="http://schemas.microsoft.com/office/drawing/2014/chart" uri="{C3380CC4-5D6E-409C-BE32-E72D297353CC}">
              <c16:uniqueId val="{00000000-61D6-47D9-AACD-3C370E10BA44}"/>
            </c:ext>
          </c:extLst>
        </c:ser>
        <c:ser>
          <c:idx val="1"/>
          <c:order val="1"/>
          <c:tx>
            <c:strRef>
              <c:f>Berechnungen!$O$25</c:f>
              <c:strCache>
                <c:ptCount val="1"/>
                <c:pt idx="0">
                  <c:v>Instand-haltungs-kosten</c:v>
                </c:pt>
              </c:strCache>
            </c:strRef>
          </c:tx>
          <c:spPr>
            <a:solidFill>
              <a:srgbClr val="92D050"/>
            </a:solidFill>
            <a:effectLst>
              <a:outerShdw blurRad="50800" dist="38100" dir="2700000" algn="tl" rotWithShape="0">
                <a:prstClr val="black">
                  <a:alpha val="40000"/>
                </a:prstClr>
              </a:outerShdw>
            </a:effectLst>
          </c:spPr>
          <c:invertIfNegative val="0"/>
          <c:dLbls>
            <c:numFmt formatCode="#,##0_ ;[Red]\-#,##0;&quot;&quot;" sourceLinked="0"/>
            <c:spPr>
              <a:noFill/>
            </c:spPr>
            <c:txPr>
              <a:bodyPr/>
              <a:lstStyle/>
              <a:p>
                <a:pPr>
                  <a:defRPr sz="10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Berechnungen!$D$25:$J$25</c15:sqref>
                  </c15:fullRef>
                </c:ext>
              </c:extLst>
              <c:f>(Berechnungen!$D$25,Berechnungen!$F$25,Berechnungen!$H$25,Berechnungen!$J$25)</c:f>
              <c:numCache>
                <c:formatCode>#,##0</c:formatCode>
                <c:ptCount val="4"/>
                <c:pt idx="0">
                  <c:v>0</c:v>
                </c:pt>
                <c:pt idx="1">
                  <c:v>0</c:v>
                </c:pt>
                <c:pt idx="2">
                  <c:v>0</c:v>
                </c:pt>
                <c:pt idx="3">
                  <c:v>0</c:v>
                </c:pt>
              </c:numCache>
            </c:numRef>
          </c:val>
          <c:extLst>
            <c:ext xmlns:c16="http://schemas.microsoft.com/office/drawing/2014/chart" uri="{C3380CC4-5D6E-409C-BE32-E72D297353CC}">
              <c16:uniqueId val="{00000001-61D6-47D9-AACD-3C370E10BA44}"/>
            </c:ext>
          </c:extLst>
        </c:ser>
        <c:ser>
          <c:idx val="2"/>
          <c:order val="2"/>
          <c:tx>
            <c:strRef>
              <c:f>Berechnungen!$O$26</c:f>
              <c:strCache>
                <c:ptCount val="1"/>
                <c:pt idx="0">
                  <c:v>Energie-kosten</c:v>
                </c:pt>
              </c:strCache>
            </c:strRef>
          </c:tx>
          <c:spPr>
            <a:solidFill>
              <a:schemeClr val="accent6">
                <a:lumMod val="75000"/>
              </a:schemeClr>
            </a:solidFill>
            <a:effectLst>
              <a:outerShdw blurRad="50800" dist="38100" dir="2700000" algn="tl" rotWithShape="0">
                <a:prstClr val="black">
                  <a:alpha val="40000"/>
                </a:prstClr>
              </a:outerShdw>
            </a:effectLst>
          </c:spPr>
          <c:invertIfNegative val="0"/>
          <c:dLbls>
            <c:numFmt formatCode="#,##0_ ;[Red]\-#,##0;&quot;&quot;" sourceLinked="0"/>
            <c:spPr>
              <a:noFill/>
            </c:spPr>
            <c:txPr>
              <a:bodyPr/>
              <a:lstStyle/>
              <a:p>
                <a:pPr>
                  <a:defRPr sz="10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Berechnungen!$D$26:$J$26</c15:sqref>
                  </c15:fullRef>
                </c:ext>
              </c:extLst>
              <c:f>(Berechnungen!$D$26,Berechnungen!$F$26,Berechnungen!$H$26,Berechnungen!$J$26)</c:f>
              <c:numCache>
                <c:formatCode>#,##0</c:formatCode>
                <c:ptCount val="4"/>
                <c:pt idx="0">
                  <c:v>0</c:v>
                </c:pt>
                <c:pt idx="1">
                  <c:v>0</c:v>
                </c:pt>
                <c:pt idx="2">
                  <c:v>0</c:v>
                </c:pt>
                <c:pt idx="3">
                  <c:v>0</c:v>
                </c:pt>
              </c:numCache>
            </c:numRef>
          </c:val>
          <c:extLst>
            <c:ext xmlns:c16="http://schemas.microsoft.com/office/drawing/2014/chart" uri="{C3380CC4-5D6E-409C-BE32-E72D297353CC}">
              <c16:uniqueId val="{00000002-61D6-47D9-AACD-3C370E10BA44}"/>
            </c:ext>
          </c:extLst>
        </c:ser>
        <c:ser>
          <c:idx val="3"/>
          <c:order val="3"/>
          <c:tx>
            <c:strRef>
              <c:f>Berechnungen!$O$27</c:f>
              <c:strCache>
                <c:ptCount val="1"/>
                <c:pt idx="0">
                  <c:v>Externe Kosten</c:v>
                </c:pt>
              </c:strCache>
            </c:strRef>
          </c:tx>
          <c:spPr>
            <a:solidFill>
              <a:schemeClr val="accent6">
                <a:lumMod val="60000"/>
                <a:lumOff val="40000"/>
              </a:schemeClr>
            </a:solidFill>
            <a:effectLst>
              <a:outerShdw blurRad="50800" dist="38100" dir="2700000" algn="tl" rotWithShape="0">
                <a:prstClr val="black">
                  <a:alpha val="40000"/>
                </a:prstClr>
              </a:outerShdw>
            </a:effectLst>
          </c:spPr>
          <c:invertIfNegative val="0"/>
          <c:dLbls>
            <c:numFmt formatCode="#,##0_ ;[Red]\-#,##0;&quot;&quot;" sourceLinked="0"/>
            <c:spPr>
              <a:noFill/>
            </c:spPr>
            <c:txPr>
              <a:bodyPr/>
              <a:lstStyle/>
              <a:p>
                <a:pPr>
                  <a:defRPr sz="10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Berechnungen!$D$27:$J$27</c15:sqref>
                  </c15:fullRef>
                </c:ext>
              </c:extLst>
              <c:f>(Berechnungen!$D$27,Berechnungen!$F$27,Berechnungen!$H$27,Berechnungen!$J$27)</c:f>
              <c:numCache>
                <c:formatCode>#,##0</c:formatCode>
                <c:ptCount val="4"/>
                <c:pt idx="0">
                  <c:v>0</c:v>
                </c:pt>
                <c:pt idx="1">
                  <c:v>0</c:v>
                </c:pt>
                <c:pt idx="2">
                  <c:v>0</c:v>
                </c:pt>
                <c:pt idx="3">
                  <c:v>0</c:v>
                </c:pt>
              </c:numCache>
            </c:numRef>
          </c:val>
          <c:extLst>
            <c:ext xmlns:c16="http://schemas.microsoft.com/office/drawing/2014/chart" uri="{C3380CC4-5D6E-409C-BE32-E72D297353CC}">
              <c16:uniqueId val="{00000003-61D6-47D9-AACD-3C370E10BA44}"/>
            </c:ext>
          </c:extLst>
        </c:ser>
        <c:dLbls>
          <c:showLegendKey val="0"/>
          <c:showVal val="1"/>
          <c:showCatName val="0"/>
          <c:showSerName val="0"/>
          <c:showPercent val="0"/>
          <c:showBubbleSize val="0"/>
        </c:dLbls>
        <c:gapWidth val="150"/>
        <c:overlap val="100"/>
        <c:axId val="416429584"/>
        <c:axId val="416429976"/>
      </c:barChart>
      <c:catAx>
        <c:axId val="416429584"/>
        <c:scaling>
          <c:orientation val="minMax"/>
        </c:scaling>
        <c:delete val="0"/>
        <c:axPos val="b"/>
        <c:numFmt formatCode="General" sourceLinked="0"/>
        <c:majorTickMark val="none"/>
        <c:minorTickMark val="none"/>
        <c:tickLblPos val="none"/>
        <c:spPr>
          <a:ln w="12700"/>
          <a:effectLst/>
        </c:spPr>
        <c:crossAx val="416429976"/>
        <c:crosses val="autoZero"/>
        <c:auto val="1"/>
        <c:lblAlgn val="ctr"/>
        <c:lblOffset val="100"/>
        <c:noMultiLvlLbl val="0"/>
      </c:catAx>
      <c:valAx>
        <c:axId val="416429976"/>
        <c:scaling>
          <c:orientation val="minMax"/>
        </c:scaling>
        <c:delete val="0"/>
        <c:axPos val="l"/>
        <c:majorGridlines>
          <c:spPr>
            <a:ln w="6350"/>
          </c:spPr>
        </c:majorGridlines>
        <c:numFmt formatCode="#,##0" sourceLinked="1"/>
        <c:majorTickMark val="out"/>
        <c:minorTickMark val="none"/>
        <c:tickLblPos val="nextTo"/>
        <c:txPr>
          <a:bodyPr/>
          <a:lstStyle/>
          <a:p>
            <a:pPr>
              <a:defRPr sz="1100">
                <a:latin typeface="Arial" pitchFamily="34" charset="0"/>
                <a:cs typeface="Arial" pitchFamily="34" charset="0"/>
              </a:defRPr>
            </a:pPr>
            <a:endParaRPr lang="de-DE"/>
          </a:p>
        </c:txPr>
        <c:crossAx val="416429584"/>
        <c:crosses val="autoZero"/>
        <c:crossBetween val="between"/>
      </c:valAx>
      <c:spPr>
        <a:noFill/>
        <a:ln w="25400">
          <a:noFill/>
        </a:ln>
      </c:spPr>
    </c:plotArea>
    <c:legend>
      <c:legendPos val="l"/>
      <c:layout>
        <c:manualLayout>
          <c:xMode val="edge"/>
          <c:yMode val="edge"/>
          <c:x val="0"/>
          <c:y val="0.24896033025878045"/>
          <c:w val="9.5962094211907725E-2"/>
          <c:h val="0.63646784507486154"/>
        </c:manualLayout>
      </c:layout>
      <c:overlay val="0"/>
      <c:txPr>
        <a:bodyPr/>
        <a:lstStyle/>
        <a:p>
          <a:pPr>
            <a:defRPr sz="1100">
              <a:latin typeface="Arial" pitchFamily="34" charset="0"/>
              <a:cs typeface="Arial" pitchFamily="34" charset="0"/>
            </a:defRPr>
          </a:pPr>
          <a:endParaRPr lang="de-DE"/>
        </a:p>
      </c:txPr>
    </c:legend>
    <c:plotVisOnly val="1"/>
    <c:dispBlanksAs val="gap"/>
    <c:showDLblsOverMax val="0"/>
  </c:chart>
  <c:spPr>
    <a:noFill/>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860166415367958"/>
          <c:y val="2.9125911969615392E-2"/>
          <c:w val="0.80139833584631659"/>
          <c:h val="0.9523528212657848"/>
        </c:manualLayout>
      </c:layout>
      <c:barChart>
        <c:barDir val="col"/>
        <c:grouping val="stacked"/>
        <c:varyColors val="0"/>
        <c:ser>
          <c:idx val="2"/>
          <c:order val="0"/>
          <c:tx>
            <c:strRef>
              <c:f>Berechnungen!$A$84</c:f>
              <c:strCache>
                <c:ptCount val="1"/>
                <c:pt idx="0">
                  <c:v>Erstellung (Graue Energie)</c:v>
                </c:pt>
              </c:strCache>
            </c:strRef>
          </c:tx>
          <c:spPr>
            <a:solidFill>
              <a:schemeClr val="tx1">
                <a:lumMod val="50000"/>
                <a:lumOff val="50000"/>
              </a:schemeClr>
            </a:solidFill>
            <a:effectLst>
              <a:outerShdw blurRad="50800" dist="38100" dir="2700000" algn="tl" rotWithShape="0">
                <a:prstClr val="black">
                  <a:alpha val="40000"/>
                </a:prstClr>
              </a:outerShdw>
            </a:effectLst>
          </c:spPr>
          <c:invertIfNegative val="0"/>
          <c:dLbls>
            <c:numFmt formatCode="#,##0_ ;[Red]\-#,##0;&quot;&quot;" sourceLinked="0"/>
            <c:spPr>
              <a:noFill/>
            </c:spPr>
            <c:txPr>
              <a:bodyPr/>
              <a:lstStyle/>
              <a:p>
                <a:pPr>
                  <a:defRPr sz="10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Berechnungen!$D$84:$J$84</c15:sqref>
                  </c15:fullRef>
                </c:ext>
              </c:extLst>
              <c:f>(Berechnungen!$D$84,Berechnungen!$F$84,Berechnungen!$H$84,Berechnungen!$J$84)</c:f>
              <c:numCache>
                <c:formatCode>#,##0</c:formatCode>
                <c:ptCount val="4"/>
                <c:pt idx="0">
                  <c:v>0</c:v>
                </c:pt>
                <c:pt idx="1">
                  <c:v>146.30000000000001</c:v>
                </c:pt>
                <c:pt idx="2">
                  <c:v>0</c:v>
                </c:pt>
                <c:pt idx="3">
                  <c:v>0</c:v>
                </c:pt>
              </c:numCache>
            </c:numRef>
          </c:val>
          <c:extLst>
            <c:ext xmlns:c16="http://schemas.microsoft.com/office/drawing/2014/chart" uri="{C3380CC4-5D6E-409C-BE32-E72D297353CC}">
              <c16:uniqueId val="{00000000-556C-4F8D-8349-C7058CA89F05}"/>
            </c:ext>
          </c:extLst>
        </c:ser>
        <c:ser>
          <c:idx val="0"/>
          <c:order val="1"/>
          <c:tx>
            <c:strRef>
              <c:f>Berechnungen!$A$85</c:f>
              <c:strCache>
                <c:ptCount val="1"/>
                <c:pt idx="0">
                  <c:v>Betrieb: nicht erneuerbar</c:v>
                </c:pt>
              </c:strCache>
            </c:strRef>
          </c:tx>
          <c:spPr>
            <a:solidFill>
              <a:schemeClr val="accent2"/>
            </a:solidFill>
            <a:effectLst>
              <a:outerShdw blurRad="50800" dist="38100" dir="2700000" algn="tl" rotWithShape="0">
                <a:prstClr val="black">
                  <a:alpha val="40000"/>
                </a:prstClr>
              </a:outerShdw>
            </a:effectLst>
          </c:spPr>
          <c:invertIfNegative val="0"/>
          <c:dLbls>
            <c:numFmt formatCode="#,##0_ ;[Red]\-#,##0;&quot;&quot;" sourceLinked="0"/>
            <c:spPr>
              <a:noFill/>
            </c:spPr>
            <c:txPr>
              <a:bodyPr/>
              <a:lstStyle/>
              <a:p>
                <a:pPr>
                  <a:defRPr sz="10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Berechnungen!$D$85:$J$85</c15:sqref>
                  </c15:fullRef>
                </c:ext>
              </c:extLst>
              <c:f>(Berechnungen!$D$85,Berechnungen!$F$85,Berechnungen!$H$85,Berechnungen!$J$85)</c:f>
              <c:numCache>
                <c:formatCode>#,##0</c:formatCode>
                <c:ptCount val="4"/>
                <c:pt idx="0">
                  <c:v>0</c:v>
                </c:pt>
                <c:pt idx="1">
                  <c:v>0</c:v>
                </c:pt>
                <c:pt idx="2">
                  <c:v>0</c:v>
                </c:pt>
                <c:pt idx="3">
                  <c:v>0</c:v>
                </c:pt>
              </c:numCache>
            </c:numRef>
          </c:val>
          <c:extLst>
            <c:ext xmlns:c16="http://schemas.microsoft.com/office/drawing/2014/chart" uri="{C3380CC4-5D6E-409C-BE32-E72D297353CC}">
              <c16:uniqueId val="{00000001-556C-4F8D-8349-C7058CA89F05}"/>
            </c:ext>
          </c:extLst>
        </c:ser>
        <c:ser>
          <c:idx val="3"/>
          <c:order val="2"/>
          <c:tx>
            <c:strRef>
              <c:f>Berechnungen!$A$86</c:f>
              <c:strCache>
                <c:ptCount val="1"/>
                <c:pt idx="0">
                  <c:v>Betrieb: erneuerbar</c:v>
                </c:pt>
              </c:strCache>
            </c:strRef>
          </c:tx>
          <c:spPr>
            <a:solidFill>
              <a:schemeClr val="accent3">
                <a:lumMod val="75000"/>
              </a:schemeClr>
            </a:solidFill>
            <a:effectLst>
              <a:outerShdw blurRad="50800" dist="38100" dir="2700000" algn="tl" rotWithShape="0">
                <a:prstClr val="black">
                  <a:alpha val="40000"/>
                </a:prstClr>
              </a:outerShdw>
            </a:effectLst>
          </c:spPr>
          <c:invertIfNegative val="0"/>
          <c:dLbls>
            <c:numFmt formatCode="#,##0_ ;[Red]\-#,##0;&quot;&quot;" sourceLinked="0"/>
            <c:spPr>
              <a:noFill/>
            </c:spPr>
            <c:txPr>
              <a:bodyPr/>
              <a:lstStyle/>
              <a:p>
                <a:pPr>
                  <a:defRPr sz="10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Berechnungen!$D$86:$J$86</c15:sqref>
                  </c15:fullRef>
                </c:ext>
              </c:extLst>
              <c:f>(Berechnungen!$D$86,Berechnungen!$F$86,Berechnungen!$H$86,Berechnungen!$J$86)</c:f>
              <c:numCache>
                <c:formatCode>#,##0</c:formatCode>
                <c:ptCount val="4"/>
                <c:pt idx="0">
                  <c:v>0</c:v>
                </c:pt>
                <c:pt idx="1">
                  <c:v>0</c:v>
                </c:pt>
                <c:pt idx="2">
                  <c:v>0</c:v>
                </c:pt>
                <c:pt idx="3">
                  <c:v>0</c:v>
                </c:pt>
              </c:numCache>
            </c:numRef>
          </c:val>
          <c:extLst>
            <c:ext xmlns:c16="http://schemas.microsoft.com/office/drawing/2014/chart" uri="{C3380CC4-5D6E-409C-BE32-E72D297353CC}">
              <c16:uniqueId val="{00000002-556C-4F8D-8349-C7058CA89F05}"/>
            </c:ext>
          </c:extLst>
        </c:ser>
        <c:ser>
          <c:idx val="1"/>
          <c:order val="3"/>
          <c:tx>
            <c:strRef>
              <c:f>Berechnungen!$A$87</c:f>
              <c:strCache>
                <c:ptCount val="1"/>
                <c:pt idx="0">
                  <c:v>Betrieb: erneuerbar am Standort</c:v>
                </c:pt>
              </c:strCache>
            </c:strRef>
          </c:tx>
          <c:spPr>
            <a:solidFill>
              <a:schemeClr val="accent5">
                <a:lumMod val="40000"/>
                <a:lumOff val="60000"/>
              </a:schemeClr>
            </a:solidFill>
            <a:effectLst>
              <a:outerShdw blurRad="50800" dist="38100" dir="2700000" algn="tl" rotWithShape="0">
                <a:prstClr val="black">
                  <a:alpha val="40000"/>
                </a:prstClr>
              </a:outerShdw>
            </a:effectLst>
          </c:spPr>
          <c:invertIfNegative val="0"/>
          <c:dLbls>
            <c:numFmt formatCode="#,##0_ ;[Red]\-#,##0;&quot;&quot;" sourceLinked="0"/>
            <c:spPr>
              <a:noFill/>
            </c:spPr>
            <c:txPr>
              <a:bodyPr/>
              <a:lstStyle/>
              <a:p>
                <a:pPr>
                  <a:defRPr sz="10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Berechnungen!$D$87:$J$87</c15:sqref>
                  </c15:fullRef>
                </c:ext>
              </c:extLst>
              <c:f>(Berechnungen!$D$87,Berechnungen!$F$87,Berechnungen!$H$87,Berechnungen!$J$87)</c:f>
              <c:numCache>
                <c:formatCode>#,##0</c:formatCode>
                <c:ptCount val="4"/>
                <c:pt idx="0">
                  <c:v>0</c:v>
                </c:pt>
                <c:pt idx="1">
                  <c:v>0</c:v>
                </c:pt>
                <c:pt idx="2">
                  <c:v>0</c:v>
                </c:pt>
                <c:pt idx="3">
                  <c:v>0</c:v>
                </c:pt>
              </c:numCache>
            </c:numRef>
          </c:val>
          <c:extLst>
            <c:ext xmlns:c16="http://schemas.microsoft.com/office/drawing/2014/chart" uri="{C3380CC4-5D6E-409C-BE32-E72D297353CC}">
              <c16:uniqueId val="{00000003-556C-4F8D-8349-C7058CA89F05}"/>
            </c:ext>
          </c:extLst>
        </c:ser>
        <c:dLbls>
          <c:showLegendKey val="0"/>
          <c:showVal val="0"/>
          <c:showCatName val="0"/>
          <c:showSerName val="0"/>
          <c:showPercent val="0"/>
          <c:showBubbleSize val="0"/>
        </c:dLbls>
        <c:gapWidth val="150"/>
        <c:overlap val="100"/>
        <c:axId val="416430760"/>
        <c:axId val="416431152"/>
      </c:barChart>
      <c:catAx>
        <c:axId val="416430760"/>
        <c:scaling>
          <c:orientation val="minMax"/>
        </c:scaling>
        <c:delete val="0"/>
        <c:axPos val="b"/>
        <c:numFmt formatCode="General" sourceLinked="1"/>
        <c:majorTickMark val="none"/>
        <c:minorTickMark val="none"/>
        <c:tickLblPos val="none"/>
        <c:spPr>
          <a:ln w="12700"/>
        </c:spPr>
        <c:crossAx val="416431152"/>
        <c:crosses val="autoZero"/>
        <c:auto val="1"/>
        <c:lblAlgn val="ctr"/>
        <c:lblOffset val="100"/>
        <c:noMultiLvlLbl val="0"/>
      </c:catAx>
      <c:valAx>
        <c:axId val="416431152"/>
        <c:scaling>
          <c:orientation val="minMax"/>
        </c:scaling>
        <c:delete val="0"/>
        <c:axPos val="l"/>
        <c:majorGridlines>
          <c:spPr>
            <a:ln w="6350"/>
          </c:spPr>
        </c:majorGridlines>
        <c:numFmt formatCode="#,##0" sourceLinked="1"/>
        <c:majorTickMark val="out"/>
        <c:minorTickMark val="none"/>
        <c:tickLblPos val="nextTo"/>
        <c:txPr>
          <a:bodyPr/>
          <a:lstStyle/>
          <a:p>
            <a:pPr>
              <a:defRPr sz="1100">
                <a:latin typeface="Arial" pitchFamily="34" charset="0"/>
                <a:cs typeface="Arial" pitchFamily="34" charset="0"/>
              </a:defRPr>
            </a:pPr>
            <a:endParaRPr lang="de-DE"/>
          </a:p>
        </c:txPr>
        <c:crossAx val="416430760"/>
        <c:crosses val="autoZero"/>
        <c:crossBetween val="between"/>
      </c:valAx>
      <c:spPr>
        <a:noFill/>
        <a:ln w="25400">
          <a:noFill/>
        </a:ln>
      </c:spPr>
    </c:plotArea>
    <c:legend>
      <c:legendPos val="l"/>
      <c:layout>
        <c:manualLayout>
          <c:xMode val="edge"/>
          <c:yMode val="edge"/>
          <c:x val="0"/>
          <c:y val="0.14837846193013401"/>
          <c:w val="0.10531473629898826"/>
          <c:h val="0.67950125171998565"/>
        </c:manualLayout>
      </c:layout>
      <c:overlay val="0"/>
      <c:txPr>
        <a:bodyPr/>
        <a:lstStyle/>
        <a:p>
          <a:pPr>
            <a:defRPr sz="1100">
              <a:latin typeface="Arial" pitchFamily="34" charset="0"/>
              <a:cs typeface="Arial" pitchFamily="34" charset="0"/>
            </a:defRPr>
          </a:pPr>
          <a:endParaRPr lang="de-DE"/>
        </a:p>
      </c:txPr>
    </c:legend>
    <c:plotVisOnly val="1"/>
    <c:dispBlanksAs val="gap"/>
    <c:showDLblsOverMax val="0"/>
  </c:chart>
  <c:spPr>
    <a:noFill/>
    <a:ln>
      <a:noFill/>
    </a:ln>
  </c:spPr>
  <c:printSettings>
    <c:headerFooter/>
    <c:pageMargins b="0.78740157499999996" l="0.70000000000000062" r="0.70000000000000062" t="0.78740157499999996"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860166415367958"/>
          <c:y val="2.9125911969615392E-2"/>
          <c:w val="0.80139833584631659"/>
          <c:h val="0.9523528212657848"/>
        </c:manualLayout>
      </c:layout>
      <c:barChart>
        <c:barDir val="col"/>
        <c:grouping val="stacked"/>
        <c:varyColors val="0"/>
        <c:ser>
          <c:idx val="0"/>
          <c:order val="0"/>
          <c:tx>
            <c:strRef>
              <c:f>Berechnungen!$A$90</c:f>
              <c:strCache>
                <c:ptCount val="1"/>
                <c:pt idx="0">
                  <c:v>Erstellung</c:v>
                </c:pt>
              </c:strCache>
            </c:strRef>
          </c:tx>
          <c:spPr>
            <a:solidFill>
              <a:schemeClr val="accent4"/>
            </a:solidFill>
            <a:effectLst>
              <a:outerShdw blurRad="50800" dist="38100" dir="2700000" algn="tl" rotWithShape="0">
                <a:prstClr val="black">
                  <a:alpha val="40000"/>
                </a:prstClr>
              </a:outerShdw>
            </a:effectLst>
          </c:spPr>
          <c:invertIfNegative val="0"/>
          <c:dLbls>
            <c:numFmt formatCode="#,##0_ ;[Red]\-#,##0;&quot;&quot;" sourceLinked="0"/>
            <c:spPr>
              <a:noFill/>
              <a:effectLst/>
            </c:spPr>
            <c:txPr>
              <a:bodyPr/>
              <a:lstStyle/>
              <a:p>
                <a:pPr>
                  <a:defRPr sz="1000">
                    <a:solidFill>
                      <a:sysClr val="windowText" lastClr="000000"/>
                    </a:solidFill>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Berechnungen!$D$90:$J$90</c15:sqref>
                  </c15:fullRef>
                </c:ext>
              </c:extLst>
              <c:f>(Berechnungen!$D$90,Berechnungen!$F$90,Berechnungen!$H$90,Berechnungen!$J$90)</c:f>
              <c:numCache>
                <c:formatCode>#,##0</c:formatCode>
                <c:ptCount val="4"/>
                <c:pt idx="0">
                  <c:v>0</c:v>
                </c:pt>
                <c:pt idx="1">
                  <c:v>40.149999999999991</c:v>
                </c:pt>
                <c:pt idx="2">
                  <c:v>0</c:v>
                </c:pt>
                <c:pt idx="3">
                  <c:v>0</c:v>
                </c:pt>
              </c:numCache>
            </c:numRef>
          </c:val>
          <c:extLst>
            <c:ext xmlns:c16="http://schemas.microsoft.com/office/drawing/2014/chart" uri="{C3380CC4-5D6E-409C-BE32-E72D297353CC}">
              <c16:uniqueId val="{00000000-CE87-4096-A01A-444BE37E8A8A}"/>
            </c:ext>
          </c:extLst>
        </c:ser>
        <c:ser>
          <c:idx val="1"/>
          <c:order val="1"/>
          <c:tx>
            <c:strRef>
              <c:f>Berechnungen!$A$91</c:f>
              <c:strCache>
                <c:ptCount val="1"/>
                <c:pt idx="0">
                  <c:v>Betrieb</c:v>
                </c:pt>
              </c:strCache>
            </c:strRef>
          </c:tx>
          <c:spPr>
            <a:solidFill>
              <a:schemeClr val="accent6">
                <a:lumMod val="75000"/>
              </a:schemeClr>
            </a:solidFill>
            <a:effectLst>
              <a:outerShdw blurRad="50800" dist="38100" dir="2700000" algn="tl" rotWithShape="0">
                <a:prstClr val="black">
                  <a:alpha val="40000"/>
                </a:prstClr>
              </a:outerShdw>
            </a:effectLst>
          </c:spPr>
          <c:invertIfNegative val="0"/>
          <c:dLbls>
            <c:numFmt formatCode="#,##0_ ;[Red]\-#,##0;&quot;&quot;" sourceLinked="0"/>
            <c:spPr>
              <a:noFill/>
            </c:spPr>
            <c:txPr>
              <a:bodyPr/>
              <a:lstStyle/>
              <a:p>
                <a:pPr>
                  <a:defRPr sz="10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Berechnungen!$D$91:$J$91</c15:sqref>
                  </c15:fullRef>
                </c:ext>
              </c:extLst>
              <c:f>(Berechnungen!$D$91,Berechnungen!$F$91,Berechnungen!$H$91,Berechnungen!$J$91)</c:f>
              <c:numCache>
                <c:formatCode>#,##0</c:formatCode>
                <c:ptCount val="4"/>
                <c:pt idx="0">
                  <c:v>0</c:v>
                </c:pt>
                <c:pt idx="1">
                  <c:v>0</c:v>
                </c:pt>
                <c:pt idx="2">
                  <c:v>0</c:v>
                </c:pt>
                <c:pt idx="3">
                  <c:v>0</c:v>
                </c:pt>
              </c:numCache>
            </c:numRef>
          </c:val>
          <c:extLst>
            <c:ext xmlns:c16="http://schemas.microsoft.com/office/drawing/2014/chart" uri="{C3380CC4-5D6E-409C-BE32-E72D297353CC}">
              <c16:uniqueId val="{00000001-CE87-4096-A01A-444BE37E8A8A}"/>
            </c:ext>
          </c:extLst>
        </c:ser>
        <c:dLbls>
          <c:showLegendKey val="0"/>
          <c:showVal val="0"/>
          <c:showCatName val="0"/>
          <c:showSerName val="0"/>
          <c:showPercent val="0"/>
          <c:showBubbleSize val="0"/>
        </c:dLbls>
        <c:gapWidth val="150"/>
        <c:overlap val="100"/>
        <c:axId val="416433504"/>
        <c:axId val="416433896"/>
      </c:barChart>
      <c:catAx>
        <c:axId val="416433504"/>
        <c:scaling>
          <c:orientation val="minMax"/>
        </c:scaling>
        <c:delete val="0"/>
        <c:axPos val="b"/>
        <c:numFmt formatCode="General" sourceLinked="0"/>
        <c:majorTickMark val="none"/>
        <c:minorTickMark val="none"/>
        <c:tickLblPos val="none"/>
        <c:spPr>
          <a:ln w="12700"/>
        </c:spPr>
        <c:crossAx val="416433896"/>
        <c:crosses val="autoZero"/>
        <c:auto val="1"/>
        <c:lblAlgn val="ctr"/>
        <c:lblOffset val="100"/>
        <c:noMultiLvlLbl val="0"/>
      </c:catAx>
      <c:valAx>
        <c:axId val="416433896"/>
        <c:scaling>
          <c:orientation val="minMax"/>
        </c:scaling>
        <c:delete val="0"/>
        <c:axPos val="l"/>
        <c:majorGridlines>
          <c:spPr>
            <a:ln w="6350"/>
          </c:spPr>
        </c:majorGridlines>
        <c:numFmt formatCode="#,##0" sourceLinked="1"/>
        <c:majorTickMark val="out"/>
        <c:minorTickMark val="none"/>
        <c:tickLblPos val="nextTo"/>
        <c:txPr>
          <a:bodyPr/>
          <a:lstStyle/>
          <a:p>
            <a:pPr>
              <a:defRPr sz="1100">
                <a:latin typeface="Arial" pitchFamily="34" charset="0"/>
                <a:cs typeface="Arial" pitchFamily="34" charset="0"/>
              </a:defRPr>
            </a:pPr>
            <a:endParaRPr lang="de-DE"/>
          </a:p>
        </c:txPr>
        <c:crossAx val="416433504"/>
        <c:crosses val="autoZero"/>
        <c:crossBetween val="between"/>
      </c:valAx>
      <c:spPr>
        <a:noFill/>
        <a:ln w="25400">
          <a:noFill/>
        </a:ln>
      </c:spPr>
    </c:plotArea>
    <c:legend>
      <c:legendPos val="l"/>
      <c:layout>
        <c:manualLayout>
          <c:xMode val="edge"/>
          <c:yMode val="edge"/>
          <c:x val="0"/>
          <c:y val="0.24383650657986491"/>
          <c:w val="9.3997128564060048E-2"/>
          <c:h val="0.32743345880841107"/>
        </c:manualLayout>
      </c:layout>
      <c:overlay val="0"/>
      <c:txPr>
        <a:bodyPr/>
        <a:lstStyle/>
        <a:p>
          <a:pPr>
            <a:defRPr sz="1100">
              <a:latin typeface="Arial" pitchFamily="34" charset="0"/>
              <a:cs typeface="Arial" pitchFamily="34" charset="0"/>
            </a:defRPr>
          </a:pPr>
          <a:endParaRPr lang="de-DE"/>
        </a:p>
      </c:txPr>
    </c:legend>
    <c:plotVisOnly val="1"/>
    <c:dispBlanksAs val="gap"/>
    <c:showDLblsOverMax val="0"/>
  </c:chart>
  <c:spPr>
    <a:noFill/>
    <a:ln>
      <a:noFill/>
    </a:ln>
  </c:spPr>
  <c:printSettings>
    <c:headerFooter/>
    <c:pageMargins b="0.78740157499999996" l="0.70000000000000062" r="0.70000000000000062" t="0.78740157499999996"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860166415367952"/>
          <c:y val="2.9125911969615392E-2"/>
          <c:w val="0.80139833584631659"/>
          <c:h val="0.9523528212657848"/>
        </c:manualLayout>
      </c:layout>
      <c:barChart>
        <c:barDir val="col"/>
        <c:grouping val="stacked"/>
        <c:varyColors val="0"/>
        <c:ser>
          <c:idx val="0"/>
          <c:order val="0"/>
          <c:tx>
            <c:strRef>
              <c:f>Berechnungen!$A$98</c:f>
              <c:strCache>
                <c:ptCount val="1"/>
                <c:pt idx="0">
                  <c:v>Elektrizität</c:v>
                </c:pt>
              </c:strCache>
            </c:strRef>
          </c:tx>
          <c:spPr>
            <a:solidFill>
              <a:srgbClr val="FFC000"/>
            </a:solidFill>
            <a:effectLst>
              <a:outerShdw blurRad="50800" dist="38100" dir="2700000" algn="tl" rotWithShape="0">
                <a:prstClr val="black">
                  <a:alpha val="40000"/>
                </a:prstClr>
              </a:outerShdw>
            </a:effectLst>
          </c:spPr>
          <c:invertIfNegative val="0"/>
          <c:dLbls>
            <c:numFmt formatCode="#,##0_ ;[Red]\-#,##0;&quot;&quot;" sourceLinked="0"/>
            <c:spPr>
              <a:noFill/>
            </c:spPr>
            <c:txPr>
              <a:bodyPr/>
              <a:lstStyle/>
              <a:p>
                <a:pPr>
                  <a:defRPr sz="10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Berechnungen!$D$98:$J$98</c15:sqref>
                  </c15:fullRef>
                </c:ext>
              </c:extLst>
              <c:f>(Berechnungen!$D$98,Berechnungen!$F$98,Berechnungen!$H$98,Berechnungen!$J$98)</c:f>
              <c:numCache>
                <c:formatCode>#,##0</c:formatCode>
                <c:ptCount val="4"/>
                <c:pt idx="0">
                  <c:v>0</c:v>
                </c:pt>
                <c:pt idx="1">
                  <c:v>0</c:v>
                </c:pt>
                <c:pt idx="2">
                  <c:v>0</c:v>
                </c:pt>
                <c:pt idx="3">
                  <c:v>0</c:v>
                </c:pt>
              </c:numCache>
            </c:numRef>
          </c:val>
          <c:extLst>
            <c:ext xmlns:c16="http://schemas.microsoft.com/office/drawing/2014/chart" uri="{C3380CC4-5D6E-409C-BE32-E72D297353CC}">
              <c16:uniqueId val="{00000000-FD14-43E4-AD2D-03C7E8D3E0DB}"/>
            </c:ext>
          </c:extLst>
        </c:ser>
        <c:ser>
          <c:idx val="5"/>
          <c:order val="1"/>
          <c:tx>
            <c:strRef>
              <c:f>Berechnungen!$A$102</c:f>
              <c:strCache>
                <c:ptCount val="1"/>
                <c:pt idx="0">
                  <c:v>Brennstoff XY</c:v>
                </c:pt>
              </c:strCache>
            </c:strRef>
          </c:tx>
          <c:spPr>
            <a:solidFill>
              <a:schemeClr val="accent2"/>
            </a:solidFill>
            <a:effectLst>
              <a:outerShdw blurRad="50800" dist="38100" dir="2700000" algn="tl" rotWithShape="0">
                <a:prstClr val="black">
                  <a:alpha val="40000"/>
                </a:prstClr>
              </a:outerShdw>
            </a:effectLst>
          </c:spPr>
          <c:invertIfNegative val="0"/>
          <c:dLbls>
            <c:numFmt formatCode="#,##0_ ;[Red]\-#,##0;&quot;&quot;" sourceLinked="0"/>
            <c:spPr>
              <a:noFill/>
              <a:ln>
                <a:noFill/>
              </a:ln>
              <a:effectLst/>
            </c:spPr>
            <c:txPr>
              <a:bodyPr/>
              <a:lstStyle/>
              <a:p>
                <a:pPr>
                  <a:defRPr>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Berechnungen!$D$102:$J$102</c15:sqref>
                  </c15:fullRef>
                </c:ext>
              </c:extLst>
              <c:f>(Berechnungen!$D$102,Berechnungen!$F$102,Berechnungen!$H$102,Berechnungen!$J$102)</c:f>
              <c:numCache>
                <c:formatCode>#,##0</c:formatCode>
                <c:ptCount val="4"/>
                <c:pt idx="0">
                  <c:v>0</c:v>
                </c:pt>
                <c:pt idx="1">
                  <c:v>0</c:v>
                </c:pt>
                <c:pt idx="2">
                  <c:v>0</c:v>
                </c:pt>
                <c:pt idx="3">
                  <c:v>0</c:v>
                </c:pt>
              </c:numCache>
            </c:numRef>
          </c:val>
          <c:extLst>
            <c:ext xmlns:c16="http://schemas.microsoft.com/office/drawing/2014/chart" uri="{C3380CC4-5D6E-409C-BE32-E72D297353CC}">
              <c16:uniqueId val="{00000001-FD14-43E4-AD2D-03C7E8D3E0DB}"/>
            </c:ext>
          </c:extLst>
        </c:ser>
        <c:ser>
          <c:idx val="1"/>
          <c:order val="2"/>
          <c:tx>
            <c:strRef>
              <c:f>Berechnungen!$A$99</c:f>
              <c:strCache>
                <c:ptCount val="1"/>
                <c:pt idx="0">
                  <c:v>Heizöl, Erdgas, Biogas</c:v>
                </c:pt>
              </c:strCache>
            </c:strRef>
          </c:tx>
          <c:spPr>
            <a:solidFill>
              <a:srgbClr val="FF6600"/>
            </a:solidFill>
            <a:effectLst>
              <a:outerShdw blurRad="50800" dist="38100" dir="2700000" algn="tl" rotWithShape="0">
                <a:prstClr val="black">
                  <a:alpha val="40000"/>
                </a:prstClr>
              </a:outerShdw>
            </a:effectLst>
          </c:spPr>
          <c:invertIfNegative val="0"/>
          <c:dLbls>
            <c:numFmt formatCode="#,##0_ ;[Red]\-#,##0;&quot;&quot;" sourceLinked="0"/>
            <c:spPr>
              <a:noFill/>
            </c:spPr>
            <c:txPr>
              <a:bodyPr/>
              <a:lstStyle/>
              <a:p>
                <a:pPr>
                  <a:defRPr sz="10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Berechnungen!$D$99:$J$99</c15:sqref>
                  </c15:fullRef>
                </c:ext>
              </c:extLst>
              <c:f>(Berechnungen!$D$99,Berechnungen!$F$99,Berechnungen!$H$99,Berechnungen!$J$99)</c:f>
              <c:numCache>
                <c:formatCode>#,##0</c:formatCode>
                <c:ptCount val="4"/>
                <c:pt idx="0">
                  <c:v>0</c:v>
                </c:pt>
                <c:pt idx="1">
                  <c:v>0</c:v>
                </c:pt>
                <c:pt idx="2">
                  <c:v>0</c:v>
                </c:pt>
                <c:pt idx="3">
                  <c:v>0</c:v>
                </c:pt>
              </c:numCache>
            </c:numRef>
          </c:val>
          <c:extLst>
            <c:ext xmlns:c16="http://schemas.microsoft.com/office/drawing/2014/chart" uri="{C3380CC4-5D6E-409C-BE32-E72D297353CC}">
              <c16:uniqueId val="{00000002-FD14-43E4-AD2D-03C7E8D3E0DB}"/>
            </c:ext>
          </c:extLst>
        </c:ser>
        <c:ser>
          <c:idx val="6"/>
          <c:order val="3"/>
          <c:tx>
            <c:strRef>
              <c:f>Berechnungen!$A$103</c:f>
              <c:strCache>
                <c:ptCount val="1"/>
                <c:pt idx="0">
                  <c:v>Wärmeverbund XY</c:v>
                </c:pt>
              </c:strCache>
            </c:strRef>
          </c:tx>
          <c:spPr>
            <a:solidFill>
              <a:schemeClr val="accent4"/>
            </a:solidFill>
            <a:effectLst>
              <a:outerShdw blurRad="50800" dist="38100" dir="2700000" algn="tl" rotWithShape="0">
                <a:prstClr val="black">
                  <a:alpha val="40000"/>
                </a:prstClr>
              </a:outerShdw>
            </a:effectLst>
          </c:spPr>
          <c:invertIfNegative val="0"/>
          <c:dLbls>
            <c:numFmt formatCode="#,##0_ ;[Red]\-#,##0;&quot;&quot;" sourceLinked="0"/>
            <c:spPr>
              <a:noFill/>
              <a:ln>
                <a:noFill/>
              </a:ln>
              <a:effectLst/>
            </c:spPr>
            <c:txPr>
              <a:bodyPr/>
              <a:lstStyle/>
              <a:p>
                <a:pPr>
                  <a:defRPr>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Berechnungen!$D$103:$J$103</c15:sqref>
                  </c15:fullRef>
                </c:ext>
              </c:extLst>
              <c:f>(Berechnungen!$D$103,Berechnungen!$F$103,Berechnungen!$H$103,Berechnungen!$J$103)</c:f>
              <c:numCache>
                <c:formatCode>#,##0</c:formatCode>
                <c:ptCount val="4"/>
                <c:pt idx="0">
                  <c:v>0</c:v>
                </c:pt>
                <c:pt idx="1">
                  <c:v>0</c:v>
                </c:pt>
                <c:pt idx="2">
                  <c:v>0</c:v>
                </c:pt>
                <c:pt idx="3">
                  <c:v>0</c:v>
                </c:pt>
              </c:numCache>
            </c:numRef>
          </c:val>
          <c:extLst>
            <c:ext xmlns:c16="http://schemas.microsoft.com/office/drawing/2014/chart" uri="{C3380CC4-5D6E-409C-BE32-E72D297353CC}">
              <c16:uniqueId val="{00000003-FD14-43E4-AD2D-03C7E8D3E0DB}"/>
            </c:ext>
          </c:extLst>
        </c:ser>
        <c:ser>
          <c:idx val="2"/>
          <c:order val="4"/>
          <c:tx>
            <c:strRef>
              <c:f>Berechnungen!$A$100</c:f>
              <c:strCache>
                <c:ptCount val="1"/>
                <c:pt idx="0">
                  <c:v>Fernwärme</c:v>
                </c:pt>
              </c:strCache>
            </c:strRef>
          </c:tx>
          <c:spPr>
            <a:solidFill>
              <a:schemeClr val="tx2">
                <a:lumMod val="60000"/>
                <a:lumOff val="40000"/>
              </a:schemeClr>
            </a:solidFill>
            <a:effectLst>
              <a:outerShdw blurRad="50800" dist="38100" dir="2700000" algn="tl" rotWithShape="0">
                <a:prstClr val="black">
                  <a:alpha val="40000"/>
                </a:prstClr>
              </a:outerShdw>
            </a:effectLst>
          </c:spPr>
          <c:invertIfNegative val="0"/>
          <c:dLbls>
            <c:numFmt formatCode="#,##0_ ;[Red]\-#,##0;&quot;&quot;" sourceLinked="0"/>
            <c:spPr>
              <a:noFill/>
            </c:spPr>
            <c:txPr>
              <a:bodyPr/>
              <a:lstStyle/>
              <a:p>
                <a:pPr>
                  <a:defRPr sz="10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Berechnungen!$D$100:$J$100</c15:sqref>
                  </c15:fullRef>
                </c:ext>
              </c:extLst>
              <c:f>(Berechnungen!$D$100,Berechnungen!$F$100,Berechnungen!$H$100,Berechnungen!$J$100)</c:f>
              <c:numCache>
                <c:formatCode>#,##0</c:formatCode>
                <c:ptCount val="4"/>
                <c:pt idx="0">
                  <c:v>0</c:v>
                </c:pt>
                <c:pt idx="1">
                  <c:v>0</c:v>
                </c:pt>
                <c:pt idx="2">
                  <c:v>0</c:v>
                </c:pt>
                <c:pt idx="3">
                  <c:v>0</c:v>
                </c:pt>
              </c:numCache>
            </c:numRef>
          </c:val>
          <c:extLst>
            <c:ext xmlns:c16="http://schemas.microsoft.com/office/drawing/2014/chart" uri="{C3380CC4-5D6E-409C-BE32-E72D297353CC}">
              <c16:uniqueId val="{00000004-FD14-43E4-AD2D-03C7E8D3E0DB}"/>
            </c:ext>
          </c:extLst>
        </c:ser>
        <c:ser>
          <c:idx val="3"/>
          <c:order val="5"/>
          <c:tx>
            <c:strRef>
              <c:f>Berechnungen!$A$101</c:f>
              <c:strCache>
                <c:ptCount val="1"/>
                <c:pt idx="0">
                  <c:v>Holz</c:v>
                </c:pt>
              </c:strCache>
            </c:strRef>
          </c:tx>
          <c:spPr>
            <a:solidFill>
              <a:schemeClr val="accent3">
                <a:lumMod val="75000"/>
              </a:schemeClr>
            </a:solidFill>
            <a:effectLst>
              <a:outerShdw blurRad="50800" dist="38100" dir="2700000" algn="tl" rotWithShape="0">
                <a:prstClr val="black">
                  <a:alpha val="40000"/>
                </a:prstClr>
              </a:outerShdw>
            </a:effectLst>
          </c:spPr>
          <c:invertIfNegative val="0"/>
          <c:dLbls>
            <c:numFmt formatCode="#,##0_ ;[Red]\-#,##0;&quot;&quot;" sourceLinked="0"/>
            <c:spPr>
              <a:noFill/>
            </c:spPr>
            <c:txPr>
              <a:bodyPr/>
              <a:lstStyle/>
              <a:p>
                <a:pPr>
                  <a:defRPr sz="10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Berechnungen!$D$101:$J$101</c15:sqref>
                  </c15:fullRef>
                </c:ext>
              </c:extLst>
              <c:f>(Berechnungen!$D$101,Berechnungen!$F$101,Berechnungen!$H$101,Berechnungen!$J$101)</c:f>
              <c:numCache>
                <c:formatCode>#,##0</c:formatCode>
                <c:ptCount val="4"/>
                <c:pt idx="0">
                  <c:v>0</c:v>
                </c:pt>
                <c:pt idx="1">
                  <c:v>0</c:v>
                </c:pt>
                <c:pt idx="2">
                  <c:v>0</c:v>
                </c:pt>
                <c:pt idx="3">
                  <c:v>0</c:v>
                </c:pt>
              </c:numCache>
            </c:numRef>
          </c:val>
          <c:extLst>
            <c:ext xmlns:c16="http://schemas.microsoft.com/office/drawing/2014/chart" uri="{C3380CC4-5D6E-409C-BE32-E72D297353CC}">
              <c16:uniqueId val="{00000005-FD14-43E4-AD2D-03C7E8D3E0DB}"/>
            </c:ext>
          </c:extLst>
        </c:ser>
        <c:dLbls>
          <c:showLegendKey val="0"/>
          <c:showVal val="0"/>
          <c:showCatName val="0"/>
          <c:showSerName val="0"/>
          <c:showPercent val="0"/>
          <c:showBubbleSize val="0"/>
        </c:dLbls>
        <c:gapWidth val="150"/>
        <c:overlap val="100"/>
        <c:axId val="296566200"/>
        <c:axId val="419880256"/>
      </c:barChart>
      <c:lineChart>
        <c:grouping val="standard"/>
        <c:varyColors val="0"/>
        <c:ser>
          <c:idx val="4"/>
          <c:order val="6"/>
          <c:tx>
            <c:strRef>
              <c:f>Berechnungen!$A$106</c:f>
              <c:strCache>
                <c:ptCount val="1"/>
                <c:pt idx="0">
                  <c:v>Grenzwert </c:v>
                </c:pt>
              </c:strCache>
            </c:strRef>
          </c:tx>
          <c:spPr>
            <a:ln w="25400">
              <a:solidFill>
                <a:schemeClr val="accent2">
                  <a:lumMod val="50000"/>
                </a:schemeClr>
              </a:solidFill>
              <a:prstDash val="solid"/>
            </a:ln>
            <a:effectLst/>
          </c:spPr>
          <c:marker>
            <c:symbol val="none"/>
          </c:marker>
          <c:trendline>
            <c:spPr>
              <a:ln w="28575">
                <a:solidFill>
                  <a:srgbClr val="C0504D">
                    <a:lumMod val="50000"/>
                  </a:srgbClr>
                </a:solidFill>
              </a:ln>
              <a:effectLst>
                <a:outerShdw blurRad="50800" dist="38100" dir="2700000" algn="tl" rotWithShape="0">
                  <a:prstClr val="black">
                    <a:alpha val="40000"/>
                  </a:prstClr>
                </a:outerShdw>
              </a:effectLst>
            </c:spPr>
            <c:trendlineType val="linear"/>
            <c:forward val="0.5"/>
            <c:backward val="0.5"/>
            <c:dispRSqr val="0"/>
            <c:dispEq val="0"/>
          </c:trendline>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Berechnungen!$D$106:$J$106</c15:sqref>
                  </c15:fullRef>
                </c:ext>
              </c:extLst>
              <c:f>(Berechnungen!$D$106,Berechnungen!$F$106,Berechnungen!$H$106,Berechnungen!$J$106)</c:f>
              <c:numCache>
                <c:formatCode>#,##0</c:formatCode>
                <c:ptCount val="4"/>
                <c:pt idx="0">
                  <c:v>0</c:v>
                </c:pt>
                <c:pt idx="1">
                  <c:v>0</c:v>
                </c:pt>
                <c:pt idx="2">
                  <c:v>0</c:v>
                </c:pt>
                <c:pt idx="3">
                  <c:v>0</c:v>
                </c:pt>
              </c:numCache>
            </c:numRef>
          </c:val>
          <c:smooth val="0"/>
          <c:extLst>
            <c:ext xmlns:c16="http://schemas.microsoft.com/office/drawing/2014/chart" uri="{C3380CC4-5D6E-409C-BE32-E72D297353CC}">
              <c16:uniqueId val="{00000006-FD14-43E4-AD2D-03C7E8D3E0DB}"/>
            </c:ext>
          </c:extLst>
        </c:ser>
        <c:dLbls>
          <c:showLegendKey val="0"/>
          <c:showVal val="0"/>
          <c:showCatName val="0"/>
          <c:showSerName val="0"/>
          <c:showPercent val="0"/>
          <c:showBubbleSize val="0"/>
        </c:dLbls>
        <c:marker val="1"/>
        <c:smooth val="0"/>
        <c:axId val="296566200"/>
        <c:axId val="419880256"/>
      </c:lineChart>
      <c:catAx>
        <c:axId val="296566200"/>
        <c:scaling>
          <c:orientation val="minMax"/>
        </c:scaling>
        <c:delete val="0"/>
        <c:axPos val="b"/>
        <c:numFmt formatCode="General" sourceLinked="0"/>
        <c:majorTickMark val="none"/>
        <c:minorTickMark val="none"/>
        <c:tickLblPos val="none"/>
        <c:spPr>
          <a:ln w="12700"/>
          <a:effectLst/>
        </c:spPr>
        <c:crossAx val="419880256"/>
        <c:crosses val="autoZero"/>
        <c:auto val="1"/>
        <c:lblAlgn val="ctr"/>
        <c:lblOffset val="100"/>
        <c:noMultiLvlLbl val="0"/>
      </c:catAx>
      <c:valAx>
        <c:axId val="419880256"/>
        <c:scaling>
          <c:orientation val="minMax"/>
          <c:min val="0"/>
        </c:scaling>
        <c:delete val="0"/>
        <c:axPos val="l"/>
        <c:majorGridlines>
          <c:spPr>
            <a:ln w="6350"/>
          </c:spPr>
        </c:majorGridlines>
        <c:numFmt formatCode="#,##0" sourceLinked="1"/>
        <c:majorTickMark val="out"/>
        <c:minorTickMark val="none"/>
        <c:tickLblPos val="nextTo"/>
        <c:txPr>
          <a:bodyPr/>
          <a:lstStyle/>
          <a:p>
            <a:pPr>
              <a:defRPr sz="1100">
                <a:latin typeface="Arial" pitchFamily="34" charset="0"/>
                <a:cs typeface="Arial" pitchFamily="34" charset="0"/>
              </a:defRPr>
            </a:pPr>
            <a:endParaRPr lang="de-DE"/>
          </a:p>
        </c:txPr>
        <c:crossAx val="296566200"/>
        <c:crosses val="autoZero"/>
        <c:crossBetween val="between"/>
      </c:valAx>
      <c:spPr>
        <a:noFill/>
        <a:ln w="25400">
          <a:noFill/>
        </a:ln>
      </c:spPr>
    </c:plotArea>
    <c:legend>
      <c:legendPos val="l"/>
      <c:legendEntry>
        <c:idx val="7"/>
        <c:delete val="1"/>
      </c:legendEntry>
      <c:layout>
        <c:manualLayout>
          <c:xMode val="edge"/>
          <c:yMode val="edge"/>
          <c:x val="0"/>
          <c:y val="2.5264712398240231E-2"/>
          <c:w val="0.1250124932514379"/>
          <c:h val="0.92380844878323864"/>
        </c:manualLayout>
      </c:layout>
      <c:overlay val="0"/>
      <c:txPr>
        <a:bodyPr/>
        <a:lstStyle/>
        <a:p>
          <a:pPr>
            <a:defRPr sz="1100">
              <a:latin typeface="Arial Narrow" panose="020B0606020202030204" pitchFamily="34" charset="0"/>
              <a:cs typeface="Arial" pitchFamily="34" charset="0"/>
            </a:defRPr>
          </a:pPr>
          <a:endParaRPr lang="de-DE"/>
        </a:p>
      </c:txPr>
    </c:legend>
    <c:plotVisOnly val="1"/>
    <c:dispBlanksAs val="gap"/>
    <c:showDLblsOverMax val="0"/>
  </c:chart>
  <c:spPr>
    <a:noFill/>
    <a:ln>
      <a:noFill/>
    </a:ln>
  </c:spPr>
  <c:printSettings>
    <c:headerFooter/>
    <c:pageMargins b="0.78740157499999996" l="0.70000000000000062" r="0.70000000000000062" t="0.78740157499999996"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860166415367952"/>
          <c:y val="2.9125911969615392E-2"/>
          <c:w val="0.80139833584631659"/>
          <c:h val="0.9523528212657848"/>
        </c:manualLayout>
      </c:layout>
      <c:barChart>
        <c:barDir val="col"/>
        <c:grouping val="stacked"/>
        <c:varyColors val="0"/>
        <c:ser>
          <c:idx val="0"/>
          <c:order val="0"/>
          <c:tx>
            <c:strRef>
              <c:f>Berechnungen!$A$94</c:f>
              <c:strCache>
                <c:ptCount val="1"/>
                <c:pt idx="0">
                  <c:v>Erstellung</c:v>
                </c:pt>
              </c:strCache>
            </c:strRef>
          </c:tx>
          <c:spPr>
            <a:solidFill>
              <a:schemeClr val="accent4"/>
            </a:solidFill>
            <a:effectLst>
              <a:outerShdw blurRad="50800" dist="38100" dir="2700000" algn="tl" rotWithShape="0">
                <a:prstClr val="black">
                  <a:alpha val="40000"/>
                </a:prstClr>
              </a:outerShdw>
            </a:effectLst>
          </c:spPr>
          <c:invertIfNegative val="0"/>
          <c:dLbls>
            <c:numFmt formatCode="#,##0_ ;[Red]\-#,##0;&quot;&quot;" sourceLinked="0"/>
            <c:spPr>
              <a:noFill/>
            </c:spPr>
            <c:txPr>
              <a:bodyPr/>
              <a:lstStyle/>
              <a:p>
                <a:pPr>
                  <a:defRPr sz="1000">
                    <a:solidFill>
                      <a:sysClr val="windowText" lastClr="000000"/>
                    </a:solidFill>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Berechnungen!$D$94:$J$94</c15:sqref>
                  </c15:fullRef>
                </c:ext>
              </c:extLst>
              <c:f>(Berechnungen!$D$94,Berechnungen!$F$94,Berechnungen!$H$94,Berechnungen!$J$94)</c:f>
              <c:numCache>
                <c:formatCode>#,##0</c:formatCode>
                <c:ptCount val="4"/>
                <c:pt idx="0">
                  <c:v>0</c:v>
                </c:pt>
                <c:pt idx="1">
                  <c:v>91300</c:v>
                </c:pt>
                <c:pt idx="2">
                  <c:v>0</c:v>
                </c:pt>
                <c:pt idx="3">
                  <c:v>0</c:v>
                </c:pt>
              </c:numCache>
            </c:numRef>
          </c:val>
          <c:extLst>
            <c:ext xmlns:c16="http://schemas.microsoft.com/office/drawing/2014/chart" uri="{C3380CC4-5D6E-409C-BE32-E72D297353CC}">
              <c16:uniqueId val="{00000000-F122-4DFD-ACE8-2CA7F9751289}"/>
            </c:ext>
          </c:extLst>
        </c:ser>
        <c:ser>
          <c:idx val="1"/>
          <c:order val="1"/>
          <c:tx>
            <c:strRef>
              <c:f>Berechnungen!$A$95</c:f>
              <c:strCache>
                <c:ptCount val="1"/>
                <c:pt idx="0">
                  <c:v>Betrieb</c:v>
                </c:pt>
              </c:strCache>
            </c:strRef>
          </c:tx>
          <c:spPr>
            <a:solidFill>
              <a:schemeClr val="accent6">
                <a:lumMod val="75000"/>
              </a:schemeClr>
            </a:solidFill>
            <a:effectLst>
              <a:outerShdw blurRad="50800" dist="38100" dir="2700000" algn="tl" rotWithShape="0">
                <a:prstClr val="black">
                  <a:alpha val="40000"/>
                </a:prstClr>
              </a:outerShdw>
            </a:effectLst>
          </c:spPr>
          <c:invertIfNegative val="0"/>
          <c:dLbls>
            <c:numFmt formatCode="#,##0_ ;[Red]\-#,##0;&quot;&quot;" sourceLinked="0"/>
            <c:spPr>
              <a:noFill/>
            </c:spPr>
            <c:txPr>
              <a:bodyPr/>
              <a:lstStyle/>
              <a:p>
                <a:pPr>
                  <a:defRPr sz="10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Berechnungen!$D$95:$J$95</c15:sqref>
                  </c15:fullRef>
                </c:ext>
              </c:extLst>
              <c:f>(Berechnungen!$D$95,Berechnungen!$F$95,Berechnungen!$H$95,Berechnungen!$J$95)</c:f>
              <c:numCache>
                <c:formatCode>#,##0</c:formatCode>
                <c:ptCount val="4"/>
                <c:pt idx="0">
                  <c:v>0</c:v>
                </c:pt>
                <c:pt idx="1">
                  <c:v>0</c:v>
                </c:pt>
                <c:pt idx="2">
                  <c:v>0</c:v>
                </c:pt>
                <c:pt idx="3">
                  <c:v>0</c:v>
                </c:pt>
              </c:numCache>
            </c:numRef>
          </c:val>
          <c:extLst>
            <c:ext xmlns:c16="http://schemas.microsoft.com/office/drawing/2014/chart" uri="{C3380CC4-5D6E-409C-BE32-E72D297353CC}">
              <c16:uniqueId val="{00000001-F122-4DFD-ACE8-2CA7F9751289}"/>
            </c:ext>
          </c:extLst>
        </c:ser>
        <c:dLbls>
          <c:showLegendKey val="0"/>
          <c:showVal val="0"/>
          <c:showCatName val="0"/>
          <c:showSerName val="0"/>
          <c:showPercent val="0"/>
          <c:showBubbleSize val="0"/>
        </c:dLbls>
        <c:gapWidth val="150"/>
        <c:overlap val="100"/>
        <c:axId val="416434680"/>
        <c:axId val="419881040"/>
      </c:barChart>
      <c:catAx>
        <c:axId val="416434680"/>
        <c:scaling>
          <c:orientation val="minMax"/>
        </c:scaling>
        <c:delete val="0"/>
        <c:axPos val="b"/>
        <c:numFmt formatCode="General" sourceLinked="0"/>
        <c:majorTickMark val="none"/>
        <c:minorTickMark val="none"/>
        <c:tickLblPos val="none"/>
        <c:spPr>
          <a:ln w="12700"/>
        </c:spPr>
        <c:crossAx val="419881040"/>
        <c:crosses val="autoZero"/>
        <c:auto val="1"/>
        <c:lblAlgn val="ctr"/>
        <c:lblOffset val="100"/>
        <c:noMultiLvlLbl val="0"/>
      </c:catAx>
      <c:valAx>
        <c:axId val="419881040"/>
        <c:scaling>
          <c:orientation val="minMax"/>
        </c:scaling>
        <c:delete val="0"/>
        <c:axPos val="l"/>
        <c:majorGridlines>
          <c:spPr>
            <a:ln w="6350"/>
          </c:spPr>
        </c:majorGridlines>
        <c:numFmt formatCode="#,##0" sourceLinked="1"/>
        <c:majorTickMark val="out"/>
        <c:minorTickMark val="none"/>
        <c:tickLblPos val="nextTo"/>
        <c:txPr>
          <a:bodyPr/>
          <a:lstStyle/>
          <a:p>
            <a:pPr>
              <a:defRPr sz="1100">
                <a:latin typeface="Arial" pitchFamily="34" charset="0"/>
                <a:cs typeface="Arial" pitchFamily="34" charset="0"/>
              </a:defRPr>
            </a:pPr>
            <a:endParaRPr lang="de-DE"/>
          </a:p>
        </c:txPr>
        <c:crossAx val="416434680"/>
        <c:crosses val="autoZero"/>
        <c:crossBetween val="between"/>
      </c:valAx>
      <c:spPr>
        <a:noFill/>
        <a:ln w="25400">
          <a:noFill/>
        </a:ln>
      </c:spPr>
    </c:plotArea>
    <c:legend>
      <c:legendPos val="l"/>
      <c:layout>
        <c:manualLayout>
          <c:xMode val="edge"/>
          <c:yMode val="edge"/>
          <c:x val="0"/>
          <c:y val="0.24383650657986491"/>
          <c:w val="9.3997128564061644E-2"/>
          <c:h val="0.32743345880841107"/>
        </c:manualLayout>
      </c:layout>
      <c:overlay val="0"/>
      <c:txPr>
        <a:bodyPr/>
        <a:lstStyle/>
        <a:p>
          <a:pPr>
            <a:defRPr sz="1100">
              <a:latin typeface="Arial" pitchFamily="34" charset="0"/>
              <a:cs typeface="Arial" pitchFamily="34" charset="0"/>
            </a:defRPr>
          </a:pPr>
          <a:endParaRPr lang="de-DE"/>
        </a:p>
      </c:txPr>
    </c:legend>
    <c:plotVisOnly val="1"/>
    <c:dispBlanksAs val="gap"/>
    <c:showDLblsOverMax val="0"/>
  </c:chart>
  <c:spPr>
    <a:noFill/>
    <a:ln>
      <a:noFill/>
    </a:ln>
  </c:spPr>
  <c:printSettings>
    <c:headerFooter/>
    <c:pageMargins b="0.78740157499999996" l="0.70000000000000062" r="0.70000000000000062" t="0.78740157499999996"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860166415367958"/>
          <c:y val="2.9125911969615392E-2"/>
          <c:w val="0.80139833584631659"/>
          <c:h val="0.9523528212657848"/>
        </c:manualLayout>
      </c:layout>
      <c:barChart>
        <c:barDir val="col"/>
        <c:grouping val="clustered"/>
        <c:varyColors val="0"/>
        <c:ser>
          <c:idx val="0"/>
          <c:order val="0"/>
          <c:tx>
            <c:strRef>
              <c:f>Berechnungen!$A$109</c:f>
              <c:strCache>
                <c:ptCount val="1"/>
                <c:pt idx="0">
                  <c:v>Wärme</c:v>
                </c:pt>
              </c:strCache>
            </c:strRef>
          </c:tx>
          <c:spPr>
            <a:solidFill>
              <a:schemeClr val="accent6">
                <a:lumMod val="75000"/>
              </a:schemeClr>
            </a:solidFill>
            <a:effectLst>
              <a:outerShdw blurRad="50800" dist="38100" dir="2700000" algn="tl" rotWithShape="0">
                <a:prstClr val="black">
                  <a:alpha val="40000"/>
                </a:prstClr>
              </a:outerShdw>
            </a:effectLst>
          </c:spPr>
          <c:invertIfNegative val="0"/>
          <c:dLbls>
            <c:numFmt formatCode="#,##0.0;#,##0.0;&quot;&quot;" sourceLinked="0"/>
            <c:spPr>
              <a:noFill/>
            </c:spPr>
            <c:txPr>
              <a:bodyPr/>
              <a:lstStyle/>
              <a:p>
                <a:pPr>
                  <a:defRPr sz="1000">
                    <a:latin typeface="Arial" pitchFamily="34" charset="0"/>
                    <a:cs typeface="Arial"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Berechnungen!$D$109:$J$109</c15:sqref>
                  </c15:fullRef>
                </c:ext>
              </c:extLst>
              <c:f>(Berechnungen!$D$109,Berechnungen!$F$109,Berechnungen!$H$109,Berechnungen!$J$109)</c:f>
              <c:numCache>
                <c:formatCode>#,##0.0</c:formatCode>
                <c:ptCount val="4"/>
                <c:pt idx="0">
                  <c:v>0</c:v>
                </c:pt>
                <c:pt idx="1">
                  <c:v>0</c:v>
                </c:pt>
                <c:pt idx="2">
                  <c:v>0</c:v>
                </c:pt>
                <c:pt idx="3">
                  <c:v>0</c:v>
                </c:pt>
              </c:numCache>
            </c:numRef>
          </c:val>
          <c:extLst>
            <c:ext xmlns:c16="http://schemas.microsoft.com/office/drawing/2014/chart" uri="{C3380CC4-5D6E-409C-BE32-E72D297353CC}">
              <c16:uniqueId val="{00000000-FBAC-41FB-ADD0-D226DED12C99}"/>
            </c:ext>
          </c:extLst>
        </c:ser>
        <c:ser>
          <c:idx val="1"/>
          <c:order val="1"/>
          <c:tx>
            <c:strRef>
              <c:f>Berechnungen!$A$110</c:f>
              <c:strCache>
                <c:ptCount val="1"/>
                <c:pt idx="0">
                  <c:v>Kälte</c:v>
                </c:pt>
              </c:strCache>
            </c:strRef>
          </c:tx>
          <c:spPr>
            <a:solidFill>
              <a:schemeClr val="accent5">
                <a:lumMod val="60000"/>
                <a:lumOff val="40000"/>
              </a:schemeClr>
            </a:solidFill>
            <a:effectLst>
              <a:outerShdw blurRad="50800" dist="38100" dir="2700000" algn="tl" rotWithShape="0">
                <a:prstClr val="black">
                  <a:alpha val="40000"/>
                </a:prstClr>
              </a:outerShdw>
            </a:effectLst>
          </c:spPr>
          <c:invertIfNegative val="0"/>
          <c:dLbls>
            <c:numFmt formatCode="#,##0.0;#,##0.0;&quot;&quot;" sourceLinked="0"/>
            <c:spPr>
              <a:noFill/>
              <a:ln>
                <a:noFill/>
              </a:ln>
              <a:effectLst/>
            </c:spPr>
            <c:txPr>
              <a:bodyPr/>
              <a:lstStyle/>
              <a:p>
                <a:pPr>
                  <a:defRPr>
                    <a:latin typeface="Arial" panose="020B0604020202020204" pitchFamily="34" charset="0"/>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Berechnungen!$D$110:$J$110</c15:sqref>
                  </c15:fullRef>
                </c:ext>
              </c:extLst>
              <c:f>(Berechnungen!$D$110,Berechnungen!$F$110,Berechnungen!$H$110,Berechnungen!$J$110)</c:f>
              <c:numCache>
                <c:formatCode>#,##0.0</c:formatCode>
                <c:ptCount val="4"/>
                <c:pt idx="0">
                  <c:v>0</c:v>
                </c:pt>
                <c:pt idx="1">
                  <c:v>0</c:v>
                </c:pt>
                <c:pt idx="2">
                  <c:v>0</c:v>
                </c:pt>
                <c:pt idx="3">
                  <c:v>0</c:v>
                </c:pt>
              </c:numCache>
            </c:numRef>
          </c:val>
          <c:extLst>
            <c:ext xmlns:c16="http://schemas.microsoft.com/office/drawing/2014/chart" uri="{C3380CC4-5D6E-409C-BE32-E72D297353CC}">
              <c16:uniqueId val="{00000001-FBAC-41FB-ADD0-D226DED12C99}"/>
            </c:ext>
          </c:extLst>
        </c:ser>
        <c:ser>
          <c:idx val="2"/>
          <c:order val="2"/>
          <c:tx>
            <c:strRef>
              <c:f>Berechnungen!$A$111</c:f>
              <c:strCache>
                <c:ptCount val="1"/>
                <c:pt idx="0">
                  <c:v>Elektrizität</c:v>
                </c:pt>
              </c:strCache>
            </c:strRef>
          </c:tx>
          <c:spPr>
            <a:effectLst>
              <a:outerShdw blurRad="50800" dist="38100" dir="2700000" algn="tl" rotWithShape="0">
                <a:prstClr val="black">
                  <a:alpha val="40000"/>
                </a:prstClr>
              </a:outerShdw>
            </a:effectLst>
          </c:spPr>
          <c:invertIfNegative val="0"/>
          <c:dLbls>
            <c:numFmt formatCode="#,##0.0;#,##0.0;&quot;&quot;" sourceLinked="0"/>
            <c:spPr>
              <a:noFill/>
              <a:ln>
                <a:noFill/>
              </a:ln>
              <a:effectLst/>
            </c:spPr>
            <c:txPr>
              <a:bodyPr/>
              <a:lstStyle/>
              <a:p>
                <a:pPr>
                  <a:defRPr>
                    <a:latin typeface="Arial" panose="020B0604020202020204" pitchFamily="34" charset="0"/>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Berechnungen!$D$111:$J$111</c15:sqref>
                  </c15:fullRef>
                </c:ext>
              </c:extLst>
              <c:f>(Berechnungen!$D$111,Berechnungen!$F$111,Berechnungen!$H$111,Berechnungen!$J$111)</c:f>
              <c:numCache>
                <c:formatCode>#,##0.0</c:formatCode>
                <c:ptCount val="4"/>
                <c:pt idx="0">
                  <c:v>0</c:v>
                </c:pt>
                <c:pt idx="1">
                  <c:v>0</c:v>
                </c:pt>
                <c:pt idx="2">
                  <c:v>0</c:v>
                </c:pt>
                <c:pt idx="3">
                  <c:v>0</c:v>
                </c:pt>
              </c:numCache>
            </c:numRef>
          </c:val>
          <c:extLst>
            <c:ext xmlns:c16="http://schemas.microsoft.com/office/drawing/2014/chart" uri="{C3380CC4-5D6E-409C-BE32-E72D297353CC}">
              <c16:uniqueId val="{00000002-FBAC-41FB-ADD0-D226DED12C99}"/>
            </c:ext>
          </c:extLst>
        </c:ser>
        <c:dLbls>
          <c:showLegendKey val="0"/>
          <c:showVal val="0"/>
          <c:showCatName val="0"/>
          <c:showSerName val="0"/>
          <c:showPercent val="0"/>
          <c:showBubbleSize val="0"/>
        </c:dLbls>
        <c:gapWidth val="150"/>
        <c:axId val="416433112"/>
        <c:axId val="416432720"/>
      </c:barChart>
      <c:catAx>
        <c:axId val="416433112"/>
        <c:scaling>
          <c:orientation val="minMax"/>
        </c:scaling>
        <c:delete val="0"/>
        <c:axPos val="b"/>
        <c:numFmt formatCode="General" sourceLinked="0"/>
        <c:majorTickMark val="none"/>
        <c:minorTickMark val="none"/>
        <c:tickLblPos val="none"/>
        <c:spPr>
          <a:ln w="12700"/>
          <a:effectLst/>
        </c:spPr>
        <c:crossAx val="416432720"/>
        <c:crosses val="autoZero"/>
        <c:auto val="1"/>
        <c:lblAlgn val="ctr"/>
        <c:lblOffset val="100"/>
        <c:noMultiLvlLbl val="0"/>
      </c:catAx>
      <c:valAx>
        <c:axId val="416432720"/>
        <c:scaling>
          <c:orientation val="minMax"/>
        </c:scaling>
        <c:delete val="0"/>
        <c:axPos val="l"/>
        <c:majorGridlines>
          <c:spPr>
            <a:ln w="6350"/>
          </c:spPr>
        </c:majorGridlines>
        <c:numFmt formatCode="#,##0.0" sourceLinked="1"/>
        <c:majorTickMark val="out"/>
        <c:minorTickMark val="none"/>
        <c:tickLblPos val="nextTo"/>
        <c:txPr>
          <a:bodyPr/>
          <a:lstStyle/>
          <a:p>
            <a:pPr>
              <a:defRPr sz="1100">
                <a:latin typeface="Arial" pitchFamily="34" charset="0"/>
                <a:cs typeface="Arial" pitchFamily="34" charset="0"/>
              </a:defRPr>
            </a:pPr>
            <a:endParaRPr lang="de-DE"/>
          </a:p>
        </c:txPr>
        <c:crossAx val="416433112"/>
        <c:crosses val="autoZero"/>
        <c:crossBetween val="between"/>
      </c:valAx>
      <c:spPr>
        <a:noFill/>
        <a:ln w="25400">
          <a:noFill/>
        </a:ln>
      </c:spPr>
    </c:plotArea>
    <c:legend>
      <c:legendPos val="l"/>
      <c:layout>
        <c:manualLayout>
          <c:xMode val="edge"/>
          <c:yMode val="edge"/>
          <c:x val="5.7065361287794462E-3"/>
          <c:y val="0.21873203208464972"/>
          <c:w val="9.6413337322395459E-2"/>
          <c:h val="0.40476515435570554"/>
        </c:manualLayout>
      </c:layout>
      <c:overlay val="0"/>
      <c:txPr>
        <a:bodyPr/>
        <a:lstStyle/>
        <a:p>
          <a:pPr>
            <a:defRPr sz="1100">
              <a:latin typeface="Arial" pitchFamily="34" charset="0"/>
              <a:cs typeface="Arial" pitchFamily="34" charset="0"/>
            </a:defRPr>
          </a:pPr>
          <a:endParaRPr lang="de-DE"/>
        </a:p>
      </c:txPr>
    </c:legend>
    <c:plotVisOnly val="1"/>
    <c:dispBlanksAs val="gap"/>
    <c:showDLblsOverMax val="0"/>
  </c:chart>
  <c:spPr>
    <a:noFill/>
    <a:ln>
      <a:noFill/>
    </a:ln>
  </c:spPr>
  <c:printSettings>
    <c:headerFooter/>
    <c:pageMargins b="0.78740157499999996" l="0.70000000000000062" r="0.70000000000000062" t="0.78740157499999996"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6.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xdr:from>
      <xdr:col>2</xdr:col>
      <xdr:colOff>26194</xdr:colOff>
      <xdr:row>15</xdr:row>
      <xdr:rowOff>52388</xdr:rowOff>
    </xdr:from>
    <xdr:to>
      <xdr:col>2</xdr:col>
      <xdr:colOff>76200</xdr:colOff>
      <xdr:row>15</xdr:row>
      <xdr:rowOff>102394</xdr:rowOff>
    </xdr:to>
    <xdr:sp macro="" textlink="">
      <xdr:nvSpPr>
        <xdr:cNvPr id="23" name="Ellipse 22">
          <a:extLst>
            <a:ext uri="{FF2B5EF4-FFF2-40B4-BE49-F238E27FC236}">
              <a16:creationId xmlns:a16="http://schemas.microsoft.com/office/drawing/2014/main" id="{00000000-0008-0000-0100-000017000000}"/>
            </a:ext>
          </a:extLst>
        </xdr:cNvPr>
        <xdr:cNvSpPr/>
      </xdr:nvSpPr>
      <xdr:spPr>
        <a:xfrm>
          <a:off x="1264444" y="837723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2</xdr:col>
      <xdr:colOff>26194</xdr:colOff>
      <xdr:row>16</xdr:row>
      <xdr:rowOff>58738</xdr:rowOff>
    </xdr:from>
    <xdr:to>
      <xdr:col>2</xdr:col>
      <xdr:colOff>76200</xdr:colOff>
      <xdr:row>16</xdr:row>
      <xdr:rowOff>108744</xdr:rowOff>
    </xdr:to>
    <xdr:sp macro="" textlink="">
      <xdr:nvSpPr>
        <xdr:cNvPr id="25" name="Ellipse 24">
          <a:extLst>
            <a:ext uri="{FF2B5EF4-FFF2-40B4-BE49-F238E27FC236}">
              <a16:creationId xmlns:a16="http://schemas.microsoft.com/office/drawing/2014/main" id="{00000000-0008-0000-0100-000019000000}"/>
            </a:ext>
          </a:extLst>
        </xdr:cNvPr>
        <xdr:cNvSpPr/>
      </xdr:nvSpPr>
      <xdr:spPr>
        <a:xfrm>
          <a:off x="1264444" y="87645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2</xdr:col>
      <xdr:colOff>26194</xdr:colOff>
      <xdr:row>17</xdr:row>
      <xdr:rowOff>58738</xdr:rowOff>
    </xdr:from>
    <xdr:to>
      <xdr:col>2</xdr:col>
      <xdr:colOff>76200</xdr:colOff>
      <xdr:row>17</xdr:row>
      <xdr:rowOff>108744</xdr:rowOff>
    </xdr:to>
    <xdr:sp macro="" textlink="">
      <xdr:nvSpPr>
        <xdr:cNvPr id="26" name="Ellipse 25">
          <a:extLst>
            <a:ext uri="{FF2B5EF4-FFF2-40B4-BE49-F238E27FC236}">
              <a16:creationId xmlns:a16="http://schemas.microsoft.com/office/drawing/2014/main" id="{00000000-0008-0000-0100-00001A000000}"/>
            </a:ext>
          </a:extLst>
        </xdr:cNvPr>
        <xdr:cNvSpPr/>
      </xdr:nvSpPr>
      <xdr:spPr>
        <a:xfrm>
          <a:off x="1264444" y="87645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2</xdr:col>
      <xdr:colOff>26194</xdr:colOff>
      <xdr:row>18</xdr:row>
      <xdr:rowOff>58738</xdr:rowOff>
    </xdr:from>
    <xdr:to>
      <xdr:col>2</xdr:col>
      <xdr:colOff>76200</xdr:colOff>
      <xdr:row>18</xdr:row>
      <xdr:rowOff>108744</xdr:rowOff>
    </xdr:to>
    <xdr:sp macro="" textlink="">
      <xdr:nvSpPr>
        <xdr:cNvPr id="27" name="Ellipse 26">
          <a:extLst>
            <a:ext uri="{FF2B5EF4-FFF2-40B4-BE49-F238E27FC236}">
              <a16:creationId xmlns:a16="http://schemas.microsoft.com/office/drawing/2014/main" id="{00000000-0008-0000-0100-00001B000000}"/>
            </a:ext>
          </a:extLst>
        </xdr:cNvPr>
        <xdr:cNvSpPr/>
      </xdr:nvSpPr>
      <xdr:spPr>
        <a:xfrm>
          <a:off x="1264444" y="91455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2</xdr:col>
      <xdr:colOff>26194</xdr:colOff>
      <xdr:row>20</xdr:row>
      <xdr:rowOff>58738</xdr:rowOff>
    </xdr:from>
    <xdr:to>
      <xdr:col>2</xdr:col>
      <xdr:colOff>76200</xdr:colOff>
      <xdr:row>20</xdr:row>
      <xdr:rowOff>108744</xdr:rowOff>
    </xdr:to>
    <xdr:sp macro="" textlink="">
      <xdr:nvSpPr>
        <xdr:cNvPr id="28" name="Ellipse 27">
          <a:extLst>
            <a:ext uri="{FF2B5EF4-FFF2-40B4-BE49-F238E27FC236}">
              <a16:creationId xmlns:a16="http://schemas.microsoft.com/office/drawing/2014/main" id="{00000000-0008-0000-0100-00001C000000}"/>
            </a:ext>
          </a:extLst>
        </xdr:cNvPr>
        <xdr:cNvSpPr/>
      </xdr:nvSpPr>
      <xdr:spPr>
        <a:xfrm>
          <a:off x="1264444" y="91455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2</xdr:col>
      <xdr:colOff>26194</xdr:colOff>
      <xdr:row>19</xdr:row>
      <xdr:rowOff>58738</xdr:rowOff>
    </xdr:from>
    <xdr:to>
      <xdr:col>2</xdr:col>
      <xdr:colOff>76200</xdr:colOff>
      <xdr:row>19</xdr:row>
      <xdr:rowOff>108744</xdr:rowOff>
    </xdr:to>
    <xdr:sp macro="" textlink="">
      <xdr:nvSpPr>
        <xdr:cNvPr id="29" name="Ellipse 28">
          <a:extLst>
            <a:ext uri="{FF2B5EF4-FFF2-40B4-BE49-F238E27FC236}">
              <a16:creationId xmlns:a16="http://schemas.microsoft.com/office/drawing/2014/main" id="{00000000-0008-0000-0100-00001D000000}"/>
            </a:ext>
          </a:extLst>
        </xdr:cNvPr>
        <xdr:cNvSpPr/>
      </xdr:nvSpPr>
      <xdr:spPr>
        <a:xfrm>
          <a:off x="1264444" y="969803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25</xdr:row>
      <xdr:rowOff>52388</xdr:rowOff>
    </xdr:from>
    <xdr:to>
      <xdr:col>7</xdr:col>
      <xdr:colOff>76200</xdr:colOff>
      <xdr:row>25</xdr:row>
      <xdr:rowOff>102394</xdr:rowOff>
    </xdr:to>
    <xdr:sp macro="" textlink="">
      <xdr:nvSpPr>
        <xdr:cNvPr id="86" name="Ellipse 85">
          <a:extLst>
            <a:ext uri="{FF2B5EF4-FFF2-40B4-BE49-F238E27FC236}">
              <a16:creationId xmlns:a16="http://schemas.microsoft.com/office/drawing/2014/main" id="{00000000-0008-0000-0100-000056000000}"/>
            </a:ext>
          </a:extLst>
        </xdr:cNvPr>
        <xdr:cNvSpPr/>
      </xdr:nvSpPr>
      <xdr:spPr>
        <a:xfrm>
          <a:off x="1264444" y="785336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26</xdr:row>
      <xdr:rowOff>52388</xdr:rowOff>
    </xdr:from>
    <xdr:to>
      <xdr:col>7</xdr:col>
      <xdr:colOff>76200</xdr:colOff>
      <xdr:row>26</xdr:row>
      <xdr:rowOff>102394</xdr:rowOff>
    </xdr:to>
    <xdr:sp macro="" textlink="">
      <xdr:nvSpPr>
        <xdr:cNvPr id="87" name="Ellipse 86">
          <a:extLst>
            <a:ext uri="{FF2B5EF4-FFF2-40B4-BE49-F238E27FC236}">
              <a16:creationId xmlns:a16="http://schemas.microsoft.com/office/drawing/2014/main" id="{00000000-0008-0000-0100-000057000000}"/>
            </a:ext>
          </a:extLst>
        </xdr:cNvPr>
        <xdr:cNvSpPr/>
      </xdr:nvSpPr>
      <xdr:spPr>
        <a:xfrm>
          <a:off x="4360069" y="104155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28</xdr:row>
      <xdr:rowOff>52388</xdr:rowOff>
    </xdr:from>
    <xdr:to>
      <xdr:col>7</xdr:col>
      <xdr:colOff>76200</xdr:colOff>
      <xdr:row>28</xdr:row>
      <xdr:rowOff>102394</xdr:rowOff>
    </xdr:to>
    <xdr:sp macro="" textlink="">
      <xdr:nvSpPr>
        <xdr:cNvPr id="88" name="Ellipse 87">
          <a:extLst>
            <a:ext uri="{FF2B5EF4-FFF2-40B4-BE49-F238E27FC236}">
              <a16:creationId xmlns:a16="http://schemas.microsoft.com/office/drawing/2014/main" id="{00000000-0008-0000-0100-000058000000}"/>
            </a:ext>
          </a:extLst>
        </xdr:cNvPr>
        <xdr:cNvSpPr/>
      </xdr:nvSpPr>
      <xdr:spPr>
        <a:xfrm>
          <a:off x="4360069" y="106156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29</xdr:row>
      <xdr:rowOff>52388</xdr:rowOff>
    </xdr:from>
    <xdr:to>
      <xdr:col>7</xdr:col>
      <xdr:colOff>76200</xdr:colOff>
      <xdr:row>29</xdr:row>
      <xdr:rowOff>102394</xdr:rowOff>
    </xdr:to>
    <xdr:sp macro="" textlink="">
      <xdr:nvSpPr>
        <xdr:cNvPr id="90" name="Ellipse 89">
          <a:extLst>
            <a:ext uri="{FF2B5EF4-FFF2-40B4-BE49-F238E27FC236}">
              <a16:creationId xmlns:a16="http://schemas.microsoft.com/office/drawing/2014/main" id="{00000000-0008-0000-0100-00005A000000}"/>
            </a:ext>
          </a:extLst>
        </xdr:cNvPr>
        <xdr:cNvSpPr/>
      </xdr:nvSpPr>
      <xdr:spPr>
        <a:xfrm>
          <a:off x="4360069" y="104251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35</xdr:row>
      <xdr:rowOff>52388</xdr:rowOff>
    </xdr:from>
    <xdr:to>
      <xdr:col>7</xdr:col>
      <xdr:colOff>76200</xdr:colOff>
      <xdr:row>35</xdr:row>
      <xdr:rowOff>102394</xdr:rowOff>
    </xdr:to>
    <xdr:sp macro="" textlink="">
      <xdr:nvSpPr>
        <xdr:cNvPr id="91" name="Ellipse 90">
          <a:extLst>
            <a:ext uri="{FF2B5EF4-FFF2-40B4-BE49-F238E27FC236}">
              <a16:creationId xmlns:a16="http://schemas.microsoft.com/office/drawing/2014/main" id="{00000000-0008-0000-0100-00005B000000}"/>
            </a:ext>
          </a:extLst>
        </xdr:cNvPr>
        <xdr:cNvSpPr/>
      </xdr:nvSpPr>
      <xdr:spPr>
        <a:xfrm>
          <a:off x="4360069" y="104251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37</xdr:row>
      <xdr:rowOff>52388</xdr:rowOff>
    </xdr:from>
    <xdr:to>
      <xdr:col>7</xdr:col>
      <xdr:colOff>76200</xdr:colOff>
      <xdr:row>37</xdr:row>
      <xdr:rowOff>102394</xdr:rowOff>
    </xdr:to>
    <xdr:sp macro="" textlink="">
      <xdr:nvSpPr>
        <xdr:cNvPr id="92" name="Ellipse 91">
          <a:extLst>
            <a:ext uri="{FF2B5EF4-FFF2-40B4-BE49-F238E27FC236}">
              <a16:creationId xmlns:a16="http://schemas.microsoft.com/office/drawing/2014/main" id="{00000000-0008-0000-0100-00005C000000}"/>
            </a:ext>
          </a:extLst>
        </xdr:cNvPr>
        <xdr:cNvSpPr/>
      </xdr:nvSpPr>
      <xdr:spPr>
        <a:xfrm>
          <a:off x="4360069" y="106156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39</xdr:row>
      <xdr:rowOff>52388</xdr:rowOff>
    </xdr:from>
    <xdr:to>
      <xdr:col>7</xdr:col>
      <xdr:colOff>76200</xdr:colOff>
      <xdr:row>39</xdr:row>
      <xdr:rowOff>102394</xdr:rowOff>
    </xdr:to>
    <xdr:sp macro="" textlink="">
      <xdr:nvSpPr>
        <xdr:cNvPr id="93" name="Ellipse 92">
          <a:extLst>
            <a:ext uri="{FF2B5EF4-FFF2-40B4-BE49-F238E27FC236}">
              <a16:creationId xmlns:a16="http://schemas.microsoft.com/office/drawing/2014/main" id="{00000000-0008-0000-0100-00005D000000}"/>
            </a:ext>
          </a:extLst>
        </xdr:cNvPr>
        <xdr:cNvSpPr/>
      </xdr:nvSpPr>
      <xdr:spPr>
        <a:xfrm>
          <a:off x="4360069" y="1096803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40</xdr:row>
      <xdr:rowOff>52388</xdr:rowOff>
    </xdr:from>
    <xdr:to>
      <xdr:col>7</xdr:col>
      <xdr:colOff>76200</xdr:colOff>
      <xdr:row>40</xdr:row>
      <xdr:rowOff>102394</xdr:rowOff>
    </xdr:to>
    <xdr:sp macro="" textlink="">
      <xdr:nvSpPr>
        <xdr:cNvPr id="98" name="Ellipse 97">
          <a:extLst>
            <a:ext uri="{FF2B5EF4-FFF2-40B4-BE49-F238E27FC236}">
              <a16:creationId xmlns:a16="http://schemas.microsoft.com/office/drawing/2014/main" id="{00000000-0008-0000-0100-000062000000}"/>
            </a:ext>
          </a:extLst>
        </xdr:cNvPr>
        <xdr:cNvSpPr/>
      </xdr:nvSpPr>
      <xdr:spPr>
        <a:xfrm>
          <a:off x="4360069" y="116728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42</xdr:row>
      <xdr:rowOff>52388</xdr:rowOff>
    </xdr:from>
    <xdr:to>
      <xdr:col>7</xdr:col>
      <xdr:colOff>76200</xdr:colOff>
      <xdr:row>42</xdr:row>
      <xdr:rowOff>102394</xdr:rowOff>
    </xdr:to>
    <xdr:sp macro="" textlink="">
      <xdr:nvSpPr>
        <xdr:cNvPr id="99" name="Ellipse 98">
          <a:extLst>
            <a:ext uri="{FF2B5EF4-FFF2-40B4-BE49-F238E27FC236}">
              <a16:creationId xmlns:a16="http://schemas.microsoft.com/office/drawing/2014/main" id="{00000000-0008-0000-0100-000063000000}"/>
            </a:ext>
          </a:extLst>
        </xdr:cNvPr>
        <xdr:cNvSpPr/>
      </xdr:nvSpPr>
      <xdr:spPr>
        <a:xfrm>
          <a:off x="4360069" y="118633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43</xdr:row>
      <xdr:rowOff>52388</xdr:rowOff>
    </xdr:from>
    <xdr:to>
      <xdr:col>7</xdr:col>
      <xdr:colOff>76200</xdr:colOff>
      <xdr:row>43</xdr:row>
      <xdr:rowOff>102394</xdr:rowOff>
    </xdr:to>
    <xdr:sp macro="" textlink="">
      <xdr:nvSpPr>
        <xdr:cNvPr id="100" name="Ellipse 99">
          <a:extLst>
            <a:ext uri="{FF2B5EF4-FFF2-40B4-BE49-F238E27FC236}">
              <a16:creationId xmlns:a16="http://schemas.microsoft.com/office/drawing/2014/main" id="{00000000-0008-0000-0100-000064000000}"/>
            </a:ext>
          </a:extLst>
        </xdr:cNvPr>
        <xdr:cNvSpPr/>
      </xdr:nvSpPr>
      <xdr:spPr>
        <a:xfrm>
          <a:off x="4360069" y="122158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30</xdr:row>
      <xdr:rowOff>52388</xdr:rowOff>
    </xdr:from>
    <xdr:to>
      <xdr:col>7</xdr:col>
      <xdr:colOff>76200</xdr:colOff>
      <xdr:row>30</xdr:row>
      <xdr:rowOff>102394</xdr:rowOff>
    </xdr:to>
    <xdr:sp macro="" textlink="">
      <xdr:nvSpPr>
        <xdr:cNvPr id="102" name="Ellipse 101">
          <a:extLst>
            <a:ext uri="{FF2B5EF4-FFF2-40B4-BE49-F238E27FC236}">
              <a16:creationId xmlns:a16="http://schemas.microsoft.com/office/drawing/2014/main" id="{00000000-0008-0000-0100-000066000000}"/>
            </a:ext>
          </a:extLst>
        </xdr:cNvPr>
        <xdr:cNvSpPr/>
      </xdr:nvSpPr>
      <xdr:spPr>
        <a:xfrm>
          <a:off x="4360069" y="1273016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47</xdr:row>
      <xdr:rowOff>52388</xdr:rowOff>
    </xdr:from>
    <xdr:to>
      <xdr:col>7</xdr:col>
      <xdr:colOff>76200</xdr:colOff>
      <xdr:row>47</xdr:row>
      <xdr:rowOff>102394</xdr:rowOff>
    </xdr:to>
    <xdr:sp macro="" textlink="">
      <xdr:nvSpPr>
        <xdr:cNvPr id="39" name="Ellipse 38">
          <a:extLst>
            <a:ext uri="{FF2B5EF4-FFF2-40B4-BE49-F238E27FC236}">
              <a16:creationId xmlns:a16="http://schemas.microsoft.com/office/drawing/2014/main" id="{00000000-0008-0000-0100-000027000000}"/>
            </a:ext>
          </a:extLst>
        </xdr:cNvPr>
        <xdr:cNvSpPr/>
      </xdr:nvSpPr>
      <xdr:spPr>
        <a:xfrm>
          <a:off x="4360069" y="104251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49</xdr:row>
      <xdr:rowOff>52388</xdr:rowOff>
    </xdr:from>
    <xdr:to>
      <xdr:col>7</xdr:col>
      <xdr:colOff>76200</xdr:colOff>
      <xdr:row>49</xdr:row>
      <xdr:rowOff>102394</xdr:rowOff>
    </xdr:to>
    <xdr:sp macro="" textlink="">
      <xdr:nvSpPr>
        <xdr:cNvPr id="40" name="Ellipse 39">
          <a:extLst>
            <a:ext uri="{FF2B5EF4-FFF2-40B4-BE49-F238E27FC236}">
              <a16:creationId xmlns:a16="http://schemas.microsoft.com/office/drawing/2014/main" id="{00000000-0008-0000-0100-000028000000}"/>
            </a:ext>
          </a:extLst>
        </xdr:cNvPr>
        <xdr:cNvSpPr/>
      </xdr:nvSpPr>
      <xdr:spPr>
        <a:xfrm>
          <a:off x="4360069" y="106156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50</xdr:row>
      <xdr:rowOff>55911</xdr:rowOff>
    </xdr:from>
    <xdr:to>
      <xdr:col>7</xdr:col>
      <xdr:colOff>76200</xdr:colOff>
      <xdr:row>50</xdr:row>
      <xdr:rowOff>105917</xdr:rowOff>
    </xdr:to>
    <xdr:sp macro="" textlink="">
      <xdr:nvSpPr>
        <xdr:cNvPr id="42" name="Ellipse 41">
          <a:extLst>
            <a:ext uri="{FF2B5EF4-FFF2-40B4-BE49-F238E27FC236}">
              <a16:creationId xmlns:a16="http://schemas.microsoft.com/office/drawing/2014/main" id="{00000000-0008-0000-0100-00002A000000}"/>
            </a:ext>
          </a:extLst>
        </xdr:cNvPr>
        <xdr:cNvSpPr/>
      </xdr:nvSpPr>
      <xdr:spPr>
        <a:xfrm>
          <a:off x="4364636" y="16085312"/>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51</xdr:row>
      <xdr:rowOff>52388</xdr:rowOff>
    </xdr:from>
    <xdr:to>
      <xdr:col>7</xdr:col>
      <xdr:colOff>76200</xdr:colOff>
      <xdr:row>51</xdr:row>
      <xdr:rowOff>102394</xdr:rowOff>
    </xdr:to>
    <xdr:sp macro="" textlink="">
      <xdr:nvSpPr>
        <xdr:cNvPr id="43" name="Ellipse 42">
          <a:extLst>
            <a:ext uri="{FF2B5EF4-FFF2-40B4-BE49-F238E27FC236}">
              <a16:creationId xmlns:a16="http://schemas.microsoft.com/office/drawing/2014/main" id="{00000000-0008-0000-0100-00002B000000}"/>
            </a:ext>
          </a:extLst>
        </xdr:cNvPr>
        <xdr:cNvSpPr/>
      </xdr:nvSpPr>
      <xdr:spPr>
        <a:xfrm>
          <a:off x="4360069" y="1448276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27</xdr:row>
      <xdr:rowOff>52388</xdr:rowOff>
    </xdr:from>
    <xdr:to>
      <xdr:col>7</xdr:col>
      <xdr:colOff>76200</xdr:colOff>
      <xdr:row>27</xdr:row>
      <xdr:rowOff>102394</xdr:rowOff>
    </xdr:to>
    <xdr:sp macro="" textlink="">
      <xdr:nvSpPr>
        <xdr:cNvPr id="44" name="Ellipse 43">
          <a:extLst>
            <a:ext uri="{FF2B5EF4-FFF2-40B4-BE49-F238E27FC236}">
              <a16:creationId xmlns:a16="http://schemas.microsoft.com/office/drawing/2014/main" id="{00000000-0008-0000-0100-00002C000000}"/>
            </a:ext>
          </a:extLst>
        </xdr:cNvPr>
        <xdr:cNvSpPr/>
      </xdr:nvSpPr>
      <xdr:spPr>
        <a:xfrm>
          <a:off x="4360069" y="105298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2</xdr:col>
      <xdr:colOff>26194</xdr:colOff>
      <xdr:row>21</xdr:row>
      <xdr:rowOff>58738</xdr:rowOff>
    </xdr:from>
    <xdr:to>
      <xdr:col>2</xdr:col>
      <xdr:colOff>76200</xdr:colOff>
      <xdr:row>21</xdr:row>
      <xdr:rowOff>108744</xdr:rowOff>
    </xdr:to>
    <xdr:sp macro="" textlink="">
      <xdr:nvSpPr>
        <xdr:cNvPr id="45" name="Ellipse 44">
          <a:extLst>
            <a:ext uri="{FF2B5EF4-FFF2-40B4-BE49-F238E27FC236}">
              <a16:creationId xmlns:a16="http://schemas.microsoft.com/office/drawing/2014/main" id="{00000000-0008-0000-0100-00002D000000}"/>
            </a:ext>
          </a:extLst>
        </xdr:cNvPr>
        <xdr:cNvSpPr/>
      </xdr:nvSpPr>
      <xdr:spPr>
        <a:xfrm>
          <a:off x="1264444" y="787876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44</xdr:row>
      <xdr:rowOff>52388</xdr:rowOff>
    </xdr:from>
    <xdr:to>
      <xdr:col>7</xdr:col>
      <xdr:colOff>76200</xdr:colOff>
      <xdr:row>44</xdr:row>
      <xdr:rowOff>102394</xdr:rowOff>
    </xdr:to>
    <xdr:sp macro="" textlink="">
      <xdr:nvSpPr>
        <xdr:cNvPr id="64" name="Ellipse 63">
          <a:extLst>
            <a:ext uri="{FF2B5EF4-FFF2-40B4-BE49-F238E27FC236}">
              <a16:creationId xmlns:a16="http://schemas.microsoft.com/office/drawing/2014/main" id="{00000000-0008-0000-0100-000040000000}"/>
            </a:ext>
          </a:extLst>
        </xdr:cNvPr>
        <xdr:cNvSpPr/>
      </xdr:nvSpPr>
      <xdr:spPr>
        <a:xfrm>
          <a:off x="4360069" y="1429226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46</xdr:row>
      <xdr:rowOff>52388</xdr:rowOff>
    </xdr:from>
    <xdr:to>
      <xdr:col>7</xdr:col>
      <xdr:colOff>76200</xdr:colOff>
      <xdr:row>46</xdr:row>
      <xdr:rowOff>102394</xdr:rowOff>
    </xdr:to>
    <xdr:sp macro="" textlink="">
      <xdr:nvSpPr>
        <xdr:cNvPr id="65" name="Ellipse 64">
          <a:extLst>
            <a:ext uri="{FF2B5EF4-FFF2-40B4-BE49-F238E27FC236}">
              <a16:creationId xmlns:a16="http://schemas.microsoft.com/office/drawing/2014/main" id="{00000000-0008-0000-0100-000041000000}"/>
            </a:ext>
          </a:extLst>
        </xdr:cNvPr>
        <xdr:cNvSpPr/>
      </xdr:nvSpPr>
      <xdr:spPr>
        <a:xfrm>
          <a:off x="4360069" y="147970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33</xdr:row>
      <xdr:rowOff>52388</xdr:rowOff>
    </xdr:from>
    <xdr:to>
      <xdr:col>7</xdr:col>
      <xdr:colOff>76200</xdr:colOff>
      <xdr:row>33</xdr:row>
      <xdr:rowOff>102394</xdr:rowOff>
    </xdr:to>
    <xdr:sp macro="" textlink="">
      <xdr:nvSpPr>
        <xdr:cNvPr id="48" name="Ellipse 47">
          <a:extLst>
            <a:ext uri="{FF2B5EF4-FFF2-40B4-BE49-F238E27FC236}">
              <a16:creationId xmlns:a16="http://schemas.microsoft.com/office/drawing/2014/main" id="{00000000-0008-0000-0100-000030000000}"/>
            </a:ext>
          </a:extLst>
        </xdr:cNvPr>
        <xdr:cNvSpPr/>
      </xdr:nvSpPr>
      <xdr:spPr>
        <a:xfrm>
          <a:off x="4360069" y="118348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32</xdr:row>
      <xdr:rowOff>52388</xdr:rowOff>
    </xdr:from>
    <xdr:to>
      <xdr:col>7</xdr:col>
      <xdr:colOff>76200</xdr:colOff>
      <xdr:row>32</xdr:row>
      <xdr:rowOff>102394</xdr:rowOff>
    </xdr:to>
    <xdr:sp macro="" textlink="">
      <xdr:nvSpPr>
        <xdr:cNvPr id="49" name="Ellipse 48">
          <a:extLst>
            <a:ext uri="{FF2B5EF4-FFF2-40B4-BE49-F238E27FC236}">
              <a16:creationId xmlns:a16="http://schemas.microsoft.com/office/drawing/2014/main" id="{00000000-0008-0000-0100-000031000000}"/>
            </a:ext>
          </a:extLst>
        </xdr:cNvPr>
        <xdr:cNvSpPr/>
      </xdr:nvSpPr>
      <xdr:spPr>
        <a:xfrm>
          <a:off x="4360069" y="118348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38</xdr:row>
      <xdr:rowOff>52388</xdr:rowOff>
    </xdr:from>
    <xdr:to>
      <xdr:col>7</xdr:col>
      <xdr:colOff>76200</xdr:colOff>
      <xdr:row>38</xdr:row>
      <xdr:rowOff>102394</xdr:rowOff>
    </xdr:to>
    <xdr:sp macro="" textlink="">
      <xdr:nvSpPr>
        <xdr:cNvPr id="50" name="Ellipse 49">
          <a:extLst>
            <a:ext uri="{FF2B5EF4-FFF2-40B4-BE49-F238E27FC236}">
              <a16:creationId xmlns:a16="http://schemas.microsoft.com/office/drawing/2014/main" id="{00000000-0008-0000-0100-000032000000}"/>
            </a:ext>
          </a:extLst>
        </xdr:cNvPr>
        <xdr:cNvSpPr/>
      </xdr:nvSpPr>
      <xdr:spPr>
        <a:xfrm>
          <a:off x="4360069" y="1391126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2</xdr:col>
      <xdr:colOff>360314</xdr:colOff>
      <xdr:row>12</xdr:row>
      <xdr:rowOff>28575</xdr:rowOff>
    </xdr:from>
    <xdr:to>
      <xdr:col>9</xdr:col>
      <xdr:colOff>417464</xdr:colOff>
      <xdr:row>12</xdr:row>
      <xdr:rowOff>2200275</xdr:rowOff>
    </xdr:to>
    <xdr:sp macro="" textlink="">
      <xdr:nvSpPr>
        <xdr:cNvPr id="137" name="Rechteck 136">
          <a:extLst>
            <a:ext uri="{FF2B5EF4-FFF2-40B4-BE49-F238E27FC236}">
              <a16:creationId xmlns:a16="http://schemas.microsoft.com/office/drawing/2014/main" id="{00000000-0008-0000-0100-000089000000}"/>
            </a:ext>
          </a:extLst>
        </xdr:cNvPr>
        <xdr:cNvSpPr/>
      </xdr:nvSpPr>
      <xdr:spPr>
        <a:xfrm>
          <a:off x="1598564" y="4800600"/>
          <a:ext cx="4391025" cy="21717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b" anchorCtr="0"/>
        <a:lstStyle/>
        <a:p>
          <a:pPr algn="r"/>
          <a:r>
            <a:rPr lang="de-CH" sz="1400" b="1">
              <a:solidFill>
                <a:schemeClr val="accent3">
                  <a:lumMod val="50000"/>
                </a:schemeClr>
              </a:solidFill>
            </a:rPr>
            <a:t>Gebäude, Areal</a:t>
          </a:r>
        </a:p>
      </xdr:txBody>
    </xdr:sp>
    <xdr:clientData/>
  </xdr:twoCellAnchor>
  <xdr:twoCellAnchor>
    <xdr:from>
      <xdr:col>3</xdr:col>
      <xdr:colOff>74564</xdr:colOff>
      <xdr:row>12</xdr:row>
      <xdr:rowOff>774517</xdr:rowOff>
    </xdr:from>
    <xdr:to>
      <xdr:col>5</xdr:col>
      <xdr:colOff>169814</xdr:colOff>
      <xdr:row>12</xdr:row>
      <xdr:rowOff>1420643</xdr:rowOff>
    </xdr:to>
    <xdr:sp macro="" textlink="">
      <xdr:nvSpPr>
        <xdr:cNvPr id="138" name="Abgerundetes Rechteck 137">
          <a:extLst>
            <a:ext uri="{FF2B5EF4-FFF2-40B4-BE49-F238E27FC236}">
              <a16:creationId xmlns:a16="http://schemas.microsoft.com/office/drawing/2014/main" id="{00000000-0008-0000-0100-00008A000000}"/>
            </a:ext>
          </a:extLst>
        </xdr:cNvPr>
        <xdr:cNvSpPr/>
      </xdr:nvSpPr>
      <xdr:spPr>
        <a:xfrm>
          <a:off x="1931939" y="5546542"/>
          <a:ext cx="1333500" cy="646126"/>
        </a:xfrm>
        <a:prstGeom prst="roundRect">
          <a:avLst>
            <a:gd name="adj" fmla="val 26389"/>
          </a:avLst>
        </a:prstGeom>
        <a:effectLst>
          <a:outerShdw blurRad="50800" dist="38100" dir="2700000" algn="tl" rotWithShape="0">
            <a:prstClr val="black">
              <a:alpha val="40000"/>
            </a:prstClr>
          </a:outerShdw>
        </a:effectLst>
      </xdr:spPr>
      <xdr:style>
        <a:lnRef idx="2">
          <a:schemeClr val="accent2">
            <a:shade val="50000"/>
          </a:schemeClr>
        </a:lnRef>
        <a:fillRef idx="1">
          <a:schemeClr val="accent2"/>
        </a:fillRef>
        <a:effectRef idx="0">
          <a:schemeClr val="accent2"/>
        </a:effectRef>
        <a:fontRef idx="minor">
          <a:schemeClr val="lt1"/>
        </a:fontRef>
      </xdr:style>
      <xdr:txBody>
        <a:bodyPr rtlCol="0" anchor="ctr"/>
        <a:lstStyle/>
        <a:p>
          <a:pPr algn="ctr"/>
          <a:r>
            <a:rPr lang="de-CH" sz="1400" b="1"/>
            <a:t>Energie-umwandlung</a:t>
          </a:r>
        </a:p>
      </xdr:txBody>
    </xdr:sp>
    <xdr:clientData/>
  </xdr:twoCellAnchor>
  <xdr:twoCellAnchor>
    <xdr:from>
      <xdr:col>4</xdr:col>
      <xdr:colOff>26939</xdr:colOff>
      <xdr:row>12</xdr:row>
      <xdr:rowOff>379662</xdr:rowOff>
    </xdr:from>
    <xdr:to>
      <xdr:col>4</xdr:col>
      <xdr:colOff>226964</xdr:colOff>
      <xdr:row>12</xdr:row>
      <xdr:rowOff>702725</xdr:rowOff>
    </xdr:to>
    <xdr:sp macro="" textlink="">
      <xdr:nvSpPr>
        <xdr:cNvPr id="139" name="Pfeil nach unten 138">
          <a:extLst>
            <a:ext uri="{FF2B5EF4-FFF2-40B4-BE49-F238E27FC236}">
              <a16:creationId xmlns:a16="http://schemas.microsoft.com/office/drawing/2014/main" id="{00000000-0008-0000-0100-00008B000000}"/>
            </a:ext>
          </a:extLst>
        </xdr:cNvPr>
        <xdr:cNvSpPr/>
      </xdr:nvSpPr>
      <xdr:spPr>
        <a:xfrm>
          <a:off x="2503439" y="5151687"/>
          <a:ext cx="200025" cy="323063"/>
        </a:xfrm>
        <a:prstGeom prst="downArrow">
          <a:avLst/>
        </a:prstGeom>
        <a:ln>
          <a:noFill/>
        </a:ln>
      </xdr:spPr>
      <xdr:style>
        <a:lnRef idx="1">
          <a:schemeClr val="accent6"/>
        </a:lnRef>
        <a:fillRef idx="3">
          <a:schemeClr val="accent6"/>
        </a:fillRef>
        <a:effectRef idx="2">
          <a:schemeClr val="accent6"/>
        </a:effectRef>
        <a:fontRef idx="minor">
          <a:schemeClr val="lt1"/>
        </a:fontRef>
      </xdr:style>
      <xdr:txBody>
        <a:bodyPr rtlCol="0" anchor="ctr"/>
        <a:lstStyle/>
        <a:p>
          <a:pPr algn="ctr"/>
          <a:endParaRPr lang="de-CH" sz="1100"/>
        </a:p>
      </xdr:txBody>
    </xdr:sp>
    <xdr:clientData/>
  </xdr:twoCellAnchor>
  <xdr:twoCellAnchor>
    <xdr:from>
      <xdr:col>3</xdr:col>
      <xdr:colOff>198389</xdr:colOff>
      <xdr:row>12</xdr:row>
      <xdr:rowOff>101469</xdr:rowOff>
    </xdr:from>
    <xdr:to>
      <xdr:col>5</xdr:col>
      <xdr:colOff>83332</xdr:colOff>
      <xdr:row>12</xdr:row>
      <xdr:rowOff>394945</xdr:rowOff>
    </xdr:to>
    <xdr:sp macro="" textlink="">
      <xdr:nvSpPr>
        <xdr:cNvPr id="140" name="Textfeld 139">
          <a:extLst>
            <a:ext uri="{FF2B5EF4-FFF2-40B4-BE49-F238E27FC236}">
              <a16:creationId xmlns:a16="http://schemas.microsoft.com/office/drawing/2014/main" id="{00000000-0008-0000-0100-00008C000000}"/>
            </a:ext>
          </a:extLst>
        </xdr:cNvPr>
        <xdr:cNvSpPr txBox="1"/>
      </xdr:nvSpPr>
      <xdr:spPr>
        <a:xfrm>
          <a:off x="2055764" y="4873494"/>
          <a:ext cx="1123193" cy="29347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de-CH" sz="1400" b="1">
              <a:solidFill>
                <a:schemeClr val="accent6">
                  <a:lumMod val="50000"/>
                </a:schemeClr>
              </a:solidFill>
            </a:rPr>
            <a:t>Solarenergie</a:t>
          </a:r>
        </a:p>
      </xdr:txBody>
    </xdr:sp>
    <xdr:clientData/>
  </xdr:twoCellAnchor>
  <xdr:twoCellAnchor>
    <xdr:from>
      <xdr:col>3</xdr:col>
      <xdr:colOff>74564</xdr:colOff>
      <xdr:row>12</xdr:row>
      <xdr:rowOff>1806523</xdr:rowOff>
    </xdr:from>
    <xdr:to>
      <xdr:col>5</xdr:col>
      <xdr:colOff>175463</xdr:colOff>
      <xdr:row>12</xdr:row>
      <xdr:rowOff>2099999</xdr:rowOff>
    </xdr:to>
    <xdr:sp macro="" textlink="">
      <xdr:nvSpPr>
        <xdr:cNvPr id="141" name="Textfeld 140">
          <a:extLst>
            <a:ext uri="{FF2B5EF4-FFF2-40B4-BE49-F238E27FC236}">
              <a16:creationId xmlns:a16="http://schemas.microsoft.com/office/drawing/2014/main" id="{00000000-0008-0000-0100-00008D000000}"/>
            </a:ext>
          </a:extLst>
        </xdr:cNvPr>
        <xdr:cNvSpPr txBox="1"/>
      </xdr:nvSpPr>
      <xdr:spPr>
        <a:xfrm>
          <a:off x="1931939" y="6578548"/>
          <a:ext cx="1339149" cy="29347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de-CH" sz="1400" b="1">
              <a:solidFill>
                <a:schemeClr val="accent6">
                  <a:lumMod val="50000"/>
                </a:schemeClr>
              </a:solidFill>
            </a:rPr>
            <a:t>Umweltenergie</a:t>
          </a:r>
        </a:p>
      </xdr:txBody>
    </xdr:sp>
    <xdr:clientData/>
  </xdr:twoCellAnchor>
  <xdr:twoCellAnchor>
    <xdr:from>
      <xdr:col>4</xdr:col>
      <xdr:colOff>198389</xdr:colOff>
      <xdr:row>12</xdr:row>
      <xdr:rowOff>1492434</xdr:rowOff>
    </xdr:from>
    <xdr:to>
      <xdr:col>4</xdr:col>
      <xdr:colOff>398414</xdr:colOff>
      <xdr:row>12</xdr:row>
      <xdr:rowOff>1815497</xdr:rowOff>
    </xdr:to>
    <xdr:sp macro="" textlink="">
      <xdr:nvSpPr>
        <xdr:cNvPr id="142" name="Pfeil nach unten 141">
          <a:extLst>
            <a:ext uri="{FF2B5EF4-FFF2-40B4-BE49-F238E27FC236}">
              <a16:creationId xmlns:a16="http://schemas.microsoft.com/office/drawing/2014/main" id="{00000000-0008-0000-0100-00008E000000}"/>
            </a:ext>
          </a:extLst>
        </xdr:cNvPr>
        <xdr:cNvSpPr/>
      </xdr:nvSpPr>
      <xdr:spPr>
        <a:xfrm>
          <a:off x="2674889" y="6264459"/>
          <a:ext cx="200025" cy="323063"/>
        </a:xfrm>
        <a:prstGeom prst="downArrow">
          <a:avLst/>
        </a:prstGeom>
        <a:ln>
          <a:noFill/>
        </a:ln>
      </xdr:spPr>
      <xdr:style>
        <a:lnRef idx="1">
          <a:schemeClr val="accent6"/>
        </a:lnRef>
        <a:fillRef idx="3">
          <a:schemeClr val="accent6"/>
        </a:fillRef>
        <a:effectRef idx="2">
          <a:schemeClr val="accent6"/>
        </a:effectRef>
        <a:fontRef idx="minor">
          <a:schemeClr val="lt1"/>
        </a:fontRef>
      </xdr:style>
      <xdr:txBody>
        <a:bodyPr rtlCol="0" anchor="ctr"/>
        <a:lstStyle/>
        <a:p>
          <a:pPr algn="ctr"/>
          <a:endParaRPr lang="de-CH" sz="1100"/>
        </a:p>
      </xdr:txBody>
    </xdr:sp>
    <xdr:clientData/>
  </xdr:twoCellAnchor>
  <xdr:twoCellAnchor>
    <xdr:from>
      <xdr:col>3</xdr:col>
      <xdr:colOff>446039</xdr:colOff>
      <xdr:row>12</xdr:row>
      <xdr:rowOff>1492434</xdr:rowOff>
    </xdr:from>
    <xdr:to>
      <xdr:col>4</xdr:col>
      <xdr:colOff>26939</xdr:colOff>
      <xdr:row>12</xdr:row>
      <xdr:rowOff>1815497</xdr:rowOff>
    </xdr:to>
    <xdr:sp macro="" textlink="">
      <xdr:nvSpPr>
        <xdr:cNvPr id="143" name="Pfeil nach unten 142">
          <a:extLst>
            <a:ext uri="{FF2B5EF4-FFF2-40B4-BE49-F238E27FC236}">
              <a16:creationId xmlns:a16="http://schemas.microsoft.com/office/drawing/2014/main" id="{00000000-0008-0000-0100-00008F000000}"/>
            </a:ext>
          </a:extLst>
        </xdr:cNvPr>
        <xdr:cNvSpPr/>
      </xdr:nvSpPr>
      <xdr:spPr>
        <a:xfrm flipV="1">
          <a:off x="2303414" y="6264459"/>
          <a:ext cx="200025" cy="323063"/>
        </a:xfrm>
        <a:prstGeom prst="downArrow">
          <a:avLst/>
        </a:prstGeom>
        <a:ln>
          <a:noFill/>
        </a:ln>
      </xdr:spPr>
      <xdr:style>
        <a:lnRef idx="1">
          <a:schemeClr val="accent6"/>
        </a:lnRef>
        <a:fillRef idx="3">
          <a:schemeClr val="accent6"/>
        </a:fillRef>
        <a:effectRef idx="2">
          <a:schemeClr val="accent6"/>
        </a:effectRef>
        <a:fontRef idx="minor">
          <a:schemeClr val="lt1"/>
        </a:fontRef>
      </xdr:style>
      <xdr:txBody>
        <a:bodyPr rtlCol="0" anchor="ctr"/>
        <a:lstStyle/>
        <a:p>
          <a:pPr algn="ctr"/>
          <a:endParaRPr lang="de-CH" sz="1100"/>
        </a:p>
      </xdr:txBody>
    </xdr:sp>
    <xdr:clientData/>
  </xdr:twoCellAnchor>
  <xdr:twoCellAnchor>
    <xdr:from>
      <xdr:col>2</xdr:col>
      <xdr:colOff>0</xdr:colOff>
      <xdr:row>12</xdr:row>
      <xdr:rowOff>602829</xdr:rowOff>
    </xdr:from>
    <xdr:to>
      <xdr:col>2</xdr:col>
      <xdr:colOff>311496</xdr:colOff>
      <xdr:row>12</xdr:row>
      <xdr:rowOff>1569158</xdr:rowOff>
    </xdr:to>
    <xdr:sp macro="" textlink="">
      <xdr:nvSpPr>
        <xdr:cNvPr id="145" name="Textfeld 144">
          <a:extLst>
            <a:ext uri="{FF2B5EF4-FFF2-40B4-BE49-F238E27FC236}">
              <a16:creationId xmlns:a16="http://schemas.microsoft.com/office/drawing/2014/main" id="{00000000-0008-0000-0100-000091000000}"/>
            </a:ext>
          </a:extLst>
        </xdr:cNvPr>
        <xdr:cNvSpPr txBox="1"/>
      </xdr:nvSpPr>
      <xdr:spPr>
        <a:xfrm rot="16200000">
          <a:off x="910833" y="5702271"/>
          <a:ext cx="966329" cy="31149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de-CH" sz="1400" b="1">
              <a:solidFill>
                <a:schemeClr val="accent6">
                  <a:lumMod val="50000"/>
                </a:schemeClr>
              </a:solidFill>
            </a:rPr>
            <a:t>Endenergie</a:t>
          </a:r>
        </a:p>
      </xdr:txBody>
    </xdr:sp>
    <xdr:clientData/>
  </xdr:twoCellAnchor>
  <xdr:twoCellAnchor>
    <xdr:from>
      <xdr:col>5</xdr:col>
      <xdr:colOff>250778</xdr:colOff>
      <xdr:row>12</xdr:row>
      <xdr:rowOff>877718</xdr:rowOff>
    </xdr:from>
    <xdr:to>
      <xdr:col>5</xdr:col>
      <xdr:colOff>593678</xdr:colOff>
      <xdr:row>12</xdr:row>
      <xdr:rowOff>1066171</xdr:rowOff>
    </xdr:to>
    <xdr:sp macro="" textlink="">
      <xdr:nvSpPr>
        <xdr:cNvPr id="146" name="Pfeil nach unten 145">
          <a:extLst>
            <a:ext uri="{FF2B5EF4-FFF2-40B4-BE49-F238E27FC236}">
              <a16:creationId xmlns:a16="http://schemas.microsoft.com/office/drawing/2014/main" id="{00000000-0008-0000-0100-000092000000}"/>
            </a:ext>
          </a:extLst>
        </xdr:cNvPr>
        <xdr:cNvSpPr/>
      </xdr:nvSpPr>
      <xdr:spPr>
        <a:xfrm rot="16200000">
          <a:off x="3423626" y="5572520"/>
          <a:ext cx="188453" cy="342900"/>
        </a:xfrm>
        <a:prstGeom prst="downArrow">
          <a:avLst/>
        </a:prstGeom>
        <a:ln>
          <a:noFill/>
        </a:ln>
      </xdr:spPr>
      <xdr:style>
        <a:lnRef idx="1">
          <a:schemeClr val="accent6"/>
        </a:lnRef>
        <a:fillRef idx="3">
          <a:schemeClr val="accent6"/>
        </a:fillRef>
        <a:effectRef idx="2">
          <a:schemeClr val="accent6"/>
        </a:effectRef>
        <a:fontRef idx="minor">
          <a:schemeClr val="lt1"/>
        </a:fontRef>
      </xdr:style>
      <xdr:txBody>
        <a:bodyPr rtlCol="0" anchor="ctr"/>
        <a:lstStyle/>
        <a:p>
          <a:pPr algn="ctr"/>
          <a:endParaRPr lang="de-CH" sz="1100"/>
        </a:p>
      </xdr:txBody>
    </xdr:sp>
    <xdr:clientData/>
  </xdr:twoCellAnchor>
  <xdr:twoCellAnchor>
    <xdr:from>
      <xdr:col>5</xdr:col>
      <xdr:colOff>250779</xdr:colOff>
      <xdr:row>12</xdr:row>
      <xdr:rowOff>1128989</xdr:rowOff>
    </xdr:from>
    <xdr:to>
      <xdr:col>5</xdr:col>
      <xdr:colOff>593679</xdr:colOff>
      <xdr:row>12</xdr:row>
      <xdr:rowOff>1317442</xdr:rowOff>
    </xdr:to>
    <xdr:sp macro="" textlink="">
      <xdr:nvSpPr>
        <xdr:cNvPr id="147" name="Pfeil nach unten 146">
          <a:extLst>
            <a:ext uri="{FF2B5EF4-FFF2-40B4-BE49-F238E27FC236}">
              <a16:creationId xmlns:a16="http://schemas.microsoft.com/office/drawing/2014/main" id="{00000000-0008-0000-0100-000093000000}"/>
            </a:ext>
          </a:extLst>
        </xdr:cNvPr>
        <xdr:cNvSpPr/>
      </xdr:nvSpPr>
      <xdr:spPr>
        <a:xfrm rot="5400000" flipH="1">
          <a:off x="3423627" y="5823791"/>
          <a:ext cx="188453" cy="342900"/>
        </a:xfrm>
        <a:prstGeom prst="downArrow">
          <a:avLst/>
        </a:prstGeom>
        <a:ln>
          <a:noFill/>
        </a:ln>
      </xdr:spPr>
      <xdr:style>
        <a:lnRef idx="1">
          <a:schemeClr val="accent6"/>
        </a:lnRef>
        <a:fillRef idx="3">
          <a:schemeClr val="accent6"/>
        </a:fillRef>
        <a:effectRef idx="2">
          <a:schemeClr val="accent6"/>
        </a:effectRef>
        <a:fontRef idx="minor">
          <a:schemeClr val="lt1"/>
        </a:fontRef>
      </xdr:style>
      <xdr:txBody>
        <a:bodyPr rtlCol="0" anchor="ctr"/>
        <a:lstStyle/>
        <a:p>
          <a:pPr algn="ctr"/>
          <a:endParaRPr lang="de-CH" sz="1100"/>
        </a:p>
      </xdr:txBody>
    </xdr:sp>
    <xdr:clientData/>
  </xdr:twoCellAnchor>
  <xdr:twoCellAnchor>
    <xdr:from>
      <xdr:col>5</xdr:col>
      <xdr:colOff>571501</xdr:colOff>
      <xdr:row>12</xdr:row>
      <xdr:rowOff>588790</xdr:rowOff>
    </xdr:from>
    <xdr:to>
      <xdr:col>6</xdr:col>
      <xdr:colOff>263872</xdr:colOff>
      <xdr:row>12</xdr:row>
      <xdr:rowOff>1619095</xdr:rowOff>
    </xdr:to>
    <xdr:sp macro="" textlink="">
      <xdr:nvSpPr>
        <xdr:cNvPr id="148" name="Textfeld 147">
          <a:extLst>
            <a:ext uri="{FF2B5EF4-FFF2-40B4-BE49-F238E27FC236}">
              <a16:creationId xmlns:a16="http://schemas.microsoft.com/office/drawing/2014/main" id="{00000000-0008-0000-0100-000094000000}"/>
            </a:ext>
          </a:extLst>
        </xdr:cNvPr>
        <xdr:cNvSpPr txBox="1"/>
      </xdr:nvSpPr>
      <xdr:spPr>
        <a:xfrm rot="16200000">
          <a:off x="3307721" y="5720220"/>
          <a:ext cx="1030305" cy="31149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de-CH" sz="1400" b="1">
              <a:solidFill>
                <a:schemeClr val="accent6">
                  <a:lumMod val="50000"/>
                </a:schemeClr>
              </a:solidFill>
            </a:rPr>
            <a:t>Nutzenergie</a:t>
          </a:r>
        </a:p>
      </xdr:txBody>
    </xdr:sp>
    <xdr:clientData/>
  </xdr:twoCellAnchor>
  <xdr:twoCellAnchor>
    <xdr:from>
      <xdr:col>2</xdr:col>
      <xdr:colOff>455563</xdr:colOff>
      <xdr:row>12</xdr:row>
      <xdr:rowOff>119417</xdr:rowOff>
    </xdr:from>
    <xdr:to>
      <xdr:col>6</xdr:col>
      <xdr:colOff>426988</xdr:colOff>
      <xdr:row>12</xdr:row>
      <xdr:rowOff>2093690</xdr:rowOff>
    </xdr:to>
    <xdr:sp macro="" textlink="">
      <xdr:nvSpPr>
        <xdr:cNvPr id="152" name="Abgerundetes Rechteck 151">
          <a:extLst>
            <a:ext uri="{FF2B5EF4-FFF2-40B4-BE49-F238E27FC236}">
              <a16:creationId xmlns:a16="http://schemas.microsoft.com/office/drawing/2014/main" id="{00000000-0008-0000-0100-000098000000}"/>
            </a:ext>
          </a:extLst>
        </xdr:cNvPr>
        <xdr:cNvSpPr/>
      </xdr:nvSpPr>
      <xdr:spPr>
        <a:xfrm>
          <a:off x="1693813" y="4891442"/>
          <a:ext cx="2447925" cy="1974273"/>
        </a:xfrm>
        <a:prstGeom prst="roundRect">
          <a:avLst>
            <a:gd name="adj" fmla="val 18707"/>
          </a:avLst>
        </a:prstGeom>
        <a:noFill/>
        <a:ln>
          <a:prstDash val="sysDash"/>
        </a:ln>
      </xdr:spPr>
      <xdr:style>
        <a:lnRef idx="2">
          <a:schemeClr val="dk1"/>
        </a:lnRef>
        <a:fillRef idx="1">
          <a:schemeClr val="lt1"/>
        </a:fillRef>
        <a:effectRef idx="0">
          <a:schemeClr val="dk1"/>
        </a:effectRef>
        <a:fontRef idx="minor">
          <a:schemeClr val="dk1"/>
        </a:fontRef>
      </xdr:style>
      <xdr:txBody>
        <a:bodyPr rtlCol="0" anchor="ctr"/>
        <a:lstStyle/>
        <a:p>
          <a:pPr algn="ctr"/>
          <a:endParaRPr lang="de-CH" sz="1100"/>
        </a:p>
      </xdr:txBody>
    </xdr:sp>
    <xdr:clientData/>
  </xdr:twoCellAnchor>
  <xdr:twoCellAnchor>
    <xdr:from>
      <xdr:col>7</xdr:col>
      <xdr:colOff>55514</xdr:colOff>
      <xdr:row>12</xdr:row>
      <xdr:rowOff>1609095</xdr:rowOff>
    </xdr:from>
    <xdr:to>
      <xdr:col>9</xdr:col>
      <xdr:colOff>369839</xdr:colOff>
      <xdr:row>12</xdr:row>
      <xdr:rowOff>1851392</xdr:rowOff>
    </xdr:to>
    <xdr:sp macro="" textlink="">
      <xdr:nvSpPr>
        <xdr:cNvPr id="153" name="Legende mit Linie 1 (ohne Rahmen) 152">
          <a:extLst>
            <a:ext uri="{FF2B5EF4-FFF2-40B4-BE49-F238E27FC236}">
              <a16:creationId xmlns:a16="http://schemas.microsoft.com/office/drawing/2014/main" id="{00000000-0008-0000-0100-000099000000}"/>
            </a:ext>
          </a:extLst>
        </xdr:cNvPr>
        <xdr:cNvSpPr/>
      </xdr:nvSpPr>
      <xdr:spPr>
        <a:xfrm>
          <a:off x="4389389" y="6381120"/>
          <a:ext cx="1552575" cy="242297"/>
        </a:xfrm>
        <a:prstGeom prst="callout1">
          <a:avLst>
            <a:gd name="adj1" fmla="val 33565"/>
            <a:gd name="adj2" fmla="val -2198"/>
            <a:gd name="adj3" fmla="val 8797"/>
            <a:gd name="adj4" fmla="val -16248"/>
          </a:avLst>
        </a:prstGeom>
        <a:noFill/>
        <a:ln w="12700"/>
      </xdr:spPr>
      <xdr:style>
        <a:lnRef idx="2">
          <a:schemeClr val="dk1"/>
        </a:lnRef>
        <a:fillRef idx="1">
          <a:schemeClr val="lt1"/>
        </a:fillRef>
        <a:effectRef idx="0">
          <a:schemeClr val="dk1"/>
        </a:effectRef>
        <a:fontRef idx="minor">
          <a:schemeClr val="dk1"/>
        </a:fontRef>
      </xdr:style>
      <xdr:txBody>
        <a:bodyPr lIns="0" tIns="0" rIns="0" bIns="0" rtlCol="0" anchor="ctr"/>
        <a:lstStyle/>
        <a:p>
          <a:pPr algn="l"/>
          <a:r>
            <a:rPr lang="de-CH" sz="1400" b="1"/>
            <a:t>Systemgrenze</a:t>
          </a:r>
        </a:p>
      </xdr:txBody>
    </xdr:sp>
    <xdr:clientData/>
  </xdr:twoCellAnchor>
  <xdr:twoCellAnchor>
    <xdr:from>
      <xdr:col>2</xdr:col>
      <xdr:colOff>288878</xdr:colOff>
      <xdr:row>12</xdr:row>
      <xdr:rowOff>877718</xdr:rowOff>
    </xdr:from>
    <xdr:to>
      <xdr:col>3</xdr:col>
      <xdr:colOff>12653</xdr:colOff>
      <xdr:row>12</xdr:row>
      <xdr:rowOff>1066171</xdr:rowOff>
    </xdr:to>
    <xdr:sp macro="" textlink="">
      <xdr:nvSpPr>
        <xdr:cNvPr id="154" name="Pfeil nach unten 153">
          <a:extLst>
            <a:ext uri="{FF2B5EF4-FFF2-40B4-BE49-F238E27FC236}">
              <a16:creationId xmlns:a16="http://schemas.microsoft.com/office/drawing/2014/main" id="{00000000-0008-0000-0100-00009A000000}"/>
            </a:ext>
          </a:extLst>
        </xdr:cNvPr>
        <xdr:cNvSpPr/>
      </xdr:nvSpPr>
      <xdr:spPr>
        <a:xfrm rot="16200000">
          <a:off x="1604351" y="5572520"/>
          <a:ext cx="188453" cy="342900"/>
        </a:xfrm>
        <a:prstGeom prst="downArrow">
          <a:avLst/>
        </a:prstGeom>
        <a:ln>
          <a:noFill/>
        </a:ln>
      </xdr:spPr>
      <xdr:style>
        <a:lnRef idx="1">
          <a:schemeClr val="accent6"/>
        </a:lnRef>
        <a:fillRef idx="3">
          <a:schemeClr val="accent6"/>
        </a:fillRef>
        <a:effectRef idx="2">
          <a:schemeClr val="accent6"/>
        </a:effectRef>
        <a:fontRef idx="minor">
          <a:schemeClr val="lt1"/>
        </a:fontRef>
      </xdr:style>
      <xdr:txBody>
        <a:bodyPr rtlCol="0" anchor="ctr"/>
        <a:lstStyle/>
        <a:p>
          <a:pPr algn="ctr"/>
          <a:endParaRPr lang="de-CH" sz="1100"/>
        </a:p>
      </xdr:txBody>
    </xdr:sp>
    <xdr:clientData/>
  </xdr:twoCellAnchor>
  <xdr:twoCellAnchor>
    <xdr:from>
      <xdr:col>2</xdr:col>
      <xdr:colOff>288879</xdr:colOff>
      <xdr:row>12</xdr:row>
      <xdr:rowOff>1128989</xdr:rowOff>
    </xdr:from>
    <xdr:to>
      <xdr:col>3</xdr:col>
      <xdr:colOff>12654</xdr:colOff>
      <xdr:row>12</xdr:row>
      <xdr:rowOff>1317442</xdr:rowOff>
    </xdr:to>
    <xdr:sp macro="" textlink="">
      <xdr:nvSpPr>
        <xdr:cNvPr id="155" name="Pfeil nach unten 154">
          <a:extLst>
            <a:ext uri="{FF2B5EF4-FFF2-40B4-BE49-F238E27FC236}">
              <a16:creationId xmlns:a16="http://schemas.microsoft.com/office/drawing/2014/main" id="{00000000-0008-0000-0100-00009B000000}"/>
            </a:ext>
          </a:extLst>
        </xdr:cNvPr>
        <xdr:cNvSpPr/>
      </xdr:nvSpPr>
      <xdr:spPr>
        <a:xfrm rot="5400000" flipH="1">
          <a:off x="1604352" y="5823791"/>
          <a:ext cx="188453" cy="342900"/>
        </a:xfrm>
        <a:prstGeom prst="downArrow">
          <a:avLst/>
        </a:prstGeom>
        <a:ln>
          <a:noFill/>
        </a:ln>
      </xdr:spPr>
      <xdr:style>
        <a:lnRef idx="1">
          <a:schemeClr val="accent6"/>
        </a:lnRef>
        <a:fillRef idx="3">
          <a:schemeClr val="accent6"/>
        </a:fillRef>
        <a:effectRef idx="2">
          <a:schemeClr val="accent6"/>
        </a:effectRef>
        <a:fontRef idx="minor">
          <a:schemeClr val="lt1"/>
        </a:fontRef>
      </xdr:style>
      <xdr:txBody>
        <a:bodyPr rtlCol="0" anchor="ctr"/>
        <a:lstStyle/>
        <a:p>
          <a:pPr algn="ctr"/>
          <a:endParaRPr lang="de-CH" sz="1100"/>
        </a:p>
      </xdr:txBody>
    </xdr:sp>
    <xdr:clientData/>
  </xdr:twoCellAnchor>
  <xdr:twoCellAnchor>
    <xdr:from>
      <xdr:col>7</xdr:col>
      <xdr:colOff>26194</xdr:colOff>
      <xdr:row>34</xdr:row>
      <xdr:rowOff>52388</xdr:rowOff>
    </xdr:from>
    <xdr:to>
      <xdr:col>7</xdr:col>
      <xdr:colOff>76200</xdr:colOff>
      <xdr:row>34</xdr:row>
      <xdr:rowOff>102394</xdr:rowOff>
    </xdr:to>
    <xdr:sp macro="" textlink="">
      <xdr:nvSpPr>
        <xdr:cNvPr id="52" name="Ellipse 51">
          <a:extLst>
            <a:ext uri="{FF2B5EF4-FFF2-40B4-BE49-F238E27FC236}">
              <a16:creationId xmlns:a16="http://schemas.microsoft.com/office/drawing/2014/main" id="{00000000-0008-0000-0100-000034000000}"/>
            </a:ext>
          </a:extLst>
        </xdr:cNvPr>
        <xdr:cNvSpPr/>
      </xdr:nvSpPr>
      <xdr:spPr>
        <a:xfrm>
          <a:off x="4360069" y="122158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105</xdr:row>
      <xdr:rowOff>52388</xdr:rowOff>
    </xdr:from>
    <xdr:to>
      <xdr:col>4</xdr:col>
      <xdr:colOff>76200</xdr:colOff>
      <xdr:row>105</xdr:row>
      <xdr:rowOff>102394</xdr:rowOff>
    </xdr:to>
    <xdr:sp macro="" textlink="">
      <xdr:nvSpPr>
        <xdr:cNvPr id="54" name="Ellipse 53">
          <a:extLst>
            <a:ext uri="{FF2B5EF4-FFF2-40B4-BE49-F238E27FC236}">
              <a16:creationId xmlns:a16="http://schemas.microsoft.com/office/drawing/2014/main" id="{00000000-0008-0000-0100-000036000000}"/>
            </a:ext>
          </a:extLst>
        </xdr:cNvPr>
        <xdr:cNvSpPr/>
      </xdr:nvSpPr>
      <xdr:spPr>
        <a:xfrm>
          <a:off x="4360069" y="102346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107</xdr:row>
      <xdr:rowOff>52388</xdr:rowOff>
    </xdr:from>
    <xdr:to>
      <xdr:col>4</xdr:col>
      <xdr:colOff>76200</xdr:colOff>
      <xdr:row>107</xdr:row>
      <xdr:rowOff>102394</xdr:rowOff>
    </xdr:to>
    <xdr:sp macro="" textlink="">
      <xdr:nvSpPr>
        <xdr:cNvPr id="55" name="Ellipse 54">
          <a:extLst>
            <a:ext uri="{FF2B5EF4-FFF2-40B4-BE49-F238E27FC236}">
              <a16:creationId xmlns:a16="http://schemas.microsoft.com/office/drawing/2014/main" id="{00000000-0008-0000-0100-000037000000}"/>
            </a:ext>
          </a:extLst>
        </xdr:cNvPr>
        <xdr:cNvSpPr/>
      </xdr:nvSpPr>
      <xdr:spPr>
        <a:xfrm>
          <a:off x="2502694" y="245125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110</xdr:row>
      <xdr:rowOff>52388</xdr:rowOff>
    </xdr:from>
    <xdr:to>
      <xdr:col>4</xdr:col>
      <xdr:colOff>76200</xdr:colOff>
      <xdr:row>110</xdr:row>
      <xdr:rowOff>102394</xdr:rowOff>
    </xdr:to>
    <xdr:sp macro="" textlink="">
      <xdr:nvSpPr>
        <xdr:cNvPr id="56" name="Ellipse 55">
          <a:extLst>
            <a:ext uri="{FF2B5EF4-FFF2-40B4-BE49-F238E27FC236}">
              <a16:creationId xmlns:a16="http://schemas.microsoft.com/office/drawing/2014/main" id="{00000000-0008-0000-0100-000038000000}"/>
            </a:ext>
          </a:extLst>
        </xdr:cNvPr>
        <xdr:cNvSpPr/>
      </xdr:nvSpPr>
      <xdr:spPr>
        <a:xfrm>
          <a:off x="2502694" y="245125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115</xdr:row>
      <xdr:rowOff>52388</xdr:rowOff>
    </xdr:from>
    <xdr:to>
      <xdr:col>4</xdr:col>
      <xdr:colOff>76200</xdr:colOff>
      <xdr:row>115</xdr:row>
      <xdr:rowOff>102394</xdr:rowOff>
    </xdr:to>
    <xdr:sp macro="" textlink="">
      <xdr:nvSpPr>
        <xdr:cNvPr id="57" name="Ellipse 56">
          <a:extLst>
            <a:ext uri="{FF2B5EF4-FFF2-40B4-BE49-F238E27FC236}">
              <a16:creationId xmlns:a16="http://schemas.microsoft.com/office/drawing/2014/main" id="{00000000-0008-0000-0100-000039000000}"/>
            </a:ext>
          </a:extLst>
        </xdr:cNvPr>
        <xdr:cNvSpPr/>
      </xdr:nvSpPr>
      <xdr:spPr>
        <a:xfrm>
          <a:off x="2502694" y="248554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114</xdr:row>
      <xdr:rowOff>52388</xdr:rowOff>
    </xdr:from>
    <xdr:to>
      <xdr:col>4</xdr:col>
      <xdr:colOff>76200</xdr:colOff>
      <xdr:row>114</xdr:row>
      <xdr:rowOff>102394</xdr:rowOff>
    </xdr:to>
    <xdr:sp macro="" textlink="">
      <xdr:nvSpPr>
        <xdr:cNvPr id="58" name="Ellipse 57">
          <a:extLst>
            <a:ext uri="{FF2B5EF4-FFF2-40B4-BE49-F238E27FC236}">
              <a16:creationId xmlns:a16="http://schemas.microsoft.com/office/drawing/2014/main" id="{00000000-0008-0000-0100-00003A000000}"/>
            </a:ext>
          </a:extLst>
        </xdr:cNvPr>
        <xdr:cNvSpPr/>
      </xdr:nvSpPr>
      <xdr:spPr>
        <a:xfrm>
          <a:off x="2502694" y="256936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116</xdr:row>
      <xdr:rowOff>52388</xdr:rowOff>
    </xdr:from>
    <xdr:to>
      <xdr:col>4</xdr:col>
      <xdr:colOff>76200</xdr:colOff>
      <xdr:row>116</xdr:row>
      <xdr:rowOff>102394</xdr:rowOff>
    </xdr:to>
    <xdr:sp macro="" textlink="">
      <xdr:nvSpPr>
        <xdr:cNvPr id="59" name="Ellipse 58">
          <a:extLst>
            <a:ext uri="{FF2B5EF4-FFF2-40B4-BE49-F238E27FC236}">
              <a16:creationId xmlns:a16="http://schemas.microsoft.com/office/drawing/2014/main" id="{00000000-0008-0000-0100-00003B000000}"/>
            </a:ext>
          </a:extLst>
        </xdr:cNvPr>
        <xdr:cNvSpPr/>
      </xdr:nvSpPr>
      <xdr:spPr>
        <a:xfrm>
          <a:off x="2502694" y="256936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117</xdr:row>
      <xdr:rowOff>52388</xdr:rowOff>
    </xdr:from>
    <xdr:to>
      <xdr:col>4</xdr:col>
      <xdr:colOff>76200</xdr:colOff>
      <xdr:row>117</xdr:row>
      <xdr:rowOff>102394</xdr:rowOff>
    </xdr:to>
    <xdr:sp macro="" textlink="">
      <xdr:nvSpPr>
        <xdr:cNvPr id="60" name="Ellipse 59">
          <a:extLst>
            <a:ext uri="{FF2B5EF4-FFF2-40B4-BE49-F238E27FC236}">
              <a16:creationId xmlns:a16="http://schemas.microsoft.com/office/drawing/2014/main" id="{00000000-0008-0000-0100-00003C000000}"/>
            </a:ext>
          </a:extLst>
        </xdr:cNvPr>
        <xdr:cNvSpPr/>
      </xdr:nvSpPr>
      <xdr:spPr>
        <a:xfrm>
          <a:off x="2502694" y="256936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112</xdr:row>
      <xdr:rowOff>52388</xdr:rowOff>
    </xdr:from>
    <xdr:to>
      <xdr:col>4</xdr:col>
      <xdr:colOff>76200</xdr:colOff>
      <xdr:row>112</xdr:row>
      <xdr:rowOff>102394</xdr:rowOff>
    </xdr:to>
    <xdr:sp macro="" textlink="">
      <xdr:nvSpPr>
        <xdr:cNvPr id="61" name="Ellipse 60">
          <a:extLst>
            <a:ext uri="{FF2B5EF4-FFF2-40B4-BE49-F238E27FC236}">
              <a16:creationId xmlns:a16="http://schemas.microsoft.com/office/drawing/2014/main" id="{00000000-0008-0000-0100-00003D000000}"/>
            </a:ext>
          </a:extLst>
        </xdr:cNvPr>
        <xdr:cNvSpPr/>
      </xdr:nvSpPr>
      <xdr:spPr>
        <a:xfrm>
          <a:off x="2502694" y="2617946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111</xdr:row>
      <xdr:rowOff>52388</xdr:rowOff>
    </xdr:from>
    <xdr:to>
      <xdr:col>4</xdr:col>
      <xdr:colOff>76200</xdr:colOff>
      <xdr:row>111</xdr:row>
      <xdr:rowOff>102394</xdr:rowOff>
    </xdr:to>
    <xdr:sp macro="" textlink="">
      <xdr:nvSpPr>
        <xdr:cNvPr id="62" name="Ellipse 61">
          <a:extLst>
            <a:ext uri="{FF2B5EF4-FFF2-40B4-BE49-F238E27FC236}">
              <a16:creationId xmlns:a16="http://schemas.microsoft.com/office/drawing/2014/main" id="{00000000-0008-0000-0100-00003E000000}"/>
            </a:ext>
          </a:extLst>
        </xdr:cNvPr>
        <xdr:cNvSpPr/>
      </xdr:nvSpPr>
      <xdr:spPr>
        <a:xfrm>
          <a:off x="2502694" y="2601753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113</xdr:row>
      <xdr:rowOff>52388</xdr:rowOff>
    </xdr:from>
    <xdr:to>
      <xdr:col>4</xdr:col>
      <xdr:colOff>76200</xdr:colOff>
      <xdr:row>113</xdr:row>
      <xdr:rowOff>102394</xdr:rowOff>
    </xdr:to>
    <xdr:sp macro="" textlink="">
      <xdr:nvSpPr>
        <xdr:cNvPr id="63" name="Ellipse 62">
          <a:extLst>
            <a:ext uri="{FF2B5EF4-FFF2-40B4-BE49-F238E27FC236}">
              <a16:creationId xmlns:a16="http://schemas.microsoft.com/office/drawing/2014/main" id="{00000000-0008-0000-0100-00003F000000}"/>
            </a:ext>
          </a:extLst>
        </xdr:cNvPr>
        <xdr:cNvSpPr/>
      </xdr:nvSpPr>
      <xdr:spPr>
        <a:xfrm>
          <a:off x="2502694" y="263413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118</xdr:row>
      <xdr:rowOff>52388</xdr:rowOff>
    </xdr:from>
    <xdr:to>
      <xdr:col>4</xdr:col>
      <xdr:colOff>76200</xdr:colOff>
      <xdr:row>118</xdr:row>
      <xdr:rowOff>102394</xdr:rowOff>
    </xdr:to>
    <xdr:sp macro="" textlink="">
      <xdr:nvSpPr>
        <xdr:cNvPr id="66" name="Ellipse 65">
          <a:extLst>
            <a:ext uri="{FF2B5EF4-FFF2-40B4-BE49-F238E27FC236}">
              <a16:creationId xmlns:a16="http://schemas.microsoft.com/office/drawing/2014/main" id="{00000000-0008-0000-0100-000042000000}"/>
            </a:ext>
          </a:extLst>
        </xdr:cNvPr>
        <xdr:cNvSpPr/>
      </xdr:nvSpPr>
      <xdr:spPr>
        <a:xfrm>
          <a:off x="2502694" y="2536983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124</xdr:row>
      <xdr:rowOff>52388</xdr:rowOff>
    </xdr:from>
    <xdr:to>
      <xdr:col>4</xdr:col>
      <xdr:colOff>76200</xdr:colOff>
      <xdr:row>124</xdr:row>
      <xdr:rowOff>102394</xdr:rowOff>
    </xdr:to>
    <xdr:sp macro="" textlink="">
      <xdr:nvSpPr>
        <xdr:cNvPr id="67" name="Ellipse 66">
          <a:extLst>
            <a:ext uri="{FF2B5EF4-FFF2-40B4-BE49-F238E27FC236}">
              <a16:creationId xmlns:a16="http://schemas.microsoft.com/office/drawing/2014/main" id="{00000000-0008-0000-0100-000043000000}"/>
            </a:ext>
          </a:extLst>
        </xdr:cNvPr>
        <xdr:cNvSpPr/>
      </xdr:nvSpPr>
      <xdr:spPr>
        <a:xfrm>
          <a:off x="2502694" y="2617946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122</xdr:row>
      <xdr:rowOff>52388</xdr:rowOff>
    </xdr:from>
    <xdr:to>
      <xdr:col>4</xdr:col>
      <xdr:colOff>76200</xdr:colOff>
      <xdr:row>122</xdr:row>
      <xdr:rowOff>102394</xdr:rowOff>
    </xdr:to>
    <xdr:sp macro="" textlink="">
      <xdr:nvSpPr>
        <xdr:cNvPr id="68" name="Ellipse 67">
          <a:extLst>
            <a:ext uri="{FF2B5EF4-FFF2-40B4-BE49-F238E27FC236}">
              <a16:creationId xmlns:a16="http://schemas.microsoft.com/office/drawing/2014/main" id="{00000000-0008-0000-0100-000044000000}"/>
            </a:ext>
          </a:extLst>
        </xdr:cNvPr>
        <xdr:cNvSpPr/>
      </xdr:nvSpPr>
      <xdr:spPr>
        <a:xfrm>
          <a:off x="2502694" y="2601753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125</xdr:row>
      <xdr:rowOff>52388</xdr:rowOff>
    </xdr:from>
    <xdr:to>
      <xdr:col>4</xdr:col>
      <xdr:colOff>76200</xdr:colOff>
      <xdr:row>125</xdr:row>
      <xdr:rowOff>102394</xdr:rowOff>
    </xdr:to>
    <xdr:sp macro="" textlink="">
      <xdr:nvSpPr>
        <xdr:cNvPr id="70" name="Ellipse 69">
          <a:extLst>
            <a:ext uri="{FF2B5EF4-FFF2-40B4-BE49-F238E27FC236}">
              <a16:creationId xmlns:a16="http://schemas.microsoft.com/office/drawing/2014/main" id="{00000000-0008-0000-0100-000046000000}"/>
            </a:ext>
          </a:extLst>
        </xdr:cNvPr>
        <xdr:cNvSpPr/>
      </xdr:nvSpPr>
      <xdr:spPr>
        <a:xfrm>
          <a:off x="2502694" y="265033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121</xdr:row>
      <xdr:rowOff>52388</xdr:rowOff>
    </xdr:from>
    <xdr:to>
      <xdr:col>4</xdr:col>
      <xdr:colOff>76200</xdr:colOff>
      <xdr:row>121</xdr:row>
      <xdr:rowOff>102394</xdr:rowOff>
    </xdr:to>
    <xdr:sp macro="" textlink="">
      <xdr:nvSpPr>
        <xdr:cNvPr id="71" name="Ellipse 70">
          <a:extLst>
            <a:ext uri="{FF2B5EF4-FFF2-40B4-BE49-F238E27FC236}">
              <a16:creationId xmlns:a16="http://schemas.microsoft.com/office/drawing/2014/main" id="{00000000-0008-0000-0100-000047000000}"/>
            </a:ext>
          </a:extLst>
        </xdr:cNvPr>
        <xdr:cNvSpPr/>
      </xdr:nvSpPr>
      <xdr:spPr>
        <a:xfrm>
          <a:off x="2502694" y="256936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120</xdr:row>
      <xdr:rowOff>52388</xdr:rowOff>
    </xdr:from>
    <xdr:to>
      <xdr:col>4</xdr:col>
      <xdr:colOff>76200</xdr:colOff>
      <xdr:row>120</xdr:row>
      <xdr:rowOff>102394</xdr:rowOff>
    </xdr:to>
    <xdr:sp macro="" textlink="">
      <xdr:nvSpPr>
        <xdr:cNvPr id="72" name="Ellipse 71">
          <a:extLst>
            <a:ext uri="{FF2B5EF4-FFF2-40B4-BE49-F238E27FC236}">
              <a16:creationId xmlns:a16="http://schemas.microsoft.com/office/drawing/2014/main" id="{00000000-0008-0000-0100-000048000000}"/>
            </a:ext>
          </a:extLst>
        </xdr:cNvPr>
        <xdr:cNvSpPr/>
      </xdr:nvSpPr>
      <xdr:spPr>
        <a:xfrm>
          <a:off x="2502694" y="2553176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123</xdr:row>
      <xdr:rowOff>52388</xdr:rowOff>
    </xdr:from>
    <xdr:to>
      <xdr:col>4</xdr:col>
      <xdr:colOff>76200</xdr:colOff>
      <xdr:row>123</xdr:row>
      <xdr:rowOff>102394</xdr:rowOff>
    </xdr:to>
    <xdr:sp macro="" textlink="">
      <xdr:nvSpPr>
        <xdr:cNvPr id="73" name="Ellipse 72">
          <a:extLst>
            <a:ext uri="{FF2B5EF4-FFF2-40B4-BE49-F238E27FC236}">
              <a16:creationId xmlns:a16="http://schemas.microsoft.com/office/drawing/2014/main" id="{00000000-0008-0000-0100-000049000000}"/>
            </a:ext>
          </a:extLst>
        </xdr:cNvPr>
        <xdr:cNvSpPr/>
      </xdr:nvSpPr>
      <xdr:spPr>
        <a:xfrm>
          <a:off x="2502694" y="258556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126</xdr:row>
      <xdr:rowOff>52388</xdr:rowOff>
    </xdr:from>
    <xdr:to>
      <xdr:col>4</xdr:col>
      <xdr:colOff>76200</xdr:colOff>
      <xdr:row>126</xdr:row>
      <xdr:rowOff>102394</xdr:rowOff>
    </xdr:to>
    <xdr:sp macro="" textlink="">
      <xdr:nvSpPr>
        <xdr:cNvPr id="74" name="Ellipse 73">
          <a:extLst>
            <a:ext uri="{FF2B5EF4-FFF2-40B4-BE49-F238E27FC236}">
              <a16:creationId xmlns:a16="http://schemas.microsoft.com/office/drawing/2014/main" id="{00000000-0008-0000-0100-00004A000000}"/>
            </a:ext>
          </a:extLst>
        </xdr:cNvPr>
        <xdr:cNvSpPr/>
      </xdr:nvSpPr>
      <xdr:spPr>
        <a:xfrm>
          <a:off x="2502694" y="2666523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130</xdr:row>
      <xdr:rowOff>52388</xdr:rowOff>
    </xdr:from>
    <xdr:to>
      <xdr:col>4</xdr:col>
      <xdr:colOff>76200</xdr:colOff>
      <xdr:row>130</xdr:row>
      <xdr:rowOff>102394</xdr:rowOff>
    </xdr:to>
    <xdr:sp macro="" textlink="">
      <xdr:nvSpPr>
        <xdr:cNvPr id="76" name="Ellipse 75">
          <a:extLst>
            <a:ext uri="{FF2B5EF4-FFF2-40B4-BE49-F238E27FC236}">
              <a16:creationId xmlns:a16="http://schemas.microsoft.com/office/drawing/2014/main" id="{00000000-0008-0000-0100-00004C000000}"/>
            </a:ext>
          </a:extLst>
        </xdr:cNvPr>
        <xdr:cNvSpPr/>
      </xdr:nvSpPr>
      <xdr:spPr>
        <a:xfrm>
          <a:off x="2502694" y="2731293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132</xdr:row>
      <xdr:rowOff>52388</xdr:rowOff>
    </xdr:from>
    <xdr:to>
      <xdr:col>4</xdr:col>
      <xdr:colOff>76200</xdr:colOff>
      <xdr:row>132</xdr:row>
      <xdr:rowOff>102394</xdr:rowOff>
    </xdr:to>
    <xdr:sp macro="" textlink="">
      <xdr:nvSpPr>
        <xdr:cNvPr id="78" name="Ellipse 77">
          <a:extLst>
            <a:ext uri="{FF2B5EF4-FFF2-40B4-BE49-F238E27FC236}">
              <a16:creationId xmlns:a16="http://schemas.microsoft.com/office/drawing/2014/main" id="{00000000-0008-0000-0100-00004E000000}"/>
            </a:ext>
          </a:extLst>
        </xdr:cNvPr>
        <xdr:cNvSpPr/>
      </xdr:nvSpPr>
      <xdr:spPr>
        <a:xfrm>
          <a:off x="2502694" y="277987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128</xdr:row>
      <xdr:rowOff>52388</xdr:rowOff>
    </xdr:from>
    <xdr:to>
      <xdr:col>4</xdr:col>
      <xdr:colOff>76200</xdr:colOff>
      <xdr:row>128</xdr:row>
      <xdr:rowOff>102394</xdr:rowOff>
    </xdr:to>
    <xdr:sp macro="" textlink="">
      <xdr:nvSpPr>
        <xdr:cNvPr id="79" name="Ellipse 78">
          <a:extLst>
            <a:ext uri="{FF2B5EF4-FFF2-40B4-BE49-F238E27FC236}">
              <a16:creationId xmlns:a16="http://schemas.microsoft.com/office/drawing/2014/main" id="{00000000-0008-0000-0100-00004F000000}"/>
            </a:ext>
          </a:extLst>
        </xdr:cNvPr>
        <xdr:cNvSpPr/>
      </xdr:nvSpPr>
      <xdr:spPr>
        <a:xfrm>
          <a:off x="2502694" y="269890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129</xdr:row>
      <xdr:rowOff>52388</xdr:rowOff>
    </xdr:from>
    <xdr:to>
      <xdr:col>4</xdr:col>
      <xdr:colOff>76200</xdr:colOff>
      <xdr:row>129</xdr:row>
      <xdr:rowOff>102394</xdr:rowOff>
    </xdr:to>
    <xdr:sp macro="" textlink="">
      <xdr:nvSpPr>
        <xdr:cNvPr id="81" name="Ellipse 80">
          <a:extLst>
            <a:ext uri="{FF2B5EF4-FFF2-40B4-BE49-F238E27FC236}">
              <a16:creationId xmlns:a16="http://schemas.microsoft.com/office/drawing/2014/main" id="{00000000-0008-0000-0100-000051000000}"/>
            </a:ext>
          </a:extLst>
        </xdr:cNvPr>
        <xdr:cNvSpPr/>
      </xdr:nvSpPr>
      <xdr:spPr>
        <a:xfrm>
          <a:off x="2502694" y="271510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138</xdr:row>
      <xdr:rowOff>52388</xdr:rowOff>
    </xdr:from>
    <xdr:to>
      <xdr:col>4</xdr:col>
      <xdr:colOff>76200</xdr:colOff>
      <xdr:row>138</xdr:row>
      <xdr:rowOff>102394</xdr:rowOff>
    </xdr:to>
    <xdr:sp macro="" textlink="">
      <xdr:nvSpPr>
        <xdr:cNvPr id="89" name="Ellipse 88">
          <a:extLst>
            <a:ext uri="{FF2B5EF4-FFF2-40B4-BE49-F238E27FC236}">
              <a16:creationId xmlns:a16="http://schemas.microsoft.com/office/drawing/2014/main" id="{00000000-0008-0000-0100-000059000000}"/>
            </a:ext>
          </a:extLst>
        </xdr:cNvPr>
        <xdr:cNvSpPr/>
      </xdr:nvSpPr>
      <xdr:spPr>
        <a:xfrm>
          <a:off x="2502694" y="290941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137</xdr:row>
      <xdr:rowOff>52388</xdr:rowOff>
    </xdr:from>
    <xdr:to>
      <xdr:col>4</xdr:col>
      <xdr:colOff>76200</xdr:colOff>
      <xdr:row>137</xdr:row>
      <xdr:rowOff>102394</xdr:rowOff>
    </xdr:to>
    <xdr:sp macro="" textlink="">
      <xdr:nvSpPr>
        <xdr:cNvPr id="94" name="Ellipse 93">
          <a:extLst>
            <a:ext uri="{FF2B5EF4-FFF2-40B4-BE49-F238E27FC236}">
              <a16:creationId xmlns:a16="http://schemas.microsoft.com/office/drawing/2014/main" id="{00000000-0008-0000-0100-00005E000000}"/>
            </a:ext>
          </a:extLst>
        </xdr:cNvPr>
        <xdr:cNvSpPr/>
      </xdr:nvSpPr>
      <xdr:spPr>
        <a:xfrm>
          <a:off x="2502694" y="282844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136</xdr:row>
      <xdr:rowOff>52388</xdr:rowOff>
    </xdr:from>
    <xdr:to>
      <xdr:col>4</xdr:col>
      <xdr:colOff>76200</xdr:colOff>
      <xdr:row>136</xdr:row>
      <xdr:rowOff>102394</xdr:rowOff>
    </xdr:to>
    <xdr:sp macro="" textlink="">
      <xdr:nvSpPr>
        <xdr:cNvPr id="95" name="Ellipse 94">
          <a:extLst>
            <a:ext uri="{FF2B5EF4-FFF2-40B4-BE49-F238E27FC236}">
              <a16:creationId xmlns:a16="http://schemas.microsoft.com/office/drawing/2014/main" id="{00000000-0008-0000-0100-00005F000000}"/>
            </a:ext>
          </a:extLst>
        </xdr:cNvPr>
        <xdr:cNvSpPr/>
      </xdr:nvSpPr>
      <xdr:spPr>
        <a:xfrm>
          <a:off x="2502694" y="2812256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139</xdr:row>
      <xdr:rowOff>52388</xdr:rowOff>
    </xdr:from>
    <xdr:to>
      <xdr:col>4</xdr:col>
      <xdr:colOff>76200</xdr:colOff>
      <xdr:row>139</xdr:row>
      <xdr:rowOff>102394</xdr:rowOff>
    </xdr:to>
    <xdr:sp macro="" textlink="">
      <xdr:nvSpPr>
        <xdr:cNvPr id="97" name="Ellipse 96">
          <a:extLst>
            <a:ext uri="{FF2B5EF4-FFF2-40B4-BE49-F238E27FC236}">
              <a16:creationId xmlns:a16="http://schemas.microsoft.com/office/drawing/2014/main" id="{00000000-0008-0000-0100-000061000000}"/>
            </a:ext>
          </a:extLst>
        </xdr:cNvPr>
        <xdr:cNvSpPr/>
      </xdr:nvSpPr>
      <xdr:spPr>
        <a:xfrm>
          <a:off x="2502694" y="2925603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141</xdr:row>
      <xdr:rowOff>52388</xdr:rowOff>
    </xdr:from>
    <xdr:to>
      <xdr:col>4</xdr:col>
      <xdr:colOff>76200</xdr:colOff>
      <xdr:row>141</xdr:row>
      <xdr:rowOff>102394</xdr:rowOff>
    </xdr:to>
    <xdr:sp macro="" textlink="">
      <xdr:nvSpPr>
        <xdr:cNvPr id="105" name="Ellipse 104">
          <a:extLst>
            <a:ext uri="{FF2B5EF4-FFF2-40B4-BE49-F238E27FC236}">
              <a16:creationId xmlns:a16="http://schemas.microsoft.com/office/drawing/2014/main" id="{00000000-0008-0000-0100-000069000000}"/>
            </a:ext>
          </a:extLst>
        </xdr:cNvPr>
        <xdr:cNvSpPr/>
      </xdr:nvSpPr>
      <xdr:spPr>
        <a:xfrm>
          <a:off x="2502694" y="303895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142</xdr:row>
      <xdr:rowOff>52388</xdr:rowOff>
    </xdr:from>
    <xdr:to>
      <xdr:col>4</xdr:col>
      <xdr:colOff>76200</xdr:colOff>
      <xdr:row>142</xdr:row>
      <xdr:rowOff>102394</xdr:rowOff>
    </xdr:to>
    <xdr:sp macro="" textlink="">
      <xdr:nvSpPr>
        <xdr:cNvPr id="109" name="Ellipse 108">
          <a:extLst>
            <a:ext uri="{FF2B5EF4-FFF2-40B4-BE49-F238E27FC236}">
              <a16:creationId xmlns:a16="http://schemas.microsoft.com/office/drawing/2014/main" id="{00000000-0008-0000-0100-00006D000000}"/>
            </a:ext>
          </a:extLst>
        </xdr:cNvPr>
        <xdr:cNvSpPr/>
      </xdr:nvSpPr>
      <xdr:spPr>
        <a:xfrm>
          <a:off x="2502694" y="3055143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145</xdr:row>
      <xdr:rowOff>52388</xdr:rowOff>
    </xdr:from>
    <xdr:to>
      <xdr:col>4</xdr:col>
      <xdr:colOff>76200</xdr:colOff>
      <xdr:row>145</xdr:row>
      <xdr:rowOff>102394</xdr:rowOff>
    </xdr:to>
    <xdr:sp macro="" textlink="">
      <xdr:nvSpPr>
        <xdr:cNvPr id="113" name="Ellipse 112">
          <a:extLst>
            <a:ext uri="{FF2B5EF4-FFF2-40B4-BE49-F238E27FC236}">
              <a16:creationId xmlns:a16="http://schemas.microsoft.com/office/drawing/2014/main" id="{00000000-0008-0000-0100-000071000000}"/>
            </a:ext>
          </a:extLst>
        </xdr:cNvPr>
        <xdr:cNvSpPr/>
      </xdr:nvSpPr>
      <xdr:spPr>
        <a:xfrm>
          <a:off x="2502694" y="316849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146</xdr:row>
      <xdr:rowOff>52388</xdr:rowOff>
    </xdr:from>
    <xdr:to>
      <xdr:col>4</xdr:col>
      <xdr:colOff>76200</xdr:colOff>
      <xdr:row>146</xdr:row>
      <xdr:rowOff>102394</xdr:rowOff>
    </xdr:to>
    <xdr:sp macro="" textlink="">
      <xdr:nvSpPr>
        <xdr:cNvPr id="117" name="Ellipse 116">
          <a:extLst>
            <a:ext uri="{FF2B5EF4-FFF2-40B4-BE49-F238E27FC236}">
              <a16:creationId xmlns:a16="http://schemas.microsoft.com/office/drawing/2014/main" id="{00000000-0008-0000-0100-000075000000}"/>
            </a:ext>
          </a:extLst>
        </xdr:cNvPr>
        <xdr:cNvSpPr/>
      </xdr:nvSpPr>
      <xdr:spPr>
        <a:xfrm>
          <a:off x="2502694" y="3055143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120</xdr:row>
      <xdr:rowOff>52388</xdr:rowOff>
    </xdr:from>
    <xdr:to>
      <xdr:col>4</xdr:col>
      <xdr:colOff>76200</xdr:colOff>
      <xdr:row>120</xdr:row>
      <xdr:rowOff>102394</xdr:rowOff>
    </xdr:to>
    <xdr:sp macro="" textlink="">
      <xdr:nvSpPr>
        <xdr:cNvPr id="125" name="Ellipse 124">
          <a:extLst>
            <a:ext uri="{FF2B5EF4-FFF2-40B4-BE49-F238E27FC236}">
              <a16:creationId xmlns:a16="http://schemas.microsoft.com/office/drawing/2014/main" id="{00000000-0008-0000-0100-00007D000000}"/>
            </a:ext>
          </a:extLst>
        </xdr:cNvPr>
        <xdr:cNvSpPr/>
      </xdr:nvSpPr>
      <xdr:spPr>
        <a:xfrm>
          <a:off x="2502694" y="267223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135</xdr:row>
      <xdr:rowOff>52388</xdr:rowOff>
    </xdr:from>
    <xdr:to>
      <xdr:col>4</xdr:col>
      <xdr:colOff>76200</xdr:colOff>
      <xdr:row>135</xdr:row>
      <xdr:rowOff>102394</xdr:rowOff>
    </xdr:to>
    <xdr:sp macro="" textlink="">
      <xdr:nvSpPr>
        <xdr:cNvPr id="126" name="Ellipse 125">
          <a:extLst>
            <a:ext uri="{FF2B5EF4-FFF2-40B4-BE49-F238E27FC236}">
              <a16:creationId xmlns:a16="http://schemas.microsoft.com/office/drawing/2014/main" id="{00000000-0008-0000-0100-00007E000000}"/>
            </a:ext>
          </a:extLst>
        </xdr:cNvPr>
        <xdr:cNvSpPr/>
      </xdr:nvSpPr>
      <xdr:spPr>
        <a:xfrm>
          <a:off x="2502694" y="3418046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131</xdr:row>
      <xdr:rowOff>52388</xdr:rowOff>
    </xdr:from>
    <xdr:to>
      <xdr:col>4</xdr:col>
      <xdr:colOff>76200</xdr:colOff>
      <xdr:row>131</xdr:row>
      <xdr:rowOff>102394</xdr:rowOff>
    </xdr:to>
    <xdr:sp macro="" textlink="">
      <xdr:nvSpPr>
        <xdr:cNvPr id="127" name="Ellipse 126">
          <a:extLst>
            <a:ext uri="{FF2B5EF4-FFF2-40B4-BE49-F238E27FC236}">
              <a16:creationId xmlns:a16="http://schemas.microsoft.com/office/drawing/2014/main" id="{00000000-0008-0000-0100-00007F000000}"/>
            </a:ext>
          </a:extLst>
        </xdr:cNvPr>
        <xdr:cNvSpPr/>
      </xdr:nvSpPr>
      <xdr:spPr>
        <a:xfrm>
          <a:off x="2502694" y="3131343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96</xdr:row>
      <xdr:rowOff>52388</xdr:rowOff>
    </xdr:from>
    <xdr:to>
      <xdr:col>4</xdr:col>
      <xdr:colOff>76200</xdr:colOff>
      <xdr:row>96</xdr:row>
      <xdr:rowOff>102394</xdr:rowOff>
    </xdr:to>
    <xdr:sp macro="" textlink="">
      <xdr:nvSpPr>
        <xdr:cNvPr id="101" name="Ellipse 100">
          <a:extLst>
            <a:ext uri="{FF2B5EF4-FFF2-40B4-BE49-F238E27FC236}">
              <a16:creationId xmlns:a16="http://schemas.microsoft.com/office/drawing/2014/main" id="{00000000-0008-0000-0100-000065000000}"/>
            </a:ext>
          </a:extLst>
        </xdr:cNvPr>
        <xdr:cNvSpPr/>
      </xdr:nvSpPr>
      <xdr:spPr>
        <a:xfrm>
          <a:off x="2502694" y="328183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99</xdr:row>
      <xdr:rowOff>52388</xdr:rowOff>
    </xdr:from>
    <xdr:to>
      <xdr:col>4</xdr:col>
      <xdr:colOff>76200</xdr:colOff>
      <xdr:row>99</xdr:row>
      <xdr:rowOff>102394</xdr:rowOff>
    </xdr:to>
    <xdr:sp macro="" textlink="">
      <xdr:nvSpPr>
        <xdr:cNvPr id="107" name="Ellipse 106">
          <a:extLst>
            <a:ext uri="{FF2B5EF4-FFF2-40B4-BE49-F238E27FC236}">
              <a16:creationId xmlns:a16="http://schemas.microsoft.com/office/drawing/2014/main" id="{00000000-0008-0000-0100-00006B000000}"/>
            </a:ext>
          </a:extLst>
        </xdr:cNvPr>
        <xdr:cNvSpPr/>
      </xdr:nvSpPr>
      <xdr:spPr>
        <a:xfrm>
          <a:off x="2502694" y="346852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97</xdr:row>
      <xdr:rowOff>52388</xdr:rowOff>
    </xdr:from>
    <xdr:to>
      <xdr:col>4</xdr:col>
      <xdr:colOff>76200</xdr:colOff>
      <xdr:row>97</xdr:row>
      <xdr:rowOff>102394</xdr:rowOff>
    </xdr:to>
    <xdr:sp macro="" textlink="">
      <xdr:nvSpPr>
        <xdr:cNvPr id="110" name="Ellipse 109">
          <a:extLst>
            <a:ext uri="{FF2B5EF4-FFF2-40B4-BE49-F238E27FC236}">
              <a16:creationId xmlns:a16="http://schemas.microsoft.com/office/drawing/2014/main" id="{00000000-0008-0000-0100-00006E000000}"/>
            </a:ext>
          </a:extLst>
        </xdr:cNvPr>
        <xdr:cNvSpPr/>
      </xdr:nvSpPr>
      <xdr:spPr>
        <a:xfrm>
          <a:off x="2502694" y="3298983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100</xdr:row>
      <xdr:rowOff>52388</xdr:rowOff>
    </xdr:from>
    <xdr:to>
      <xdr:col>4</xdr:col>
      <xdr:colOff>76200</xdr:colOff>
      <xdr:row>100</xdr:row>
      <xdr:rowOff>102394</xdr:rowOff>
    </xdr:to>
    <xdr:sp macro="" textlink="">
      <xdr:nvSpPr>
        <xdr:cNvPr id="112" name="Ellipse 111">
          <a:extLst>
            <a:ext uri="{FF2B5EF4-FFF2-40B4-BE49-F238E27FC236}">
              <a16:creationId xmlns:a16="http://schemas.microsoft.com/office/drawing/2014/main" id="{00000000-0008-0000-0100-000070000000}"/>
            </a:ext>
          </a:extLst>
        </xdr:cNvPr>
        <xdr:cNvSpPr/>
      </xdr:nvSpPr>
      <xdr:spPr>
        <a:xfrm>
          <a:off x="2502694" y="297418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98</xdr:row>
      <xdr:rowOff>52388</xdr:rowOff>
    </xdr:from>
    <xdr:to>
      <xdr:col>4</xdr:col>
      <xdr:colOff>76200</xdr:colOff>
      <xdr:row>98</xdr:row>
      <xdr:rowOff>102394</xdr:rowOff>
    </xdr:to>
    <xdr:sp macro="" textlink="">
      <xdr:nvSpPr>
        <xdr:cNvPr id="96" name="Ellipse 95">
          <a:extLst>
            <a:ext uri="{FF2B5EF4-FFF2-40B4-BE49-F238E27FC236}">
              <a16:creationId xmlns:a16="http://schemas.microsoft.com/office/drawing/2014/main" id="{00000000-0008-0000-0100-000060000000}"/>
            </a:ext>
          </a:extLst>
        </xdr:cNvPr>
        <xdr:cNvSpPr/>
      </xdr:nvSpPr>
      <xdr:spPr>
        <a:xfrm>
          <a:off x="2502694" y="247126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102</xdr:row>
      <xdr:rowOff>52388</xdr:rowOff>
    </xdr:from>
    <xdr:to>
      <xdr:col>4</xdr:col>
      <xdr:colOff>76200</xdr:colOff>
      <xdr:row>102</xdr:row>
      <xdr:rowOff>102394</xdr:rowOff>
    </xdr:to>
    <xdr:sp macro="" textlink="">
      <xdr:nvSpPr>
        <xdr:cNvPr id="103" name="Ellipse 102">
          <a:extLst>
            <a:ext uri="{FF2B5EF4-FFF2-40B4-BE49-F238E27FC236}">
              <a16:creationId xmlns:a16="http://schemas.microsoft.com/office/drawing/2014/main" id="{00000000-0008-0000-0100-000067000000}"/>
            </a:ext>
          </a:extLst>
        </xdr:cNvPr>
        <xdr:cNvSpPr/>
      </xdr:nvSpPr>
      <xdr:spPr>
        <a:xfrm>
          <a:off x="2502694" y="3288506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88</xdr:row>
      <xdr:rowOff>52388</xdr:rowOff>
    </xdr:from>
    <xdr:to>
      <xdr:col>4</xdr:col>
      <xdr:colOff>76200</xdr:colOff>
      <xdr:row>88</xdr:row>
      <xdr:rowOff>102394</xdr:rowOff>
    </xdr:to>
    <xdr:sp macro="" textlink="">
      <xdr:nvSpPr>
        <xdr:cNvPr id="104" name="Ellipse 103">
          <a:extLst>
            <a:ext uri="{FF2B5EF4-FFF2-40B4-BE49-F238E27FC236}">
              <a16:creationId xmlns:a16="http://schemas.microsoft.com/office/drawing/2014/main" id="{00000000-0008-0000-0100-000068000000}"/>
            </a:ext>
          </a:extLst>
        </xdr:cNvPr>
        <xdr:cNvSpPr/>
      </xdr:nvSpPr>
      <xdr:spPr>
        <a:xfrm>
          <a:off x="2502694" y="2899886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90</xdr:row>
      <xdr:rowOff>52388</xdr:rowOff>
    </xdr:from>
    <xdr:to>
      <xdr:col>4</xdr:col>
      <xdr:colOff>76200</xdr:colOff>
      <xdr:row>90</xdr:row>
      <xdr:rowOff>102394</xdr:rowOff>
    </xdr:to>
    <xdr:sp macro="" textlink="">
      <xdr:nvSpPr>
        <xdr:cNvPr id="108" name="Ellipse 107">
          <a:extLst>
            <a:ext uri="{FF2B5EF4-FFF2-40B4-BE49-F238E27FC236}">
              <a16:creationId xmlns:a16="http://schemas.microsoft.com/office/drawing/2014/main" id="{00000000-0008-0000-0100-00006C000000}"/>
            </a:ext>
          </a:extLst>
        </xdr:cNvPr>
        <xdr:cNvSpPr/>
      </xdr:nvSpPr>
      <xdr:spPr>
        <a:xfrm>
          <a:off x="2502694" y="291703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93</xdr:row>
      <xdr:rowOff>52388</xdr:rowOff>
    </xdr:from>
    <xdr:to>
      <xdr:col>4</xdr:col>
      <xdr:colOff>76200</xdr:colOff>
      <xdr:row>93</xdr:row>
      <xdr:rowOff>102394</xdr:rowOff>
    </xdr:to>
    <xdr:sp macro="" textlink="">
      <xdr:nvSpPr>
        <xdr:cNvPr id="116" name="Ellipse 115">
          <a:extLst>
            <a:ext uri="{FF2B5EF4-FFF2-40B4-BE49-F238E27FC236}">
              <a16:creationId xmlns:a16="http://schemas.microsoft.com/office/drawing/2014/main" id="{00000000-0008-0000-0100-000074000000}"/>
            </a:ext>
          </a:extLst>
        </xdr:cNvPr>
        <xdr:cNvSpPr/>
      </xdr:nvSpPr>
      <xdr:spPr>
        <a:xfrm>
          <a:off x="2502694" y="390667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91</xdr:row>
      <xdr:rowOff>52388</xdr:rowOff>
    </xdr:from>
    <xdr:to>
      <xdr:col>4</xdr:col>
      <xdr:colOff>76200</xdr:colOff>
      <xdr:row>91</xdr:row>
      <xdr:rowOff>102394</xdr:rowOff>
    </xdr:to>
    <xdr:sp macro="" textlink="">
      <xdr:nvSpPr>
        <xdr:cNvPr id="121" name="Ellipse 120">
          <a:extLst>
            <a:ext uri="{FF2B5EF4-FFF2-40B4-BE49-F238E27FC236}">
              <a16:creationId xmlns:a16="http://schemas.microsoft.com/office/drawing/2014/main" id="{00000000-0008-0000-0100-000079000000}"/>
            </a:ext>
          </a:extLst>
        </xdr:cNvPr>
        <xdr:cNvSpPr/>
      </xdr:nvSpPr>
      <xdr:spPr>
        <a:xfrm>
          <a:off x="2502694" y="2454116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86</xdr:row>
      <xdr:rowOff>52388</xdr:rowOff>
    </xdr:from>
    <xdr:to>
      <xdr:col>4</xdr:col>
      <xdr:colOff>76200</xdr:colOff>
      <xdr:row>86</xdr:row>
      <xdr:rowOff>102394</xdr:rowOff>
    </xdr:to>
    <xdr:sp macro="" textlink="">
      <xdr:nvSpPr>
        <xdr:cNvPr id="106" name="Ellipse 105">
          <a:extLst>
            <a:ext uri="{FF2B5EF4-FFF2-40B4-BE49-F238E27FC236}">
              <a16:creationId xmlns:a16="http://schemas.microsoft.com/office/drawing/2014/main" id="{00000000-0008-0000-0100-00006A000000}"/>
            </a:ext>
          </a:extLst>
        </xdr:cNvPr>
        <xdr:cNvSpPr/>
      </xdr:nvSpPr>
      <xdr:spPr>
        <a:xfrm>
          <a:off x="2502694" y="285511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89</xdr:row>
      <xdr:rowOff>52388</xdr:rowOff>
    </xdr:from>
    <xdr:to>
      <xdr:col>4</xdr:col>
      <xdr:colOff>76200</xdr:colOff>
      <xdr:row>89</xdr:row>
      <xdr:rowOff>102394</xdr:rowOff>
    </xdr:to>
    <xdr:sp macro="" textlink="">
      <xdr:nvSpPr>
        <xdr:cNvPr id="115" name="Ellipse 114">
          <a:extLst>
            <a:ext uri="{FF2B5EF4-FFF2-40B4-BE49-F238E27FC236}">
              <a16:creationId xmlns:a16="http://schemas.microsoft.com/office/drawing/2014/main" id="{00000000-0008-0000-0100-000073000000}"/>
            </a:ext>
          </a:extLst>
        </xdr:cNvPr>
        <xdr:cNvSpPr/>
      </xdr:nvSpPr>
      <xdr:spPr>
        <a:xfrm>
          <a:off x="2502694" y="2521743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6</xdr:col>
      <xdr:colOff>269828</xdr:colOff>
      <xdr:row>12</xdr:row>
      <xdr:rowOff>877718</xdr:rowOff>
    </xdr:from>
    <xdr:to>
      <xdr:col>6</xdr:col>
      <xdr:colOff>612728</xdr:colOff>
      <xdr:row>12</xdr:row>
      <xdr:rowOff>1066171</xdr:rowOff>
    </xdr:to>
    <xdr:sp macro="" textlink="">
      <xdr:nvSpPr>
        <xdr:cNvPr id="149" name="Pfeil nach unten 148">
          <a:extLst>
            <a:ext uri="{FF2B5EF4-FFF2-40B4-BE49-F238E27FC236}">
              <a16:creationId xmlns:a16="http://schemas.microsoft.com/office/drawing/2014/main" id="{00000000-0008-0000-0100-000095000000}"/>
            </a:ext>
          </a:extLst>
        </xdr:cNvPr>
        <xdr:cNvSpPr/>
      </xdr:nvSpPr>
      <xdr:spPr>
        <a:xfrm rot="16200000">
          <a:off x="4061801" y="5572520"/>
          <a:ext cx="188453" cy="342900"/>
        </a:xfrm>
        <a:prstGeom prst="downArrow">
          <a:avLst/>
        </a:prstGeom>
        <a:ln>
          <a:noFill/>
        </a:ln>
      </xdr:spPr>
      <xdr:style>
        <a:lnRef idx="1">
          <a:schemeClr val="accent6"/>
        </a:lnRef>
        <a:fillRef idx="3">
          <a:schemeClr val="accent6"/>
        </a:fillRef>
        <a:effectRef idx="2">
          <a:schemeClr val="accent6"/>
        </a:effectRef>
        <a:fontRef idx="minor">
          <a:schemeClr val="lt1"/>
        </a:fontRef>
      </xdr:style>
      <xdr:txBody>
        <a:bodyPr rtlCol="0" anchor="ctr"/>
        <a:lstStyle/>
        <a:p>
          <a:pPr algn="ctr"/>
          <a:endParaRPr lang="de-CH" sz="1100"/>
        </a:p>
      </xdr:txBody>
    </xdr:sp>
    <xdr:clientData/>
  </xdr:twoCellAnchor>
  <xdr:twoCellAnchor>
    <xdr:from>
      <xdr:col>6</xdr:col>
      <xdr:colOff>269829</xdr:colOff>
      <xdr:row>12</xdr:row>
      <xdr:rowOff>1128990</xdr:rowOff>
    </xdr:from>
    <xdr:to>
      <xdr:col>6</xdr:col>
      <xdr:colOff>612729</xdr:colOff>
      <xdr:row>12</xdr:row>
      <xdr:rowOff>1317443</xdr:rowOff>
    </xdr:to>
    <xdr:sp macro="" textlink="">
      <xdr:nvSpPr>
        <xdr:cNvPr id="150" name="Pfeil nach unten 149">
          <a:extLst>
            <a:ext uri="{FF2B5EF4-FFF2-40B4-BE49-F238E27FC236}">
              <a16:creationId xmlns:a16="http://schemas.microsoft.com/office/drawing/2014/main" id="{00000000-0008-0000-0100-000096000000}"/>
            </a:ext>
          </a:extLst>
        </xdr:cNvPr>
        <xdr:cNvSpPr/>
      </xdr:nvSpPr>
      <xdr:spPr>
        <a:xfrm rot="5400000" flipH="1">
          <a:off x="4061802" y="5823792"/>
          <a:ext cx="188453" cy="342900"/>
        </a:xfrm>
        <a:prstGeom prst="downArrow">
          <a:avLst/>
        </a:prstGeom>
        <a:ln>
          <a:noFill/>
        </a:ln>
      </xdr:spPr>
      <xdr:style>
        <a:lnRef idx="1">
          <a:schemeClr val="accent6"/>
        </a:lnRef>
        <a:fillRef idx="3">
          <a:schemeClr val="accent6"/>
        </a:fillRef>
        <a:effectRef idx="2">
          <a:schemeClr val="accent6"/>
        </a:effectRef>
        <a:fontRef idx="minor">
          <a:schemeClr val="lt1"/>
        </a:fontRef>
      </xdr:style>
      <xdr:txBody>
        <a:bodyPr rtlCol="0" anchor="ctr"/>
        <a:lstStyle/>
        <a:p>
          <a:pPr algn="ctr"/>
          <a:endParaRPr lang="de-CH" sz="1100"/>
        </a:p>
      </xdr:txBody>
    </xdr:sp>
    <xdr:clientData/>
  </xdr:twoCellAnchor>
  <xdr:twoCellAnchor>
    <xdr:from>
      <xdr:col>7</xdr:col>
      <xdr:colOff>88851</xdr:colOff>
      <xdr:row>12</xdr:row>
      <xdr:rowOff>774517</xdr:rowOff>
    </xdr:from>
    <xdr:to>
      <xdr:col>9</xdr:col>
      <xdr:colOff>241251</xdr:colOff>
      <xdr:row>12</xdr:row>
      <xdr:rowOff>1420643</xdr:rowOff>
    </xdr:to>
    <xdr:sp macro="" textlink="">
      <xdr:nvSpPr>
        <xdr:cNvPr id="193" name="Abgerundetes Rechteck 192">
          <a:extLst>
            <a:ext uri="{FF2B5EF4-FFF2-40B4-BE49-F238E27FC236}">
              <a16:creationId xmlns:a16="http://schemas.microsoft.com/office/drawing/2014/main" id="{00000000-0008-0000-0100-0000C1000000}"/>
            </a:ext>
          </a:extLst>
        </xdr:cNvPr>
        <xdr:cNvSpPr/>
      </xdr:nvSpPr>
      <xdr:spPr>
        <a:xfrm>
          <a:off x="4479876" y="5403667"/>
          <a:ext cx="1390650" cy="646126"/>
        </a:xfrm>
        <a:prstGeom prst="roundRect">
          <a:avLst>
            <a:gd name="adj" fmla="val 26389"/>
          </a:avLst>
        </a:prstGeom>
        <a:solidFill>
          <a:schemeClr val="tx2">
            <a:lumMod val="60000"/>
            <a:lumOff val="40000"/>
          </a:schemeClr>
        </a:solidFill>
        <a:ln>
          <a:solidFill>
            <a:schemeClr val="tx2">
              <a:lumMod val="75000"/>
            </a:schemeClr>
          </a:solidFill>
        </a:ln>
        <a:effectLst>
          <a:outerShdw blurRad="50800" dist="38100" dir="2700000" algn="tl" rotWithShape="0">
            <a:prstClr val="black">
              <a:alpha val="40000"/>
            </a:prstClr>
          </a:outerShdw>
        </a:effectLst>
      </xdr:spPr>
      <xdr:style>
        <a:lnRef idx="2">
          <a:schemeClr val="accent2">
            <a:shade val="50000"/>
          </a:schemeClr>
        </a:lnRef>
        <a:fillRef idx="1">
          <a:schemeClr val="accent2"/>
        </a:fillRef>
        <a:effectRef idx="0">
          <a:schemeClr val="accent2"/>
        </a:effectRef>
        <a:fontRef idx="minor">
          <a:schemeClr val="lt1"/>
        </a:fontRef>
      </xdr:style>
      <xdr:txBody>
        <a:bodyPr rtlCol="0" anchor="ctr"/>
        <a:lstStyle/>
        <a:p>
          <a:pPr algn="ctr"/>
          <a:r>
            <a:rPr lang="de-CH" sz="1400" b="1"/>
            <a:t>Energie-nutzung</a:t>
          </a:r>
        </a:p>
      </xdr:txBody>
    </xdr:sp>
    <xdr:clientData/>
  </xdr:twoCellAnchor>
  <xdr:twoCellAnchor>
    <xdr:from>
      <xdr:col>4</xdr:col>
      <xdr:colOff>26194</xdr:colOff>
      <xdr:row>78</xdr:row>
      <xdr:rowOff>52388</xdr:rowOff>
    </xdr:from>
    <xdr:to>
      <xdr:col>4</xdr:col>
      <xdr:colOff>76200</xdr:colOff>
      <xdr:row>78</xdr:row>
      <xdr:rowOff>102394</xdr:rowOff>
    </xdr:to>
    <xdr:sp macro="" textlink="">
      <xdr:nvSpPr>
        <xdr:cNvPr id="111" name="Ellipse 110">
          <a:extLst>
            <a:ext uri="{FF2B5EF4-FFF2-40B4-BE49-F238E27FC236}">
              <a16:creationId xmlns:a16="http://schemas.microsoft.com/office/drawing/2014/main" id="{00000000-0008-0000-0100-00006F000000}"/>
            </a:ext>
          </a:extLst>
        </xdr:cNvPr>
        <xdr:cNvSpPr/>
      </xdr:nvSpPr>
      <xdr:spPr>
        <a:xfrm>
          <a:off x="2502694" y="277891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82</xdr:row>
      <xdr:rowOff>52388</xdr:rowOff>
    </xdr:from>
    <xdr:to>
      <xdr:col>4</xdr:col>
      <xdr:colOff>76200</xdr:colOff>
      <xdr:row>82</xdr:row>
      <xdr:rowOff>102394</xdr:rowOff>
    </xdr:to>
    <xdr:sp macro="" textlink="">
      <xdr:nvSpPr>
        <xdr:cNvPr id="118" name="Ellipse 117">
          <a:extLst>
            <a:ext uri="{FF2B5EF4-FFF2-40B4-BE49-F238E27FC236}">
              <a16:creationId xmlns:a16="http://schemas.microsoft.com/office/drawing/2014/main" id="{00000000-0008-0000-0100-000076000000}"/>
            </a:ext>
          </a:extLst>
        </xdr:cNvPr>
        <xdr:cNvSpPr/>
      </xdr:nvSpPr>
      <xdr:spPr>
        <a:xfrm>
          <a:off x="2502694" y="2879883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80</xdr:row>
      <xdr:rowOff>52388</xdr:rowOff>
    </xdr:from>
    <xdr:to>
      <xdr:col>4</xdr:col>
      <xdr:colOff>76200</xdr:colOff>
      <xdr:row>80</xdr:row>
      <xdr:rowOff>102394</xdr:rowOff>
    </xdr:to>
    <xdr:sp macro="" textlink="">
      <xdr:nvSpPr>
        <xdr:cNvPr id="119" name="Ellipse 118">
          <a:extLst>
            <a:ext uri="{FF2B5EF4-FFF2-40B4-BE49-F238E27FC236}">
              <a16:creationId xmlns:a16="http://schemas.microsoft.com/office/drawing/2014/main" id="{00000000-0008-0000-0100-000077000000}"/>
            </a:ext>
          </a:extLst>
        </xdr:cNvPr>
        <xdr:cNvSpPr/>
      </xdr:nvSpPr>
      <xdr:spPr>
        <a:xfrm>
          <a:off x="2502694" y="284749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77</xdr:row>
      <xdr:rowOff>52388</xdr:rowOff>
    </xdr:from>
    <xdr:to>
      <xdr:col>4</xdr:col>
      <xdr:colOff>76200</xdr:colOff>
      <xdr:row>77</xdr:row>
      <xdr:rowOff>102394</xdr:rowOff>
    </xdr:to>
    <xdr:sp macro="" textlink="">
      <xdr:nvSpPr>
        <xdr:cNvPr id="133" name="Ellipse 132">
          <a:extLst>
            <a:ext uri="{FF2B5EF4-FFF2-40B4-BE49-F238E27FC236}">
              <a16:creationId xmlns:a16="http://schemas.microsoft.com/office/drawing/2014/main" id="{00000000-0008-0000-0100-000085000000}"/>
            </a:ext>
          </a:extLst>
        </xdr:cNvPr>
        <xdr:cNvSpPr/>
      </xdr:nvSpPr>
      <xdr:spPr>
        <a:xfrm>
          <a:off x="2502694" y="259699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74</xdr:row>
      <xdr:rowOff>52388</xdr:rowOff>
    </xdr:from>
    <xdr:to>
      <xdr:col>4</xdr:col>
      <xdr:colOff>76200</xdr:colOff>
      <xdr:row>74</xdr:row>
      <xdr:rowOff>102394</xdr:rowOff>
    </xdr:to>
    <xdr:sp macro="" textlink="">
      <xdr:nvSpPr>
        <xdr:cNvPr id="135" name="Ellipse 134">
          <a:extLst>
            <a:ext uri="{FF2B5EF4-FFF2-40B4-BE49-F238E27FC236}">
              <a16:creationId xmlns:a16="http://schemas.microsoft.com/office/drawing/2014/main" id="{00000000-0008-0000-0100-000087000000}"/>
            </a:ext>
          </a:extLst>
        </xdr:cNvPr>
        <xdr:cNvSpPr/>
      </xdr:nvSpPr>
      <xdr:spPr>
        <a:xfrm>
          <a:off x="2502694" y="2564606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76</xdr:row>
      <xdr:rowOff>52388</xdr:rowOff>
    </xdr:from>
    <xdr:to>
      <xdr:col>4</xdr:col>
      <xdr:colOff>76200</xdr:colOff>
      <xdr:row>76</xdr:row>
      <xdr:rowOff>102394</xdr:rowOff>
    </xdr:to>
    <xdr:sp macro="" textlink="">
      <xdr:nvSpPr>
        <xdr:cNvPr id="122" name="Ellipse 121">
          <a:extLst>
            <a:ext uri="{FF2B5EF4-FFF2-40B4-BE49-F238E27FC236}">
              <a16:creationId xmlns:a16="http://schemas.microsoft.com/office/drawing/2014/main" id="{00000000-0008-0000-0100-00007A000000}"/>
            </a:ext>
          </a:extLst>
        </xdr:cNvPr>
        <xdr:cNvSpPr/>
      </xdr:nvSpPr>
      <xdr:spPr>
        <a:xfrm>
          <a:off x="2502694" y="2544603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oneCellAnchor>
    <xdr:from>
      <xdr:col>7</xdr:col>
      <xdr:colOff>400050</xdr:colOff>
      <xdr:row>0</xdr:row>
      <xdr:rowOff>9525</xdr:rowOff>
    </xdr:from>
    <xdr:ext cx="1476375" cy="752129"/>
    <xdr:sp macro="" textlink="">
      <xdr:nvSpPr>
        <xdr:cNvPr id="157" name="Textfeld 156">
          <a:extLst>
            <a:ext uri="{FF2B5EF4-FFF2-40B4-BE49-F238E27FC236}">
              <a16:creationId xmlns:a16="http://schemas.microsoft.com/office/drawing/2014/main" id="{00000000-0008-0000-0100-00009D000000}"/>
            </a:ext>
          </a:extLst>
        </xdr:cNvPr>
        <xdr:cNvSpPr txBox="1"/>
      </xdr:nvSpPr>
      <xdr:spPr>
        <a:xfrm>
          <a:off x="4791075" y="9525"/>
          <a:ext cx="1476375" cy="752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solidFill>
                <a:sysClr val="windowText" lastClr="000000"/>
              </a:solidFill>
              <a:latin typeface="Arial" pitchFamily="34" charset="0"/>
              <a:cs typeface="Arial" pitchFamily="34" charset="0"/>
            </a:rPr>
            <a:t>Stadt Zürich</a:t>
          </a:r>
        </a:p>
        <a:p>
          <a:r>
            <a:rPr lang="de-CH" sz="850">
              <a:solidFill>
                <a:sysClr val="windowText" lastClr="000000"/>
              </a:solidFill>
              <a:latin typeface="Arial" pitchFamily="34" charset="0"/>
              <a:cs typeface="Arial" pitchFamily="34" charset="0"/>
            </a:rPr>
            <a:t>Amt für Hochbauten</a:t>
          </a:r>
        </a:p>
        <a:p>
          <a:r>
            <a:rPr lang="de-CH" sz="850">
              <a:solidFill>
                <a:sysClr val="windowText" lastClr="000000"/>
              </a:solidFill>
              <a:latin typeface="Arial" pitchFamily="34" charset="0"/>
              <a:cs typeface="Arial" pitchFamily="34" charset="0"/>
            </a:rPr>
            <a:t>Lindenhofstrasse 21</a:t>
          </a:r>
        </a:p>
        <a:p>
          <a:r>
            <a:rPr lang="de-CH" sz="850">
              <a:solidFill>
                <a:sysClr val="windowText" lastClr="000000"/>
              </a:solidFill>
              <a:latin typeface="Arial" pitchFamily="34" charset="0"/>
              <a:cs typeface="Arial" pitchFamily="34" charset="0"/>
            </a:rPr>
            <a:t>Postfach, 8021 Zürich</a:t>
          </a:r>
        </a:p>
        <a:p>
          <a:r>
            <a:rPr lang="de-CH" sz="850">
              <a:solidFill>
                <a:sysClr val="windowText" lastClr="000000"/>
              </a:solidFill>
              <a:latin typeface="Arial" pitchFamily="34" charset="0"/>
              <a:cs typeface="Arial" pitchFamily="34" charset="0"/>
            </a:rPr>
            <a:t>+41 44 412 11 11</a:t>
          </a:r>
        </a:p>
        <a:p>
          <a:r>
            <a:rPr lang="de-CH" sz="850">
              <a:solidFill>
                <a:sysClr val="windowText" lastClr="000000"/>
              </a:solidFill>
              <a:latin typeface="Arial" pitchFamily="34" charset="0"/>
              <a:cs typeface="Arial" pitchFamily="34" charset="0"/>
            </a:rPr>
            <a:t>www.stadt-zuerich.ch/hochbau</a:t>
          </a:r>
        </a:p>
      </xdr:txBody>
    </xdr:sp>
    <xdr:clientData/>
  </xdr:oneCellAnchor>
  <xdr:twoCellAnchor editAs="oneCell">
    <xdr:from>
      <xdr:col>0</xdr:col>
      <xdr:colOff>9518</xdr:colOff>
      <xdr:row>0</xdr:row>
      <xdr:rowOff>9525</xdr:rowOff>
    </xdr:from>
    <xdr:to>
      <xdr:col>3</xdr:col>
      <xdr:colOff>132234</xdr:colOff>
      <xdr:row>0</xdr:row>
      <xdr:rowOff>338709</xdr:rowOff>
    </xdr:to>
    <xdr:pic>
      <xdr:nvPicPr>
        <xdr:cNvPr id="2" name="Grafik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18" y="9525"/>
          <a:ext cx="1980091" cy="32918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15</xdr:col>
      <xdr:colOff>19050</xdr:colOff>
      <xdr:row>14</xdr:row>
      <xdr:rowOff>0</xdr:rowOff>
    </xdr:from>
    <xdr:to>
      <xdr:col>15</xdr:col>
      <xdr:colOff>190499</xdr:colOff>
      <xdr:row>37</xdr:row>
      <xdr:rowOff>123825</xdr:rowOff>
    </xdr:to>
    <xdr:sp macro="" textlink="">
      <xdr:nvSpPr>
        <xdr:cNvPr id="4" name="Geschweifte Klammer rechts 3">
          <a:extLst>
            <a:ext uri="{FF2B5EF4-FFF2-40B4-BE49-F238E27FC236}">
              <a16:creationId xmlns:a16="http://schemas.microsoft.com/office/drawing/2014/main" id="{00000000-0008-0000-0A00-000004000000}"/>
            </a:ext>
          </a:extLst>
        </xdr:cNvPr>
        <xdr:cNvSpPr/>
      </xdr:nvSpPr>
      <xdr:spPr>
        <a:xfrm>
          <a:off x="7477125" y="2676525"/>
          <a:ext cx="171449" cy="3409950"/>
        </a:xfrm>
        <a:prstGeom prst="rightBrace">
          <a:avLst>
            <a:gd name="adj1" fmla="val 42619"/>
            <a:gd name="adj2" fmla="val 50000"/>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de-CH" sz="1100"/>
        </a:p>
      </xdr:txBody>
    </xdr:sp>
    <xdr:clientData/>
  </xdr:twoCellAnchor>
  <xdr:oneCellAnchor>
    <xdr:from>
      <xdr:col>10</xdr:col>
      <xdr:colOff>57150</xdr:colOff>
      <xdr:row>0</xdr:row>
      <xdr:rowOff>0</xdr:rowOff>
    </xdr:from>
    <xdr:ext cx="1476375" cy="752129"/>
    <xdr:sp macro="" textlink="">
      <xdr:nvSpPr>
        <xdr:cNvPr id="9" name="Textfeld 8">
          <a:extLst>
            <a:ext uri="{FF2B5EF4-FFF2-40B4-BE49-F238E27FC236}">
              <a16:creationId xmlns:a16="http://schemas.microsoft.com/office/drawing/2014/main" id="{00000000-0008-0000-0A00-000009000000}"/>
            </a:ext>
          </a:extLst>
        </xdr:cNvPr>
        <xdr:cNvSpPr txBox="1"/>
      </xdr:nvSpPr>
      <xdr:spPr>
        <a:xfrm>
          <a:off x="5800725" y="0"/>
          <a:ext cx="1476375" cy="752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Lindenhofstrasse 21</a:t>
          </a:r>
        </a:p>
        <a:p>
          <a:r>
            <a:rPr lang="de-CH" sz="850">
              <a:latin typeface="Arial" pitchFamily="34" charset="0"/>
              <a:cs typeface="Arial" pitchFamily="34" charset="0"/>
            </a:rPr>
            <a:t>Postfach, 8021 Zürich</a:t>
          </a:r>
        </a:p>
        <a:p>
          <a:r>
            <a:rPr lang="de-CH" sz="850">
              <a:latin typeface="Arial" pitchFamily="34" charset="0"/>
              <a:cs typeface="Arial" pitchFamily="34" charset="0"/>
            </a:rPr>
            <a:t>+41 44 412 11 11</a:t>
          </a:r>
        </a:p>
        <a:p>
          <a:r>
            <a:rPr lang="de-CH" sz="850">
              <a:latin typeface="Arial" pitchFamily="34" charset="0"/>
              <a:cs typeface="Arial" pitchFamily="34" charset="0"/>
            </a:rPr>
            <a:t>www.stadt-zuerich.ch/hochbau</a:t>
          </a:r>
        </a:p>
      </xdr:txBody>
    </xdr:sp>
    <xdr:clientData/>
  </xdr:oneCellAnchor>
  <xdr:twoCellAnchor editAs="oneCell">
    <xdr:from>
      <xdr:col>0</xdr:col>
      <xdr:colOff>9518</xdr:colOff>
      <xdr:row>0</xdr:row>
      <xdr:rowOff>9525</xdr:rowOff>
    </xdr:from>
    <xdr:to>
      <xdr:col>2</xdr:col>
      <xdr:colOff>46509</xdr:colOff>
      <xdr:row>0</xdr:row>
      <xdr:rowOff>338709</xdr:rowOff>
    </xdr:to>
    <xdr:pic>
      <xdr:nvPicPr>
        <xdr:cNvPr id="10" name="Grafik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18" y="9525"/>
          <a:ext cx="1980091" cy="32918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9</xdr:col>
      <xdr:colOff>266700</xdr:colOff>
      <xdr:row>0</xdr:row>
      <xdr:rowOff>0</xdr:rowOff>
    </xdr:from>
    <xdr:ext cx="1476375" cy="752129"/>
    <xdr:sp macro="" textlink="">
      <xdr:nvSpPr>
        <xdr:cNvPr id="14" name="Textfeld 13">
          <a:extLst>
            <a:ext uri="{FF2B5EF4-FFF2-40B4-BE49-F238E27FC236}">
              <a16:creationId xmlns:a16="http://schemas.microsoft.com/office/drawing/2014/main" id="{00000000-0008-0000-0B00-00000E000000}"/>
            </a:ext>
          </a:extLst>
        </xdr:cNvPr>
        <xdr:cNvSpPr txBox="1"/>
      </xdr:nvSpPr>
      <xdr:spPr>
        <a:xfrm>
          <a:off x="5686425" y="0"/>
          <a:ext cx="1476375" cy="752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Lindenhofstrasse 21</a:t>
          </a:r>
        </a:p>
        <a:p>
          <a:r>
            <a:rPr lang="de-CH" sz="850">
              <a:latin typeface="Arial" pitchFamily="34" charset="0"/>
              <a:cs typeface="Arial" pitchFamily="34" charset="0"/>
            </a:rPr>
            <a:t>Postfach, 8021 Zürich</a:t>
          </a:r>
        </a:p>
        <a:p>
          <a:r>
            <a:rPr lang="de-CH" sz="850">
              <a:latin typeface="Arial" pitchFamily="34" charset="0"/>
              <a:cs typeface="Arial" pitchFamily="34" charset="0"/>
            </a:rPr>
            <a:t>+41 44 412 11 11</a:t>
          </a:r>
        </a:p>
        <a:p>
          <a:r>
            <a:rPr lang="de-CH" sz="850">
              <a:latin typeface="Arial" pitchFamily="34" charset="0"/>
              <a:cs typeface="Arial" pitchFamily="34" charset="0"/>
            </a:rPr>
            <a:t>www.stadt-zuerich.ch/hochbau</a:t>
          </a:r>
        </a:p>
      </xdr:txBody>
    </xdr:sp>
    <xdr:clientData/>
  </xdr:oneCellAnchor>
  <xdr:twoCellAnchor editAs="oneCell">
    <xdr:from>
      <xdr:col>0</xdr:col>
      <xdr:colOff>9518</xdr:colOff>
      <xdr:row>0</xdr:row>
      <xdr:rowOff>9525</xdr:rowOff>
    </xdr:from>
    <xdr:to>
      <xdr:col>1</xdr:col>
      <xdr:colOff>294159</xdr:colOff>
      <xdr:row>0</xdr:row>
      <xdr:rowOff>338709</xdr:rowOff>
    </xdr:to>
    <xdr:pic>
      <xdr:nvPicPr>
        <xdr:cNvPr id="15" name="Grafik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18" y="9525"/>
          <a:ext cx="1980091" cy="32918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15</xdr:col>
      <xdr:colOff>19050</xdr:colOff>
      <xdr:row>14</xdr:row>
      <xdr:rowOff>0</xdr:rowOff>
    </xdr:from>
    <xdr:to>
      <xdr:col>15</xdr:col>
      <xdr:colOff>190499</xdr:colOff>
      <xdr:row>37</xdr:row>
      <xdr:rowOff>123825</xdr:rowOff>
    </xdr:to>
    <xdr:sp macro="" textlink="">
      <xdr:nvSpPr>
        <xdr:cNvPr id="4" name="Geschweifte Klammer rechts 3">
          <a:extLst>
            <a:ext uri="{FF2B5EF4-FFF2-40B4-BE49-F238E27FC236}">
              <a16:creationId xmlns:a16="http://schemas.microsoft.com/office/drawing/2014/main" id="{00000000-0008-0000-0C00-000004000000}"/>
            </a:ext>
          </a:extLst>
        </xdr:cNvPr>
        <xdr:cNvSpPr/>
      </xdr:nvSpPr>
      <xdr:spPr>
        <a:xfrm>
          <a:off x="7477125" y="2676525"/>
          <a:ext cx="171449" cy="3409950"/>
        </a:xfrm>
        <a:prstGeom prst="rightBrace">
          <a:avLst>
            <a:gd name="adj1" fmla="val 42619"/>
            <a:gd name="adj2" fmla="val 50000"/>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de-CH" sz="1100"/>
        </a:p>
      </xdr:txBody>
    </xdr:sp>
    <xdr:clientData/>
  </xdr:twoCellAnchor>
  <xdr:oneCellAnchor>
    <xdr:from>
      <xdr:col>10</xdr:col>
      <xdr:colOff>57150</xdr:colOff>
      <xdr:row>0</xdr:row>
      <xdr:rowOff>0</xdr:rowOff>
    </xdr:from>
    <xdr:ext cx="1476375" cy="752129"/>
    <xdr:sp macro="" textlink="">
      <xdr:nvSpPr>
        <xdr:cNvPr id="11" name="Textfeld 10">
          <a:extLst>
            <a:ext uri="{FF2B5EF4-FFF2-40B4-BE49-F238E27FC236}">
              <a16:creationId xmlns:a16="http://schemas.microsoft.com/office/drawing/2014/main" id="{00000000-0008-0000-0C00-00000B000000}"/>
            </a:ext>
          </a:extLst>
        </xdr:cNvPr>
        <xdr:cNvSpPr txBox="1"/>
      </xdr:nvSpPr>
      <xdr:spPr>
        <a:xfrm>
          <a:off x="5800725" y="0"/>
          <a:ext cx="1476375" cy="752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Lindenhofstrasse 21</a:t>
          </a:r>
        </a:p>
        <a:p>
          <a:r>
            <a:rPr lang="de-CH" sz="850">
              <a:latin typeface="Arial" pitchFamily="34" charset="0"/>
              <a:cs typeface="Arial" pitchFamily="34" charset="0"/>
            </a:rPr>
            <a:t>Postfach, 8021 Zürich</a:t>
          </a:r>
        </a:p>
        <a:p>
          <a:r>
            <a:rPr lang="de-CH" sz="850">
              <a:latin typeface="Arial" pitchFamily="34" charset="0"/>
              <a:cs typeface="Arial" pitchFamily="34" charset="0"/>
            </a:rPr>
            <a:t>+41 44 412 11 11</a:t>
          </a:r>
        </a:p>
        <a:p>
          <a:r>
            <a:rPr lang="de-CH" sz="850">
              <a:latin typeface="Arial" pitchFamily="34" charset="0"/>
              <a:cs typeface="Arial" pitchFamily="34" charset="0"/>
            </a:rPr>
            <a:t>www.stadt-zuerich.ch/hochbau</a:t>
          </a:r>
        </a:p>
      </xdr:txBody>
    </xdr:sp>
    <xdr:clientData/>
  </xdr:oneCellAnchor>
  <xdr:twoCellAnchor editAs="oneCell">
    <xdr:from>
      <xdr:col>0</xdr:col>
      <xdr:colOff>9518</xdr:colOff>
      <xdr:row>0</xdr:row>
      <xdr:rowOff>9525</xdr:rowOff>
    </xdr:from>
    <xdr:to>
      <xdr:col>2</xdr:col>
      <xdr:colOff>46509</xdr:colOff>
      <xdr:row>0</xdr:row>
      <xdr:rowOff>338709</xdr:rowOff>
    </xdr:to>
    <xdr:pic>
      <xdr:nvPicPr>
        <xdr:cNvPr id="12" name="Grafik 11">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18" y="9525"/>
          <a:ext cx="1980091" cy="32918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9</xdr:col>
      <xdr:colOff>266700</xdr:colOff>
      <xdr:row>0</xdr:row>
      <xdr:rowOff>0</xdr:rowOff>
    </xdr:from>
    <xdr:ext cx="1476375" cy="752129"/>
    <xdr:sp macro="" textlink="">
      <xdr:nvSpPr>
        <xdr:cNvPr id="10" name="Textfeld 9">
          <a:extLst>
            <a:ext uri="{FF2B5EF4-FFF2-40B4-BE49-F238E27FC236}">
              <a16:creationId xmlns:a16="http://schemas.microsoft.com/office/drawing/2014/main" id="{00000000-0008-0000-0D00-00000A000000}"/>
            </a:ext>
          </a:extLst>
        </xdr:cNvPr>
        <xdr:cNvSpPr txBox="1"/>
      </xdr:nvSpPr>
      <xdr:spPr>
        <a:xfrm>
          <a:off x="5686425" y="0"/>
          <a:ext cx="1476375" cy="752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Lindenhofstrasse 21</a:t>
          </a:r>
        </a:p>
        <a:p>
          <a:r>
            <a:rPr lang="de-CH" sz="850">
              <a:latin typeface="Arial" pitchFamily="34" charset="0"/>
              <a:cs typeface="Arial" pitchFamily="34" charset="0"/>
            </a:rPr>
            <a:t>Postfach, 8021 Zürich</a:t>
          </a:r>
        </a:p>
        <a:p>
          <a:r>
            <a:rPr lang="de-CH" sz="850">
              <a:latin typeface="Arial" pitchFamily="34" charset="0"/>
              <a:cs typeface="Arial" pitchFamily="34" charset="0"/>
            </a:rPr>
            <a:t>+41 44 412 11 11</a:t>
          </a:r>
        </a:p>
        <a:p>
          <a:r>
            <a:rPr lang="de-CH" sz="850">
              <a:latin typeface="Arial" pitchFamily="34" charset="0"/>
              <a:cs typeface="Arial" pitchFamily="34" charset="0"/>
            </a:rPr>
            <a:t>www.stadt-zuerich.ch/hochbau</a:t>
          </a:r>
        </a:p>
      </xdr:txBody>
    </xdr:sp>
    <xdr:clientData/>
  </xdr:oneCellAnchor>
  <xdr:twoCellAnchor editAs="oneCell">
    <xdr:from>
      <xdr:col>0</xdr:col>
      <xdr:colOff>9518</xdr:colOff>
      <xdr:row>0</xdr:row>
      <xdr:rowOff>9525</xdr:rowOff>
    </xdr:from>
    <xdr:to>
      <xdr:col>1</xdr:col>
      <xdr:colOff>294159</xdr:colOff>
      <xdr:row>0</xdr:row>
      <xdr:rowOff>338709</xdr:rowOff>
    </xdr:to>
    <xdr:pic>
      <xdr:nvPicPr>
        <xdr:cNvPr id="11" name="Grafik 10">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18" y="9525"/>
          <a:ext cx="1980091" cy="32918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15</xdr:col>
      <xdr:colOff>19050</xdr:colOff>
      <xdr:row>14</xdr:row>
      <xdr:rowOff>0</xdr:rowOff>
    </xdr:from>
    <xdr:to>
      <xdr:col>15</xdr:col>
      <xdr:colOff>190499</xdr:colOff>
      <xdr:row>37</xdr:row>
      <xdr:rowOff>123825</xdr:rowOff>
    </xdr:to>
    <xdr:sp macro="" textlink="">
      <xdr:nvSpPr>
        <xdr:cNvPr id="4" name="Geschweifte Klammer rechts 3">
          <a:extLst>
            <a:ext uri="{FF2B5EF4-FFF2-40B4-BE49-F238E27FC236}">
              <a16:creationId xmlns:a16="http://schemas.microsoft.com/office/drawing/2014/main" id="{00000000-0008-0000-0E00-000004000000}"/>
            </a:ext>
          </a:extLst>
        </xdr:cNvPr>
        <xdr:cNvSpPr/>
      </xdr:nvSpPr>
      <xdr:spPr>
        <a:xfrm>
          <a:off x="7477125" y="2676525"/>
          <a:ext cx="171449" cy="3409950"/>
        </a:xfrm>
        <a:prstGeom prst="rightBrace">
          <a:avLst>
            <a:gd name="adj1" fmla="val 42619"/>
            <a:gd name="adj2" fmla="val 50000"/>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de-CH" sz="1100"/>
        </a:p>
      </xdr:txBody>
    </xdr:sp>
    <xdr:clientData/>
  </xdr:twoCellAnchor>
  <xdr:oneCellAnchor>
    <xdr:from>
      <xdr:col>10</xdr:col>
      <xdr:colOff>57150</xdr:colOff>
      <xdr:row>0</xdr:row>
      <xdr:rowOff>0</xdr:rowOff>
    </xdr:from>
    <xdr:ext cx="1476375" cy="752129"/>
    <xdr:sp macro="" textlink="">
      <xdr:nvSpPr>
        <xdr:cNvPr id="9" name="Textfeld 8">
          <a:extLst>
            <a:ext uri="{FF2B5EF4-FFF2-40B4-BE49-F238E27FC236}">
              <a16:creationId xmlns:a16="http://schemas.microsoft.com/office/drawing/2014/main" id="{00000000-0008-0000-0E00-000009000000}"/>
            </a:ext>
          </a:extLst>
        </xdr:cNvPr>
        <xdr:cNvSpPr txBox="1"/>
      </xdr:nvSpPr>
      <xdr:spPr>
        <a:xfrm>
          <a:off x="5800725" y="0"/>
          <a:ext cx="1476375" cy="752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Lindenhofstrasse 21</a:t>
          </a:r>
        </a:p>
        <a:p>
          <a:r>
            <a:rPr lang="de-CH" sz="850">
              <a:latin typeface="Arial" pitchFamily="34" charset="0"/>
              <a:cs typeface="Arial" pitchFamily="34" charset="0"/>
            </a:rPr>
            <a:t>Postfach, 8021 Zürich</a:t>
          </a:r>
        </a:p>
        <a:p>
          <a:r>
            <a:rPr lang="de-CH" sz="850">
              <a:latin typeface="Arial" pitchFamily="34" charset="0"/>
              <a:cs typeface="Arial" pitchFamily="34" charset="0"/>
            </a:rPr>
            <a:t>+41 44 412 11 11</a:t>
          </a:r>
        </a:p>
        <a:p>
          <a:r>
            <a:rPr lang="de-CH" sz="850">
              <a:latin typeface="Arial" pitchFamily="34" charset="0"/>
              <a:cs typeface="Arial" pitchFamily="34" charset="0"/>
            </a:rPr>
            <a:t>www.stadt-zuerich.ch/hochbau</a:t>
          </a:r>
        </a:p>
      </xdr:txBody>
    </xdr:sp>
    <xdr:clientData/>
  </xdr:oneCellAnchor>
  <xdr:twoCellAnchor editAs="oneCell">
    <xdr:from>
      <xdr:col>0</xdr:col>
      <xdr:colOff>9518</xdr:colOff>
      <xdr:row>0</xdr:row>
      <xdr:rowOff>9525</xdr:rowOff>
    </xdr:from>
    <xdr:to>
      <xdr:col>2</xdr:col>
      <xdr:colOff>46509</xdr:colOff>
      <xdr:row>0</xdr:row>
      <xdr:rowOff>338709</xdr:rowOff>
    </xdr:to>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18" y="9525"/>
          <a:ext cx="1980091" cy="32918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9</xdr:col>
      <xdr:colOff>266700</xdr:colOff>
      <xdr:row>0</xdr:row>
      <xdr:rowOff>0</xdr:rowOff>
    </xdr:from>
    <xdr:ext cx="1476375" cy="752129"/>
    <xdr:sp macro="" textlink="">
      <xdr:nvSpPr>
        <xdr:cNvPr id="10" name="Textfeld 9">
          <a:extLst>
            <a:ext uri="{FF2B5EF4-FFF2-40B4-BE49-F238E27FC236}">
              <a16:creationId xmlns:a16="http://schemas.microsoft.com/office/drawing/2014/main" id="{00000000-0008-0000-0F00-00000A000000}"/>
            </a:ext>
          </a:extLst>
        </xdr:cNvPr>
        <xdr:cNvSpPr txBox="1"/>
      </xdr:nvSpPr>
      <xdr:spPr>
        <a:xfrm>
          <a:off x="5686425" y="0"/>
          <a:ext cx="1476375" cy="752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Lindenhofstrasse 21</a:t>
          </a:r>
        </a:p>
        <a:p>
          <a:r>
            <a:rPr lang="de-CH" sz="850">
              <a:latin typeface="Arial" pitchFamily="34" charset="0"/>
              <a:cs typeface="Arial" pitchFamily="34" charset="0"/>
            </a:rPr>
            <a:t>Postfach, 8021 Zürich</a:t>
          </a:r>
        </a:p>
        <a:p>
          <a:r>
            <a:rPr lang="de-CH" sz="850">
              <a:latin typeface="Arial" pitchFamily="34" charset="0"/>
              <a:cs typeface="Arial" pitchFamily="34" charset="0"/>
            </a:rPr>
            <a:t>+41 44 412 11 11</a:t>
          </a:r>
        </a:p>
        <a:p>
          <a:r>
            <a:rPr lang="de-CH" sz="850">
              <a:latin typeface="Arial" pitchFamily="34" charset="0"/>
              <a:cs typeface="Arial" pitchFamily="34" charset="0"/>
            </a:rPr>
            <a:t>www.stadt-zuerich.ch/hochbau</a:t>
          </a:r>
        </a:p>
      </xdr:txBody>
    </xdr:sp>
    <xdr:clientData/>
  </xdr:oneCellAnchor>
  <xdr:twoCellAnchor editAs="oneCell">
    <xdr:from>
      <xdr:col>0</xdr:col>
      <xdr:colOff>9518</xdr:colOff>
      <xdr:row>0</xdr:row>
      <xdr:rowOff>9525</xdr:rowOff>
    </xdr:from>
    <xdr:to>
      <xdr:col>1</xdr:col>
      <xdr:colOff>294159</xdr:colOff>
      <xdr:row>0</xdr:row>
      <xdr:rowOff>338709</xdr:rowOff>
    </xdr:to>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18" y="9525"/>
          <a:ext cx="1980091" cy="32918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42</xdr:row>
      <xdr:rowOff>0</xdr:rowOff>
    </xdr:from>
    <xdr:to>
      <xdr:col>29</xdr:col>
      <xdr:colOff>0</xdr:colOff>
      <xdr:row>69</xdr:row>
      <xdr:rowOff>0</xdr:rowOff>
    </xdr:to>
    <xdr:graphicFrame macro="">
      <xdr:nvGraphicFramePr>
        <xdr:cNvPr id="1277" name="Diagramm 1">
          <a:extLst>
            <a:ext uri="{FF2B5EF4-FFF2-40B4-BE49-F238E27FC236}">
              <a16:creationId xmlns:a16="http://schemas.microsoft.com/office/drawing/2014/main" id="{00000000-0008-0000-1000-0000FD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71</xdr:row>
      <xdr:rowOff>0</xdr:rowOff>
    </xdr:from>
    <xdr:to>
      <xdr:col>29</xdr:col>
      <xdr:colOff>0</xdr:colOff>
      <xdr:row>98</xdr:row>
      <xdr:rowOff>0</xdr:rowOff>
    </xdr:to>
    <xdr:graphicFrame macro="">
      <xdr:nvGraphicFramePr>
        <xdr:cNvPr id="4" name="Diagramm 1">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100</xdr:row>
      <xdr:rowOff>0</xdr:rowOff>
    </xdr:from>
    <xdr:to>
      <xdr:col>29</xdr:col>
      <xdr:colOff>0</xdr:colOff>
      <xdr:row>127</xdr:row>
      <xdr:rowOff>0</xdr:rowOff>
    </xdr:to>
    <xdr:graphicFrame macro="">
      <xdr:nvGraphicFramePr>
        <xdr:cNvPr id="5" name="Diagramm 1">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129</xdr:row>
      <xdr:rowOff>0</xdr:rowOff>
    </xdr:from>
    <xdr:to>
      <xdr:col>29</xdr:col>
      <xdr:colOff>0</xdr:colOff>
      <xdr:row>156</xdr:row>
      <xdr:rowOff>0</xdr:rowOff>
    </xdr:to>
    <xdr:graphicFrame macro="">
      <xdr:nvGraphicFramePr>
        <xdr:cNvPr id="6" name="Diagramm 1">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187</xdr:row>
      <xdr:rowOff>0</xdr:rowOff>
    </xdr:from>
    <xdr:to>
      <xdr:col>29</xdr:col>
      <xdr:colOff>0</xdr:colOff>
      <xdr:row>214</xdr:row>
      <xdr:rowOff>0</xdr:rowOff>
    </xdr:to>
    <xdr:graphicFrame macro="">
      <xdr:nvGraphicFramePr>
        <xdr:cNvPr id="7" name="Diagramm 1">
          <a:extLst>
            <a:ext uri="{FF2B5EF4-FFF2-40B4-BE49-F238E27FC236}">
              <a16:creationId xmlns:a16="http://schemas.microsoft.com/office/drawing/2014/main" id="{00000000-0008-0000-1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158</xdr:row>
      <xdr:rowOff>0</xdr:rowOff>
    </xdr:from>
    <xdr:to>
      <xdr:col>29</xdr:col>
      <xdr:colOff>0</xdr:colOff>
      <xdr:row>185</xdr:row>
      <xdr:rowOff>0</xdr:rowOff>
    </xdr:to>
    <xdr:graphicFrame macro="">
      <xdr:nvGraphicFramePr>
        <xdr:cNvPr id="8" name="Diagramm 1">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29</xdr:col>
      <xdr:colOff>95250</xdr:colOff>
      <xdr:row>29</xdr:row>
      <xdr:rowOff>0</xdr:rowOff>
    </xdr:from>
    <xdr:to>
      <xdr:col>29</xdr:col>
      <xdr:colOff>295275</xdr:colOff>
      <xdr:row>34</xdr:row>
      <xdr:rowOff>0</xdr:rowOff>
    </xdr:to>
    <xdr:sp macro="" textlink="">
      <xdr:nvSpPr>
        <xdr:cNvPr id="10" name="Geschweifte Klammer rechts 9">
          <a:extLst>
            <a:ext uri="{FF2B5EF4-FFF2-40B4-BE49-F238E27FC236}">
              <a16:creationId xmlns:a16="http://schemas.microsoft.com/office/drawing/2014/main" id="{00000000-0008-0000-1000-00000A000000}"/>
            </a:ext>
          </a:extLst>
        </xdr:cNvPr>
        <xdr:cNvSpPr/>
      </xdr:nvSpPr>
      <xdr:spPr>
        <a:xfrm>
          <a:off x="9010650" y="4724400"/>
          <a:ext cx="200025" cy="933450"/>
        </a:xfrm>
        <a:prstGeom prst="rightBrace">
          <a:avLst>
            <a:gd name="adj1" fmla="val 52777"/>
            <a:gd name="adj2"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de-CH" sz="1100"/>
        </a:p>
      </xdr:txBody>
    </xdr:sp>
    <xdr:clientData/>
  </xdr:twoCellAnchor>
  <xdr:twoCellAnchor>
    <xdr:from>
      <xdr:col>0</xdr:col>
      <xdr:colOff>0</xdr:colOff>
      <xdr:row>216</xdr:row>
      <xdr:rowOff>0</xdr:rowOff>
    </xdr:from>
    <xdr:to>
      <xdr:col>29</xdr:col>
      <xdr:colOff>0</xdr:colOff>
      <xdr:row>243</xdr:row>
      <xdr:rowOff>0</xdr:rowOff>
    </xdr:to>
    <xdr:graphicFrame macro="">
      <xdr:nvGraphicFramePr>
        <xdr:cNvPr id="12" name="Diagramm 1">
          <a:extLst>
            <a:ext uri="{FF2B5EF4-FFF2-40B4-BE49-F238E27FC236}">
              <a16:creationId xmlns:a16="http://schemas.microsoft.com/office/drawing/2014/main" id="{00000000-0008-0000-1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9518</xdr:colOff>
      <xdr:row>0</xdr:row>
      <xdr:rowOff>9525</xdr:rowOff>
    </xdr:from>
    <xdr:to>
      <xdr:col>4</xdr:col>
      <xdr:colOff>27459</xdr:colOff>
      <xdr:row>0</xdr:row>
      <xdr:rowOff>338709</xdr:rowOff>
    </xdr:to>
    <xdr:pic>
      <xdr:nvPicPr>
        <xdr:cNvPr id="19" name="Grafik 18">
          <a:extLst>
            <a:ext uri="{FF2B5EF4-FFF2-40B4-BE49-F238E27FC236}">
              <a16:creationId xmlns:a16="http://schemas.microsoft.com/office/drawing/2014/main" id="{00000000-0008-0000-1000-000013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518" y="9525"/>
          <a:ext cx="1980091" cy="329184"/>
        </a:xfrm>
        <a:prstGeom prst="rect">
          <a:avLst/>
        </a:prstGeom>
      </xdr:spPr>
    </xdr:pic>
    <xdr:clientData/>
  </xdr:twoCellAnchor>
  <xdr:oneCellAnchor>
    <xdr:from>
      <xdr:col>25</xdr:col>
      <xdr:colOff>126994</xdr:colOff>
      <xdr:row>0</xdr:row>
      <xdr:rowOff>0</xdr:rowOff>
    </xdr:from>
    <xdr:ext cx="1476375" cy="752129"/>
    <xdr:sp macro="" textlink="">
      <xdr:nvSpPr>
        <xdr:cNvPr id="20" name="Textfeld 19">
          <a:extLst>
            <a:ext uri="{FF2B5EF4-FFF2-40B4-BE49-F238E27FC236}">
              <a16:creationId xmlns:a16="http://schemas.microsoft.com/office/drawing/2014/main" id="{00000000-0008-0000-1000-000014000000}"/>
            </a:ext>
          </a:extLst>
        </xdr:cNvPr>
        <xdr:cNvSpPr txBox="1"/>
      </xdr:nvSpPr>
      <xdr:spPr>
        <a:xfrm>
          <a:off x="7588244" y="0"/>
          <a:ext cx="1476375" cy="752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Lindenhofstrasse 21</a:t>
          </a:r>
        </a:p>
        <a:p>
          <a:r>
            <a:rPr lang="de-CH" sz="850">
              <a:latin typeface="Arial" pitchFamily="34" charset="0"/>
              <a:cs typeface="Arial" pitchFamily="34" charset="0"/>
            </a:rPr>
            <a:t>Postfach, 8021 Zürich</a:t>
          </a:r>
        </a:p>
        <a:p>
          <a:r>
            <a:rPr lang="de-CH" sz="850">
              <a:latin typeface="Arial" pitchFamily="34" charset="0"/>
              <a:cs typeface="Arial" pitchFamily="34" charset="0"/>
            </a:rPr>
            <a:t>+41 44 412 11 11</a:t>
          </a:r>
        </a:p>
        <a:p>
          <a:r>
            <a:rPr lang="de-CH" sz="850">
              <a:latin typeface="Arial" pitchFamily="34" charset="0"/>
              <a:cs typeface="Arial" pitchFamily="34" charset="0"/>
            </a:rPr>
            <a:t>www.stadt-zuerich.ch/hochbau</a:t>
          </a: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8</xdr:col>
      <xdr:colOff>24248</xdr:colOff>
      <xdr:row>0</xdr:row>
      <xdr:rowOff>0</xdr:rowOff>
    </xdr:from>
    <xdr:ext cx="1476375" cy="752129"/>
    <xdr:sp macro="" textlink="">
      <xdr:nvSpPr>
        <xdr:cNvPr id="8" name="Textfeld 7">
          <a:extLst>
            <a:ext uri="{FF2B5EF4-FFF2-40B4-BE49-F238E27FC236}">
              <a16:creationId xmlns:a16="http://schemas.microsoft.com/office/drawing/2014/main" id="{00000000-0008-0000-1100-000008000000}"/>
            </a:ext>
          </a:extLst>
        </xdr:cNvPr>
        <xdr:cNvSpPr txBox="1"/>
      </xdr:nvSpPr>
      <xdr:spPr>
        <a:xfrm>
          <a:off x="5219703" y="0"/>
          <a:ext cx="1476375" cy="752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Lindenhofstrasse 21</a:t>
          </a:r>
        </a:p>
        <a:p>
          <a:r>
            <a:rPr lang="de-CH" sz="850">
              <a:latin typeface="Arial" pitchFamily="34" charset="0"/>
              <a:cs typeface="Arial" pitchFamily="34" charset="0"/>
            </a:rPr>
            <a:t>Postfach, 8021 Zürich</a:t>
          </a:r>
        </a:p>
        <a:p>
          <a:r>
            <a:rPr lang="de-CH" sz="850">
              <a:latin typeface="Arial" pitchFamily="34" charset="0"/>
              <a:cs typeface="Arial" pitchFamily="34" charset="0"/>
            </a:rPr>
            <a:t>+41 44 412 11 11</a:t>
          </a:r>
        </a:p>
        <a:p>
          <a:r>
            <a:rPr lang="de-CH" sz="850">
              <a:latin typeface="Arial" pitchFamily="34" charset="0"/>
              <a:cs typeface="Arial" pitchFamily="34" charset="0"/>
            </a:rPr>
            <a:t>www.stadt-zuerich.ch/hochbau</a:t>
          </a:r>
        </a:p>
      </xdr:txBody>
    </xdr:sp>
    <xdr:clientData/>
  </xdr:oneCellAnchor>
  <xdr:twoCellAnchor editAs="oneCell">
    <xdr:from>
      <xdr:col>0</xdr:col>
      <xdr:colOff>9518</xdr:colOff>
      <xdr:row>0</xdr:row>
      <xdr:rowOff>9525</xdr:rowOff>
    </xdr:from>
    <xdr:to>
      <xdr:col>1</xdr:col>
      <xdr:colOff>1275234</xdr:colOff>
      <xdr:row>0</xdr:row>
      <xdr:rowOff>338709</xdr:rowOff>
    </xdr:to>
    <xdr:pic>
      <xdr:nvPicPr>
        <xdr:cNvPr id="9" name="Grafik 8">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18" y="9525"/>
          <a:ext cx="1980091" cy="3291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15</xdr:col>
      <xdr:colOff>87406</xdr:colOff>
      <xdr:row>28</xdr:row>
      <xdr:rowOff>11206</xdr:rowOff>
    </xdr:from>
    <xdr:to>
      <xdr:col>15</xdr:col>
      <xdr:colOff>219075</xdr:colOff>
      <xdr:row>32</xdr:row>
      <xdr:rowOff>152400</xdr:rowOff>
    </xdr:to>
    <xdr:sp macro="" textlink="">
      <xdr:nvSpPr>
        <xdr:cNvPr id="5" name="Geschweifte Klammer rechts 4">
          <a:extLst>
            <a:ext uri="{FF2B5EF4-FFF2-40B4-BE49-F238E27FC236}">
              <a16:creationId xmlns:a16="http://schemas.microsoft.com/office/drawing/2014/main" id="{00000000-0008-0000-0200-000005000000}"/>
            </a:ext>
          </a:extLst>
        </xdr:cNvPr>
        <xdr:cNvSpPr/>
      </xdr:nvSpPr>
      <xdr:spPr>
        <a:xfrm>
          <a:off x="6278656" y="5669056"/>
          <a:ext cx="131669" cy="617444"/>
        </a:xfrm>
        <a:prstGeom prst="rightBrace">
          <a:avLst>
            <a:gd name="adj1" fmla="val 63480"/>
            <a:gd name="adj2"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de-CH" sz="1100"/>
        </a:p>
      </xdr:txBody>
    </xdr:sp>
    <xdr:clientData/>
  </xdr:twoCellAnchor>
  <xdr:twoCellAnchor>
    <xdr:from>
      <xdr:col>15</xdr:col>
      <xdr:colOff>85726</xdr:colOff>
      <xdr:row>37</xdr:row>
      <xdr:rowOff>11205</xdr:rowOff>
    </xdr:from>
    <xdr:to>
      <xdr:col>15</xdr:col>
      <xdr:colOff>219076</xdr:colOff>
      <xdr:row>45</xdr:row>
      <xdr:rowOff>20266</xdr:rowOff>
    </xdr:to>
    <xdr:sp macro="" textlink="">
      <xdr:nvSpPr>
        <xdr:cNvPr id="6" name="Geschweifte Klammer rechts 5">
          <a:extLst>
            <a:ext uri="{FF2B5EF4-FFF2-40B4-BE49-F238E27FC236}">
              <a16:creationId xmlns:a16="http://schemas.microsoft.com/office/drawing/2014/main" id="{00000000-0008-0000-0200-000006000000}"/>
            </a:ext>
          </a:extLst>
        </xdr:cNvPr>
        <xdr:cNvSpPr/>
      </xdr:nvSpPr>
      <xdr:spPr>
        <a:xfrm>
          <a:off x="6522194" y="5612716"/>
          <a:ext cx="133350" cy="965614"/>
        </a:xfrm>
        <a:prstGeom prst="rightBrace">
          <a:avLst>
            <a:gd name="adj1" fmla="val 63480"/>
            <a:gd name="adj2"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de-CH" sz="1100"/>
        </a:p>
      </xdr:txBody>
    </xdr:sp>
    <xdr:clientData/>
  </xdr:twoCellAnchor>
  <xdr:oneCellAnchor>
    <xdr:from>
      <xdr:col>10</xdr:col>
      <xdr:colOff>466725</xdr:colOff>
      <xdr:row>0</xdr:row>
      <xdr:rowOff>0</xdr:rowOff>
    </xdr:from>
    <xdr:ext cx="1476375" cy="752129"/>
    <xdr:sp macro="" textlink="">
      <xdr:nvSpPr>
        <xdr:cNvPr id="10" name="Textfeld 9">
          <a:extLst>
            <a:ext uri="{FF2B5EF4-FFF2-40B4-BE49-F238E27FC236}">
              <a16:creationId xmlns:a16="http://schemas.microsoft.com/office/drawing/2014/main" id="{00000000-0008-0000-0200-00000A000000}"/>
            </a:ext>
          </a:extLst>
        </xdr:cNvPr>
        <xdr:cNvSpPr txBox="1"/>
      </xdr:nvSpPr>
      <xdr:spPr>
        <a:xfrm>
          <a:off x="4962525" y="0"/>
          <a:ext cx="1476375" cy="752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Lindenhofstrasse 21</a:t>
          </a:r>
        </a:p>
        <a:p>
          <a:r>
            <a:rPr lang="de-CH" sz="850">
              <a:latin typeface="Arial" pitchFamily="34" charset="0"/>
              <a:cs typeface="Arial" pitchFamily="34" charset="0"/>
            </a:rPr>
            <a:t>Postfach, 8021 Zürich</a:t>
          </a:r>
        </a:p>
        <a:p>
          <a:r>
            <a:rPr lang="de-CH" sz="850">
              <a:latin typeface="Arial" pitchFamily="34" charset="0"/>
              <a:cs typeface="Arial" pitchFamily="34" charset="0"/>
            </a:rPr>
            <a:t>+41 44 412 11 11</a:t>
          </a:r>
        </a:p>
        <a:p>
          <a:r>
            <a:rPr lang="de-CH" sz="850">
              <a:latin typeface="Arial" pitchFamily="34" charset="0"/>
              <a:cs typeface="Arial" pitchFamily="34" charset="0"/>
            </a:rPr>
            <a:t>www.stadt-zuerich.ch/hochbau</a:t>
          </a:r>
        </a:p>
      </xdr:txBody>
    </xdr:sp>
    <xdr:clientData/>
  </xdr:oneCellAnchor>
  <xdr:twoCellAnchor editAs="oneCell">
    <xdr:from>
      <xdr:col>0</xdr:col>
      <xdr:colOff>9518</xdr:colOff>
      <xdr:row>0</xdr:row>
      <xdr:rowOff>9525</xdr:rowOff>
    </xdr:from>
    <xdr:to>
      <xdr:col>4</xdr:col>
      <xdr:colOff>179859</xdr:colOff>
      <xdr:row>0</xdr:row>
      <xdr:rowOff>338709</xdr:rowOff>
    </xdr:to>
    <xdr:pic>
      <xdr:nvPicPr>
        <xdr:cNvPr id="11" name="Grafik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18" y="9525"/>
          <a:ext cx="1980091" cy="32918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9518</xdr:colOff>
      <xdr:row>0</xdr:row>
      <xdr:rowOff>9525</xdr:rowOff>
    </xdr:from>
    <xdr:to>
      <xdr:col>5</xdr:col>
      <xdr:colOff>8409</xdr:colOff>
      <xdr:row>0</xdr:row>
      <xdr:rowOff>338709</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18" y="9525"/>
          <a:ext cx="1980091" cy="329184"/>
        </a:xfrm>
        <a:prstGeom prst="rect">
          <a:avLst/>
        </a:prstGeom>
      </xdr:spPr>
    </xdr:pic>
    <xdr:clientData/>
  </xdr:twoCellAnchor>
  <xdr:oneCellAnchor>
    <xdr:from>
      <xdr:col>27</xdr:col>
      <xdr:colOff>323850</xdr:colOff>
      <xdr:row>0</xdr:row>
      <xdr:rowOff>0</xdr:rowOff>
    </xdr:from>
    <xdr:ext cx="1476375" cy="752129"/>
    <xdr:sp macro="" textlink="">
      <xdr:nvSpPr>
        <xdr:cNvPr id="3" name="Textfeld 2">
          <a:extLst>
            <a:ext uri="{FF2B5EF4-FFF2-40B4-BE49-F238E27FC236}">
              <a16:creationId xmlns:a16="http://schemas.microsoft.com/office/drawing/2014/main" id="{00000000-0008-0000-0300-000003000000}"/>
            </a:ext>
          </a:extLst>
        </xdr:cNvPr>
        <xdr:cNvSpPr txBox="1"/>
      </xdr:nvSpPr>
      <xdr:spPr>
        <a:xfrm>
          <a:off x="10267950" y="0"/>
          <a:ext cx="1476375" cy="752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Lindenhofstrasse 21</a:t>
          </a:r>
        </a:p>
        <a:p>
          <a:r>
            <a:rPr lang="de-CH" sz="850">
              <a:latin typeface="Arial" pitchFamily="34" charset="0"/>
              <a:cs typeface="Arial" pitchFamily="34" charset="0"/>
            </a:rPr>
            <a:t>Postfach, 8021 Zürich</a:t>
          </a:r>
        </a:p>
        <a:p>
          <a:r>
            <a:rPr lang="de-CH" sz="850">
              <a:latin typeface="Arial" pitchFamily="34" charset="0"/>
              <a:cs typeface="Arial" pitchFamily="34" charset="0"/>
            </a:rPr>
            <a:t>+41 44 412 11 11</a:t>
          </a:r>
        </a:p>
        <a:p>
          <a:r>
            <a:rPr lang="de-CH" sz="850">
              <a:latin typeface="Arial" pitchFamily="34" charset="0"/>
              <a:cs typeface="Arial" pitchFamily="34" charset="0"/>
            </a:rPr>
            <a:t>www.stadt-zuerich.ch/hochbau</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17</xdr:col>
      <xdr:colOff>180975</xdr:colOff>
      <xdr:row>19</xdr:row>
      <xdr:rowOff>133350</xdr:rowOff>
    </xdr:from>
    <xdr:to>
      <xdr:col>17</xdr:col>
      <xdr:colOff>485775</xdr:colOff>
      <xdr:row>19</xdr:row>
      <xdr:rowOff>134938</xdr:rowOff>
    </xdr:to>
    <xdr:cxnSp macro="">
      <xdr:nvCxnSpPr>
        <xdr:cNvPr id="2" name="Gerade Verbindung 346">
          <a:extLst>
            <a:ext uri="{FF2B5EF4-FFF2-40B4-BE49-F238E27FC236}">
              <a16:creationId xmlns:a16="http://schemas.microsoft.com/office/drawing/2014/main" id="{00000000-0008-0000-0400-000002000000}"/>
            </a:ext>
          </a:extLst>
        </xdr:cNvPr>
        <xdr:cNvCxnSpPr/>
      </xdr:nvCxnSpPr>
      <xdr:spPr>
        <a:xfrm rot="10800000">
          <a:off x="6819900" y="3714750"/>
          <a:ext cx="304800" cy="1588"/>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34</xdr:row>
      <xdr:rowOff>152400</xdr:rowOff>
    </xdr:from>
    <xdr:to>
      <xdr:col>17</xdr:col>
      <xdr:colOff>485775</xdr:colOff>
      <xdr:row>34</xdr:row>
      <xdr:rowOff>153988</xdr:rowOff>
    </xdr:to>
    <xdr:cxnSp macro="">
      <xdr:nvCxnSpPr>
        <xdr:cNvPr id="3" name="Gerade Verbindung 347">
          <a:extLst>
            <a:ext uri="{FF2B5EF4-FFF2-40B4-BE49-F238E27FC236}">
              <a16:creationId xmlns:a16="http://schemas.microsoft.com/office/drawing/2014/main" id="{00000000-0008-0000-0400-000003000000}"/>
            </a:ext>
          </a:extLst>
        </xdr:cNvPr>
        <xdr:cNvCxnSpPr/>
      </xdr:nvCxnSpPr>
      <xdr:spPr>
        <a:xfrm rot="10800000">
          <a:off x="6819900" y="6162675"/>
          <a:ext cx="304800" cy="1588"/>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37</xdr:row>
      <xdr:rowOff>85725</xdr:rowOff>
    </xdr:from>
    <xdr:to>
      <xdr:col>17</xdr:col>
      <xdr:colOff>485775</xdr:colOff>
      <xdr:row>37</xdr:row>
      <xdr:rowOff>87313</xdr:rowOff>
    </xdr:to>
    <xdr:cxnSp macro="">
      <xdr:nvCxnSpPr>
        <xdr:cNvPr id="4" name="Gerade Verbindung 348">
          <a:extLst>
            <a:ext uri="{FF2B5EF4-FFF2-40B4-BE49-F238E27FC236}">
              <a16:creationId xmlns:a16="http://schemas.microsoft.com/office/drawing/2014/main" id="{00000000-0008-0000-0400-000004000000}"/>
            </a:ext>
          </a:extLst>
        </xdr:cNvPr>
        <xdr:cNvCxnSpPr/>
      </xdr:nvCxnSpPr>
      <xdr:spPr>
        <a:xfrm rot="10800000">
          <a:off x="6438900" y="6591300"/>
          <a:ext cx="304800" cy="1588"/>
        </a:xfrm>
        <a:prstGeom prst="line">
          <a:avLst/>
        </a:prstGeom>
        <a:ln w="0">
          <a:solidFill>
            <a:schemeClr val="tx1"/>
          </a:solidFill>
          <a:prstDash val="dash"/>
          <a:headEnd type="stealt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161926</xdr:colOff>
      <xdr:row>19</xdr:row>
      <xdr:rowOff>152400</xdr:rowOff>
    </xdr:from>
    <xdr:to>
      <xdr:col>17</xdr:col>
      <xdr:colOff>161926</xdr:colOff>
      <xdr:row>31</xdr:row>
      <xdr:rowOff>3</xdr:rowOff>
    </xdr:to>
    <xdr:cxnSp macro="">
      <xdr:nvCxnSpPr>
        <xdr:cNvPr id="5" name="Gerade Verbindung 349">
          <a:extLst>
            <a:ext uri="{FF2B5EF4-FFF2-40B4-BE49-F238E27FC236}">
              <a16:creationId xmlns:a16="http://schemas.microsoft.com/office/drawing/2014/main" id="{00000000-0008-0000-0400-000005000000}"/>
            </a:ext>
          </a:extLst>
        </xdr:cNvPr>
        <xdr:cNvCxnSpPr/>
      </xdr:nvCxnSpPr>
      <xdr:spPr>
        <a:xfrm>
          <a:off x="6800851" y="3733800"/>
          <a:ext cx="0" cy="1790703"/>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162719</xdr:colOff>
      <xdr:row>32</xdr:row>
      <xdr:rowOff>19846</xdr:rowOff>
    </xdr:from>
    <xdr:to>
      <xdr:col>17</xdr:col>
      <xdr:colOff>162719</xdr:colOff>
      <xdr:row>37</xdr:row>
      <xdr:rowOff>85725</xdr:rowOff>
    </xdr:to>
    <xdr:cxnSp macro="">
      <xdr:nvCxnSpPr>
        <xdr:cNvPr id="6" name="Gerade Verbindung 355">
          <a:extLst>
            <a:ext uri="{FF2B5EF4-FFF2-40B4-BE49-F238E27FC236}">
              <a16:creationId xmlns:a16="http://schemas.microsoft.com/office/drawing/2014/main" id="{00000000-0008-0000-0400-000006000000}"/>
            </a:ext>
          </a:extLst>
        </xdr:cNvPr>
        <xdr:cNvCxnSpPr/>
      </xdr:nvCxnSpPr>
      <xdr:spPr>
        <a:xfrm>
          <a:off x="6801644" y="6030121"/>
          <a:ext cx="0" cy="875504"/>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46</xdr:row>
      <xdr:rowOff>66675</xdr:rowOff>
    </xdr:from>
    <xdr:to>
      <xdr:col>17</xdr:col>
      <xdr:colOff>485775</xdr:colOff>
      <xdr:row>46</xdr:row>
      <xdr:rowOff>68263</xdr:rowOff>
    </xdr:to>
    <xdr:cxnSp macro="">
      <xdr:nvCxnSpPr>
        <xdr:cNvPr id="7" name="Gerade Verbindung 357">
          <a:extLst>
            <a:ext uri="{FF2B5EF4-FFF2-40B4-BE49-F238E27FC236}">
              <a16:creationId xmlns:a16="http://schemas.microsoft.com/office/drawing/2014/main" id="{00000000-0008-0000-0400-000007000000}"/>
            </a:ext>
          </a:extLst>
        </xdr:cNvPr>
        <xdr:cNvCxnSpPr/>
      </xdr:nvCxnSpPr>
      <xdr:spPr>
        <a:xfrm rot="10800000">
          <a:off x="6438900" y="9058275"/>
          <a:ext cx="304800" cy="1588"/>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50</xdr:row>
      <xdr:rowOff>76200</xdr:rowOff>
    </xdr:from>
    <xdr:to>
      <xdr:col>17</xdr:col>
      <xdr:colOff>485775</xdr:colOff>
      <xdr:row>50</xdr:row>
      <xdr:rowOff>77788</xdr:rowOff>
    </xdr:to>
    <xdr:cxnSp macro="">
      <xdr:nvCxnSpPr>
        <xdr:cNvPr id="8" name="Gerade Verbindung 358">
          <a:extLst>
            <a:ext uri="{FF2B5EF4-FFF2-40B4-BE49-F238E27FC236}">
              <a16:creationId xmlns:a16="http://schemas.microsoft.com/office/drawing/2014/main" id="{00000000-0008-0000-0400-000008000000}"/>
            </a:ext>
          </a:extLst>
        </xdr:cNvPr>
        <xdr:cNvCxnSpPr/>
      </xdr:nvCxnSpPr>
      <xdr:spPr>
        <a:xfrm rot="10800000">
          <a:off x="6819900" y="8677275"/>
          <a:ext cx="304800" cy="1588"/>
        </a:xfrm>
        <a:prstGeom prst="line">
          <a:avLst/>
        </a:prstGeom>
        <a:ln w="0">
          <a:solidFill>
            <a:schemeClr val="tx1"/>
          </a:solidFill>
          <a:prstDash val="dash"/>
          <a:headEnd type="stealt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161925</xdr:colOff>
      <xdr:row>46</xdr:row>
      <xdr:rowOff>76200</xdr:rowOff>
    </xdr:from>
    <xdr:to>
      <xdr:col>17</xdr:col>
      <xdr:colOff>161925</xdr:colOff>
      <xdr:row>50</xdr:row>
      <xdr:rowOff>76200</xdr:rowOff>
    </xdr:to>
    <xdr:cxnSp macro="">
      <xdr:nvCxnSpPr>
        <xdr:cNvPr id="9" name="Gerade Verbindung 359">
          <a:extLst>
            <a:ext uri="{FF2B5EF4-FFF2-40B4-BE49-F238E27FC236}">
              <a16:creationId xmlns:a16="http://schemas.microsoft.com/office/drawing/2014/main" id="{00000000-0008-0000-0400-000009000000}"/>
            </a:ext>
          </a:extLst>
        </xdr:cNvPr>
        <xdr:cNvCxnSpPr/>
      </xdr:nvCxnSpPr>
      <xdr:spPr>
        <a:xfrm>
          <a:off x="6800850" y="8029575"/>
          <a:ext cx="0" cy="647700"/>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389829</xdr:colOff>
      <xdr:row>9</xdr:row>
      <xdr:rowOff>58268</xdr:rowOff>
    </xdr:from>
    <xdr:to>
      <xdr:col>14</xdr:col>
      <xdr:colOff>375</xdr:colOff>
      <xdr:row>11</xdr:row>
      <xdr:rowOff>21743</xdr:rowOff>
    </xdr:to>
    <xdr:grpSp>
      <xdr:nvGrpSpPr>
        <xdr:cNvPr id="263" name="Gruppieren 262">
          <a:extLst>
            <a:ext uri="{FF2B5EF4-FFF2-40B4-BE49-F238E27FC236}">
              <a16:creationId xmlns:a16="http://schemas.microsoft.com/office/drawing/2014/main" id="{00000000-0008-0000-0400-000007010000}"/>
            </a:ext>
          </a:extLst>
        </xdr:cNvPr>
        <xdr:cNvGrpSpPr/>
      </xdr:nvGrpSpPr>
      <xdr:grpSpPr>
        <a:xfrm>
          <a:off x="5914329" y="2210918"/>
          <a:ext cx="124896" cy="201600"/>
          <a:chOff x="6665123" y="2144244"/>
          <a:chExt cx="126016" cy="200859"/>
        </a:xfrm>
      </xdr:grpSpPr>
      <xdr:sp macro="" textlink="">
        <xdr:nvSpPr>
          <xdr:cNvPr id="264" name="Rechtwinkliges Dreieck 133">
            <a:extLst>
              <a:ext uri="{FF2B5EF4-FFF2-40B4-BE49-F238E27FC236}">
                <a16:creationId xmlns:a16="http://schemas.microsoft.com/office/drawing/2014/main" id="{00000000-0008-0000-0400-000008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65" name="Gerade Verbindung 134">
            <a:extLst>
              <a:ext uri="{FF2B5EF4-FFF2-40B4-BE49-F238E27FC236}">
                <a16:creationId xmlns:a16="http://schemas.microsoft.com/office/drawing/2014/main" id="{00000000-0008-0000-0400-000009010000}"/>
              </a:ext>
            </a:extLst>
          </xdr:cNvPr>
          <xdr:cNvCxnSpPr>
            <a:stCxn id="264" idx="4"/>
            <a:endCxn id="26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66" name="Rechtwinkliges Dreieck 135">
            <a:extLst>
              <a:ext uri="{FF2B5EF4-FFF2-40B4-BE49-F238E27FC236}">
                <a16:creationId xmlns:a16="http://schemas.microsoft.com/office/drawing/2014/main" id="{00000000-0008-0000-0400-00000A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67" name="Gerade Verbindung 136">
            <a:extLst>
              <a:ext uri="{FF2B5EF4-FFF2-40B4-BE49-F238E27FC236}">
                <a16:creationId xmlns:a16="http://schemas.microsoft.com/office/drawing/2014/main" id="{00000000-0008-0000-0400-00000B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389829</xdr:colOff>
      <xdr:row>14</xdr:row>
      <xdr:rowOff>149285</xdr:rowOff>
    </xdr:from>
    <xdr:to>
      <xdr:col>14</xdr:col>
      <xdr:colOff>375</xdr:colOff>
      <xdr:row>16</xdr:row>
      <xdr:rowOff>25174</xdr:rowOff>
    </xdr:to>
    <xdr:grpSp>
      <xdr:nvGrpSpPr>
        <xdr:cNvPr id="268" name="Gruppieren 267">
          <a:extLst>
            <a:ext uri="{FF2B5EF4-FFF2-40B4-BE49-F238E27FC236}">
              <a16:creationId xmlns:a16="http://schemas.microsoft.com/office/drawing/2014/main" id="{00000000-0008-0000-0400-00000C010000}"/>
            </a:ext>
          </a:extLst>
        </xdr:cNvPr>
        <xdr:cNvGrpSpPr/>
      </xdr:nvGrpSpPr>
      <xdr:grpSpPr>
        <a:xfrm>
          <a:off x="5914329" y="3025835"/>
          <a:ext cx="124896" cy="199739"/>
          <a:chOff x="6665123" y="2144244"/>
          <a:chExt cx="126016" cy="200859"/>
        </a:xfrm>
      </xdr:grpSpPr>
      <xdr:sp macro="" textlink="">
        <xdr:nvSpPr>
          <xdr:cNvPr id="279" name="Rechtwinkliges Dreieck 133">
            <a:extLst>
              <a:ext uri="{FF2B5EF4-FFF2-40B4-BE49-F238E27FC236}">
                <a16:creationId xmlns:a16="http://schemas.microsoft.com/office/drawing/2014/main" id="{00000000-0008-0000-0400-000017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80" name="Gerade Verbindung 134">
            <a:extLst>
              <a:ext uri="{FF2B5EF4-FFF2-40B4-BE49-F238E27FC236}">
                <a16:creationId xmlns:a16="http://schemas.microsoft.com/office/drawing/2014/main" id="{00000000-0008-0000-0400-000018010000}"/>
              </a:ext>
            </a:extLst>
          </xdr:cNvPr>
          <xdr:cNvCxnSpPr>
            <a:stCxn id="279" idx="4"/>
            <a:endCxn id="27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81" name="Rechtwinkliges Dreieck 135">
            <a:extLst>
              <a:ext uri="{FF2B5EF4-FFF2-40B4-BE49-F238E27FC236}">
                <a16:creationId xmlns:a16="http://schemas.microsoft.com/office/drawing/2014/main" id="{00000000-0008-0000-0400-000019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82" name="Gerade Verbindung 136">
            <a:extLst>
              <a:ext uri="{FF2B5EF4-FFF2-40B4-BE49-F238E27FC236}">
                <a16:creationId xmlns:a16="http://schemas.microsoft.com/office/drawing/2014/main" id="{00000000-0008-0000-0400-00001A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389829</xdr:colOff>
      <xdr:row>18</xdr:row>
      <xdr:rowOff>143994</xdr:rowOff>
    </xdr:from>
    <xdr:to>
      <xdr:col>14</xdr:col>
      <xdr:colOff>375</xdr:colOff>
      <xdr:row>20</xdr:row>
      <xdr:rowOff>19882</xdr:rowOff>
    </xdr:to>
    <xdr:grpSp>
      <xdr:nvGrpSpPr>
        <xdr:cNvPr id="283" name="Gruppieren 282">
          <a:extLst>
            <a:ext uri="{FF2B5EF4-FFF2-40B4-BE49-F238E27FC236}">
              <a16:creationId xmlns:a16="http://schemas.microsoft.com/office/drawing/2014/main" id="{00000000-0008-0000-0400-00001B010000}"/>
            </a:ext>
          </a:extLst>
        </xdr:cNvPr>
        <xdr:cNvGrpSpPr/>
      </xdr:nvGrpSpPr>
      <xdr:grpSpPr>
        <a:xfrm>
          <a:off x="5914329" y="3668244"/>
          <a:ext cx="124896" cy="199738"/>
          <a:chOff x="6665123" y="2144244"/>
          <a:chExt cx="126016" cy="200859"/>
        </a:xfrm>
      </xdr:grpSpPr>
      <xdr:sp macro="" textlink="">
        <xdr:nvSpPr>
          <xdr:cNvPr id="284" name="Rechtwinkliges Dreieck 133">
            <a:extLst>
              <a:ext uri="{FF2B5EF4-FFF2-40B4-BE49-F238E27FC236}">
                <a16:creationId xmlns:a16="http://schemas.microsoft.com/office/drawing/2014/main" id="{00000000-0008-0000-0400-00001C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85" name="Gerade Verbindung 134">
            <a:extLst>
              <a:ext uri="{FF2B5EF4-FFF2-40B4-BE49-F238E27FC236}">
                <a16:creationId xmlns:a16="http://schemas.microsoft.com/office/drawing/2014/main" id="{00000000-0008-0000-0400-00001D010000}"/>
              </a:ext>
            </a:extLst>
          </xdr:cNvPr>
          <xdr:cNvCxnSpPr>
            <a:stCxn id="284" idx="4"/>
            <a:endCxn id="28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86" name="Rechtwinkliges Dreieck 135">
            <a:extLst>
              <a:ext uri="{FF2B5EF4-FFF2-40B4-BE49-F238E27FC236}">
                <a16:creationId xmlns:a16="http://schemas.microsoft.com/office/drawing/2014/main" id="{00000000-0008-0000-0400-00001E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87" name="Gerade Verbindung 136">
            <a:extLst>
              <a:ext uri="{FF2B5EF4-FFF2-40B4-BE49-F238E27FC236}">
                <a16:creationId xmlns:a16="http://schemas.microsoft.com/office/drawing/2014/main" id="{00000000-0008-0000-0400-00001F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384226</xdr:colOff>
      <xdr:row>15</xdr:row>
      <xdr:rowOff>147419</xdr:rowOff>
    </xdr:from>
    <xdr:to>
      <xdr:col>17</xdr:col>
      <xdr:colOff>510242</xdr:colOff>
      <xdr:row>17</xdr:row>
      <xdr:rowOff>21751</xdr:rowOff>
    </xdr:to>
    <xdr:grpSp>
      <xdr:nvGrpSpPr>
        <xdr:cNvPr id="288" name="Gruppieren 287">
          <a:extLst>
            <a:ext uri="{FF2B5EF4-FFF2-40B4-BE49-F238E27FC236}">
              <a16:creationId xmlns:a16="http://schemas.microsoft.com/office/drawing/2014/main" id="{00000000-0008-0000-0400-000020010000}"/>
            </a:ext>
          </a:extLst>
        </xdr:cNvPr>
        <xdr:cNvGrpSpPr/>
      </xdr:nvGrpSpPr>
      <xdr:grpSpPr>
        <a:xfrm>
          <a:off x="7013626" y="3185894"/>
          <a:ext cx="126016" cy="198182"/>
          <a:chOff x="6665123" y="2144244"/>
          <a:chExt cx="126016" cy="200859"/>
        </a:xfrm>
      </xdr:grpSpPr>
      <xdr:sp macro="" textlink="">
        <xdr:nvSpPr>
          <xdr:cNvPr id="289" name="Rechtwinkliges Dreieck 133">
            <a:extLst>
              <a:ext uri="{FF2B5EF4-FFF2-40B4-BE49-F238E27FC236}">
                <a16:creationId xmlns:a16="http://schemas.microsoft.com/office/drawing/2014/main" id="{00000000-0008-0000-0400-000021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90" name="Gerade Verbindung 134">
            <a:extLst>
              <a:ext uri="{FF2B5EF4-FFF2-40B4-BE49-F238E27FC236}">
                <a16:creationId xmlns:a16="http://schemas.microsoft.com/office/drawing/2014/main" id="{00000000-0008-0000-0400-000022010000}"/>
              </a:ext>
            </a:extLst>
          </xdr:cNvPr>
          <xdr:cNvCxnSpPr>
            <a:stCxn id="289" idx="4"/>
            <a:endCxn id="28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91" name="Rechtwinkliges Dreieck 135">
            <a:extLst>
              <a:ext uri="{FF2B5EF4-FFF2-40B4-BE49-F238E27FC236}">
                <a16:creationId xmlns:a16="http://schemas.microsoft.com/office/drawing/2014/main" id="{00000000-0008-0000-0400-000023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92" name="Gerade Verbindung 136">
            <a:extLst>
              <a:ext uri="{FF2B5EF4-FFF2-40B4-BE49-F238E27FC236}">
                <a16:creationId xmlns:a16="http://schemas.microsoft.com/office/drawing/2014/main" id="{00000000-0008-0000-0400-000024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389829</xdr:colOff>
      <xdr:row>22</xdr:row>
      <xdr:rowOff>143993</xdr:rowOff>
    </xdr:from>
    <xdr:to>
      <xdr:col>14</xdr:col>
      <xdr:colOff>375</xdr:colOff>
      <xdr:row>24</xdr:row>
      <xdr:rowOff>19882</xdr:rowOff>
    </xdr:to>
    <xdr:grpSp>
      <xdr:nvGrpSpPr>
        <xdr:cNvPr id="293" name="Gruppieren 292">
          <a:extLst>
            <a:ext uri="{FF2B5EF4-FFF2-40B4-BE49-F238E27FC236}">
              <a16:creationId xmlns:a16="http://schemas.microsoft.com/office/drawing/2014/main" id="{00000000-0008-0000-0400-000025010000}"/>
            </a:ext>
          </a:extLst>
        </xdr:cNvPr>
        <xdr:cNvGrpSpPr/>
      </xdr:nvGrpSpPr>
      <xdr:grpSpPr>
        <a:xfrm>
          <a:off x="5914329" y="4315943"/>
          <a:ext cx="124896" cy="199739"/>
          <a:chOff x="6665123" y="2144244"/>
          <a:chExt cx="126016" cy="200859"/>
        </a:xfrm>
      </xdr:grpSpPr>
      <xdr:sp macro="" textlink="">
        <xdr:nvSpPr>
          <xdr:cNvPr id="294" name="Rechtwinkliges Dreieck 133">
            <a:extLst>
              <a:ext uri="{FF2B5EF4-FFF2-40B4-BE49-F238E27FC236}">
                <a16:creationId xmlns:a16="http://schemas.microsoft.com/office/drawing/2014/main" id="{00000000-0008-0000-0400-000026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95" name="Gerade Verbindung 134">
            <a:extLst>
              <a:ext uri="{FF2B5EF4-FFF2-40B4-BE49-F238E27FC236}">
                <a16:creationId xmlns:a16="http://schemas.microsoft.com/office/drawing/2014/main" id="{00000000-0008-0000-0400-000027010000}"/>
              </a:ext>
            </a:extLst>
          </xdr:cNvPr>
          <xdr:cNvCxnSpPr>
            <a:stCxn id="294" idx="4"/>
            <a:endCxn id="29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96" name="Rechtwinkliges Dreieck 135">
            <a:extLst>
              <a:ext uri="{FF2B5EF4-FFF2-40B4-BE49-F238E27FC236}">
                <a16:creationId xmlns:a16="http://schemas.microsoft.com/office/drawing/2014/main" id="{00000000-0008-0000-0400-000028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97" name="Gerade Verbindung 136">
            <a:extLst>
              <a:ext uri="{FF2B5EF4-FFF2-40B4-BE49-F238E27FC236}">
                <a16:creationId xmlns:a16="http://schemas.microsoft.com/office/drawing/2014/main" id="{00000000-0008-0000-0400-000029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14</xdr:row>
      <xdr:rowOff>147417</xdr:rowOff>
    </xdr:from>
    <xdr:to>
      <xdr:col>5</xdr:col>
      <xdr:colOff>506766</xdr:colOff>
      <xdr:row>16</xdr:row>
      <xdr:rowOff>21750</xdr:rowOff>
    </xdr:to>
    <xdr:grpSp>
      <xdr:nvGrpSpPr>
        <xdr:cNvPr id="298" name="Gruppieren 297">
          <a:extLst>
            <a:ext uri="{FF2B5EF4-FFF2-40B4-BE49-F238E27FC236}">
              <a16:creationId xmlns:a16="http://schemas.microsoft.com/office/drawing/2014/main" id="{00000000-0008-0000-0400-00002A010000}"/>
            </a:ext>
          </a:extLst>
        </xdr:cNvPr>
        <xdr:cNvGrpSpPr/>
      </xdr:nvGrpSpPr>
      <xdr:grpSpPr>
        <a:xfrm>
          <a:off x="2400050" y="3023967"/>
          <a:ext cx="126016" cy="198183"/>
          <a:chOff x="6665123" y="2144244"/>
          <a:chExt cx="126016" cy="200859"/>
        </a:xfrm>
      </xdr:grpSpPr>
      <xdr:sp macro="" textlink="">
        <xdr:nvSpPr>
          <xdr:cNvPr id="299" name="Rechtwinkliges Dreieck 133">
            <a:extLst>
              <a:ext uri="{FF2B5EF4-FFF2-40B4-BE49-F238E27FC236}">
                <a16:creationId xmlns:a16="http://schemas.microsoft.com/office/drawing/2014/main" id="{00000000-0008-0000-0400-00002B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00" name="Gerade Verbindung 134">
            <a:extLst>
              <a:ext uri="{FF2B5EF4-FFF2-40B4-BE49-F238E27FC236}">
                <a16:creationId xmlns:a16="http://schemas.microsoft.com/office/drawing/2014/main" id="{00000000-0008-0000-0400-00002C010000}"/>
              </a:ext>
            </a:extLst>
          </xdr:cNvPr>
          <xdr:cNvCxnSpPr>
            <a:stCxn id="299" idx="4"/>
            <a:endCxn id="29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01" name="Rechtwinkliges Dreieck 135">
            <a:extLst>
              <a:ext uri="{FF2B5EF4-FFF2-40B4-BE49-F238E27FC236}">
                <a16:creationId xmlns:a16="http://schemas.microsoft.com/office/drawing/2014/main" id="{00000000-0008-0000-0400-00002D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02" name="Gerade Verbindung 136">
            <a:extLst>
              <a:ext uri="{FF2B5EF4-FFF2-40B4-BE49-F238E27FC236}">
                <a16:creationId xmlns:a16="http://schemas.microsoft.com/office/drawing/2014/main" id="{00000000-0008-0000-0400-00002E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18</xdr:row>
      <xdr:rowOff>147418</xdr:rowOff>
    </xdr:from>
    <xdr:to>
      <xdr:col>5</xdr:col>
      <xdr:colOff>506766</xdr:colOff>
      <xdr:row>20</xdr:row>
      <xdr:rowOff>21750</xdr:rowOff>
    </xdr:to>
    <xdr:grpSp>
      <xdr:nvGrpSpPr>
        <xdr:cNvPr id="303" name="Gruppieren 302">
          <a:extLst>
            <a:ext uri="{FF2B5EF4-FFF2-40B4-BE49-F238E27FC236}">
              <a16:creationId xmlns:a16="http://schemas.microsoft.com/office/drawing/2014/main" id="{00000000-0008-0000-0400-00002F010000}"/>
            </a:ext>
          </a:extLst>
        </xdr:cNvPr>
        <xdr:cNvGrpSpPr/>
      </xdr:nvGrpSpPr>
      <xdr:grpSpPr>
        <a:xfrm>
          <a:off x="2400050" y="3671668"/>
          <a:ext cx="126016" cy="198182"/>
          <a:chOff x="6665123" y="2144244"/>
          <a:chExt cx="126016" cy="200859"/>
        </a:xfrm>
      </xdr:grpSpPr>
      <xdr:sp macro="" textlink="">
        <xdr:nvSpPr>
          <xdr:cNvPr id="304" name="Rechtwinkliges Dreieck 133">
            <a:extLst>
              <a:ext uri="{FF2B5EF4-FFF2-40B4-BE49-F238E27FC236}">
                <a16:creationId xmlns:a16="http://schemas.microsoft.com/office/drawing/2014/main" id="{00000000-0008-0000-0400-000030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05" name="Gerade Verbindung 134">
            <a:extLst>
              <a:ext uri="{FF2B5EF4-FFF2-40B4-BE49-F238E27FC236}">
                <a16:creationId xmlns:a16="http://schemas.microsoft.com/office/drawing/2014/main" id="{00000000-0008-0000-0400-000031010000}"/>
              </a:ext>
            </a:extLst>
          </xdr:cNvPr>
          <xdr:cNvCxnSpPr>
            <a:stCxn id="304" idx="4"/>
            <a:endCxn id="30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06" name="Rechtwinkliges Dreieck 135">
            <a:extLst>
              <a:ext uri="{FF2B5EF4-FFF2-40B4-BE49-F238E27FC236}">
                <a16:creationId xmlns:a16="http://schemas.microsoft.com/office/drawing/2014/main" id="{00000000-0008-0000-0400-000032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07" name="Gerade Verbindung 136">
            <a:extLst>
              <a:ext uri="{FF2B5EF4-FFF2-40B4-BE49-F238E27FC236}">
                <a16:creationId xmlns:a16="http://schemas.microsoft.com/office/drawing/2014/main" id="{00000000-0008-0000-0400-000033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22</xdr:row>
      <xdr:rowOff>147441</xdr:rowOff>
    </xdr:from>
    <xdr:to>
      <xdr:col>5</xdr:col>
      <xdr:colOff>506766</xdr:colOff>
      <xdr:row>24</xdr:row>
      <xdr:rowOff>21774</xdr:rowOff>
    </xdr:to>
    <xdr:grpSp>
      <xdr:nvGrpSpPr>
        <xdr:cNvPr id="308" name="Gruppieren 307">
          <a:extLst>
            <a:ext uri="{FF2B5EF4-FFF2-40B4-BE49-F238E27FC236}">
              <a16:creationId xmlns:a16="http://schemas.microsoft.com/office/drawing/2014/main" id="{00000000-0008-0000-0400-000034010000}"/>
            </a:ext>
          </a:extLst>
        </xdr:cNvPr>
        <xdr:cNvGrpSpPr/>
      </xdr:nvGrpSpPr>
      <xdr:grpSpPr>
        <a:xfrm>
          <a:off x="2400050" y="4319391"/>
          <a:ext cx="126016" cy="198183"/>
          <a:chOff x="6665123" y="2144244"/>
          <a:chExt cx="126016" cy="200859"/>
        </a:xfrm>
      </xdr:grpSpPr>
      <xdr:sp macro="" textlink="">
        <xdr:nvSpPr>
          <xdr:cNvPr id="309" name="Rechtwinkliges Dreieck 133">
            <a:extLst>
              <a:ext uri="{FF2B5EF4-FFF2-40B4-BE49-F238E27FC236}">
                <a16:creationId xmlns:a16="http://schemas.microsoft.com/office/drawing/2014/main" id="{00000000-0008-0000-0400-000035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10" name="Gerade Verbindung 134">
            <a:extLst>
              <a:ext uri="{FF2B5EF4-FFF2-40B4-BE49-F238E27FC236}">
                <a16:creationId xmlns:a16="http://schemas.microsoft.com/office/drawing/2014/main" id="{00000000-0008-0000-0400-000036010000}"/>
              </a:ext>
            </a:extLst>
          </xdr:cNvPr>
          <xdr:cNvCxnSpPr>
            <a:stCxn id="309" idx="4"/>
            <a:endCxn id="30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11" name="Rechtwinkliges Dreieck 135">
            <a:extLst>
              <a:ext uri="{FF2B5EF4-FFF2-40B4-BE49-F238E27FC236}">
                <a16:creationId xmlns:a16="http://schemas.microsoft.com/office/drawing/2014/main" id="{00000000-0008-0000-0400-000037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12" name="Gerade Verbindung 136">
            <a:extLst>
              <a:ext uri="{FF2B5EF4-FFF2-40B4-BE49-F238E27FC236}">
                <a16:creationId xmlns:a16="http://schemas.microsoft.com/office/drawing/2014/main" id="{00000000-0008-0000-0400-000038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25</xdr:row>
      <xdr:rowOff>147441</xdr:rowOff>
    </xdr:from>
    <xdr:to>
      <xdr:col>5</xdr:col>
      <xdr:colOff>506766</xdr:colOff>
      <xdr:row>27</xdr:row>
      <xdr:rowOff>21774</xdr:rowOff>
    </xdr:to>
    <xdr:grpSp>
      <xdr:nvGrpSpPr>
        <xdr:cNvPr id="313" name="Gruppieren 312">
          <a:extLst>
            <a:ext uri="{FF2B5EF4-FFF2-40B4-BE49-F238E27FC236}">
              <a16:creationId xmlns:a16="http://schemas.microsoft.com/office/drawing/2014/main" id="{00000000-0008-0000-0400-000039010000}"/>
            </a:ext>
          </a:extLst>
        </xdr:cNvPr>
        <xdr:cNvGrpSpPr/>
      </xdr:nvGrpSpPr>
      <xdr:grpSpPr>
        <a:xfrm>
          <a:off x="2400050" y="4805166"/>
          <a:ext cx="126016" cy="198183"/>
          <a:chOff x="6665123" y="2144244"/>
          <a:chExt cx="126016" cy="200859"/>
        </a:xfrm>
      </xdr:grpSpPr>
      <xdr:sp macro="" textlink="">
        <xdr:nvSpPr>
          <xdr:cNvPr id="314" name="Rechtwinkliges Dreieck 133">
            <a:extLst>
              <a:ext uri="{FF2B5EF4-FFF2-40B4-BE49-F238E27FC236}">
                <a16:creationId xmlns:a16="http://schemas.microsoft.com/office/drawing/2014/main" id="{00000000-0008-0000-0400-00003A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15" name="Gerade Verbindung 134">
            <a:extLst>
              <a:ext uri="{FF2B5EF4-FFF2-40B4-BE49-F238E27FC236}">
                <a16:creationId xmlns:a16="http://schemas.microsoft.com/office/drawing/2014/main" id="{00000000-0008-0000-0400-00003B010000}"/>
              </a:ext>
            </a:extLst>
          </xdr:cNvPr>
          <xdr:cNvCxnSpPr>
            <a:stCxn id="314" idx="4"/>
            <a:endCxn id="31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16" name="Rechtwinkliges Dreieck 135">
            <a:extLst>
              <a:ext uri="{FF2B5EF4-FFF2-40B4-BE49-F238E27FC236}">
                <a16:creationId xmlns:a16="http://schemas.microsoft.com/office/drawing/2014/main" id="{00000000-0008-0000-0400-00003C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17" name="Gerade Verbindung 136">
            <a:extLst>
              <a:ext uri="{FF2B5EF4-FFF2-40B4-BE49-F238E27FC236}">
                <a16:creationId xmlns:a16="http://schemas.microsoft.com/office/drawing/2014/main" id="{00000000-0008-0000-0400-00003D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27</xdr:row>
      <xdr:rowOff>147441</xdr:rowOff>
    </xdr:from>
    <xdr:to>
      <xdr:col>5</xdr:col>
      <xdr:colOff>506766</xdr:colOff>
      <xdr:row>29</xdr:row>
      <xdr:rowOff>21773</xdr:rowOff>
    </xdr:to>
    <xdr:grpSp>
      <xdr:nvGrpSpPr>
        <xdr:cNvPr id="318" name="Gruppieren 317">
          <a:extLst>
            <a:ext uri="{FF2B5EF4-FFF2-40B4-BE49-F238E27FC236}">
              <a16:creationId xmlns:a16="http://schemas.microsoft.com/office/drawing/2014/main" id="{00000000-0008-0000-0400-00003E010000}"/>
            </a:ext>
          </a:extLst>
        </xdr:cNvPr>
        <xdr:cNvGrpSpPr/>
      </xdr:nvGrpSpPr>
      <xdr:grpSpPr>
        <a:xfrm>
          <a:off x="2400050" y="5129016"/>
          <a:ext cx="126016" cy="198182"/>
          <a:chOff x="6665123" y="2144244"/>
          <a:chExt cx="126016" cy="200859"/>
        </a:xfrm>
      </xdr:grpSpPr>
      <xdr:sp macro="" textlink="">
        <xdr:nvSpPr>
          <xdr:cNvPr id="319" name="Rechtwinkliges Dreieck 133">
            <a:extLst>
              <a:ext uri="{FF2B5EF4-FFF2-40B4-BE49-F238E27FC236}">
                <a16:creationId xmlns:a16="http://schemas.microsoft.com/office/drawing/2014/main" id="{00000000-0008-0000-0400-00003F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20" name="Gerade Verbindung 134">
            <a:extLst>
              <a:ext uri="{FF2B5EF4-FFF2-40B4-BE49-F238E27FC236}">
                <a16:creationId xmlns:a16="http://schemas.microsoft.com/office/drawing/2014/main" id="{00000000-0008-0000-0400-000040010000}"/>
              </a:ext>
            </a:extLst>
          </xdr:cNvPr>
          <xdr:cNvCxnSpPr>
            <a:stCxn id="319" idx="4"/>
            <a:endCxn id="31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21" name="Rechtwinkliges Dreieck 135">
            <a:extLst>
              <a:ext uri="{FF2B5EF4-FFF2-40B4-BE49-F238E27FC236}">
                <a16:creationId xmlns:a16="http://schemas.microsoft.com/office/drawing/2014/main" id="{00000000-0008-0000-0400-000041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22" name="Gerade Verbindung 136">
            <a:extLst>
              <a:ext uri="{FF2B5EF4-FFF2-40B4-BE49-F238E27FC236}">
                <a16:creationId xmlns:a16="http://schemas.microsoft.com/office/drawing/2014/main" id="{00000000-0008-0000-0400-000042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389829</xdr:colOff>
      <xdr:row>26</xdr:row>
      <xdr:rowOff>143993</xdr:rowOff>
    </xdr:from>
    <xdr:to>
      <xdr:col>14</xdr:col>
      <xdr:colOff>375</xdr:colOff>
      <xdr:row>28</xdr:row>
      <xdr:rowOff>19882</xdr:rowOff>
    </xdr:to>
    <xdr:grpSp>
      <xdr:nvGrpSpPr>
        <xdr:cNvPr id="323" name="Gruppieren 322">
          <a:extLst>
            <a:ext uri="{FF2B5EF4-FFF2-40B4-BE49-F238E27FC236}">
              <a16:creationId xmlns:a16="http://schemas.microsoft.com/office/drawing/2014/main" id="{00000000-0008-0000-0400-000043010000}"/>
            </a:ext>
          </a:extLst>
        </xdr:cNvPr>
        <xdr:cNvGrpSpPr/>
      </xdr:nvGrpSpPr>
      <xdr:grpSpPr>
        <a:xfrm>
          <a:off x="5914329" y="4963643"/>
          <a:ext cx="124896" cy="199739"/>
          <a:chOff x="6665123" y="2144244"/>
          <a:chExt cx="126016" cy="200859"/>
        </a:xfrm>
      </xdr:grpSpPr>
      <xdr:sp macro="" textlink="">
        <xdr:nvSpPr>
          <xdr:cNvPr id="324" name="Rechtwinkliges Dreieck 133">
            <a:extLst>
              <a:ext uri="{FF2B5EF4-FFF2-40B4-BE49-F238E27FC236}">
                <a16:creationId xmlns:a16="http://schemas.microsoft.com/office/drawing/2014/main" id="{00000000-0008-0000-0400-000044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25" name="Gerade Verbindung 134">
            <a:extLst>
              <a:ext uri="{FF2B5EF4-FFF2-40B4-BE49-F238E27FC236}">
                <a16:creationId xmlns:a16="http://schemas.microsoft.com/office/drawing/2014/main" id="{00000000-0008-0000-0400-000045010000}"/>
              </a:ext>
            </a:extLst>
          </xdr:cNvPr>
          <xdr:cNvCxnSpPr>
            <a:stCxn id="324" idx="4"/>
            <a:endCxn id="32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26" name="Rechtwinkliges Dreieck 135">
            <a:extLst>
              <a:ext uri="{FF2B5EF4-FFF2-40B4-BE49-F238E27FC236}">
                <a16:creationId xmlns:a16="http://schemas.microsoft.com/office/drawing/2014/main" id="{00000000-0008-0000-0400-000046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27" name="Gerade Verbindung 136">
            <a:extLst>
              <a:ext uri="{FF2B5EF4-FFF2-40B4-BE49-F238E27FC236}">
                <a16:creationId xmlns:a16="http://schemas.microsoft.com/office/drawing/2014/main" id="{00000000-0008-0000-0400-000047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30</xdr:row>
      <xdr:rowOff>147441</xdr:rowOff>
    </xdr:from>
    <xdr:to>
      <xdr:col>5</xdr:col>
      <xdr:colOff>506766</xdr:colOff>
      <xdr:row>32</xdr:row>
      <xdr:rowOff>21773</xdr:rowOff>
    </xdr:to>
    <xdr:grpSp>
      <xdr:nvGrpSpPr>
        <xdr:cNvPr id="328" name="Gruppieren 327">
          <a:extLst>
            <a:ext uri="{FF2B5EF4-FFF2-40B4-BE49-F238E27FC236}">
              <a16:creationId xmlns:a16="http://schemas.microsoft.com/office/drawing/2014/main" id="{00000000-0008-0000-0400-000048010000}"/>
            </a:ext>
          </a:extLst>
        </xdr:cNvPr>
        <xdr:cNvGrpSpPr/>
      </xdr:nvGrpSpPr>
      <xdr:grpSpPr>
        <a:xfrm>
          <a:off x="2400050" y="5614791"/>
          <a:ext cx="126016" cy="198182"/>
          <a:chOff x="6665123" y="2144244"/>
          <a:chExt cx="126016" cy="200859"/>
        </a:xfrm>
      </xdr:grpSpPr>
      <xdr:sp macro="" textlink="">
        <xdr:nvSpPr>
          <xdr:cNvPr id="329" name="Rechtwinkliges Dreieck 133">
            <a:extLst>
              <a:ext uri="{FF2B5EF4-FFF2-40B4-BE49-F238E27FC236}">
                <a16:creationId xmlns:a16="http://schemas.microsoft.com/office/drawing/2014/main" id="{00000000-0008-0000-0400-000049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30" name="Gerade Verbindung 134">
            <a:extLst>
              <a:ext uri="{FF2B5EF4-FFF2-40B4-BE49-F238E27FC236}">
                <a16:creationId xmlns:a16="http://schemas.microsoft.com/office/drawing/2014/main" id="{00000000-0008-0000-0400-00004A010000}"/>
              </a:ext>
            </a:extLst>
          </xdr:cNvPr>
          <xdr:cNvCxnSpPr>
            <a:stCxn id="329" idx="4"/>
            <a:endCxn id="32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31" name="Rechtwinkliges Dreieck 135">
            <a:extLst>
              <a:ext uri="{FF2B5EF4-FFF2-40B4-BE49-F238E27FC236}">
                <a16:creationId xmlns:a16="http://schemas.microsoft.com/office/drawing/2014/main" id="{00000000-0008-0000-0400-00004B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32" name="Gerade Verbindung 136">
            <a:extLst>
              <a:ext uri="{FF2B5EF4-FFF2-40B4-BE49-F238E27FC236}">
                <a16:creationId xmlns:a16="http://schemas.microsoft.com/office/drawing/2014/main" id="{00000000-0008-0000-0400-00004C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32</xdr:row>
      <xdr:rowOff>147440</xdr:rowOff>
    </xdr:from>
    <xdr:to>
      <xdr:col>5</xdr:col>
      <xdr:colOff>506766</xdr:colOff>
      <xdr:row>34</xdr:row>
      <xdr:rowOff>21773</xdr:rowOff>
    </xdr:to>
    <xdr:grpSp>
      <xdr:nvGrpSpPr>
        <xdr:cNvPr id="333" name="Gruppieren 332">
          <a:extLst>
            <a:ext uri="{FF2B5EF4-FFF2-40B4-BE49-F238E27FC236}">
              <a16:creationId xmlns:a16="http://schemas.microsoft.com/office/drawing/2014/main" id="{00000000-0008-0000-0400-00004D010000}"/>
            </a:ext>
          </a:extLst>
        </xdr:cNvPr>
        <xdr:cNvGrpSpPr/>
      </xdr:nvGrpSpPr>
      <xdr:grpSpPr>
        <a:xfrm>
          <a:off x="2400050" y="5938640"/>
          <a:ext cx="126016" cy="198183"/>
          <a:chOff x="6665123" y="2144244"/>
          <a:chExt cx="126016" cy="200859"/>
        </a:xfrm>
      </xdr:grpSpPr>
      <xdr:sp macro="" textlink="">
        <xdr:nvSpPr>
          <xdr:cNvPr id="334" name="Rechtwinkliges Dreieck 133">
            <a:extLst>
              <a:ext uri="{FF2B5EF4-FFF2-40B4-BE49-F238E27FC236}">
                <a16:creationId xmlns:a16="http://schemas.microsoft.com/office/drawing/2014/main" id="{00000000-0008-0000-0400-00004E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35" name="Gerade Verbindung 134">
            <a:extLst>
              <a:ext uri="{FF2B5EF4-FFF2-40B4-BE49-F238E27FC236}">
                <a16:creationId xmlns:a16="http://schemas.microsoft.com/office/drawing/2014/main" id="{00000000-0008-0000-0400-00004F010000}"/>
              </a:ext>
            </a:extLst>
          </xdr:cNvPr>
          <xdr:cNvCxnSpPr>
            <a:stCxn id="334" idx="4"/>
            <a:endCxn id="33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36" name="Rechtwinkliges Dreieck 135">
            <a:extLst>
              <a:ext uri="{FF2B5EF4-FFF2-40B4-BE49-F238E27FC236}">
                <a16:creationId xmlns:a16="http://schemas.microsoft.com/office/drawing/2014/main" id="{00000000-0008-0000-0400-000050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37" name="Gerade Verbindung 136">
            <a:extLst>
              <a:ext uri="{FF2B5EF4-FFF2-40B4-BE49-F238E27FC236}">
                <a16:creationId xmlns:a16="http://schemas.microsoft.com/office/drawing/2014/main" id="{00000000-0008-0000-0400-000051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389829</xdr:colOff>
      <xdr:row>31</xdr:row>
      <xdr:rowOff>143993</xdr:rowOff>
    </xdr:from>
    <xdr:to>
      <xdr:col>14</xdr:col>
      <xdr:colOff>375</xdr:colOff>
      <xdr:row>33</xdr:row>
      <xdr:rowOff>19882</xdr:rowOff>
    </xdr:to>
    <xdr:grpSp>
      <xdr:nvGrpSpPr>
        <xdr:cNvPr id="338" name="Gruppieren 337">
          <a:extLst>
            <a:ext uri="{FF2B5EF4-FFF2-40B4-BE49-F238E27FC236}">
              <a16:creationId xmlns:a16="http://schemas.microsoft.com/office/drawing/2014/main" id="{00000000-0008-0000-0400-000052010000}"/>
            </a:ext>
          </a:extLst>
        </xdr:cNvPr>
        <xdr:cNvGrpSpPr/>
      </xdr:nvGrpSpPr>
      <xdr:grpSpPr>
        <a:xfrm>
          <a:off x="5914329" y="5773268"/>
          <a:ext cx="124896" cy="199739"/>
          <a:chOff x="6665123" y="2144244"/>
          <a:chExt cx="126016" cy="200859"/>
        </a:xfrm>
      </xdr:grpSpPr>
      <xdr:sp macro="" textlink="">
        <xdr:nvSpPr>
          <xdr:cNvPr id="339" name="Rechtwinkliges Dreieck 133">
            <a:extLst>
              <a:ext uri="{FF2B5EF4-FFF2-40B4-BE49-F238E27FC236}">
                <a16:creationId xmlns:a16="http://schemas.microsoft.com/office/drawing/2014/main" id="{00000000-0008-0000-0400-000053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40" name="Gerade Verbindung 134">
            <a:extLst>
              <a:ext uri="{FF2B5EF4-FFF2-40B4-BE49-F238E27FC236}">
                <a16:creationId xmlns:a16="http://schemas.microsoft.com/office/drawing/2014/main" id="{00000000-0008-0000-0400-000054010000}"/>
              </a:ext>
            </a:extLst>
          </xdr:cNvPr>
          <xdr:cNvCxnSpPr>
            <a:stCxn id="339" idx="4"/>
            <a:endCxn id="33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41" name="Rechtwinkliges Dreieck 135">
            <a:extLst>
              <a:ext uri="{FF2B5EF4-FFF2-40B4-BE49-F238E27FC236}">
                <a16:creationId xmlns:a16="http://schemas.microsoft.com/office/drawing/2014/main" id="{00000000-0008-0000-0400-000055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42" name="Gerade Verbindung 136">
            <a:extLst>
              <a:ext uri="{FF2B5EF4-FFF2-40B4-BE49-F238E27FC236}">
                <a16:creationId xmlns:a16="http://schemas.microsoft.com/office/drawing/2014/main" id="{00000000-0008-0000-0400-000056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384537</xdr:colOff>
      <xdr:row>30</xdr:row>
      <xdr:rowOff>143993</xdr:rowOff>
    </xdr:from>
    <xdr:to>
      <xdr:col>17</xdr:col>
      <xdr:colOff>508375</xdr:colOff>
      <xdr:row>32</xdr:row>
      <xdr:rowOff>19881</xdr:rowOff>
    </xdr:to>
    <xdr:grpSp>
      <xdr:nvGrpSpPr>
        <xdr:cNvPr id="343" name="Gruppieren 342">
          <a:extLst>
            <a:ext uri="{FF2B5EF4-FFF2-40B4-BE49-F238E27FC236}">
              <a16:creationId xmlns:a16="http://schemas.microsoft.com/office/drawing/2014/main" id="{00000000-0008-0000-0400-000057010000}"/>
            </a:ext>
          </a:extLst>
        </xdr:cNvPr>
        <xdr:cNvGrpSpPr/>
      </xdr:nvGrpSpPr>
      <xdr:grpSpPr>
        <a:xfrm>
          <a:off x="7013937" y="5611343"/>
          <a:ext cx="123838" cy="199738"/>
          <a:chOff x="6665123" y="2144244"/>
          <a:chExt cx="126016" cy="200859"/>
        </a:xfrm>
      </xdr:grpSpPr>
      <xdr:sp macro="" textlink="">
        <xdr:nvSpPr>
          <xdr:cNvPr id="344" name="Rechtwinkliges Dreieck 133">
            <a:extLst>
              <a:ext uri="{FF2B5EF4-FFF2-40B4-BE49-F238E27FC236}">
                <a16:creationId xmlns:a16="http://schemas.microsoft.com/office/drawing/2014/main" id="{00000000-0008-0000-0400-000058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45" name="Gerade Verbindung 134">
            <a:extLst>
              <a:ext uri="{FF2B5EF4-FFF2-40B4-BE49-F238E27FC236}">
                <a16:creationId xmlns:a16="http://schemas.microsoft.com/office/drawing/2014/main" id="{00000000-0008-0000-0400-000059010000}"/>
              </a:ext>
            </a:extLst>
          </xdr:cNvPr>
          <xdr:cNvCxnSpPr>
            <a:stCxn id="344" idx="4"/>
            <a:endCxn id="34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46" name="Rechtwinkliges Dreieck 135">
            <a:extLst>
              <a:ext uri="{FF2B5EF4-FFF2-40B4-BE49-F238E27FC236}">
                <a16:creationId xmlns:a16="http://schemas.microsoft.com/office/drawing/2014/main" id="{00000000-0008-0000-0400-00005A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47" name="Gerade Verbindung 136">
            <a:extLst>
              <a:ext uri="{FF2B5EF4-FFF2-40B4-BE49-F238E27FC236}">
                <a16:creationId xmlns:a16="http://schemas.microsoft.com/office/drawing/2014/main" id="{00000000-0008-0000-0400-00005B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34</xdr:row>
      <xdr:rowOff>147441</xdr:rowOff>
    </xdr:from>
    <xdr:to>
      <xdr:col>5</xdr:col>
      <xdr:colOff>506766</xdr:colOff>
      <xdr:row>36</xdr:row>
      <xdr:rowOff>21774</xdr:rowOff>
    </xdr:to>
    <xdr:grpSp>
      <xdr:nvGrpSpPr>
        <xdr:cNvPr id="348" name="Gruppieren 347">
          <a:extLst>
            <a:ext uri="{FF2B5EF4-FFF2-40B4-BE49-F238E27FC236}">
              <a16:creationId xmlns:a16="http://schemas.microsoft.com/office/drawing/2014/main" id="{00000000-0008-0000-0400-00005C010000}"/>
            </a:ext>
          </a:extLst>
        </xdr:cNvPr>
        <xdr:cNvGrpSpPr/>
      </xdr:nvGrpSpPr>
      <xdr:grpSpPr>
        <a:xfrm>
          <a:off x="2400050" y="6262491"/>
          <a:ext cx="126016" cy="198183"/>
          <a:chOff x="6665123" y="2144244"/>
          <a:chExt cx="126016" cy="200859"/>
        </a:xfrm>
      </xdr:grpSpPr>
      <xdr:sp macro="" textlink="">
        <xdr:nvSpPr>
          <xdr:cNvPr id="349" name="Rechtwinkliges Dreieck 133">
            <a:extLst>
              <a:ext uri="{FF2B5EF4-FFF2-40B4-BE49-F238E27FC236}">
                <a16:creationId xmlns:a16="http://schemas.microsoft.com/office/drawing/2014/main" id="{00000000-0008-0000-0400-00005D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50" name="Gerade Verbindung 134">
            <a:extLst>
              <a:ext uri="{FF2B5EF4-FFF2-40B4-BE49-F238E27FC236}">
                <a16:creationId xmlns:a16="http://schemas.microsoft.com/office/drawing/2014/main" id="{00000000-0008-0000-0400-00005E010000}"/>
              </a:ext>
            </a:extLst>
          </xdr:cNvPr>
          <xdr:cNvCxnSpPr>
            <a:stCxn id="349" idx="4"/>
            <a:endCxn id="34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51" name="Rechtwinkliges Dreieck 135">
            <a:extLst>
              <a:ext uri="{FF2B5EF4-FFF2-40B4-BE49-F238E27FC236}">
                <a16:creationId xmlns:a16="http://schemas.microsoft.com/office/drawing/2014/main" id="{00000000-0008-0000-0400-00005F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52" name="Gerade Verbindung 136">
            <a:extLst>
              <a:ext uri="{FF2B5EF4-FFF2-40B4-BE49-F238E27FC236}">
                <a16:creationId xmlns:a16="http://schemas.microsoft.com/office/drawing/2014/main" id="{00000000-0008-0000-0400-000060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36</xdr:row>
      <xdr:rowOff>147441</xdr:rowOff>
    </xdr:from>
    <xdr:to>
      <xdr:col>5</xdr:col>
      <xdr:colOff>506766</xdr:colOff>
      <xdr:row>38</xdr:row>
      <xdr:rowOff>21773</xdr:rowOff>
    </xdr:to>
    <xdr:grpSp>
      <xdr:nvGrpSpPr>
        <xdr:cNvPr id="353" name="Gruppieren 352">
          <a:extLst>
            <a:ext uri="{FF2B5EF4-FFF2-40B4-BE49-F238E27FC236}">
              <a16:creationId xmlns:a16="http://schemas.microsoft.com/office/drawing/2014/main" id="{00000000-0008-0000-0400-000061010000}"/>
            </a:ext>
          </a:extLst>
        </xdr:cNvPr>
        <xdr:cNvGrpSpPr/>
      </xdr:nvGrpSpPr>
      <xdr:grpSpPr>
        <a:xfrm>
          <a:off x="2400050" y="6586341"/>
          <a:ext cx="126016" cy="198182"/>
          <a:chOff x="6665123" y="2144244"/>
          <a:chExt cx="126016" cy="200859"/>
        </a:xfrm>
      </xdr:grpSpPr>
      <xdr:sp macro="" textlink="">
        <xdr:nvSpPr>
          <xdr:cNvPr id="354" name="Rechtwinkliges Dreieck 133">
            <a:extLst>
              <a:ext uri="{FF2B5EF4-FFF2-40B4-BE49-F238E27FC236}">
                <a16:creationId xmlns:a16="http://schemas.microsoft.com/office/drawing/2014/main" id="{00000000-0008-0000-0400-000062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55" name="Gerade Verbindung 134">
            <a:extLst>
              <a:ext uri="{FF2B5EF4-FFF2-40B4-BE49-F238E27FC236}">
                <a16:creationId xmlns:a16="http://schemas.microsoft.com/office/drawing/2014/main" id="{00000000-0008-0000-0400-000063010000}"/>
              </a:ext>
            </a:extLst>
          </xdr:cNvPr>
          <xdr:cNvCxnSpPr>
            <a:stCxn id="354" idx="4"/>
            <a:endCxn id="35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56" name="Rechtwinkliges Dreieck 135">
            <a:extLst>
              <a:ext uri="{FF2B5EF4-FFF2-40B4-BE49-F238E27FC236}">
                <a16:creationId xmlns:a16="http://schemas.microsoft.com/office/drawing/2014/main" id="{00000000-0008-0000-0400-000064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57" name="Gerade Verbindung 136">
            <a:extLst>
              <a:ext uri="{FF2B5EF4-FFF2-40B4-BE49-F238E27FC236}">
                <a16:creationId xmlns:a16="http://schemas.microsoft.com/office/drawing/2014/main" id="{00000000-0008-0000-0400-000065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389829</xdr:colOff>
      <xdr:row>35</xdr:row>
      <xdr:rowOff>143992</xdr:rowOff>
    </xdr:from>
    <xdr:to>
      <xdr:col>14</xdr:col>
      <xdr:colOff>375</xdr:colOff>
      <xdr:row>37</xdr:row>
      <xdr:rowOff>19881</xdr:rowOff>
    </xdr:to>
    <xdr:grpSp>
      <xdr:nvGrpSpPr>
        <xdr:cNvPr id="358" name="Gruppieren 357">
          <a:extLst>
            <a:ext uri="{FF2B5EF4-FFF2-40B4-BE49-F238E27FC236}">
              <a16:creationId xmlns:a16="http://schemas.microsoft.com/office/drawing/2014/main" id="{00000000-0008-0000-0400-000066010000}"/>
            </a:ext>
          </a:extLst>
        </xdr:cNvPr>
        <xdr:cNvGrpSpPr/>
      </xdr:nvGrpSpPr>
      <xdr:grpSpPr>
        <a:xfrm>
          <a:off x="5914329" y="6420967"/>
          <a:ext cx="124896" cy="199739"/>
          <a:chOff x="6665123" y="2144244"/>
          <a:chExt cx="126016" cy="200859"/>
        </a:xfrm>
      </xdr:grpSpPr>
      <xdr:sp macro="" textlink="">
        <xdr:nvSpPr>
          <xdr:cNvPr id="359" name="Rechtwinkliges Dreieck 133">
            <a:extLst>
              <a:ext uri="{FF2B5EF4-FFF2-40B4-BE49-F238E27FC236}">
                <a16:creationId xmlns:a16="http://schemas.microsoft.com/office/drawing/2014/main" id="{00000000-0008-0000-0400-000067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60" name="Gerade Verbindung 134">
            <a:extLst>
              <a:ext uri="{FF2B5EF4-FFF2-40B4-BE49-F238E27FC236}">
                <a16:creationId xmlns:a16="http://schemas.microsoft.com/office/drawing/2014/main" id="{00000000-0008-0000-0400-000068010000}"/>
              </a:ext>
            </a:extLst>
          </xdr:cNvPr>
          <xdr:cNvCxnSpPr>
            <a:stCxn id="359" idx="4"/>
            <a:endCxn id="35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61" name="Rechtwinkliges Dreieck 135">
            <a:extLst>
              <a:ext uri="{FF2B5EF4-FFF2-40B4-BE49-F238E27FC236}">
                <a16:creationId xmlns:a16="http://schemas.microsoft.com/office/drawing/2014/main" id="{00000000-0008-0000-0400-000069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62" name="Gerade Verbindung 136">
            <a:extLst>
              <a:ext uri="{FF2B5EF4-FFF2-40B4-BE49-F238E27FC236}">
                <a16:creationId xmlns:a16="http://schemas.microsoft.com/office/drawing/2014/main" id="{00000000-0008-0000-0400-00006A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389829</xdr:colOff>
      <xdr:row>38</xdr:row>
      <xdr:rowOff>143992</xdr:rowOff>
    </xdr:from>
    <xdr:to>
      <xdr:col>14</xdr:col>
      <xdr:colOff>375</xdr:colOff>
      <xdr:row>40</xdr:row>
      <xdr:rowOff>19881</xdr:rowOff>
    </xdr:to>
    <xdr:grpSp>
      <xdr:nvGrpSpPr>
        <xdr:cNvPr id="363" name="Gruppieren 362">
          <a:extLst>
            <a:ext uri="{FF2B5EF4-FFF2-40B4-BE49-F238E27FC236}">
              <a16:creationId xmlns:a16="http://schemas.microsoft.com/office/drawing/2014/main" id="{00000000-0008-0000-0400-00006B010000}"/>
            </a:ext>
          </a:extLst>
        </xdr:cNvPr>
        <xdr:cNvGrpSpPr/>
      </xdr:nvGrpSpPr>
      <xdr:grpSpPr>
        <a:xfrm>
          <a:off x="5914329" y="6906742"/>
          <a:ext cx="124896" cy="199739"/>
          <a:chOff x="6665123" y="2144244"/>
          <a:chExt cx="126016" cy="200859"/>
        </a:xfrm>
      </xdr:grpSpPr>
      <xdr:sp macro="" textlink="">
        <xdr:nvSpPr>
          <xdr:cNvPr id="364" name="Rechtwinkliges Dreieck 133">
            <a:extLst>
              <a:ext uri="{FF2B5EF4-FFF2-40B4-BE49-F238E27FC236}">
                <a16:creationId xmlns:a16="http://schemas.microsoft.com/office/drawing/2014/main" id="{00000000-0008-0000-0400-00006C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65" name="Gerade Verbindung 134">
            <a:extLst>
              <a:ext uri="{FF2B5EF4-FFF2-40B4-BE49-F238E27FC236}">
                <a16:creationId xmlns:a16="http://schemas.microsoft.com/office/drawing/2014/main" id="{00000000-0008-0000-0400-00006D010000}"/>
              </a:ext>
            </a:extLst>
          </xdr:cNvPr>
          <xdr:cNvCxnSpPr>
            <a:stCxn id="364" idx="4"/>
            <a:endCxn id="36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66" name="Rechtwinkliges Dreieck 135">
            <a:extLst>
              <a:ext uri="{FF2B5EF4-FFF2-40B4-BE49-F238E27FC236}">
                <a16:creationId xmlns:a16="http://schemas.microsoft.com/office/drawing/2014/main" id="{00000000-0008-0000-0400-00006E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67" name="Gerade Verbindung 136">
            <a:extLst>
              <a:ext uri="{FF2B5EF4-FFF2-40B4-BE49-F238E27FC236}">
                <a16:creationId xmlns:a16="http://schemas.microsoft.com/office/drawing/2014/main" id="{00000000-0008-0000-0400-00006F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40</xdr:row>
      <xdr:rowOff>147441</xdr:rowOff>
    </xdr:from>
    <xdr:to>
      <xdr:col>5</xdr:col>
      <xdr:colOff>506766</xdr:colOff>
      <xdr:row>42</xdr:row>
      <xdr:rowOff>21774</xdr:rowOff>
    </xdr:to>
    <xdr:grpSp>
      <xdr:nvGrpSpPr>
        <xdr:cNvPr id="368" name="Gruppieren 367">
          <a:extLst>
            <a:ext uri="{FF2B5EF4-FFF2-40B4-BE49-F238E27FC236}">
              <a16:creationId xmlns:a16="http://schemas.microsoft.com/office/drawing/2014/main" id="{00000000-0008-0000-0400-000070010000}"/>
            </a:ext>
          </a:extLst>
        </xdr:cNvPr>
        <xdr:cNvGrpSpPr/>
      </xdr:nvGrpSpPr>
      <xdr:grpSpPr>
        <a:xfrm>
          <a:off x="2400050" y="7234041"/>
          <a:ext cx="126016" cy="198183"/>
          <a:chOff x="6665123" y="2144244"/>
          <a:chExt cx="126016" cy="200859"/>
        </a:xfrm>
      </xdr:grpSpPr>
      <xdr:sp macro="" textlink="">
        <xdr:nvSpPr>
          <xdr:cNvPr id="369" name="Rechtwinkliges Dreieck 133">
            <a:extLst>
              <a:ext uri="{FF2B5EF4-FFF2-40B4-BE49-F238E27FC236}">
                <a16:creationId xmlns:a16="http://schemas.microsoft.com/office/drawing/2014/main" id="{00000000-0008-0000-0400-000071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70" name="Gerade Verbindung 134">
            <a:extLst>
              <a:ext uri="{FF2B5EF4-FFF2-40B4-BE49-F238E27FC236}">
                <a16:creationId xmlns:a16="http://schemas.microsoft.com/office/drawing/2014/main" id="{00000000-0008-0000-0400-000072010000}"/>
              </a:ext>
            </a:extLst>
          </xdr:cNvPr>
          <xdr:cNvCxnSpPr>
            <a:stCxn id="369" idx="4"/>
            <a:endCxn id="36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71" name="Rechtwinkliges Dreieck 135">
            <a:extLst>
              <a:ext uri="{FF2B5EF4-FFF2-40B4-BE49-F238E27FC236}">
                <a16:creationId xmlns:a16="http://schemas.microsoft.com/office/drawing/2014/main" id="{00000000-0008-0000-0400-000073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72" name="Gerade Verbindung 136">
            <a:extLst>
              <a:ext uri="{FF2B5EF4-FFF2-40B4-BE49-F238E27FC236}">
                <a16:creationId xmlns:a16="http://schemas.microsoft.com/office/drawing/2014/main" id="{00000000-0008-0000-0400-000074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3223</xdr:colOff>
      <xdr:row>38</xdr:row>
      <xdr:rowOff>147438</xdr:rowOff>
    </xdr:from>
    <xdr:to>
      <xdr:col>0</xdr:col>
      <xdr:colOff>129239</xdr:colOff>
      <xdr:row>40</xdr:row>
      <xdr:rowOff>21771</xdr:rowOff>
    </xdr:to>
    <xdr:grpSp>
      <xdr:nvGrpSpPr>
        <xdr:cNvPr id="378" name="Gruppieren 377">
          <a:extLst>
            <a:ext uri="{FF2B5EF4-FFF2-40B4-BE49-F238E27FC236}">
              <a16:creationId xmlns:a16="http://schemas.microsoft.com/office/drawing/2014/main" id="{00000000-0008-0000-0400-00007A010000}"/>
            </a:ext>
          </a:extLst>
        </xdr:cNvPr>
        <xdr:cNvGrpSpPr/>
      </xdr:nvGrpSpPr>
      <xdr:grpSpPr>
        <a:xfrm flipH="1">
          <a:off x="3223" y="6910188"/>
          <a:ext cx="126016" cy="198183"/>
          <a:chOff x="6665123" y="2144244"/>
          <a:chExt cx="126016" cy="200859"/>
        </a:xfrm>
      </xdr:grpSpPr>
      <xdr:sp macro="" textlink="">
        <xdr:nvSpPr>
          <xdr:cNvPr id="379" name="Rechtwinkliges Dreieck 133">
            <a:extLst>
              <a:ext uri="{FF2B5EF4-FFF2-40B4-BE49-F238E27FC236}">
                <a16:creationId xmlns:a16="http://schemas.microsoft.com/office/drawing/2014/main" id="{00000000-0008-0000-0400-00007B01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80" name="Gerade Verbindung 134">
            <a:extLst>
              <a:ext uri="{FF2B5EF4-FFF2-40B4-BE49-F238E27FC236}">
                <a16:creationId xmlns:a16="http://schemas.microsoft.com/office/drawing/2014/main" id="{00000000-0008-0000-0400-00007C010000}"/>
              </a:ext>
            </a:extLst>
          </xdr:cNvPr>
          <xdr:cNvCxnSpPr>
            <a:stCxn id="379" idx="4"/>
            <a:endCxn id="37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81" name="Rechtwinkliges Dreieck 135">
            <a:extLst>
              <a:ext uri="{FF2B5EF4-FFF2-40B4-BE49-F238E27FC236}">
                <a16:creationId xmlns:a16="http://schemas.microsoft.com/office/drawing/2014/main" id="{00000000-0008-0000-0400-00007D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82" name="Gerade Verbindung 136">
            <a:extLst>
              <a:ext uri="{FF2B5EF4-FFF2-40B4-BE49-F238E27FC236}">
                <a16:creationId xmlns:a16="http://schemas.microsoft.com/office/drawing/2014/main" id="{00000000-0008-0000-0400-00007E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12748</xdr:colOff>
      <xdr:row>40</xdr:row>
      <xdr:rowOff>147439</xdr:rowOff>
    </xdr:from>
    <xdr:to>
      <xdr:col>10</xdr:col>
      <xdr:colOff>138764</xdr:colOff>
      <xdr:row>42</xdr:row>
      <xdr:rowOff>21772</xdr:rowOff>
    </xdr:to>
    <xdr:grpSp>
      <xdr:nvGrpSpPr>
        <xdr:cNvPr id="383" name="Gruppieren 382">
          <a:extLst>
            <a:ext uri="{FF2B5EF4-FFF2-40B4-BE49-F238E27FC236}">
              <a16:creationId xmlns:a16="http://schemas.microsoft.com/office/drawing/2014/main" id="{00000000-0008-0000-0400-00007F010000}"/>
            </a:ext>
          </a:extLst>
        </xdr:cNvPr>
        <xdr:cNvGrpSpPr/>
      </xdr:nvGrpSpPr>
      <xdr:grpSpPr>
        <a:xfrm flipH="1">
          <a:off x="4546648" y="7234039"/>
          <a:ext cx="126016" cy="198183"/>
          <a:chOff x="6665123" y="2144244"/>
          <a:chExt cx="126016" cy="200859"/>
        </a:xfrm>
      </xdr:grpSpPr>
      <xdr:sp macro="" textlink="">
        <xdr:nvSpPr>
          <xdr:cNvPr id="384" name="Rechtwinkliges Dreieck 133">
            <a:extLst>
              <a:ext uri="{FF2B5EF4-FFF2-40B4-BE49-F238E27FC236}">
                <a16:creationId xmlns:a16="http://schemas.microsoft.com/office/drawing/2014/main" id="{00000000-0008-0000-0400-000080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85" name="Gerade Verbindung 134">
            <a:extLst>
              <a:ext uri="{FF2B5EF4-FFF2-40B4-BE49-F238E27FC236}">
                <a16:creationId xmlns:a16="http://schemas.microsoft.com/office/drawing/2014/main" id="{00000000-0008-0000-0400-000081010000}"/>
              </a:ext>
            </a:extLst>
          </xdr:cNvPr>
          <xdr:cNvCxnSpPr>
            <a:stCxn id="384" idx="4"/>
            <a:endCxn id="38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86" name="Rechtwinkliges Dreieck 135">
            <a:extLst>
              <a:ext uri="{FF2B5EF4-FFF2-40B4-BE49-F238E27FC236}">
                <a16:creationId xmlns:a16="http://schemas.microsoft.com/office/drawing/2014/main" id="{00000000-0008-0000-0400-000082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87" name="Gerade Verbindung 136">
            <a:extLst>
              <a:ext uri="{FF2B5EF4-FFF2-40B4-BE49-F238E27FC236}">
                <a16:creationId xmlns:a16="http://schemas.microsoft.com/office/drawing/2014/main" id="{00000000-0008-0000-0400-000083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44</xdr:row>
      <xdr:rowOff>147441</xdr:rowOff>
    </xdr:from>
    <xdr:to>
      <xdr:col>5</xdr:col>
      <xdr:colOff>506766</xdr:colOff>
      <xdr:row>46</xdr:row>
      <xdr:rowOff>21774</xdr:rowOff>
    </xdr:to>
    <xdr:grpSp>
      <xdr:nvGrpSpPr>
        <xdr:cNvPr id="398" name="Gruppieren 397">
          <a:extLst>
            <a:ext uri="{FF2B5EF4-FFF2-40B4-BE49-F238E27FC236}">
              <a16:creationId xmlns:a16="http://schemas.microsoft.com/office/drawing/2014/main" id="{00000000-0008-0000-0400-00008E010000}"/>
            </a:ext>
          </a:extLst>
        </xdr:cNvPr>
        <xdr:cNvGrpSpPr/>
      </xdr:nvGrpSpPr>
      <xdr:grpSpPr>
        <a:xfrm>
          <a:off x="2400050" y="7881741"/>
          <a:ext cx="126016" cy="198183"/>
          <a:chOff x="6665123" y="2144244"/>
          <a:chExt cx="126016" cy="200859"/>
        </a:xfrm>
      </xdr:grpSpPr>
      <xdr:sp macro="" textlink="">
        <xdr:nvSpPr>
          <xdr:cNvPr id="399" name="Rechtwinkliges Dreieck 133">
            <a:extLst>
              <a:ext uri="{FF2B5EF4-FFF2-40B4-BE49-F238E27FC236}">
                <a16:creationId xmlns:a16="http://schemas.microsoft.com/office/drawing/2014/main" id="{00000000-0008-0000-0400-00008F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00" name="Gerade Verbindung 134">
            <a:extLst>
              <a:ext uri="{FF2B5EF4-FFF2-40B4-BE49-F238E27FC236}">
                <a16:creationId xmlns:a16="http://schemas.microsoft.com/office/drawing/2014/main" id="{00000000-0008-0000-0400-000090010000}"/>
              </a:ext>
            </a:extLst>
          </xdr:cNvPr>
          <xdr:cNvCxnSpPr>
            <a:stCxn id="399" idx="4"/>
            <a:endCxn id="39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01" name="Rechtwinkliges Dreieck 135">
            <a:extLst>
              <a:ext uri="{FF2B5EF4-FFF2-40B4-BE49-F238E27FC236}">
                <a16:creationId xmlns:a16="http://schemas.microsoft.com/office/drawing/2014/main" id="{00000000-0008-0000-0400-000091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02" name="Gerade Verbindung 136">
            <a:extLst>
              <a:ext uri="{FF2B5EF4-FFF2-40B4-BE49-F238E27FC236}">
                <a16:creationId xmlns:a16="http://schemas.microsoft.com/office/drawing/2014/main" id="{00000000-0008-0000-0400-000092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12748</xdr:colOff>
      <xdr:row>44</xdr:row>
      <xdr:rowOff>147439</xdr:rowOff>
    </xdr:from>
    <xdr:to>
      <xdr:col>10</xdr:col>
      <xdr:colOff>138764</xdr:colOff>
      <xdr:row>46</xdr:row>
      <xdr:rowOff>21772</xdr:rowOff>
    </xdr:to>
    <xdr:grpSp>
      <xdr:nvGrpSpPr>
        <xdr:cNvPr id="403" name="Gruppieren 402">
          <a:extLst>
            <a:ext uri="{FF2B5EF4-FFF2-40B4-BE49-F238E27FC236}">
              <a16:creationId xmlns:a16="http://schemas.microsoft.com/office/drawing/2014/main" id="{00000000-0008-0000-0400-000093010000}"/>
            </a:ext>
          </a:extLst>
        </xdr:cNvPr>
        <xdr:cNvGrpSpPr/>
      </xdr:nvGrpSpPr>
      <xdr:grpSpPr>
        <a:xfrm flipH="1">
          <a:off x="4546648" y="7881739"/>
          <a:ext cx="126016" cy="198183"/>
          <a:chOff x="6665123" y="2144244"/>
          <a:chExt cx="126016" cy="200859"/>
        </a:xfrm>
      </xdr:grpSpPr>
      <xdr:sp macro="" textlink="">
        <xdr:nvSpPr>
          <xdr:cNvPr id="404" name="Rechtwinkliges Dreieck 133">
            <a:extLst>
              <a:ext uri="{FF2B5EF4-FFF2-40B4-BE49-F238E27FC236}">
                <a16:creationId xmlns:a16="http://schemas.microsoft.com/office/drawing/2014/main" id="{00000000-0008-0000-0400-000094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05" name="Gerade Verbindung 134">
            <a:extLst>
              <a:ext uri="{FF2B5EF4-FFF2-40B4-BE49-F238E27FC236}">
                <a16:creationId xmlns:a16="http://schemas.microsoft.com/office/drawing/2014/main" id="{00000000-0008-0000-0400-000095010000}"/>
              </a:ext>
            </a:extLst>
          </xdr:cNvPr>
          <xdr:cNvCxnSpPr>
            <a:stCxn id="404" idx="4"/>
            <a:endCxn id="40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06" name="Rechtwinkliges Dreieck 135">
            <a:extLst>
              <a:ext uri="{FF2B5EF4-FFF2-40B4-BE49-F238E27FC236}">
                <a16:creationId xmlns:a16="http://schemas.microsoft.com/office/drawing/2014/main" id="{00000000-0008-0000-0400-000096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07" name="Gerade Verbindung 136">
            <a:extLst>
              <a:ext uri="{FF2B5EF4-FFF2-40B4-BE49-F238E27FC236}">
                <a16:creationId xmlns:a16="http://schemas.microsoft.com/office/drawing/2014/main" id="{00000000-0008-0000-0400-000097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12751</xdr:colOff>
      <xdr:row>43</xdr:row>
      <xdr:rowOff>147418</xdr:rowOff>
    </xdr:from>
    <xdr:to>
      <xdr:col>17</xdr:col>
      <xdr:colOff>138767</xdr:colOff>
      <xdr:row>45</xdr:row>
      <xdr:rowOff>21751</xdr:rowOff>
    </xdr:to>
    <xdr:grpSp>
      <xdr:nvGrpSpPr>
        <xdr:cNvPr id="408" name="Gruppieren 407">
          <a:extLst>
            <a:ext uri="{FF2B5EF4-FFF2-40B4-BE49-F238E27FC236}">
              <a16:creationId xmlns:a16="http://schemas.microsoft.com/office/drawing/2014/main" id="{00000000-0008-0000-0400-000098010000}"/>
            </a:ext>
          </a:extLst>
        </xdr:cNvPr>
        <xdr:cNvGrpSpPr/>
      </xdr:nvGrpSpPr>
      <xdr:grpSpPr>
        <a:xfrm flipH="1">
          <a:off x="6642151" y="7719793"/>
          <a:ext cx="126016" cy="198183"/>
          <a:chOff x="6665123" y="2144244"/>
          <a:chExt cx="126016" cy="200859"/>
        </a:xfrm>
      </xdr:grpSpPr>
      <xdr:sp macro="" textlink="">
        <xdr:nvSpPr>
          <xdr:cNvPr id="409" name="Rechtwinkliges Dreieck 133">
            <a:extLst>
              <a:ext uri="{FF2B5EF4-FFF2-40B4-BE49-F238E27FC236}">
                <a16:creationId xmlns:a16="http://schemas.microsoft.com/office/drawing/2014/main" id="{00000000-0008-0000-0400-000099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10" name="Gerade Verbindung 134">
            <a:extLst>
              <a:ext uri="{FF2B5EF4-FFF2-40B4-BE49-F238E27FC236}">
                <a16:creationId xmlns:a16="http://schemas.microsoft.com/office/drawing/2014/main" id="{00000000-0008-0000-0400-00009A010000}"/>
              </a:ext>
            </a:extLst>
          </xdr:cNvPr>
          <xdr:cNvCxnSpPr>
            <a:stCxn id="409" idx="4"/>
            <a:endCxn id="40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11" name="Rechtwinkliges Dreieck 135">
            <a:extLst>
              <a:ext uri="{FF2B5EF4-FFF2-40B4-BE49-F238E27FC236}">
                <a16:creationId xmlns:a16="http://schemas.microsoft.com/office/drawing/2014/main" id="{00000000-0008-0000-0400-00009B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12" name="Gerade Verbindung 136">
            <a:extLst>
              <a:ext uri="{FF2B5EF4-FFF2-40B4-BE49-F238E27FC236}">
                <a16:creationId xmlns:a16="http://schemas.microsoft.com/office/drawing/2014/main" id="{00000000-0008-0000-0400-00009C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389829</xdr:colOff>
      <xdr:row>42</xdr:row>
      <xdr:rowOff>149284</xdr:rowOff>
    </xdr:from>
    <xdr:to>
      <xdr:col>14</xdr:col>
      <xdr:colOff>375</xdr:colOff>
      <xdr:row>44</xdr:row>
      <xdr:rowOff>25172</xdr:rowOff>
    </xdr:to>
    <xdr:grpSp>
      <xdr:nvGrpSpPr>
        <xdr:cNvPr id="413" name="Gruppieren 412">
          <a:extLst>
            <a:ext uri="{FF2B5EF4-FFF2-40B4-BE49-F238E27FC236}">
              <a16:creationId xmlns:a16="http://schemas.microsoft.com/office/drawing/2014/main" id="{00000000-0008-0000-0400-00009D010000}"/>
            </a:ext>
          </a:extLst>
        </xdr:cNvPr>
        <xdr:cNvGrpSpPr/>
      </xdr:nvGrpSpPr>
      <xdr:grpSpPr>
        <a:xfrm>
          <a:off x="5914329" y="7559734"/>
          <a:ext cx="124896" cy="199738"/>
          <a:chOff x="6665123" y="2144244"/>
          <a:chExt cx="126016" cy="200859"/>
        </a:xfrm>
      </xdr:grpSpPr>
      <xdr:sp macro="" textlink="">
        <xdr:nvSpPr>
          <xdr:cNvPr id="414" name="Rechtwinkliges Dreieck 133">
            <a:extLst>
              <a:ext uri="{FF2B5EF4-FFF2-40B4-BE49-F238E27FC236}">
                <a16:creationId xmlns:a16="http://schemas.microsoft.com/office/drawing/2014/main" id="{00000000-0008-0000-0400-00009E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15" name="Gerade Verbindung 134">
            <a:extLst>
              <a:ext uri="{FF2B5EF4-FFF2-40B4-BE49-F238E27FC236}">
                <a16:creationId xmlns:a16="http://schemas.microsoft.com/office/drawing/2014/main" id="{00000000-0008-0000-0400-00009F010000}"/>
              </a:ext>
            </a:extLst>
          </xdr:cNvPr>
          <xdr:cNvCxnSpPr>
            <a:stCxn id="414" idx="4"/>
            <a:endCxn id="41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16" name="Rechtwinkliges Dreieck 135">
            <a:extLst>
              <a:ext uri="{FF2B5EF4-FFF2-40B4-BE49-F238E27FC236}">
                <a16:creationId xmlns:a16="http://schemas.microsoft.com/office/drawing/2014/main" id="{00000000-0008-0000-0400-0000A0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17" name="Gerade Verbindung 136">
            <a:extLst>
              <a:ext uri="{FF2B5EF4-FFF2-40B4-BE49-F238E27FC236}">
                <a16:creationId xmlns:a16="http://schemas.microsoft.com/office/drawing/2014/main" id="{00000000-0008-0000-0400-0000A1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389829</xdr:colOff>
      <xdr:row>46</xdr:row>
      <xdr:rowOff>143991</xdr:rowOff>
    </xdr:from>
    <xdr:to>
      <xdr:col>14</xdr:col>
      <xdr:colOff>375</xdr:colOff>
      <xdr:row>48</xdr:row>
      <xdr:rowOff>19880</xdr:rowOff>
    </xdr:to>
    <xdr:grpSp>
      <xdr:nvGrpSpPr>
        <xdr:cNvPr id="418" name="Gruppieren 417">
          <a:extLst>
            <a:ext uri="{FF2B5EF4-FFF2-40B4-BE49-F238E27FC236}">
              <a16:creationId xmlns:a16="http://schemas.microsoft.com/office/drawing/2014/main" id="{00000000-0008-0000-0400-0000A2010000}"/>
            </a:ext>
          </a:extLst>
        </xdr:cNvPr>
        <xdr:cNvGrpSpPr/>
      </xdr:nvGrpSpPr>
      <xdr:grpSpPr>
        <a:xfrm>
          <a:off x="5914329" y="8202141"/>
          <a:ext cx="124896" cy="199739"/>
          <a:chOff x="6665123" y="2144244"/>
          <a:chExt cx="126016" cy="200859"/>
        </a:xfrm>
      </xdr:grpSpPr>
      <xdr:sp macro="" textlink="">
        <xdr:nvSpPr>
          <xdr:cNvPr id="419" name="Rechtwinkliges Dreieck 133">
            <a:extLst>
              <a:ext uri="{FF2B5EF4-FFF2-40B4-BE49-F238E27FC236}">
                <a16:creationId xmlns:a16="http://schemas.microsoft.com/office/drawing/2014/main" id="{00000000-0008-0000-0400-0000A3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20" name="Gerade Verbindung 134">
            <a:extLst>
              <a:ext uri="{FF2B5EF4-FFF2-40B4-BE49-F238E27FC236}">
                <a16:creationId xmlns:a16="http://schemas.microsoft.com/office/drawing/2014/main" id="{00000000-0008-0000-0400-0000A4010000}"/>
              </a:ext>
            </a:extLst>
          </xdr:cNvPr>
          <xdr:cNvCxnSpPr>
            <a:stCxn id="419" idx="4"/>
            <a:endCxn id="41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21" name="Rechtwinkliges Dreieck 135">
            <a:extLst>
              <a:ext uri="{FF2B5EF4-FFF2-40B4-BE49-F238E27FC236}">
                <a16:creationId xmlns:a16="http://schemas.microsoft.com/office/drawing/2014/main" id="{00000000-0008-0000-0400-0000A5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22" name="Gerade Verbindung 136">
            <a:extLst>
              <a:ext uri="{FF2B5EF4-FFF2-40B4-BE49-F238E27FC236}">
                <a16:creationId xmlns:a16="http://schemas.microsoft.com/office/drawing/2014/main" id="{00000000-0008-0000-0400-0000A6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12748</xdr:colOff>
      <xdr:row>48</xdr:row>
      <xdr:rowOff>147440</xdr:rowOff>
    </xdr:from>
    <xdr:to>
      <xdr:col>10</xdr:col>
      <xdr:colOff>138764</xdr:colOff>
      <xdr:row>50</xdr:row>
      <xdr:rowOff>21772</xdr:rowOff>
    </xdr:to>
    <xdr:grpSp>
      <xdr:nvGrpSpPr>
        <xdr:cNvPr id="423" name="Gruppieren 422">
          <a:extLst>
            <a:ext uri="{FF2B5EF4-FFF2-40B4-BE49-F238E27FC236}">
              <a16:creationId xmlns:a16="http://schemas.microsoft.com/office/drawing/2014/main" id="{00000000-0008-0000-0400-0000A7010000}"/>
            </a:ext>
          </a:extLst>
        </xdr:cNvPr>
        <xdr:cNvGrpSpPr/>
      </xdr:nvGrpSpPr>
      <xdr:grpSpPr>
        <a:xfrm flipH="1">
          <a:off x="4546648" y="8529440"/>
          <a:ext cx="126016" cy="198182"/>
          <a:chOff x="6665123" y="2144244"/>
          <a:chExt cx="126016" cy="200859"/>
        </a:xfrm>
      </xdr:grpSpPr>
      <xdr:sp macro="" textlink="">
        <xdr:nvSpPr>
          <xdr:cNvPr id="424" name="Rechtwinkliges Dreieck 133">
            <a:extLst>
              <a:ext uri="{FF2B5EF4-FFF2-40B4-BE49-F238E27FC236}">
                <a16:creationId xmlns:a16="http://schemas.microsoft.com/office/drawing/2014/main" id="{00000000-0008-0000-0400-0000A8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25" name="Gerade Verbindung 134">
            <a:extLst>
              <a:ext uri="{FF2B5EF4-FFF2-40B4-BE49-F238E27FC236}">
                <a16:creationId xmlns:a16="http://schemas.microsoft.com/office/drawing/2014/main" id="{00000000-0008-0000-0400-0000A9010000}"/>
              </a:ext>
            </a:extLst>
          </xdr:cNvPr>
          <xdr:cNvCxnSpPr>
            <a:stCxn id="424" idx="4"/>
            <a:endCxn id="42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26" name="Rechtwinkliges Dreieck 135">
            <a:extLst>
              <a:ext uri="{FF2B5EF4-FFF2-40B4-BE49-F238E27FC236}">
                <a16:creationId xmlns:a16="http://schemas.microsoft.com/office/drawing/2014/main" id="{00000000-0008-0000-0400-0000AA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27" name="Gerade Verbindung 136">
            <a:extLst>
              <a:ext uri="{FF2B5EF4-FFF2-40B4-BE49-F238E27FC236}">
                <a16:creationId xmlns:a16="http://schemas.microsoft.com/office/drawing/2014/main" id="{00000000-0008-0000-0400-0000AB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48</xdr:row>
      <xdr:rowOff>147442</xdr:rowOff>
    </xdr:from>
    <xdr:to>
      <xdr:col>5</xdr:col>
      <xdr:colOff>506766</xdr:colOff>
      <xdr:row>50</xdr:row>
      <xdr:rowOff>21774</xdr:rowOff>
    </xdr:to>
    <xdr:grpSp>
      <xdr:nvGrpSpPr>
        <xdr:cNvPr id="428" name="Gruppieren 427">
          <a:extLst>
            <a:ext uri="{FF2B5EF4-FFF2-40B4-BE49-F238E27FC236}">
              <a16:creationId xmlns:a16="http://schemas.microsoft.com/office/drawing/2014/main" id="{00000000-0008-0000-0400-0000AC010000}"/>
            </a:ext>
          </a:extLst>
        </xdr:cNvPr>
        <xdr:cNvGrpSpPr/>
      </xdr:nvGrpSpPr>
      <xdr:grpSpPr>
        <a:xfrm>
          <a:off x="2400050" y="8529442"/>
          <a:ext cx="126016" cy="198182"/>
          <a:chOff x="6665123" y="2144244"/>
          <a:chExt cx="126016" cy="200859"/>
        </a:xfrm>
      </xdr:grpSpPr>
      <xdr:sp macro="" textlink="">
        <xdr:nvSpPr>
          <xdr:cNvPr id="429" name="Rechtwinkliges Dreieck 133">
            <a:extLst>
              <a:ext uri="{FF2B5EF4-FFF2-40B4-BE49-F238E27FC236}">
                <a16:creationId xmlns:a16="http://schemas.microsoft.com/office/drawing/2014/main" id="{00000000-0008-0000-0400-0000AD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30" name="Gerade Verbindung 134">
            <a:extLst>
              <a:ext uri="{FF2B5EF4-FFF2-40B4-BE49-F238E27FC236}">
                <a16:creationId xmlns:a16="http://schemas.microsoft.com/office/drawing/2014/main" id="{00000000-0008-0000-0400-0000AE010000}"/>
              </a:ext>
            </a:extLst>
          </xdr:cNvPr>
          <xdr:cNvCxnSpPr>
            <a:stCxn id="429" idx="4"/>
            <a:endCxn id="42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31" name="Rechtwinkliges Dreieck 135">
            <a:extLst>
              <a:ext uri="{FF2B5EF4-FFF2-40B4-BE49-F238E27FC236}">
                <a16:creationId xmlns:a16="http://schemas.microsoft.com/office/drawing/2014/main" id="{00000000-0008-0000-0400-0000AF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32" name="Gerade Verbindung 136">
            <a:extLst>
              <a:ext uri="{FF2B5EF4-FFF2-40B4-BE49-F238E27FC236}">
                <a16:creationId xmlns:a16="http://schemas.microsoft.com/office/drawing/2014/main" id="{00000000-0008-0000-0400-0000B0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12748</xdr:colOff>
      <xdr:row>51</xdr:row>
      <xdr:rowOff>147440</xdr:rowOff>
    </xdr:from>
    <xdr:to>
      <xdr:col>10</xdr:col>
      <xdr:colOff>138764</xdr:colOff>
      <xdr:row>53</xdr:row>
      <xdr:rowOff>21772</xdr:rowOff>
    </xdr:to>
    <xdr:grpSp>
      <xdr:nvGrpSpPr>
        <xdr:cNvPr id="438" name="Gruppieren 437">
          <a:extLst>
            <a:ext uri="{FF2B5EF4-FFF2-40B4-BE49-F238E27FC236}">
              <a16:creationId xmlns:a16="http://schemas.microsoft.com/office/drawing/2014/main" id="{00000000-0008-0000-0400-0000B6010000}"/>
            </a:ext>
          </a:extLst>
        </xdr:cNvPr>
        <xdr:cNvGrpSpPr/>
      </xdr:nvGrpSpPr>
      <xdr:grpSpPr>
        <a:xfrm flipH="1">
          <a:off x="4546648" y="9015215"/>
          <a:ext cx="126016" cy="198182"/>
          <a:chOff x="6665123" y="2144244"/>
          <a:chExt cx="126016" cy="200859"/>
        </a:xfrm>
      </xdr:grpSpPr>
      <xdr:sp macro="" textlink="">
        <xdr:nvSpPr>
          <xdr:cNvPr id="439" name="Rechtwinkliges Dreieck 133">
            <a:extLst>
              <a:ext uri="{FF2B5EF4-FFF2-40B4-BE49-F238E27FC236}">
                <a16:creationId xmlns:a16="http://schemas.microsoft.com/office/drawing/2014/main" id="{00000000-0008-0000-0400-0000B7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40" name="Gerade Verbindung 134">
            <a:extLst>
              <a:ext uri="{FF2B5EF4-FFF2-40B4-BE49-F238E27FC236}">
                <a16:creationId xmlns:a16="http://schemas.microsoft.com/office/drawing/2014/main" id="{00000000-0008-0000-0400-0000B8010000}"/>
              </a:ext>
            </a:extLst>
          </xdr:cNvPr>
          <xdr:cNvCxnSpPr>
            <a:stCxn id="439" idx="4"/>
            <a:endCxn id="43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41" name="Rechtwinkliges Dreieck 135">
            <a:extLst>
              <a:ext uri="{FF2B5EF4-FFF2-40B4-BE49-F238E27FC236}">
                <a16:creationId xmlns:a16="http://schemas.microsoft.com/office/drawing/2014/main" id="{00000000-0008-0000-0400-0000B9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42" name="Gerade Verbindung 136">
            <a:extLst>
              <a:ext uri="{FF2B5EF4-FFF2-40B4-BE49-F238E27FC236}">
                <a16:creationId xmlns:a16="http://schemas.microsoft.com/office/drawing/2014/main" id="{00000000-0008-0000-0400-0000BA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58</xdr:row>
      <xdr:rowOff>147442</xdr:rowOff>
    </xdr:from>
    <xdr:to>
      <xdr:col>5</xdr:col>
      <xdr:colOff>506766</xdr:colOff>
      <xdr:row>60</xdr:row>
      <xdr:rowOff>21775</xdr:rowOff>
    </xdr:to>
    <xdr:grpSp>
      <xdr:nvGrpSpPr>
        <xdr:cNvPr id="448" name="Gruppieren 447">
          <a:extLst>
            <a:ext uri="{FF2B5EF4-FFF2-40B4-BE49-F238E27FC236}">
              <a16:creationId xmlns:a16="http://schemas.microsoft.com/office/drawing/2014/main" id="{00000000-0008-0000-0400-0000C0010000}"/>
            </a:ext>
          </a:extLst>
        </xdr:cNvPr>
        <xdr:cNvGrpSpPr/>
      </xdr:nvGrpSpPr>
      <xdr:grpSpPr>
        <a:xfrm>
          <a:off x="2400050" y="10062967"/>
          <a:ext cx="126016" cy="198183"/>
          <a:chOff x="6665123" y="2144244"/>
          <a:chExt cx="126016" cy="200859"/>
        </a:xfrm>
      </xdr:grpSpPr>
      <xdr:sp macro="" textlink="">
        <xdr:nvSpPr>
          <xdr:cNvPr id="449" name="Rechtwinkliges Dreieck 133">
            <a:extLst>
              <a:ext uri="{FF2B5EF4-FFF2-40B4-BE49-F238E27FC236}">
                <a16:creationId xmlns:a16="http://schemas.microsoft.com/office/drawing/2014/main" id="{00000000-0008-0000-0400-0000C1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50" name="Gerade Verbindung 134">
            <a:extLst>
              <a:ext uri="{FF2B5EF4-FFF2-40B4-BE49-F238E27FC236}">
                <a16:creationId xmlns:a16="http://schemas.microsoft.com/office/drawing/2014/main" id="{00000000-0008-0000-0400-0000C2010000}"/>
              </a:ext>
            </a:extLst>
          </xdr:cNvPr>
          <xdr:cNvCxnSpPr>
            <a:stCxn id="449" idx="4"/>
            <a:endCxn id="44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51" name="Rechtwinkliges Dreieck 135">
            <a:extLst>
              <a:ext uri="{FF2B5EF4-FFF2-40B4-BE49-F238E27FC236}">
                <a16:creationId xmlns:a16="http://schemas.microsoft.com/office/drawing/2014/main" id="{00000000-0008-0000-0400-0000C3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52" name="Gerade Verbindung 136">
            <a:extLst>
              <a:ext uri="{FF2B5EF4-FFF2-40B4-BE49-F238E27FC236}">
                <a16:creationId xmlns:a16="http://schemas.microsoft.com/office/drawing/2014/main" id="{00000000-0008-0000-0400-0000C4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389829</xdr:colOff>
      <xdr:row>57</xdr:row>
      <xdr:rowOff>143991</xdr:rowOff>
    </xdr:from>
    <xdr:to>
      <xdr:col>14</xdr:col>
      <xdr:colOff>375</xdr:colOff>
      <xdr:row>59</xdr:row>
      <xdr:rowOff>19879</xdr:rowOff>
    </xdr:to>
    <xdr:grpSp>
      <xdr:nvGrpSpPr>
        <xdr:cNvPr id="453" name="Gruppieren 452">
          <a:extLst>
            <a:ext uri="{FF2B5EF4-FFF2-40B4-BE49-F238E27FC236}">
              <a16:creationId xmlns:a16="http://schemas.microsoft.com/office/drawing/2014/main" id="{00000000-0008-0000-0400-0000C5010000}"/>
            </a:ext>
          </a:extLst>
        </xdr:cNvPr>
        <xdr:cNvGrpSpPr/>
      </xdr:nvGrpSpPr>
      <xdr:grpSpPr>
        <a:xfrm>
          <a:off x="5914329" y="9897591"/>
          <a:ext cx="124896" cy="199738"/>
          <a:chOff x="6665123" y="2144244"/>
          <a:chExt cx="126016" cy="200859"/>
        </a:xfrm>
      </xdr:grpSpPr>
      <xdr:sp macro="" textlink="">
        <xdr:nvSpPr>
          <xdr:cNvPr id="454" name="Rechtwinkliges Dreieck 133">
            <a:extLst>
              <a:ext uri="{FF2B5EF4-FFF2-40B4-BE49-F238E27FC236}">
                <a16:creationId xmlns:a16="http://schemas.microsoft.com/office/drawing/2014/main" id="{00000000-0008-0000-0400-0000C6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55" name="Gerade Verbindung 134">
            <a:extLst>
              <a:ext uri="{FF2B5EF4-FFF2-40B4-BE49-F238E27FC236}">
                <a16:creationId xmlns:a16="http://schemas.microsoft.com/office/drawing/2014/main" id="{00000000-0008-0000-0400-0000C7010000}"/>
              </a:ext>
            </a:extLst>
          </xdr:cNvPr>
          <xdr:cNvCxnSpPr>
            <a:stCxn id="454" idx="4"/>
            <a:endCxn id="45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56" name="Rechtwinkliges Dreieck 135">
            <a:extLst>
              <a:ext uri="{FF2B5EF4-FFF2-40B4-BE49-F238E27FC236}">
                <a16:creationId xmlns:a16="http://schemas.microsoft.com/office/drawing/2014/main" id="{00000000-0008-0000-0400-0000C8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57" name="Gerade Verbindung 136">
            <a:extLst>
              <a:ext uri="{FF2B5EF4-FFF2-40B4-BE49-F238E27FC236}">
                <a16:creationId xmlns:a16="http://schemas.microsoft.com/office/drawing/2014/main" id="{00000000-0008-0000-0400-0000C9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389829</xdr:colOff>
      <xdr:row>59</xdr:row>
      <xdr:rowOff>143990</xdr:rowOff>
    </xdr:from>
    <xdr:to>
      <xdr:col>14</xdr:col>
      <xdr:colOff>375</xdr:colOff>
      <xdr:row>61</xdr:row>
      <xdr:rowOff>19879</xdr:rowOff>
    </xdr:to>
    <xdr:grpSp>
      <xdr:nvGrpSpPr>
        <xdr:cNvPr id="458" name="Gruppieren 457">
          <a:extLst>
            <a:ext uri="{FF2B5EF4-FFF2-40B4-BE49-F238E27FC236}">
              <a16:creationId xmlns:a16="http://schemas.microsoft.com/office/drawing/2014/main" id="{00000000-0008-0000-0400-0000CA010000}"/>
            </a:ext>
          </a:extLst>
        </xdr:cNvPr>
        <xdr:cNvGrpSpPr/>
      </xdr:nvGrpSpPr>
      <xdr:grpSpPr>
        <a:xfrm>
          <a:off x="5914329" y="10221440"/>
          <a:ext cx="124896" cy="199739"/>
          <a:chOff x="6665123" y="2144244"/>
          <a:chExt cx="126016" cy="200859"/>
        </a:xfrm>
      </xdr:grpSpPr>
      <xdr:sp macro="" textlink="">
        <xdr:nvSpPr>
          <xdr:cNvPr id="459" name="Rechtwinkliges Dreieck 133">
            <a:extLst>
              <a:ext uri="{FF2B5EF4-FFF2-40B4-BE49-F238E27FC236}">
                <a16:creationId xmlns:a16="http://schemas.microsoft.com/office/drawing/2014/main" id="{00000000-0008-0000-0400-0000CB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60" name="Gerade Verbindung 134">
            <a:extLst>
              <a:ext uri="{FF2B5EF4-FFF2-40B4-BE49-F238E27FC236}">
                <a16:creationId xmlns:a16="http://schemas.microsoft.com/office/drawing/2014/main" id="{00000000-0008-0000-0400-0000CC010000}"/>
              </a:ext>
            </a:extLst>
          </xdr:cNvPr>
          <xdr:cNvCxnSpPr>
            <a:stCxn id="459" idx="4"/>
            <a:endCxn id="45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61" name="Rechtwinkliges Dreieck 135">
            <a:extLst>
              <a:ext uri="{FF2B5EF4-FFF2-40B4-BE49-F238E27FC236}">
                <a16:creationId xmlns:a16="http://schemas.microsoft.com/office/drawing/2014/main" id="{00000000-0008-0000-0400-0000CD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62" name="Gerade Verbindung 136">
            <a:extLst>
              <a:ext uri="{FF2B5EF4-FFF2-40B4-BE49-F238E27FC236}">
                <a16:creationId xmlns:a16="http://schemas.microsoft.com/office/drawing/2014/main" id="{00000000-0008-0000-0400-0000CE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15</xdr:col>
      <xdr:colOff>12751</xdr:colOff>
      <xdr:row>57</xdr:row>
      <xdr:rowOff>147417</xdr:rowOff>
    </xdr:from>
    <xdr:to>
      <xdr:col>15</xdr:col>
      <xdr:colOff>138767</xdr:colOff>
      <xdr:row>59</xdr:row>
      <xdr:rowOff>21749</xdr:rowOff>
    </xdr:to>
    <xdr:grpSp>
      <xdr:nvGrpSpPr>
        <xdr:cNvPr id="463" name="Gruppieren 462">
          <a:extLst>
            <a:ext uri="{FF2B5EF4-FFF2-40B4-BE49-F238E27FC236}">
              <a16:creationId xmlns:a16="http://schemas.microsoft.com/office/drawing/2014/main" id="{00000000-0008-0000-0400-0000CF010000}"/>
            </a:ext>
          </a:extLst>
        </xdr:cNvPr>
        <xdr:cNvGrpSpPr/>
      </xdr:nvGrpSpPr>
      <xdr:grpSpPr>
        <a:xfrm flipH="1">
          <a:off x="6223051" y="9901017"/>
          <a:ext cx="126016" cy="198182"/>
          <a:chOff x="6665123" y="2144244"/>
          <a:chExt cx="126016" cy="200859"/>
        </a:xfrm>
      </xdr:grpSpPr>
      <xdr:sp macro="" textlink="">
        <xdr:nvSpPr>
          <xdr:cNvPr id="464" name="Rechtwinkliges Dreieck 133">
            <a:extLst>
              <a:ext uri="{FF2B5EF4-FFF2-40B4-BE49-F238E27FC236}">
                <a16:creationId xmlns:a16="http://schemas.microsoft.com/office/drawing/2014/main" id="{00000000-0008-0000-0400-0000D0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65" name="Gerade Verbindung 134">
            <a:extLst>
              <a:ext uri="{FF2B5EF4-FFF2-40B4-BE49-F238E27FC236}">
                <a16:creationId xmlns:a16="http://schemas.microsoft.com/office/drawing/2014/main" id="{00000000-0008-0000-0400-0000D1010000}"/>
              </a:ext>
            </a:extLst>
          </xdr:cNvPr>
          <xdr:cNvCxnSpPr>
            <a:stCxn id="464" idx="4"/>
            <a:endCxn id="46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66" name="Rechtwinkliges Dreieck 135">
            <a:extLst>
              <a:ext uri="{FF2B5EF4-FFF2-40B4-BE49-F238E27FC236}">
                <a16:creationId xmlns:a16="http://schemas.microsoft.com/office/drawing/2014/main" id="{00000000-0008-0000-0400-0000D2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67" name="Gerade Verbindung 136">
            <a:extLst>
              <a:ext uri="{FF2B5EF4-FFF2-40B4-BE49-F238E27FC236}">
                <a16:creationId xmlns:a16="http://schemas.microsoft.com/office/drawing/2014/main" id="{00000000-0008-0000-0400-0000D3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17739</xdr:colOff>
      <xdr:row>64</xdr:row>
      <xdr:rowOff>147416</xdr:rowOff>
    </xdr:from>
    <xdr:to>
      <xdr:col>10</xdr:col>
      <xdr:colOff>143755</xdr:colOff>
      <xdr:row>66</xdr:row>
      <xdr:rowOff>21749</xdr:rowOff>
    </xdr:to>
    <xdr:grpSp>
      <xdr:nvGrpSpPr>
        <xdr:cNvPr id="468" name="Gruppieren 467">
          <a:extLst>
            <a:ext uri="{FF2B5EF4-FFF2-40B4-BE49-F238E27FC236}">
              <a16:creationId xmlns:a16="http://schemas.microsoft.com/office/drawing/2014/main" id="{00000000-0008-0000-0400-0000D4010000}"/>
            </a:ext>
          </a:extLst>
        </xdr:cNvPr>
        <xdr:cNvGrpSpPr/>
      </xdr:nvGrpSpPr>
      <xdr:grpSpPr>
        <a:xfrm flipH="1">
          <a:off x="4551639" y="11034491"/>
          <a:ext cx="126016" cy="198183"/>
          <a:chOff x="6665123" y="2144244"/>
          <a:chExt cx="126016" cy="200859"/>
        </a:xfrm>
      </xdr:grpSpPr>
      <xdr:sp macro="" textlink="">
        <xdr:nvSpPr>
          <xdr:cNvPr id="469" name="Rechtwinkliges Dreieck 133">
            <a:extLst>
              <a:ext uri="{FF2B5EF4-FFF2-40B4-BE49-F238E27FC236}">
                <a16:creationId xmlns:a16="http://schemas.microsoft.com/office/drawing/2014/main" id="{00000000-0008-0000-0400-0000D5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70" name="Gerade Verbindung 134">
            <a:extLst>
              <a:ext uri="{FF2B5EF4-FFF2-40B4-BE49-F238E27FC236}">
                <a16:creationId xmlns:a16="http://schemas.microsoft.com/office/drawing/2014/main" id="{00000000-0008-0000-0400-0000D6010000}"/>
              </a:ext>
            </a:extLst>
          </xdr:cNvPr>
          <xdr:cNvCxnSpPr>
            <a:stCxn id="469" idx="4"/>
            <a:endCxn id="46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71" name="Rechtwinkliges Dreieck 135">
            <a:extLst>
              <a:ext uri="{FF2B5EF4-FFF2-40B4-BE49-F238E27FC236}">
                <a16:creationId xmlns:a16="http://schemas.microsoft.com/office/drawing/2014/main" id="{00000000-0008-0000-0400-0000D7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72" name="Gerade Verbindung 136">
            <a:extLst>
              <a:ext uri="{FF2B5EF4-FFF2-40B4-BE49-F238E27FC236}">
                <a16:creationId xmlns:a16="http://schemas.microsoft.com/office/drawing/2014/main" id="{00000000-0008-0000-0400-0000D8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389829</xdr:colOff>
      <xdr:row>66</xdr:row>
      <xdr:rowOff>159909</xdr:rowOff>
    </xdr:from>
    <xdr:to>
      <xdr:col>14</xdr:col>
      <xdr:colOff>375</xdr:colOff>
      <xdr:row>68</xdr:row>
      <xdr:rowOff>16403</xdr:rowOff>
    </xdr:to>
    <xdr:grpSp>
      <xdr:nvGrpSpPr>
        <xdr:cNvPr id="473" name="Gruppieren 472">
          <a:extLst>
            <a:ext uri="{FF2B5EF4-FFF2-40B4-BE49-F238E27FC236}">
              <a16:creationId xmlns:a16="http://schemas.microsoft.com/office/drawing/2014/main" id="{00000000-0008-0000-0400-0000D9010000}"/>
            </a:ext>
          </a:extLst>
        </xdr:cNvPr>
        <xdr:cNvGrpSpPr/>
      </xdr:nvGrpSpPr>
      <xdr:grpSpPr>
        <a:xfrm>
          <a:off x="5914329" y="11370834"/>
          <a:ext cx="124896" cy="180344"/>
          <a:chOff x="6665123" y="2144244"/>
          <a:chExt cx="126016" cy="200859"/>
        </a:xfrm>
      </xdr:grpSpPr>
      <xdr:sp macro="" textlink="">
        <xdr:nvSpPr>
          <xdr:cNvPr id="474" name="Rechtwinkliges Dreieck 133">
            <a:extLst>
              <a:ext uri="{FF2B5EF4-FFF2-40B4-BE49-F238E27FC236}">
                <a16:creationId xmlns:a16="http://schemas.microsoft.com/office/drawing/2014/main" id="{00000000-0008-0000-0400-0000DA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75" name="Gerade Verbindung 134">
            <a:extLst>
              <a:ext uri="{FF2B5EF4-FFF2-40B4-BE49-F238E27FC236}">
                <a16:creationId xmlns:a16="http://schemas.microsoft.com/office/drawing/2014/main" id="{00000000-0008-0000-0400-0000DB010000}"/>
              </a:ext>
            </a:extLst>
          </xdr:cNvPr>
          <xdr:cNvCxnSpPr>
            <a:stCxn id="474" idx="4"/>
            <a:endCxn id="47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76" name="Rechtwinkliges Dreieck 135">
            <a:extLst>
              <a:ext uri="{FF2B5EF4-FFF2-40B4-BE49-F238E27FC236}">
                <a16:creationId xmlns:a16="http://schemas.microsoft.com/office/drawing/2014/main" id="{00000000-0008-0000-0400-0000DC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77" name="Gerade Verbindung 136">
            <a:extLst>
              <a:ext uri="{FF2B5EF4-FFF2-40B4-BE49-F238E27FC236}">
                <a16:creationId xmlns:a16="http://schemas.microsoft.com/office/drawing/2014/main" id="{00000000-0008-0000-0400-0000DD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383069</xdr:colOff>
      <xdr:row>69</xdr:row>
      <xdr:rowOff>147417</xdr:rowOff>
    </xdr:from>
    <xdr:to>
      <xdr:col>5</xdr:col>
      <xdr:colOff>509085</xdr:colOff>
      <xdr:row>71</xdr:row>
      <xdr:rowOff>21750</xdr:rowOff>
    </xdr:to>
    <xdr:grpSp>
      <xdr:nvGrpSpPr>
        <xdr:cNvPr id="478" name="Gruppieren 477">
          <a:extLst>
            <a:ext uri="{FF2B5EF4-FFF2-40B4-BE49-F238E27FC236}">
              <a16:creationId xmlns:a16="http://schemas.microsoft.com/office/drawing/2014/main" id="{00000000-0008-0000-0400-0000DE010000}"/>
            </a:ext>
          </a:extLst>
        </xdr:cNvPr>
        <xdr:cNvGrpSpPr/>
      </xdr:nvGrpSpPr>
      <xdr:grpSpPr>
        <a:xfrm>
          <a:off x="2402369" y="11844117"/>
          <a:ext cx="126016" cy="198183"/>
          <a:chOff x="6665123" y="2144244"/>
          <a:chExt cx="126016" cy="200859"/>
        </a:xfrm>
      </xdr:grpSpPr>
      <xdr:sp macro="" textlink="">
        <xdr:nvSpPr>
          <xdr:cNvPr id="479" name="Rechtwinkliges Dreieck 133">
            <a:extLst>
              <a:ext uri="{FF2B5EF4-FFF2-40B4-BE49-F238E27FC236}">
                <a16:creationId xmlns:a16="http://schemas.microsoft.com/office/drawing/2014/main" id="{00000000-0008-0000-0400-0000DF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80" name="Gerade Verbindung 134">
            <a:extLst>
              <a:ext uri="{FF2B5EF4-FFF2-40B4-BE49-F238E27FC236}">
                <a16:creationId xmlns:a16="http://schemas.microsoft.com/office/drawing/2014/main" id="{00000000-0008-0000-0400-0000E0010000}"/>
              </a:ext>
            </a:extLst>
          </xdr:cNvPr>
          <xdr:cNvCxnSpPr>
            <a:stCxn id="479" idx="4"/>
            <a:endCxn id="47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81" name="Rechtwinkliges Dreieck 135">
            <a:extLst>
              <a:ext uri="{FF2B5EF4-FFF2-40B4-BE49-F238E27FC236}">
                <a16:creationId xmlns:a16="http://schemas.microsoft.com/office/drawing/2014/main" id="{00000000-0008-0000-0400-0000E1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82" name="Gerade Verbindung 136">
            <a:extLst>
              <a:ext uri="{FF2B5EF4-FFF2-40B4-BE49-F238E27FC236}">
                <a16:creationId xmlns:a16="http://schemas.microsoft.com/office/drawing/2014/main" id="{00000000-0008-0000-0400-0000E2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389829</xdr:colOff>
      <xdr:row>69</xdr:row>
      <xdr:rowOff>143990</xdr:rowOff>
    </xdr:from>
    <xdr:to>
      <xdr:col>14</xdr:col>
      <xdr:colOff>375</xdr:colOff>
      <xdr:row>71</xdr:row>
      <xdr:rowOff>19879</xdr:rowOff>
    </xdr:to>
    <xdr:grpSp>
      <xdr:nvGrpSpPr>
        <xdr:cNvPr id="483" name="Gruppieren 482">
          <a:extLst>
            <a:ext uri="{FF2B5EF4-FFF2-40B4-BE49-F238E27FC236}">
              <a16:creationId xmlns:a16="http://schemas.microsoft.com/office/drawing/2014/main" id="{00000000-0008-0000-0400-0000E3010000}"/>
            </a:ext>
          </a:extLst>
        </xdr:cNvPr>
        <xdr:cNvGrpSpPr/>
      </xdr:nvGrpSpPr>
      <xdr:grpSpPr>
        <a:xfrm>
          <a:off x="5914329" y="11840690"/>
          <a:ext cx="124896" cy="199739"/>
          <a:chOff x="6665123" y="2144244"/>
          <a:chExt cx="126016" cy="200859"/>
        </a:xfrm>
      </xdr:grpSpPr>
      <xdr:sp macro="" textlink="">
        <xdr:nvSpPr>
          <xdr:cNvPr id="484" name="Rechtwinkliges Dreieck 133">
            <a:extLst>
              <a:ext uri="{FF2B5EF4-FFF2-40B4-BE49-F238E27FC236}">
                <a16:creationId xmlns:a16="http://schemas.microsoft.com/office/drawing/2014/main" id="{00000000-0008-0000-0400-0000E4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85" name="Gerade Verbindung 134">
            <a:extLst>
              <a:ext uri="{FF2B5EF4-FFF2-40B4-BE49-F238E27FC236}">
                <a16:creationId xmlns:a16="http://schemas.microsoft.com/office/drawing/2014/main" id="{00000000-0008-0000-0400-0000E5010000}"/>
              </a:ext>
            </a:extLst>
          </xdr:cNvPr>
          <xdr:cNvCxnSpPr>
            <a:stCxn id="484" idx="4"/>
            <a:endCxn id="48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86" name="Rechtwinkliges Dreieck 135">
            <a:extLst>
              <a:ext uri="{FF2B5EF4-FFF2-40B4-BE49-F238E27FC236}">
                <a16:creationId xmlns:a16="http://schemas.microsoft.com/office/drawing/2014/main" id="{00000000-0008-0000-0400-0000E6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87" name="Gerade Verbindung 136">
            <a:extLst>
              <a:ext uri="{FF2B5EF4-FFF2-40B4-BE49-F238E27FC236}">
                <a16:creationId xmlns:a16="http://schemas.microsoft.com/office/drawing/2014/main" id="{00000000-0008-0000-0400-0000E7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384537</xdr:colOff>
      <xdr:row>69</xdr:row>
      <xdr:rowOff>143990</xdr:rowOff>
    </xdr:from>
    <xdr:to>
      <xdr:col>17</xdr:col>
      <xdr:colOff>508375</xdr:colOff>
      <xdr:row>71</xdr:row>
      <xdr:rowOff>19879</xdr:rowOff>
    </xdr:to>
    <xdr:grpSp>
      <xdr:nvGrpSpPr>
        <xdr:cNvPr id="488" name="Gruppieren 487">
          <a:extLst>
            <a:ext uri="{FF2B5EF4-FFF2-40B4-BE49-F238E27FC236}">
              <a16:creationId xmlns:a16="http://schemas.microsoft.com/office/drawing/2014/main" id="{00000000-0008-0000-0400-0000E8010000}"/>
            </a:ext>
          </a:extLst>
        </xdr:cNvPr>
        <xdr:cNvGrpSpPr/>
      </xdr:nvGrpSpPr>
      <xdr:grpSpPr>
        <a:xfrm>
          <a:off x="7013937" y="11840690"/>
          <a:ext cx="123838" cy="199739"/>
          <a:chOff x="6665123" y="2144244"/>
          <a:chExt cx="126016" cy="200859"/>
        </a:xfrm>
      </xdr:grpSpPr>
      <xdr:sp macro="" textlink="">
        <xdr:nvSpPr>
          <xdr:cNvPr id="489" name="Rechtwinkliges Dreieck 133">
            <a:extLst>
              <a:ext uri="{FF2B5EF4-FFF2-40B4-BE49-F238E27FC236}">
                <a16:creationId xmlns:a16="http://schemas.microsoft.com/office/drawing/2014/main" id="{00000000-0008-0000-0400-0000E9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90" name="Gerade Verbindung 134">
            <a:extLst>
              <a:ext uri="{FF2B5EF4-FFF2-40B4-BE49-F238E27FC236}">
                <a16:creationId xmlns:a16="http://schemas.microsoft.com/office/drawing/2014/main" id="{00000000-0008-0000-0400-0000EA010000}"/>
              </a:ext>
            </a:extLst>
          </xdr:cNvPr>
          <xdr:cNvCxnSpPr>
            <a:stCxn id="489" idx="4"/>
            <a:endCxn id="48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91" name="Rechtwinkliges Dreieck 135">
            <a:extLst>
              <a:ext uri="{FF2B5EF4-FFF2-40B4-BE49-F238E27FC236}">
                <a16:creationId xmlns:a16="http://schemas.microsoft.com/office/drawing/2014/main" id="{00000000-0008-0000-0400-0000EB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92" name="Gerade Verbindung 136">
            <a:extLst>
              <a:ext uri="{FF2B5EF4-FFF2-40B4-BE49-F238E27FC236}">
                <a16:creationId xmlns:a16="http://schemas.microsoft.com/office/drawing/2014/main" id="{00000000-0008-0000-0400-0000EC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389829</xdr:colOff>
      <xdr:row>11</xdr:row>
      <xdr:rowOff>143993</xdr:rowOff>
    </xdr:from>
    <xdr:to>
      <xdr:col>14</xdr:col>
      <xdr:colOff>375</xdr:colOff>
      <xdr:row>13</xdr:row>
      <xdr:rowOff>19882</xdr:rowOff>
    </xdr:to>
    <xdr:grpSp>
      <xdr:nvGrpSpPr>
        <xdr:cNvPr id="232" name="Gruppieren 231">
          <a:extLst>
            <a:ext uri="{FF2B5EF4-FFF2-40B4-BE49-F238E27FC236}">
              <a16:creationId xmlns:a16="http://schemas.microsoft.com/office/drawing/2014/main" id="{00000000-0008-0000-0400-0000E8000000}"/>
            </a:ext>
          </a:extLst>
        </xdr:cNvPr>
        <xdr:cNvGrpSpPr/>
      </xdr:nvGrpSpPr>
      <xdr:grpSpPr>
        <a:xfrm>
          <a:off x="5914329" y="2534768"/>
          <a:ext cx="124896" cy="199739"/>
          <a:chOff x="6665123" y="2144244"/>
          <a:chExt cx="126016" cy="200859"/>
        </a:xfrm>
      </xdr:grpSpPr>
      <xdr:sp macro="" textlink="">
        <xdr:nvSpPr>
          <xdr:cNvPr id="233" name="Rechtwinkliges Dreieck 133">
            <a:extLst>
              <a:ext uri="{FF2B5EF4-FFF2-40B4-BE49-F238E27FC236}">
                <a16:creationId xmlns:a16="http://schemas.microsoft.com/office/drawing/2014/main" id="{00000000-0008-0000-0400-0000E900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34" name="Gerade Verbindung 134">
            <a:extLst>
              <a:ext uri="{FF2B5EF4-FFF2-40B4-BE49-F238E27FC236}">
                <a16:creationId xmlns:a16="http://schemas.microsoft.com/office/drawing/2014/main" id="{00000000-0008-0000-0400-0000EA000000}"/>
              </a:ext>
            </a:extLst>
          </xdr:cNvPr>
          <xdr:cNvCxnSpPr>
            <a:stCxn id="233" idx="4"/>
            <a:endCxn id="233"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35" name="Rechtwinkliges Dreieck 135">
            <a:extLst>
              <a:ext uri="{FF2B5EF4-FFF2-40B4-BE49-F238E27FC236}">
                <a16:creationId xmlns:a16="http://schemas.microsoft.com/office/drawing/2014/main" id="{00000000-0008-0000-0400-0000EB00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36" name="Gerade Verbindung 136">
            <a:extLst>
              <a:ext uri="{FF2B5EF4-FFF2-40B4-BE49-F238E27FC236}">
                <a16:creationId xmlns:a16="http://schemas.microsoft.com/office/drawing/2014/main" id="{00000000-0008-0000-0400-0000EC00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52</xdr:row>
      <xdr:rowOff>147442</xdr:rowOff>
    </xdr:from>
    <xdr:to>
      <xdr:col>5</xdr:col>
      <xdr:colOff>506766</xdr:colOff>
      <xdr:row>54</xdr:row>
      <xdr:rowOff>21774</xdr:rowOff>
    </xdr:to>
    <xdr:grpSp>
      <xdr:nvGrpSpPr>
        <xdr:cNvPr id="252" name="Gruppieren 251">
          <a:extLst>
            <a:ext uri="{FF2B5EF4-FFF2-40B4-BE49-F238E27FC236}">
              <a16:creationId xmlns:a16="http://schemas.microsoft.com/office/drawing/2014/main" id="{00000000-0008-0000-0400-0000FC000000}"/>
            </a:ext>
          </a:extLst>
        </xdr:cNvPr>
        <xdr:cNvGrpSpPr/>
      </xdr:nvGrpSpPr>
      <xdr:grpSpPr>
        <a:xfrm>
          <a:off x="2400050" y="9177142"/>
          <a:ext cx="126016" cy="198182"/>
          <a:chOff x="6665123" y="2144244"/>
          <a:chExt cx="126016" cy="200859"/>
        </a:xfrm>
      </xdr:grpSpPr>
      <xdr:sp macro="" textlink="">
        <xdr:nvSpPr>
          <xdr:cNvPr id="253" name="Rechtwinkliges Dreieck 133">
            <a:extLst>
              <a:ext uri="{FF2B5EF4-FFF2-40B4-BE49-F238E27FC236}">
                <a16:creationId xmlns:a16="http://schemas.microsoft.com/office/drawing/2014/main" id="{00000000-0008-0000-0400-0000FD00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54" name="Gerade Verbindung 134">
            <a:extLst>
              <a:ext uri="{FF2B5EF4-FFF2-40B4-BE49-F238E27FC236}">
                <a16:creationId xmlns:a16="http://schemas.microsoft.com/office/drawing/2014/main" id="{00000000-0008-0000-0400-0000FE000000}"/>
              </a:ext>
            </a:extLst>
          </xdr:cNvPr>
          <xdr:cNvCxnSpPr>
            <a:stCxn id="253" idx="4"/>
            <a:endCxn id="253"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55" name="Rechtwinkliges Dreieck 135">
            <a:extLst>
              <a:ext uri="{FF2B5EF4-FFF2-40B4-BE49-F238E27FC236}">
                <a16:creationId xmlns:a16="http://schemas.microsoft.com/office/drawing/2014/main" id="{00000000-0008-0000-0400-0000FF00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56" name="Gerade Verbindung 136">
            <a:extLst>
              <a:ext uri="{FF2B5EF4-FFF2-40B4-BE49-F238E27FC236}">
                <a16:creationId xmlns:a16="http://schemas.microsoft.com/office/drawing/2014/main" id="{00000000-0008-0000-0400-000000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3223</xdr:colOff>
      <xdr:row>42</xdr:row>
      <xdr:rowOff>147438</xdr:rowOff>
    </xdr:from>
    <xdr:to>
      <xdr:col>0</xdr:col>
      <xdr:colOff>129239</xdr:colOff>
      <xdr:row>44</xdr:row>
      <xdr:rowOff>21771</xdr:rowOff>
    </xdr:to>
    <xdr:grpSp>
      <xdr:nvGrpSpPr>
        <xdr:cNvPr id="251" name="Gruppieren 250">
          <a:extLst>
            <a:ext uri="{FF2B5EF4-FFF2-40B4-BE49-F238E27FC236}">
              <a16:creationId xmlns:a16="http://schemas.microsoft.com/office/drawing/2014/main" id="{00000000-0008-0000-0400-0000FB000000}"/>
            </a:ext>
          </a:extLst>
        </xdr:cNvPr>
        <xdr:cNvGrpSpPr/>
      </xdr:nvGrpSpPr>
      <xdr:grpSpPr>
        <a:xfrm flipH="1">
          <a:off x="3223" y="7557888"/>
          <a:ext cx="126016" cy="198183"/>
          <a:chOff x="6665123" y="2144244"/>
          <a:chExt cx="126016" cy="200859"/>
        </a:xfrm>
      </xdr:grpSpPr>
      <xdr:sp macro="" textlink="">
        <xdr:nvSpPr>
          <xdr:cNvPr id="257" name="Rechtwinkliges Dreieck 133">
            <a:extLst>
              <a:ext uri="{FF2B5EF4-FFF2-40B4-BE49-F238E27FC236}">
                <a16:creationId xmlns:a16="http://schemas.microsoft.com/office/drawing/2014/main" id="{00000000-0008-0000-0400-00000101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58" name="Gerade Verbindung 134">
            <a:extLst>
              <a:ext uri="{FF2B5EF4-FFF2-40B4-BE49-F238E27FC236}">
                <a16:creationId xmlns:a16="http://schemas.microsoft.com/office/drawing/2014/main" id="{00000000-0008-0000-0400-000002010000}"/>
              </a:ext>
            </a:extLst>
          </xdr:cNvPr>
          <xdr:cNvCxnSpPr>
            <a:stCxn id="257" idx="4"/>
            <a:endCxn id="257"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71" name="Rechtwinkliges Dreieck 135">
            <a:extLst>
              <a:ext uri="{FF2B5EF4-FFF2-40B4-BE49-F238E27FC236}">
                <a16:creationId xmlns:a16="http://schemas.microsoft.com/office/drawing/2014/main" id="{00000000-0008-0000-0400-00000F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72" name="Gerade Verbindung 136">
            <a:extLst>
              <a:ext uri="{FF2B5EF4-FFF2-40B4-BE49-F238E27FC236}">
                <a16:creationId xmlns:a16="http://schemas.microsoft.com/office/drawing/2014/main" id="{00000000-0008-0000-0400-000010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3223</xdr:colOff>
      <xdr:row>46</xdr:row>
      <xdr:rowOff>142676</xdr:rowOff>
    </xdr:from>
    <xdr:to>
      <xdr:col>0</xdr:col>
      <xdr:colOff>129239</xdr:colOff>
      <xdr:row>48</xdr:row>
      <xdr:rowOff>17009</xdr:rowOff>
    </xdr:to>
    <xdr:grpSp>
      <xdr:nvGrpSpPr>
        <xdr:cNvPr id="278" name="Gruppieren 277">
          <a:extLst>
            <a:ext uri="{FF2B5EF4-FFF2-40B4-BE49-F238E27FC236}">
              <a16:creationId xmlns:a16="http://schemas.microsoft.com/office/drawing/2014/main" id="{00000000-0008-0000-0400-000016010000}"/>
            </a:ext>
          </a:extLst>
        </xdr:cNvPr>
        <xdr:cNvGrpSpPr/>
      </xdr:nvGrpSpPr>
      <xdr:grpSpPr>
        <a:xfrm flipH="1">
          <a:off x="3223" y="8200826"/>
          <a:ext cx="126016" cy="198183"/>
          <a:chOff x="6665123" y="2144244"/>
          <a:chExt cx="126016" cy="200859"/>
        </a:xfrm>
      </xdr:grpSpPr>
      <xdr:sp macro="" textlink="">
        <xdr:nvSpPr>
          <xdr:cNvPr id="373" name="Rechtwinkliges Dreieck 133">
            <a:extLst>
              <a:ext uri="{FF2B5EF4-FFF2-40B4-BE49-F238E27FC236}">
                <a16:creationId xmlns:a16="http://schemas.microsoft.com/office/drawing/2014/main" id="{00000000-0008-0000-0400-00007501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74" name="Gerade Verbindung 134">
            <a:extLst>
              <a:ext uri="{FF2B5EF4-FFF2-40B4-BE49-F238E27FC236}">
                <a16:creationId xmlns:a16="http://schemas.microsoft.com/office/drawing/2014/main" id="{00000000-0008-0000-0400-000076010000}"/>
              </a:ext>
            </a:extLst>
          </xdr:cNvPr>
          <xdr:cNvCxnSpPr>
            <a:stCxn id="373" idx="4"/>
            <a:endCxn id="373"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75" name="Rechtwinkliges Dreieck 135">
            <a:extLst>
              <a:ext uri="{FF2B5EF4-FFF2-40B4-BE49-F238E27FC236}">
                <a16:creationId xmlns:a16="http://schemas.microsoft.com/office/drawing/2014/main" id="{00000000-0008-0000-0400-000077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76" name="Gerade Verbindung 136">
            <a:extLst>
              <a:ext uri="{FF2B5EF4-FFF2-40B4-BE49-F238E27FC236}">
                <a16:creationId xmlns:a16="http://schemas.microsoft.com/office/drawing/2014/main" id="{00000000-0008-0000-0400-000078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3223</xdr:colOff>
      <xdr:row>50</xdr:row>
      <xdr:rowOff>145057</xdr:rowOff>
    </xdr:from>
    <xdr:to>
      <xdr:col>0</xdr:col>
      <xdr:colOff>129239</xdr:colOff>
      <xdr:row>52</xdr:row>
      <xdr:rowOff>19390</xdr:rowOff>
    </xdr:to>
    <xdr:grpSp>
      <xdr:nvGrpSpPr>
        <xdr:cNvPr id="377" name="Gruppieren 376">
          <a:extLst>
            <a:ext uri="{FF2B5EF4-FFF2-40B4-BE49-F238E27FC236}">
              <a16:creationId xmlns:a16="http://schemas.microsoft.com/office/drawing/2014/main" id="{00000000-0008-0000-0400-000079010000}"/>
            </a:ext>
          </a:extLst>
        </xdr:cNvPr>
        <xdr:cNvGrpSpPr/>
      </xdr:nvGrpSpPr>
      <xdr:grpSpPr>
        <a:xfrm flipH="1">
          <a:off x="3223" y="8850907"/>
          <a:ext cx="126016" cy="198183"/>
          <a:chOff x="6665123" y="2144244"/>
          <a:chExt cx="126016" cy="200859"/>
        </a:xfrm>
      </xdr:grpSpPr>
      <xdr:sp macro="" textlink="">
        <xdr:nvSpPr>
          <xdr:cNvPr id="443" name="Rechtwinkliges Dreieck 133">
            <a:extLst>
              <a:ext uri="{FF2B5EF4-FFF2-40B4-BE49-F238E27FC236}">
                <a16:creationId xmlns:a16="http://schemas.microsoft.com/office/drawing/2014/main" id="{00000000-0008-0000-0400-0000BB01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44" name="Gerade Verbindung 134">
            <a:extLst>
              <a:ext uri="{FF2B5EF4-FFF2-40B4-BE49-F238E27FC236}">
                <a16:creationId xmlns:a16="http://schemas.microsoft.com/office/drawing/2014/main" id="{00000000-0008-0000-0400-0000BC010000}"/>
              </a:ext>
            </a:extLst>
          </xdr:cNvPr>
          <xdr:cNvCxnSpPr>
            <a:stCxn id="443" idx="4"/>
            <a:endCxn id="443"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45" name="Rechtwinkliges Dreieck 135">
            <a:extLst>
              <a:ext uri="{FF2B5EF4-FFF2-40B4-BE49-F238E27FC236}">
                <a16:creationId xmlns:a16="http://schemas.microsoft.com/office/drawing/2014/main" id="{00000000-0008-0000-0400-0000BD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46" name="Gerade Verbindung 136">
            <a:extLst>
              <a:ext uri="{FF2B5EF4-FFF2-40B4-BE49-F238E27FC236}">
                <a16:creationId xmlns:a16="http://schemas.microsoft.com/office/drawing/2014/main" id="{00000000-0008-0000-0400-0000BE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3223</xdr:colOff>
      <xdr:row>54</xdr:row>
      <xdr:rowOff>142676</xdr:rowOff>
    </xdr:from>
    <xdr:to>
      <xdr:col>0</xdr:col>
      <xdr:colOff>129239</xdr:colOff>
      <xdr:row>56</xdr:row>
      <xdr:rowOff>17009</xdr:rowOff>
    </xdr:to>
    <xdr:grpSp>
      <xdr:nvGrpSpPr>
        <xdr:cNvPr id="447" name="Gruppieren 446">
          <a:extLst>
            <a:ext uri="{FF2B5EF4-FFF2-40B4-BE49-F238E27FC236}">
              <a16:creationId xmlns:a16="http://schemas.microsoft.com/office/drawing/2014/main" id="{00000000-0008-0000-0400-0000BF010000}"/>
            </a:ext>
          </a:extLst>
        </xdr:cNvPr>
        <xdr:cNvGrpSpPr/>
      </xdr:nvGrpSpPr>
      <xdr:grpSpPr>
        <a:xfrm flipH="1">
          <a:off x="3223" y="9496226"/>
          <a:ext cx="126016" cy="198183"/>
          <a:chOff x="6665123" y="2144244"/>
          <a:chExt cx="126016" cy="200859"/>
        </a:xfrm>
      </xdr:grpSpPr>
      <xdr:sp macro="" textlink="">
        <xdr:nvSpPr>
          <xdr:cNvPr id="498" name="Rechtwinkliges Dreieck 133">
            <a:extLst>
              <a:ext uri="{FF2B5EF4-FFF2-40B4-BE49-F238E27FC236}">
                <a16:creationId xmlns:a16="http://schemas.microsoft.com/office/drawing/2014/main" id="{00000000-0008-0000-0400-0000F201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99" name="Gerade Verbindung 134">
            <a:extLst>
              <a:ext uri="{FF2B5EF4-FFF2-40B4-BE49-F238E27FC236}">
                <a16:creationId xmlns:a16="http://schemas.microsoft.com/office/drawing/2014/main" id="{00000000-0008-0000-0400-0000F3010000}"/>
              </a:ext>
            </a:extLst>
          </xdr:cNvPr>
          <xdr:cNvCxnSpPr>
            <a:stCxn id="498" idx="4"/>
            <a:endCxn id="498"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500" name="Rechtwinkliges Dreieck 135">
            <a:extLst>
              <a:ext uri="{FF2B5EF4-FFF2-40B4-BE49-F238E27FC236}">
                <a16:creationId xmlns:a16="http://schemas.microsoft.com/office/drawing/2014/main" id="{00000000-0008-0000-0400-0000F4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01" name="Gerade Verbindung 136">
            <a:extLst>
              <a:ext uri="{FF2B5EF4-FFF2-40B4-BE49-F238E27FC236}">
                <a16:creationId xmlns:a16="http://schemas.microsoft.com/office/drawing/2014/main" id="{00000000-0008-0000-0400-0000F5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0</xdr:colOff>
      <xdr:row>72</xdr:row>
      <xdr:rowOff>145057</xdr:rowOff>
    </xdr:from>
    <xdr:to>
      <xdr:col>0</xdr:col>
      <xdr:colOff>126016</xdr:colOff>
      <xdr:row>74</xdr:row>
      <xdr:rowOff>19390</xdr:rowOff>
    </xdr:to>
    <xdr:grpSp>
      <xdr:nvGrpSpPr>
        <xdr:cNvPr id="502" name="Gruppieren 501">
          <a:extLst>
            <a:ext uri="{FF2B5EF4-FFF2-40B4-BE49-F238E27FC236}">
              <a16:creationId xmlns:a16="http://schemas.microsoft.com/office/drawing/2014/main" id="{00000000-0008-0000-0400-0000F6010000}"/>
            </a:ext>
          </a:extLst>
        </xdr:cNvPr>
        <xdr:cNvGrpSpPr/>
      </xdr:nvGrpSpPr>
      <xdr:grpSpPr>
        <a:xfrm flipH="1">
          <a:off x="0" y="12327532"/>
          <a:ext cx="126016" cy="198183"/>
          <a:chOff x="6665123" y="2144244"/>
          <a:chExt cx="126016" cy="200859"/>
        </a:xfrm>
      </xdr:grpSpPr>
      <xdr:sp macro="" textlink="">
        <xdr:nvSpPr>
          <xdr:cNvPr id="503" name="Rechtwinkliges Dreieck 133">
            <a:extLst>
              <a:ext uri="{FF2B5EF4-FFF2-40B4-BE49-F238E27FC236}">
                <a16:creationId xmlns:a16="http://schemas.microsoft.com/office/drawing/2014/main" id="{00000000-0008-0000-0400-0000F701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04" name="Gerade Verbindung 134">
            <a:extLst>
              <a:ext uri="{FF2B5EF4-FFF2-40B4-BE49-F238E27FC236}">
                <a16:creationId xmlns:a16="http://schemas.microsoft.com/office/drawing/2014/main" id="{00000000-0008-0000-0400-0000F8010000}"/>
              </a:ext>
            </a:extLst>
          </xdr:cNvPr>
          <xdr:cNvCxnSpPr>
            <a:stCxn id="503" idx="4"/>
            <a:endCxn id="503"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505" name="Rechtwinkliges Dreieck 135">
            <a:extLst>
              <a:ext uri="{FF2B5EF4-FFF2-40B4-BE49-F238E27FC236}">
                <a16:creationId xmlns:a16="http://schemas.microsoft.com/office/drawing/2014/main" id="{00000000-0008-0000-0400-0000F9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06" name="Gerade Verbindung 136">
            <a:extLst>
              <a:ext uri="{FF2B5EF4-FFF2-40B4-BE49-F238E27FC236}">
                <a16:creationId xmlns:a16="http://schemas.microsoft.com/office/drawing/2014/main" id="{00000000-0008-0000-0400-0000FA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17</xdr:col>
      <xdr:colOff>104775</xdr:colOff>
      <xdr:row>0</xdr:row>
      <xdr:rowOff>0</xdr:rowOff>
    </xdr:from>
    <xdr:ext cx="1476375" cy="752129"/>
    <xdr:sp macro="" textlink="">
      <xdr:nvSpPr>
        <xdr:cNvPr id="246" name="Textfeld 245">
          <a:extLst>
            <a:ext uri="{FF2B5EF4-FFF2-40B4-BE49-F238E27FC236}">
              <a16:creationId xmlns:a16="http://schemas.microsoft.com/office/drawing/2014/main" id="{00000000-0008-0000-0400-0000F6000000}"/>
            </a:ext>
          </a:extLst>
        </xdr:cNvPr>
        <xdr:cNvSpPr txBox="1"/>
      </xdr:nvSpPr>
      <xdr:spPr>
        <a:xfrm>
          <a:off x="6734175" y="0"/>
          <a:ext cx="1476375" cy="752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Lindenhofstrasse 21</a:t>
          </a:r>
        </a:p>
        <a:p>
          <a:r>
            <a:rPr lang="de-CH" sz="850">
              <a:latin typeface="Arial" pitchFamily="34" charset="0"/>
              <a:cs typeface="Arial" pitchFamily="34" charset="0"/>
            </a:rPr>
            <a:t>Postfach, 8021 Zürich</a:t>
          </a:r>
        </a:p>
        <a:p>
          <a:r>
            <a:rPr lang="de-CH" sz="850">
              <a:latin typeface="Arial" pitchFamily="34" charset="0"/>
              <a:cs typeface="Arial" pitchFamily="34" charset="0"/>
            </a:rPr>
            <a:t>+41 44 412 11 11</a:t>
          </a:r>
        </a:p>
        <a:p>
          <a:r>
            <a:rPr lang="de-CH" sz="850">
              <a:latin typeface="Arial" pitchFamily="34" charset="0"/>
              <a:cs typeface="Arial" pitchFamily="34" charset="0"/>
            </a:rPr>
            <a:t>www.stadt-zuerich.ch/hochbau</a:t>
          </a:r>
        </a:p>
      </xdr:txBody>
    </xdr:sp>
    <xdr:clientData/>
  </xdr:oneCellAnchor>
  <xdr:twoCellAnchor editAs="oneCell">
    <xdr:from>
      <xdr:col>0</xdr:col>
      <xdr:colOff>9518</xdr:colOff>
      <xdr:row>0</xdr:row>
      <xdr:rowOff>9525</xdr:rowOff>
    </xdr:from>
    <xdr:to>
      <xdr:col>4</xdr:col>
      <xdr:colOff>618009</xdr:colOff>
      <xdr:row>0</xdr:row>
      <xdr:rowOff>338709</xdr:rowOff>
    </xdr:to>
    <xdr:pic>
      <xdr:nvPicPr>
        <xdr:cNvPr id="247" name="Grafik 246">
          <a:extLst>
            <a:ext uri="{FF2B5EF4-FFF2-40B4-BE49-F238E27FC236}">
              <a16:creationId xmlns:a16="http://schemas.microsoft.com/office/drawing/2014/main" id="{00000000-0008-0000-0400-0000F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18" y="9525"/>
          <a:ext cx="1980091" cy="32918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17</xdr:col>
      <xdr:colOff>180975</xdr:colOff>
      <xdr:row>20</xdr:row>
      <xdr:rowOff>0</xdr:rowOff>
    </xdr:from>
    <xdr:to>
      <xdr:col>17</xdr:col>
      <xdr:colOff>485775</xdr:colOff>
      <xdr:row>20</xdr:row>
      <xdr:rowOff>1588</xdr:rowOff>
    </xdr:to>
    <xdr:cxnSp macro="">
      <xdr:nvCxnSpPr>
        <xdr:cNvPr id="2" name="Gerade Verbindung 346">
          <a:extLst>
            <a:ext uri="{FF2B5EF4-FFF2-40B4-BE49-F238E27FC236}">
              <a16:creationId xmlns:a16="http://schemas.microsoft.com/office/drawing/2014/main" id="{00000000-0008-0000-0500-000002000000}"/>
            </a:ext>
          </a:extLst>
        </xdr:cNvPr>
        <xdr:cNvCxnSpPr/>
      </xdr:nvCxnSpPr>
      <xdr:spPr>
        <a:xfrm rot="10800000">
          <a:off x="6819900" y="3743325"/>
          <a:ext cx="304800" cy="1588"/>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35</xdr:row>
      <xdr:rowOff>9525</xdr:rowOff>
    </xdr:from>
    <xdr:to>
      <xdr:col>17</xdr:col>
      <xdr:colOff>485775</xdr:colOff>
      <xdr:row>35</xdr:row>
      <xdr:rowOff>11113</xdr:rowOff>
    </xdr:to>
    <xdr:cxnSp macro="">
      <xdr:nvCxnSpPr>
        <xdr:cNvPr id="3" name="Gerade Verbindung 347">
          <a:extLst>
            <a:ext uri="{FF2B5EF4-FFF2-40B4-BE49-F238E27FC236}">
              <a16:creationId xmlns:a16="http://schemas.microsoft.com/office/drawing/2014/main" id="{00000000-0008-0000-0500-000003000000}"/>
            </a:ext>
          </a:extLst>
        </xdr:cNvPr>
        <xdr:cNvCxnSpPr/>
      </xdr:nvCxnSpPr>
      <xdr:spPr>
        <a:xfrm rot="10800000">
          <a:off x="6819900" y="6181725"/>
          <a:ext cx="304800" cy="1588"/>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37</xdr:row>
      <xdr:rowOff>63313</xdr:rowOff>
    </xdr:from>
    <xdr:to>
      <xdr:col>17</xdr:col>
      <xdr:colOff>485775</xdr:colOff>
      <xdr:row>37</xdr:row>
      <xdr:rowOff>64901</xdr:rowOff>
    </xdr:to>
    <xdr:cxnSp macro="">
      <xdr:nvCxnSpPr>
        <xdr:cNvPr id="4" name="Gerade Verbindung 348">
          <a:extLst>
            <a:ext uri="{FF2B5EF4-FFF2-40B4-BE49-F238E27FC236}">
              <a16:creationId xmlns:a16="http://schemas.microsoft.com/office/drawing/2014/main" id="{00000000-0008-0000-0500-000004000000}"/>
            </a:ext>
          </a:extLst>
        </xdr:cNvPr>
        <xdr:cNvCxnSpPr/>
      </xdr:nvCxnSpPr>
      <xdr:spPr>
        <a:xfrm rot="10800000">
          <a:off x="6803651" y="6405842"/>
          <a:ext cx="304800" cy="1588"/>
        </a:xfrm>
        <a:prstGeom prst="line">
          <a:avLst/>
        </a:prstGeom>
        <a:ln w="0">
          <a:solidFill>
            <a:schemeClr val="tx1"/>
          </a:solidFill>
          <a:prstDash val="dash"/>
          <a:headEnd type="stealt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161926</xdr:colOff>
      <xdr:row>20</xdr:row>
      <xdr:rowOff>9525</xdr:rowOff>
    </xdr:from>
    <xdr:to>
      <xdr:col>17</xdr:col>
      <xdr:colOff>161926</xdr:colOff>
      <xdr:row>31</xdr:row>
      <xdr:rowOff>3</xdr:rowOff>
    </xdr:to>
    <xdr:cxnSp macro="">
      <xdr:nvCxnSpPr>
        <xdr:cNvPr id="5" name="Gerade Verbindung 349">
          <a:extLst>
            <a:ext uri="{FF2B5EF4-FFF2-40B4-BE49-F238E27FC236}">
              <a16:creationId xmlns:a16="http://schemas.microsoft.com/office/drawing/2014/main" id="{00000000-0008-0000-0500-000005000000}"/>
            </a:ext>
          </a:extLst>
        </xdr:cNvPr>
        <xdr:cNvCxnSpPr/>
      </xdr:nvCxnSpPr>
      <xdr:spPr>
        <a:xfrm>
          <a:off x="6800851" y="3752850"/>
          <a:ext cx="0" cy="1771653"/>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162719</xdr:colOff>
      <xdr:row>32</xdr:row>
      <xdr:rowOff>19846</xdr:rowOff>
    </xdr:from>
    <xdr:to>
      <xdr:col>17</xdr:col>
      <xdr:colOff>162719</xdr:colOff>
      <xdr:row>37</xdr:row>
      <xdr:rowOff>67236</xdr:rowOff>
    </xdr:to>
    <xdr:cxnSp macro="">
      <xdr:nvCxnSpPr>
        <xdr:cNvPr id="6" name="Gerade Verbindung 355">
          <a:extLst>
            <a:ext uri="{FF2B5EF4-FFF2-40B4-BE49-F238E27FC236}">
              <a16:creationId xmlns:a16="http://schemas.microsoft.com/office/drawing/2014/main" id="{00000000-0008-0000-0500-000006000000}"/>
            </a:ext>
          </a:extLst>
        </xdr:cNvPr>
        <xdr:cNvCxnSpPr/>
      </xdr:nvCxnSpPr>
      <xdr:spPr>
        <a:xfrm>
          <a:off x="6785395" y="5577964"/>
          <a:ext cx="0" cy="831801"/>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46</xdr:row>
      <xdr:rowOff>66675</xdr:rowOff>
    </xdr:from>
    <xdr:to>
      <xdr:col>17</xdr:col>
      <xdr:colOff>485775</xdr:colOff>
      <xdr:row>46</xdr:row>
      <xdr:rowOff>68263</xdr:rowOff>
    </xdr:to>
    <xdr:cxnSp macro="">
      <xdr:nvCxnSpPr>
        <xdr:cNvPr id="7" name="Gerade Verbindung 357">
          <a:extLst>
            <a:ext uri="{FF2B5EF4-FFF2-40B4-BE49-F238E27FC236}">
              <a16:creationId xmlns:a16="http://schemas.microsoft.com/office/drawing/2014/main" id="{00000000-0008-0000-0500-000007000000}"/>
            </a:ext>
          </a:extLst>
        </xdr:cNvPr>
        <xdr:cNvCxnSpPr/>
      </xdr:nvCxnSpPr>
      <xdr:spPr>
        <a:xfrm rot="10800000">
          <a:off x="6438900" y="9210675"/>
          <a:ext cx="304800" cy="1588"/>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50</xdr:row>
      <xdr:rowOff>76200</xdr:rowOff>
    </xdr:from>
    <xdr:to>
      <xdr:col>17</xdr:col>
      <xdr:colOff>485775</xdr:colOff>
      <xdr:row>50</xdr:row>
      <xdr:rowOff>77788</xdr:rowOff>
    </xdr:to>
    <xdr:cxnSp macro="">
      <xdr:nvCxnSpPr>
        <xdr:cNvPr id="8" name="Gerade Verbindung 358">
          <a:extLst>
            <a:ext uri="{FF2B5EF4-FFF2-40B4-BE49-F238E27FC236}">
              <a16:creationId xmlns:a16="http://schemas.microsoft.com/office/drawing/2014/main" id="{00000000-0008-0000-0500-000008000000}"/>
            </a:ext>
          </a:extLst>
        </xdr:cNvPr>
        <xdr:cNvCxnSpPr/>
      </xdr:nvCxnSpPr>
      <xdr:spPr>
        <a:xfrm rot="10800000">
          <a:off x="6819900" y="8677275"/>
          <a:ext cx="304800" cy="1588"/>
        </a:xfrm>
        <a:prstGeom prst="line">
          <a:avLst/>
        </a:prstGeom>
        <a:ln w="0">
          <a:solidFill>
            <a:schemeClr val="tx1"/>
          </a:solidFill>
          <a:prstDash val="dash"/>
          <a:headEnd type="stealt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161925</xdr:colOff>
      <xdr:row>46</xdr:row>
      <xdr:rowOff>76200</xdr:rowOff>
    </xdr:from>
    <xdr:to>
      <xdr:col>17</xdr:col>
      <xdr:colOff>161925</xdr:colOff>
      <xdr:row>50</xdr:row>
      <xdr:rowOff>76200</xdr:rowOff>
    </xdr:to>
    <xdr:cxnSp macro="">
      <xdr:nvCxnSpPr>
        <xdr:cNvPr id="9" name="Gerade Verbindung 359">
          <a:extLst>
            <a:ext uri="{FF2B5EF4-FFF2-40B4-BE49-F238E27FC236}">
              <a16:creationId xmlns:a16="http://schemas.microsoft.com/office/drawing/2014/main" id="{00000000-0008-0000-0500-000009000000}"/>
            </a:ext>
          </a:extLst>
        </xdr:cNvPr>
        <xdr:cNvCxnSpPr/>
      </xdr:nvCxnSpPr>
      <xdr:spPr>
        <a:xfrm>
          <a:off x="6800850" y="8029575"/>
          <a:ext cx="0" cy="647700"/>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390044</xdr:colOff>
      <xdr:row>9</xdr:row>
      <xdr:rowOff>56091</xdr:rowOff>
    </xdr:from>
    <xdr:to>
      <xdr:col>14</xdr:col>
      <xdr:colOff>1540</xdr:colOff>
      <xdr:row>11</xdr:row>
      <xdr:rowOff>19566</xdr:rowOff>
    </xdr:to>
    <xdr:grpSp>
      <xdr:nvGrpSpPr>
        <xdr:cNvPr id="289" name="Gruppieren 288">
          <a:extLst>
            <a:ext uri="{FF2B5EF4-FFF2-40B4-BE49-F238E27FC236}">
              <a16:creationId xmlns:a16="http://schemas.microsoft.com/office/drawing/2014/main" id="{00000000-0008-0000-0500-000021010000}"/>
            </a:ext>
          </a:extLst>
        </xdr:cNvPr>
        <xdr:cNvGrpSpPr/>
      </xdr:nvGrpSpPr>
      <xdr:grpSpPr>
        <a:xfrm>
          <a:off x="5914544" y="2208741"/>
          <a:ext cx="125846" cy="201600"/>
          <a:chOff x="6665123" y="2144244"/>
          <a:chExt cx="126016" cy="200859"/>
        </a:xfrm>
      </xdr:grpSpPr>
      <xdr:sp macro="" textlink="">
        <xdr:nvSpPr>
          <xdr:cNvPr id="290" name="Rechtwinkliges Dreieck 133">
            <a:extLst>
              <a:ext uri="{FF2B5EF4-FFF2-40B4-BE49-F238E27FC236}">
                <a16:creationId xmlns:a16="http://schemas.microsoft.com/office/drawing/2014/main" id="{00000000-0008-0000-0500-000022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91" name="Gerade Verbindung 134">
            <a:extLst>
              <a:ext uri="{FF2B5EF4-FFF2-40B4-BE49-F238E27FC236}">
                <a16:creationId xmlns:a16="http://schemas.microsoft.com/office/drawing/2014/main" id="{00000000-0008-0000-0500-000023010000}"/>
              </a:ext>
            </a:extLst>
          </xdr:cNvPr>
          <xdr:cNvCxnSpPr>
            <a:stCxn id="290" idx="4"/>
            <a:endCxn id="29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92" name="Rechtwinkliges Dreieck 135">
            <a:extLst>
              <a:ext uri="{FF2B5EF4-FFF2-40B4-BE49-F238E27FC236}">
                <a16:creationId xmlns:a16="http://schemas.microsoft.com/office/drawing/2014/main" id="{00000000-0008-0000-0500-000024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93" name="Gerade Verbindung 136">
            <a:extLst>
              <a:ext uri="{FF2B5EF4-FFF2-40B4-BE49-F238E27FC236}">
                <a16:creationId xmlns:a16="http://schemas.microsoft.com/office/drawing/2014/main" id="{00000000-0008-0000-0500-000025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381471</xdr:colOff>
      <xdr:row>14</xdr:row>
      <xdr:rowOff>141817</xdr:rowOff>
    </xdr:from>
    <xdr:to>
      <xdr:col>5</xdr:col>
      <xdr:colOff>509323</xdr:colOff>
      <xdr:row>16</xdr:row>
      <xdr:rowOff>21570</xdr:rowOff>
    </xdr:to>
    <xdr:grpSp>
      <xdr:nvGrpSpPr>
        <xdr:cNvPr id="294" name="Gruppieren 293">
          <a:extLst>
            <a:ext uri="{FF2B5EF4-FFF2-40B4-BE49-F238E27FC236}">
              <a16:creationId xmlns:a16="http://schemas.microsoft.com/office/drawing/2014/main" id="{00000000-0008-0000-0500-000026010000}"/>
            </a:ext>
          </a:extLst>
        </xdr:cNvPr>
        <xdr:cNvGrpSpPr/>
      </xdr:nvGrpSpPr>
      <xdr:grpSpPr>
        <a:xfrm>
          <a:off x="2400771" y="3018367"/>
          <a:ext cx="127852" cy="203603"/>
          <a:chOff x="6665123" y="2144244"/>
          <a:chExt cx="126016" cy="200859"/>
        </a:xfrm>
      </xdr:grpSpPr>
      <xdr:sp macro="" textlink="">
        <xdr:nvSpPr>
          <xdr:cNvPr id="295" name="Rechtwinkliges Dreieck 133">
            <a:extLst>
              <a:ext uri="{FF2B5EF4-FFF2-40B4-BE49-F238E27FC236}">
                <a16:creationId xmlns:a16="http://schemas.microsoft.com/office/drawing/2014/main" id="{00000000-0008-0000-0500-000027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96" name="Gerade Verbindung 134">
            <a:extLst>
              <a:ext uri="{FF2B5EF4-FFF2-40B4-BE49-F238E27FC236}">
                <a16:creationId xmlns:a16="http://schemas.microsoft.com/office/drawing/2014/main" id="{00000000-0008-0000-0500-000028010000}"/>
              </a:ext>
            </a:extLst>
          </xdr:cNvPr>
          <xdr:cNvCxnSpPr>
            <a:stCxn id="295" idx="4"/>
            <a:endCxn id="29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97" name="Rechtwinkliges Dreieck 135">
            <a:extLst>
              <a:ext uri="{FF2B5EF4-FFF2-40B4-BE49-F238E27FC236}">
                <a16:creationId xmlns:a16="http://schemas.microsoft.com/office/drawing/2014/main" id="{00000000-0008-0000-0500-000029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98" name="Gerade Verbindung 136">
            <a:extLst>
              <a:ext uri="{FF2B5EF4-FFF2-40B4-BE49-F238E27FC236}">
                <a16:creationId xmlns:a16="http://schemas.microsoft.com/office/drawing/2014/main" id="{00000000-0008-0000-0500-00002A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390044</xdr:colOff>
      <xdr:row>14</xdr:row>
      <xdr:rowOff>141817</xdr:rowOff>
    </xdr:from>
    <xdr:to>
      <xdr:col>14</xdr:col>
      <xdr:colOff>1540</xdr:colOff>
      <xdr:row>16</xdr:row>
      <xdr:rowOff>21570</xdr:rowOff>
    </xdr:to>
    <xdr:grpSp>
      <xdr:nvGrpSpPr>
        <xdr:cNvPr id="299" name="Gruppieren 298">
          <a:extLst>
            <a:ext uri="{FF2B5EF4-FFF2-40B4-BE49-F238E27FC236}">
              <a16:creationId xmlns:a16="http://schemas.microsoft.com/office/drawing/2014/main" id="{00000000-0008-0000-0500-00002B010000}"/>
            </a:ext>
          </a:extLst>
        </xdr:cNvPr>
        <xdr:cNvGrpSpPr/>
      </xdr:nvGrpSpPr>
      <xdr:grpSpPr>
        <a:xfrm>
          <a:off x="5914544" y="3018367"/>
          <a:ext cx="125846" cy="203603"/>
          <a:chOff x="6665123" y="2144244"/>
          <a:chExt cx="126016" cy="200859"/>
        </a:xfrm>
      </xdr:grpSpPr>
      <xdr:sp macro="" textlink="">
        <xdr:nvSpPr>
          <xdr:cNvPr id="300" name="Rechtwinkliges Dreieck 133">
            <a:extLst>
              <a:ext uri="{FF2B5EF4-FFF2-40B4-BE49-F238E27FC236}">
                <a16:creationId xmlns:a16="http://schemas.microsoft.com/office/drawing/2014/main" id="{00000000-0008-0000-0500-00002C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01" name="Gerade Verbindung 134">
            <a:extLst>
              <a:ext uri="{FF2B5EF4-FFF2-40B4-BE49-F238E27FC236}">
                <a16:creationId xmlns:a16="http://schemas.microsoft.com/office/drawing/2014/main" id="{00000000-0008-0000-0500-00002D010000}"/>
              </a:ext>
            </a:extLst>
          </xdr:cNvPr>
          <xdr:cNvCxnSpPr>
            <a:stCxn id="300" idx="4"/>
            <a:endCxn id="30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02" name="Rechtwinkliges Dreieck 135">
            <a:extLst>
              <a:ext uri="{FF2B5EF4-FFF2-40B4-BE49-F238E27FC236}">
                <a16:creationId xmlns:a16="http://schemas.microsoft.com/office/drawing/2014/main" id="{00000000-0008-0000-0500-00002E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03" name="Gerade Verbindung 136">
            <a:extLst>
              <a:ext uri="{FF2B5EF4-FFF2-40B4-BE49-F238E27FC236}">
                <a16:creationId xmlns:a16="http://schemas.microsoft.com/office/drawing/2014/main" id="{00000000-0008-0000-0500-00002F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381471</xdr:colOff>
      <xdr:row>15</xdr:row>
      <xdr:rowOff>141819</xdr:rowOff>
    </xdr:from>
    <xdr:to>
      <xdr:col>17</xdr:col>
      <xdr:colOff>509323</xdr:colOff>
      <xdr:row>17</xdr:row>
      <xdr:rowOff>21572</xdr:rowOff>
    </xdr:to>
    <xdr:grpSp>
      <xdr:nvGrpSpPr>
        <xdr:cNvPr id="304" name="Gruppieren 303">
          <a:extLst>
            <a:ext uri="{FF2B5EF4-FFF2-40B4-BE49-F238E27FC236}">
              <a16:creationId xmlns:a16="http://schemas.microsoft.com/office/drawing/2014/main" id="{00000000-0008-0000-0500-000030010000}"/>
            </a:ext>
          </a:extLst>
        </xdr:cNvPr>
        <xdr:cNvGrpSpPr/>
      </xdr:nvGrpSpPr>
      <xdr:grpSpPr>
        <a:xfrm>
          <a:off x="7010871" y="3180294"/>
          <a:ext cx="127852" cy="203603"/>
          <a:chOff x="6665123" y="2144244"/>
          <a:chExt cx="126016" cy="200859"/>
        </a:xfrm>
      </xdr:grpSpPr>
      <xdr:sp macro="" textlink="">
        <xdr:nvSpPr>
          <xdr:cNvPr id="305" name="Rechtwinkliges Dreieck 133">
            <a:extLst>
              <a:ext uri="{FF2B5EF4-FFF2-40B4-BE49-F238E27FC236}">
                <a16:creationId xmlns:a16="http://schemas.microsoft.com/office/drawing/2014/main" id="{00000000-0008-0000-0500-000031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06" name="Gerade Verbindung 134">
            <a:extLst>
              <a:ext uri="{FF2B5EF4-FFF2-40B4-BE49-F238E27FC236}">
                <a16:creationId xmlns:a16="http://schemas.microsoft.com/office/drawing/2014/main" id="{00000000-0008-0000-0500-000032010000}"/>
              </a:ext>
            </a:extLst>
          </xdr:cNvPr>
          <xdr:cNvCxnSpPr>
            <a:stCxn id="305" idx="4"/>
            <a:endCxn id="30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07" name="Rechtwinkliges Dreieck 135">
            <a:extLst>
              <a:ext uri="{FF2B5EF4-FFF2-40B4-BE49-F238E27FC236}">
                <a16:creationId xmlns:a16="http://schemas.microsoft.com/office/drawing/2014/main" id="{00000000-0008-0000-0500-000033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08" name="Gerade Verbindung 136">
            <a:extLst>
              <a:ext uri="{FF2B5EF4-FFF2-40B4-BE49-F238E27FC236}">
                <a16:creationId xmlns:a16="http://schemas.microsoft.com/office/drawing/2014/main" id="{00000000-0008-0000-0500-000034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390044</xdr:colOff>
      <xdr:row>18</xdr:row>
      <xdr:rowOff>141817</xdr:rowOff>
    </xdr:from>
    <xdr:to>
      <xdr:col>14</xdr:col>
      <xdr:colOff>1540</xdr:colOff>
      <xdr:row>20</xdr:row>
      <xdr:rowOff>21570</xdr:rowOff>
    </xdr:to>
    <xdr:grpSp>
      <xdr:nvGrpSpPr>
        <xdr:cNvPr id="319" name="Gruppieren 318">
          <a:extLst>
            <a:ext uri="{FF2B5EF4-FFF2-40B4-BE49-F238E27FC236}">
              <a16:creationId xmlns:a16="http://schemas.microsoft.com/office/drawing/2014/main" id="{00000000-0008-0000-0500-00003F010000}"/>
            </a:ext>
          </a:extLst>
        </xdr:cNvPr>
        <xdr:cNvGrpSpPr/>
      </xdr:nvGrpSpPr>
      <xdr:grpSpPr>
        <a:xfrm>
          <a:off x="5914544" y="3666067"/>
          <a:ext cx="125846" cy="203603"/>
          <a:chOff x="6665123" y="2144244"/>
          <a:chExt cx="126016" cy="200859"/>
        </a:xfrm>
      </xdr:grpSpPr>
      <xdr:sp macro="" textlink="">
        <xdr:nvSpPr>
          <xdr:cNvPr id="320" name="Rechtwinkliges Dreieck 133">
            <a:extLst>
              <a:ext uri="{FF2B5EF4-FFF2-40B4-BE49-F238E27FC236}">
                <a16:creationId xmlns:a16="http://schemas.microsoft.com/office/drawing/2014/main" id="{00000000-0008-0000-0500-000040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21" name="Gerade Verbindung 134">
            <a:extLst>
              <a:ext uri="{FF2B5EF4-FFF2-40B4-BE49-F238E27FC236}">
                <a16:creationId xmlns:a16="http://schemas.microsoft.com/office/drawing/2014/main" id="{00000000-0008-0000-0500-000041010000}"/>
              </a:ext>
            </a:extLst>
          </xdr:cNvPr>
          <xdr:cNvCxnSpPr>
            <a:stCxn id="320" idx="4"/>
            <a:endCxn id="32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22" name="Rechtwinkliges Dreieck 135">
            <a:extLst>
              <a:ext uri="{FF2B5EF4-FFF2-40B4-BE49-F238E27FC236}">
                <a16:creationId xmlns:a16="http://schemas.microsoft.com/office/drawing/2014/main" id="{00000000-0008-0000-0500-000042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23" name="Gerade Verbindung 136">
            <a:extLst>
              <a:ext uri="{FF2B5EF4-FFF2-40B4-BE49-F238E27FC236}">
                <a16:creationId xmlns:a16="http://schemas.microsoft.com/office/drawing/2014/main" id="{00000000-0008-0000-0500-000043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390044</xdr:colOff>
      <xdr:row>22</xdr:row>
      <xdr:rowOff>141818</xdr:rowOff>
    </xdr:from>
    <xdr:to>
      <xdr:col>14</xdr:col>
      <xdr:colOff>1540</xdr:colOff>
      <xdr:row>24</xdr:row>
      <xdr:rowOff>21571</xdr:rowOff>
    </xdr:to>
    <xdr:grpSp>
      <xdr:nvGrpSpPr>
        <xdr:cNvPr id="324" name="Gruppieren 323">
          <a:extLst>
            <a:ext uri="{FF2B5EF4-FFF2-40B4-BE49-F238E27FC236}">
              <a16:creationId xmlns:a16="http://schemas.microsoft.com/office/drawing/2014/main" id="{00000000-0008-0000-0500-000044010000}"/>
            </a:ext>
          </a:extLst>
        </xdr:cNvPr>
        <xdr:cNvGrpSpPr/>
      </xdr:nvGrpSpPr>
      <xdr:grpSpPr>
        <a:xfrm>
          <a:off x="5914544" y="4313768"/>
          <a:ext cx="125846" cy="203603"/>
          <a:chOff x="6665123" y="2144244"/>
          <a:chExt cx="126016" cy="200859"/>
        </a:xfrm>
      </xdr:grpSpPr>
      <xdr:sp macro="" textlink="">
        <xdr:nvSpPr>
          <xdr:cNvPr id="325" name="Rechtwinkliges Dreieck 133">
            <a:extLst>
              <a:ext uri="{FF2B5EF4-FFF2-40B4-BE49-F238E27FC236}">
                <a16:creationId xmlns:a16="http://schemas.microsoft.com/office/drawing/2014/main" id="{00000000-0008-0000-0500-000045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26" name="Gerade Verbindung 134">
            <a:extLst>
              <a:ext uri="{FF2B5EF4-FFF2-40B4-BE49-F238E27FC236}">
                <a16:creationId xmlns:a16="http://schemas.microsoft.com/office/drawing/2014/main" id="{00000000-0008-0000-0500-000046010000}"/>
              </a:ext>
            </a:extLst>
          </xdr:cNvPr>
          <xdr:cNvCxnSpPr>
            <a:stCxn id="325" idx="4"/>
            <a:endCxn id="32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27" name="Rechtwinkliges Dreieck 135">
            <a:extLst>
              <a:ext uri="{FF2B5EF4-FFF2-40B4-BE49-F238E27FC236}">
                <a16:creationId xmlns:a16="http://schemas.microsoft.com/office/drawing/2014/main" id="{00000000-0008-0000-0500-000047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28" name="Gerade Verbindung 136">
            <a:extLst>
              <a:ext uri="{FF2B5EF4-FFF2-40B4-BE49-F238E27FC236}">
                <a16:creationId xmlns:a16="http://schemas.microsoft.com/office/drawing/2014/main" id="{00000000-0008-0000-0500-000048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390044</xdr:colOff>
      <xdr:row>26</xdr:row>
      <xdr:rowOff>141818</xdr:rowOff>
    </xdr:from>
    <xdr:to>
      <xdr:col>14</xdr:col>
      <xdr:colOff>1540</xdr:colOff>
      <xdr:row>28</xdr:row>
      <xdr:rowOff>21571</xdr:rowOff>
    </xdr:to>
    <xdr:grpSp>
      <xdr:nvGrpSpPr>
        <xdr:cNvPr id="339" name="Gruppieren 338">
          <a:extLst>
            <a:ext uri="{FF2B5EF4-FFF2-40B4-BE49-F238E27FC236}">
              <a16:creationId xmlns:a16="http://schemas.microsoft.com/office/drawing/2014/main" id="{00000000-0008-0000-0500-000053010000}"/>
            </a:ext>
          </a:extLst>
        </xdr:cNvPr>
        <xdr:cNvGrpSpPr/>
      </xdr:nvGrpSpPr>
      <xdr:grpSpPr>
        <a:xfrm>
          <a:off x="5914544" y="4961468"/>
          <a:ext cx="125846" cy="203603"/>
          <a:chOff x="6665123" y="2144244"/>
          <a:chExt cx="126016" cy="200859"/>
        </a:xfrm>
      </xdr:grpSpPr>
      <xdr:sp macro="" textlink="">
        <xdr:nvSpPr>
          <xdr:cNvPr id="340" name="Rechtwinkliges Dreieck 133">
            <a:extLst>
              <a:ext uri="{FF2B5EF4-FFF2-40B4-BE49-F238E27FC236}">
                <a16:creationId xmlns:a16="http://schemas.microsoft.com/office/drawing/2014/main" id="{00000000-0008-0000-0500-000054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41" name="Gerade Verbindung 134">
            <a:extLst>
              <a:ext uri="{FF2B5EF4-FFF2-40B4-BE49-F238E27FC236}">
                <a16:creationId xmlns:a16="http://schemas.microsoft.com/office/drawing/2014/main" id="{00000000-0008-0000-0500-000055010000}"/>
              </a:ext>
            </a:extLst>
          </xdr:cNvPr>
          <xdr:cNvCxnSpPr>
            <a:stCxn id="340" idx="4"/>
            <a:endCxn id="34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42" name="Rechtwinkliges Dreieck 135">
            <a:extLst>
              <a:ext uri="{FF2B5EF4-FFF2-40B4-BE49-F238E27FC236}">
                <a16:creationId xmlns:a16="http://schemas.microsoft.com/office/drawing/2014/main" id="{00000000-0008-0000-0500-000056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43" name="Gerade Verbindung 136">
            <a:extLst>
              <a:ext uri="{FF2B5EF4-FFF2-40B4-BE49-F238E27FC236}">
                <a16:creationId xmlns:a16="http://schemas.microsoft.com/office/drawing/2014/main" id="{00000000-0008-0000-0500-000057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381470</xdr:colOff>
      <xdr:row>30</xdr:row>
      <xdr:rowOff>141816</xdr:rowOff>
    </xdr:from>
    <xdr:to>
      <xdr:col>17</xdr:col>
      <xdr:colOff>509322</xdr:colOff>
      <xdr:row>32</xdr:row>
      <xdr:rowOff>21569</xdr:rowOff>
    </xdr:to>
    <xdr:grpSp>
      <xdr:nvGrpSpPr>
        <xdr:cNvPr id="344" name="Gruppieren 343">
          <a:extLst>
            <a:ext uri="{FF2B5EF4-FFF2-40B4-BE49-F238E27FC236}">
              <a16:creationId xmlns:a16="http://schemas.microsoft.com/office/drawing/2014/main" id="{00000000-0008-0000-0500-000058010000}"/>
            </a:ext>
          </a:extLst>
        </xdr:cNvPr>
        <xdr:cNvGrpSpPr/>
      </xdr:nvGrpSpPr>
      <xdr:grpSpPr>
        <a:xfrm>
          <a:off x="7010870" y="5609166"/>
          <a:ext cx="127852" cy="203603"/>
          <a:chOff x="6665123" y="2144244"/>
          <a:chExt cx="126016" cy="200859"/>
        </a:xfrm>
      </xdr:grpSpPr>
      <xdr:sp macro="" textlink="">
        <xdr:nvSpPr>
          <xdr:cNvPr id="345" name="Rechtwinkliges Dreieck 133">
            <a:extLst>
              <a:ext uri="{FF2B5EF4-FFF2-40B4-BE49-F238E27FC236}">
                <a16:creationId xmlns:a16="http://schemas.microsoft.com/office/drawing/2014/main" id="{00000000-0008-0000-0500-000059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46" name="Gerade Verbindung 134">
            <a:extLst>
              <a:ext uri="{FF2B5EF4-FFF2-40B4-BE49-F238E27FC236}">
                <a16:creationId xmlns:a16="http://schemas.microsoft.com/office/drawing/2014/main" id="{00000000-0008-0000-0500-00005A010000}"/>
              </a:ext>
            </a:extLst>
          </xdr:cNvPr>
          <xdr:cNvCxnSpPr>
            <a:stCxn id="345" idx="4"/>
            <a:endCxn id="34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47" name="Rechtwinkliges Dreieck 135">
            <a:extLst>
              <a:ext uri="{FF2B5EF4-FFF2-40B4-BE49-F238E27FC236}">
                <a16:creationId xmlns:a16="http://schemas.microsoft.com/office/drawing/2014/main" id="{00000000-0008-0000-0500-00005B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48" name="Gerade Verbindung 136">
            <a:extLst>
              <a:ext uri="{FF2B5EF4-FFF2-40B4-BE49-F238E27FC236}">
                <a16:creationId xmlns:a16="http://schemas.microsoft.com/office/drawing/2014/main" id="{00000000-0008-0000-0500-00005C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381471</xdr:colOff>
      <xdr:row>30</xdr:row>
      <xdr:rowOff>141818</xdr:rowOff>
    </xdr:from>
    <xdr:to>
      <xdr:col>5</xdr:col>
      <xdr:colOff>509323</xdr:colOff>
      <xdr:row>32</xdr:row>
      <xdr:rowOff>21571</xdr:rowOff>
    </xdr:to>
    <xdr:grpSp>
      <xdr:nvGrpSpPr>
        <xdr:cNvPr id="349" name="Gruppieren 348">
          <a:extLst>
            <a:ext uri="{FF2B5EF4-FFF2-40B4-BE49-F238E27FC236}">
              <a16:creationId xmlns:a16="http://schemas.microsoft.com/office/drawing/2014/main" id="{00000000-0008-0000-0500-00005D010000}"/>
            </a:ext>
          </a:extLst>
        </xdr:cNvPr>
        <xdr:cNvGrpSpPr/>
      </xdr:nvGrpSpPr>
      <xdr:grpSpPr>
        <a:xfrm>
          <a:off x="2400771" y="5609168"/>
          <a:ext cx="127852" cy="203603"/>
          <a:chOff x="6665123" y="2144244"/>
          <a:chExt cx="126016" cy="200859"/>
        </a:xfrm>
      </xdr:grpSpPr>
      <xdr:sp macro="" textlink="">
        <xdr:nvSpPr>
          <xdr:cNvPr id="350" name="Rechtwinkliges Dreieck 133">
            <a:extLst>
              <a:ext uri="{FF2B5EF4-FFF2-40B4-BE49-F238E27FC236}">
                <a16:creationId xmlns:a16="http://schemas.microsoft.com/office/drawing/2014/main" id="{00000000-0008-0000-0500-00005E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51" name="Gerade Verbindung 134">
            <a:extLst>
              <a:ext uri="{FF2B5EF4-FFF2-40B4-BE49-F238E27FC236}">
                <a16:creationId xmlns:a16="http://schemas.microsoft.com/office/drawing/2014/main" id="{00000000-0008-0000-0500-00005F010000}"/>
              </a:ext>
            </a:extLst>
          </xdr:cNvPr>
          <xdr:cNvCxnSpPr>
            <a:stCxn id="350" idx="4"/>
            <a:endCxn id="35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52" name="Rechtwinkliges Dreieck 135">
            <a:extLst>
              <a:ext uri="{FF2B5EF4-FFF2-40B4-BE49-F238E27FC236}">
                <a16:creationId xmlns:a16="http://schemas.microsoft.com/office/drawing/2014/main" id="{00000000-0008-0000-0500-000060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53" name="Gerade Verbindung 136">
            <a:extLst>
              <a:ext uri="{FF2B5EF4-FFF2-40B4-BE49-F238E27FC236}">
                <a16:creationId xmlns:a16="http://schemas.microsoft.com/office/drawing/2014/main" id="{00000000-0008-0000-0500-000061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381471</xdr:colOff>
      <xdr:row>32</xdr:row>
      <xdr:rowOff>141819</xdr:rowOff>
    </xdr:from>
    <xdr:to>
      <xdr:col>5</xdr:col>
      <xdr:colOff>509323</xdr:colOff>
      <xdr:row>34</xdr:row>
      <xdr:rowOff>21572</xdr:rowOff>
    </xdr:to>
    <xdr:grpSp>
      <xdr:nvGrpSpPr>
        <xdr:cNvPr id="354" name="Gruppieren 353">
          <a:extLst>
            <a:ext uri="{FF2B5EF4-FFF2-40B4-BE49-F238E27FC236}">
              <a16:creationId xmlns:a16="http://schemas.microsoft.com/office/drawing/2014/main" id="{00000000-0008-0000-0500-000062010000}"/>
            </a:ext>
          </a:extLst>
        </xdr:cNvPr>
        <xdr:cNvGrpSpPr/>
      </xdr:nvGrpSpPr>
      <xdr:grpSpPr>
        <a:xfrm>
          <a:off x="2400771" y="5933019"/>
          <a:ext cx="127852" cy="203603"/>
          <a:chOff x="6665123" y="2144244"/>
          <a:chExt cx="126016" cy="200859"/>
        </a:xfrm>
      </xdr:grpSpPr>
      <xdr:sp macro="" textlink="">
        <xdr:nvSpPr>
          <xdr:cNvPr id="355" name="Rechtwinkliges Dreieck 133">
            <a:extLst>
              <a:ext uri="{FF2B5EF4-FFF2-40B4-BE49-F238E27FC236}">
                <a16:creationId xmlns:a16="http://schemas.microsoft.com/office/drawing/2014/main" id="{00000000-0008-0000-0500-000063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56" name="Gerade Verbindung 134">
            <a:extLst>
              <a:ext uri="{FF2B5EF4-FFF2-40B4-BE49-F238E27FC236}">
                <a16:creationId xmlns:a16="http://schemas.microsoft.com/office/drawing/2014/main" id="{00000000-0008-0000-0500-000064010000}"/>
              </a:ext>
            </a:extLst>
          </xdr:cNvPr>
          <xdr:cNvCxnSpPr>
            <a:stCxn id="355" idx="4"/>
            <a:endCxn id="35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57" name="Rechtwinkliges Dreieck 135">
            <a:extLst>
              <a:ext uri="{FF2B5EF4-FFF2-40B4-BE49-F238E27FC236}">
                <a16:creationId xmlns:a16="http://schemas.microsoft.com/office/drawing/2014/main" id="{00000000-0008-0000-0500-000065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58" name="Gerade Verbindung 136">
            <a:extLst>
              <a:ext uri="{FF2B5EF4-FFF2-40B4-BE49-F238E27FC236}">
                <a16:creationId xmlns:a16="http://schemas.microsoft.com/office/drawing/2014/main" id="{00000000-0008-0000-0500-000066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390044</xdr:colOff>
      <xdr:row>31</xdr:row>
      <xdr:rowOff>141818</xdr:rowOff>
    </xdr:from>
    <xdr:to>
      <xdr:col>14</xdr:col>
      <xdr:colOff>1540</xdr:colOff>
      <xdr:row>33</xdr:row>
      <xdr:rowOff>21571</xdr:rowOff>
    </xdr:to>
    <xdr:grpSp>
      <xdr:nvGrpSpPr>
        <xdr:cNvPr id="359" name="Gruppieren 358">
          <a:extLst>
            <a:ext uri="{FF2B5EF4-FFF2-40B4-BE49-F238E27FC236}">
              <a16:creationId xmlns:a16="http://schemas.microsoft.com/office/drawing/2014/main" id="{00000000-0008-0000-0500-000067010000}"/>
            </a:ext>
          </a:extLst>
        </xdr:cNvPr>
        <xdr:cNvGrpSpPr/>
      </xdr:nvGrpSpPr>
      <xdr:grpSpPr>
        <a:xfrm>
          <a:off x="5914544" y="5771093"/>
          <a:ext cx="125846" cy="203603"/>
          <a:chOff x="6665123" y="2144244"/>
          <a:chExt cx="126016" cy="200859"/>
        </a:xfrm>
      </xdr:grpSpPr>
      <xdr:sp macro="" textlink="">
        <xdr:nvSpPr>
          <xdr:cNvPr id="360" name="Rechtwinkliges Dreieck 133">
            <a:extLst>
              <a:ext uri="{FF2B5EF4-FFF2-40B4-BE49-F238E27FC236}">
                <a16:creationId xmlns:a16="http://schemas.microsoft.com/office/drawing/2014/main" id="{00000000-0008-0000-0500-000068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61" name="Gerade Verbindung 134">
            <a:extLst>
              <a:ext uri="{FF2B5EF4-FFF2-40B4-BE49-F238E27FC236}">
                <a16:creationId xmlns:a16="http://schemas.microsoft.com/office/drawing/2014/main" id="{00000000-0008-0000-0500-000069010000}"/>
              </a:ext>
            </a:extLst>
          </xdr:cNvPr>
          <xdr:cNvCxnSpPr>
            <a:stCxn id="360" idx="4"/>
            <a:endCxn id="36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62" name="Rechtwinkliges Dreieck 135">
            <a:extLst>
              <a:ext uri="{FF2B5EF4-FFF2-40B4-BE49-F238E27FC236}">
                <a16:creationId xmlns:a16="http://schemas.microsoft.com/office/drawing/2014/main" id="{00000000-0008-0000-0500-00006A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63" name="Gerade Verbindung 136">
            <a:extLst>
              <a:ext uri="{FF2B5EF4-FFF2-40B4-BE49-F238E27FC236}">
                <a16:creationId xmlns:a16="http://schemas.microsoft.com/office/drawing/2014/main" id="{00000000-0008-0000-0500-00006B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381471</xdr:colOff>
      <xdr:row>34</xdr:row>
      <xdr:rowOff>141818</xdr:rowOff>
    </xdr:from>
    <xdr:to>
      <xdr:col>5</xdr:col>
      <xdr:colOff>509323</xdr:colOff>
      <xdr:row>36</xdr:row>
      <xdr:rowOff>21571</xdr:rowOff>
    </xdr:to>
    <xdr:grpSp>
      <xdr:nvGrpSpPr>
        <xdr:cNvPr id="364" name="Gruppieren 363">
          <a:extLst>
            <a:ext uri="{FF2B5EF4-FFF2-40B4-BE49-F238E27FC236}">
              <a16:creationId xmlns:a16="http://schemas.microsoft.com/office/drawing/2014/main" id="{00000000-0008-0000-0500-00006C010000}"/>
            </a:ext>
          </a:extLst>
        </xdr:cNvPr>
        <xdr:cNvGrpSpPr/>
      </xdr:nvGrpSpPr>
      <xdr:grpSpPr>
        <a:xfrm>
          <a:off x="2400771" y="6256868"/>
          <a:ext cx="127852" cy="203603"/>
          <a:chOff x="6665123" y="2144244"/>
          <a:chExt cx="126016" cy="200859"/>
        </a:xfrm>
      </xdr:grpSpPr>
      <xdr:sp macro="" textlink="">
        <xdr:nvSpPr>
          <xdr:cNvPr id="365" name="Rechtwinkliges Dreieck 133">
            <a:extLst>
              <a:ext uri="{FF2B5EF4-FFF2-40B4-BE49-F238E27FC236}">
                <a16:creationId xmlns:a16="http://schemas.microsoft.com/office/drawing/2014/main" id="{00000000-0008-0000-0500-00006D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66" name="Gerade Verbindung 134">
            <a:extLst>
              <a:ext uri="{FF2B5EF4-FFF2-40B4-BE49-F238E27FC236}">
                <a16:creationId xmlns:a16="http://schemas.microsoft.com/office/drawing/2014/main" id="{00000000-0008-0000-0500-00006E010000}"/>
              </a:ext>
            </a:extLst>
          </xdr:cNvPr>
          <xdr:cNvCxnSpPr>
            <a:stCxn id="365" idx="4"/>
            <a:endCxn id="36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67" name="Rechtwinkliges Dreieck 135">
            <a:extLst>
              <a:ext uri="{FF2B5EF4-FFF2-40B4-BE49-F238E27FC236}">
                <a16:creationId xmlns:a16="http://schemas.microsoft.com/office/drawing/2014/main" id="{00000000-0008-0000-0500-00006F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68" name="Gerade Verbindung 136">
            <a:extLst>
              <a:ext uri="{FF2B5EF4-FFF2-40B4-BE49-F238E27FC236}">
                <a16:creationId xmlns:a16="http://schemas.microsoft.com/office/drawing/2014/main" id="{00000000-0008-0000-0500-000070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381471</xdr:colOff>
      <xdr:row>36</xdr:row>
      <xdr:rowOff>141819</xdr:rowOff>
    </xdr:from>
    <xdr:to>
      <xdr:col>5</xdr:col>
      <xdr:colOff>509323</xdr:colOff>
      <xdr:row>38</xdr:row>
      <xdr:rowOff>21572</xdr:rowOff>
    </xdr:to>
    <xdr:grpSp>
      <xdr:nvGrpSpPr>
        <xdr:cNvPr id="369" name="Gruppieren 368">
          <a:extLst>
            <a:ext uri="{FF2B5EF4-FFF2-40B4-BE49-F238E27FC236}">
              <a16:creationId xmlns:a16="http://schemas.microsoft.com/office/drawing/2014/main" id="{00000000-0008-0000-0500-000071010000}"/>
            </a:ext>
          </a:extLst>
        </xdr:cNvPr>
        <xdr:cNvGrpSpPr/>
      </xdr:nvGrpSpPr>
      <xdr:grpSpPr>
        <a:xfrm>
          <a:off x="2400771" y="6580719"/>
          <a:ext cx="127852" cy="203603"/>
          <a:chOff x="6665123" y="2144244"/>
          <a:chExt cx="126016" cy="200859"/>
        </a:xfrm>
      </xdr:grpSpPr>
      <xdr:sp macro="" textlink="">
        <xdr:nvSpPr>
          <xdr:cNvPr id="370" name="Rechtwinkliges Dreieck 133">
            <a:extLst>
              <a:ext uri="{FF2B5EF4-FFF2-40B4-BE49-F238E27FC236}">
                <a16:creationId xmlns:a16="http://schemas.microsoft.com/office/drawing/2014/main" id="{00000000-0008-0000-0500-000072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71" name="Gerade Verbindung 134">
            <a:extLst>
              <a:ext uri="{FF2B5EF4-FFF2-40B4-BE49-F238E27FC236}">
                <a16:creationId xmlns:a16="http://schemas.microsoft.com/office/drawing/2014/main" id="{00000000-0008-0000-0500-000073010000}"/>
              </a:ext>
            </a:extLst>
          </xdr:cNvPr>
          <xdr:cNvCxnSpPr>
            <a:stCxn id="370" idx="4"/>
            <a:endCxn id="37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72" name="Rechtwinkliges Dreieck 135">
            <a:extLst>
              <a:ext uri="{FF2B5EF4-FFF2-40B4-BE49-F238E27FC236}">
                <a16:creationId xmlns:a16="http://schemas.microsoft.com/office/drawing/2014/main" id="{00000000-0008-0000-0500-000074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73" name="Gerade Verbindung 136">
            <a:extLst>
              <a:ext uri="{FF2B5EF4-FFF2-40B4-BE49-F238E27FC236}">
                <a16:creationId xmlns:a16="http://schemas.microsoft.com/office/drawing/2014/main" id="{00000000-0008-0000-0500-000075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390044</xdr:colOff>
      <xdr:row>35</xdr:row>
      <xdr:rowOff>141818</xdr:rowOff>
    </xdr:from>
    <xdr:to>
      <xdr:col>14</xdr:col>
      <xdr:colOff>1540</xdr:colOff>
      <xdr:row>37</xdr:row>
      <xdr:rowOff>21571</xdr:rowOff>
    </xdr:to>
    <xdr:grpSp>
      <xdr:nvGrpSpPr>
        <xdr:cNvPr id="374" name="Gruppieren 373">
          <a:extLst>
            <a:ext uri="{FF2B5EF4-FFF2-40B4-BE49-F238E27FC236}">
              <a16:creationId xmlns:a16="http://schemas.microsoft.com/office/drawing/2014/main" id="{00000000-0008-0000-0500-000076010000}"/>
            </a:ext>
          </a:extLst>
        </xdr:cNvPr>
        <xdr:cNvGrpSpPr/>
      </xdr:nvGrpSpPr>
      <xdr:grpSpPr>
        <a:xfrm>
          <a:off x="5914544" y="6418793"/>
          <a:ext cx="125846" cy="203603"/>
          <a:chOff x="6665123" y="2144244"/>
          <a:chExt cx="126016" cy="200859"/>
        </a:xfrm>
      </xdr:grpSpPr>
      <xdr:sp macro="" textlink="">
        <xdr:nvSpPr>
          <xdr:cNvPr id="375" name="Rechtwinkliges Dreieck 133">
            <a:extLst>
              <a:ext uri="{FF2B5EF4-FFF2-40B4-BE49-F238E27FC236}">
                <a16:creationId xmlns:a16="http://schemas.microsoft.com/office/drawing/2014/main" id="{00000000-0008-0000-0500-000077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76" name="Gerade Verbindung 134">
            <a:extLst>
              <a:ext uri="{FF2B5EF4-FFF2-40B4-BE49-F238E27FC236}">
                <a16:creationId xmlns:a16="http://schemas.microsoft.com/office/drawing/2014/main" id="{00000000-0008-0000-0500-000078010000}"/>
              </a:ext>
            </a:extLst>
          </xdr:cNvPr>
          <xdr:cNvCxnSpPr>
            <a:stCxn id="375" idx="4"/>
            <a:endCxn id="37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77" name="Rechtwinkliges Dreieck 135">
            <a:extLst>
              <a:ext uri="{FF2B5EF4-FFF2-40B4-BE49-F238E27FC236}">
                <a16:creationId xmlns:a16="http://schemas.microsoft.com/office/drawing/2014/main" id="{00000000-0008-0000-0500-000079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78" name="Gerade Verbindung 136">
            <a:extLst>
              <a:ext uri="{FF2B5EF4-FFF2-40B4-BE49-F238E27FC236}">
                <a16:creationId xmlns:a16="http://schemas.microsoft.com/office/drawing/2014/main" id="{00000000-0008-0000-0500-00007A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5013</xdr:colOff>
      <xdr:row>38</xdr:row>
      <xdr:rowOff>142875</xdr:rowOff>
    </xdr:from>
    <xdr:to>
      <xdr:col>0</xdr:col>
      <xdr:colOff>131029</xdr:colOff>
      <xdr:row>40</xdr:row>
      <xdr:rowOff>22628</xdr:rowOff>
    </xdr:to>
    <xdr:grpSp>
      <xdr:nvGrpSpPr>
        <xdr:cNvPr id="379" name="Gruppieren 378">
          <a:extLst>
            <a:ext uri="{FF2B5EF4-FFF2-40B4-BE49-F238E27FC236}">
              <a16:creationId xmlns:a16="http://schemas.microsoft.com/office/drawing/2014/main" id="{00000000-0008-0000-0500-00007B010000}"/>
            </a:ext>
          </a:extLst>
        </xdr:cNvPr>
        <xdr:cNvGrpSpPr/>
      </xdr:nvGrpSpPr>
      <xdr:grpSpPr>
        <a:xfrm flipH="1">
          <a:off x="5013" y="6905625"/>
          <a:ext cx="126016" cy="203603"/>
          <a:chOff x="6665123" y="2144244"/>
          <a:chExt cx="126016" cy="200859"/>
        </a:xfrm>
      </xdr:grpSpPr>
      <xdr:sp macro="" textlink="">
        <xdr:nvSpPr>
          <xdr:cNvPr id="380" name="Rechtwinkliges Dreieck 133">
            <a:extLst>
              <a:ext uri="{FF2B5EF4-FFF2-40B4-BE49-F238E27FC236}">
                <a16:creationId xmlns:a16="http://schemas.microsoft.com/office/drawing/2014/main" id="{00000000-0008-0000-0500-00007C01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81" name="Gerade Verbindung 134">
            <a:extLst>
              <a:ext uri="{FF2B5EF4-FFF2-40B4-BE49-F238E27FC236}">
                <a16:creationId xmlns:a16="http://schemas.microsoft.com/office/drawing/2014/main" id="{00000000-0008-0000-0500-00007D010000}"/>
              </a:ext>
            </a:extLst>
          </xdr:cNvPr>
          <xdr:cNvCxnSpPr>
            <a:stCxn id="380" idx="4"/>
            <a:endCxn id="38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82" name="Rechtwinkliges Dreieck 135">
            <a:extLst>
              <a:ext uri="{FF2B5EF4-FFF2-40B4-BE49-F238E27FC236}">
                <a16:creationId xmlns:a16="http://schemas.microsoft.com/office/drawing/2014/main" id="{00000000-0008-0000-0500-00007E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83" name="Gerade Verbindung 136">
            <a:extLst>
              <a:ext uri="{FF2B5EF4-FFF2-40B4-BE49-F238E27FC236}">
                <a16:creationId xmlns:a16="http://schemas.microsoft.com/office/drawing/2014/main" id="{00000000-0008-0000-0500-00007F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381471</xdr:colOff>
      <xdr:row>40</xdr:row>
      <xdr:rowOff>141819</xdr:rowOff>
    </xdr:from>
    <xdr:to>
      <xdr:col>5</xdr:col>
      <xdr:colOff>509323</xdr:colOff>
      <xdr:row>42</xdr:row>
      <xdr:rowOff>21572</xdr:rowOff>
    </xdr:to>
    <xdr:grpSp>
      <xdr:nvGrpSpPr>
        <xdr:cNvPr id="389" name="Gruppieren 388">
          <a:extLst>
            <a:ext uri="{FF2B5EF4-FFF2-40B4-BE49-F238E27FC236}">
              <a16:creationId xmlns:a16="http://schemas.microsoft.com/office/drawing/2014/main" id="{00000000-0008-0000-0500-000085010000}"/>
            </a:ext>
          </a:extLst>
        </xdr:cNvPr>
        <xdr:cNvGrpSpPr/>
      </xdr:nvGrpSpPr>
      <xdr:grpSpPr>
        <a:xfrm>
          <a:off x="2400771" y="7228419"/>
          <a:ext cx="127852" cy="203603"/>
          <a:chOff x="6665123" y="2144244"/>
          <a:chExt cx="126016" cy="200859"/>
        </a:xfrm>
      </xdr:grpSpPr>
      <xdr:sp macro="" textlink="">
        <xdr:nvSpPr>
          <xdr:cNvPr id="390" name="Rechtwinkliges Dreieck 133">
            <a:extLst>
              <a:ext uri="{FF2B5EF4-FFF2-40B4-BE49-F238E27FC236}">
                <a16:creationId xmlns:a16="http://schemas.microsoft.com/office/drawing/2014/main" id="{00000000-0008-0000-0500-000086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91" name="Gerade Verbindung 134">
            <a:extLst>
              <a:ext uri="{FF2B5EF4-FFF2-40B4-BE49-F238E27FC236}">
                <a16:creationId xmlns:a16="http://schemas.microsoft.com/office/drawing/2014/main" id="{00000000-0008-0000-0500-000087010000}"/>
              </a:ext>
            </a:extLst>
          </xdr:cNvPr>
          <xdr:cNvCxnSpPr>
            <a:stCxn id="390" idx="4"/>
            <a:endCxn id="39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92" name="Rechtwinkliges Dreieck 135">
            <a:extLst>
              <a:ext uri="{FF2B5EF4-FFF2-40B4-BE49-F238E27FC236}">
                <a16:creationId xmlns:a16="http://schemas.microsoft.com/office/drawing/2014/main" id="{00000000-0008-0000-0500-000088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93" name="Gerade Verbindung 136">
            <a:extLst>
              <a:ext uri="{FF2B5EF4-FFF2-40B4-BE49-F238E27FC236}">
                <a16:creationId xmlns:a16="http://schemas.microsoft.com/office/drawing/2014/main" id="{00000000-0008-0000-0500-000089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390044</xdr:colOff>
      <xdr:row>38</xdr:row>
      <xdr:rowOff>141818</xdr:rowOff>
    </xdr:from>
    <xdr:to>
      <xdr:col>14</xdr:col>
      <xdr:colOff>1540</xdr:colOff>
      <xdr:row>40</xdr:row>
      <xdr:rowOff>21571</xdr:rowOff>
    </xdr:to>
    <xdr:grpSp>
      <xdr:nvGrpSpPr>
        <xdr:cNvPr id="394" name="Gruppieren 393">
          <a:extLst>
            <a:ext uri="{FF2B5EF4-FFF2-40B4-BE49-F238E27FC236}">
              <a16:creationId xmlns:a16="http://schemas.microsoft.com/office/drawing/2014/main" id="{00000000-0008-0000-0500-00008A010000}"/>
            </a:ext>
          </a:extLst>
        </xdr:cNvPr>
        <xdr:cNvGrpSpPr/>
      </xdr:nvGrpSpPr>
      <xdr:grpSpPr>
        <a:xfrm>
          <a:off x="5914544" y="6904568"/>
          <a:ext cx="125846" cy="203603"/>
          <a:chOff x="6665123" y="2144244"/>
          <a:chExt cx="126016" cy="200859"/>
        </a:xfrm>
      </xdr:grpSpPr>
      <xdr:sp macro="" textlink="">
        <xdr:nvSpPr>
          <xdr:cNvPr id="395" name="Rechtwinkliges Dreieck 133">
            <a:extLst>
              <a:ext uri="{FF2B5EF4-FFF2-40B4-BE49-F238E27FC236}">
                <a16:creationId xmlns:a16="http://schemas.microsoft.com/office/drawing/2014/main" id="{00000000-0008-0000-0500-00008B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96" name="Gerade Verbindung 134">
            <a:extLst>
              <a:ext uri="{FF2B5EF4-FFF2-40B4-BE49-F238E27FC236}">
                <a16:creationId xmlns:a16="http://schemas.microsoft.com/office/drawing/2014/main" id="{00000000-0008-0000-0500-00008C010000}"/>
              </a:ext>
            </a:extLst>
          </xdr:cNvPr>
          <xdr:cNvCxnSpPr>
            <a:stCxn id="395" idx="4"/>
            <a:endCxn id="39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97" name="Rechtwinkliges Dreieck 135">
            <a:extLst>
              <a:ext uri="{FF2B5EF4-FFF2-40B4-BE49-F238E27FC236}">
                <a16:creationId xmlns:a16="http://schemas.microsoft.com/office/drawing/2014/main" id="{00000000-0008-0000-0500-00008D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98" name="Gerade Verbindung 136">
            <a:extLst>
              <a:ext uri="{FF2B5EF4-FFF2-40B4-BE49-F238E27FC236}">
                <a16:creationId xmlns:a16="http://schemas.microsoft.com/office/drawing/2014/main" id="{00000000-0008-0000-0500-00008E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14036</xdr:colOff>
      <xdr:row>40</xdr:row>
      <xdr:rowOff>142876</xdr:rowOff>
    </xdr:from>
    <xdr:to>
      <xdr:col>10</xdr:col>
      <xdr:colOff>140052</xdr:colOff>
      <xdr:row>42</xdr:row>
      <xdr:rowOff>22629</xdr:rowOff>
    </xdr:to>
    <xdr:grpSp>
      <xdr:nvGrpSpPr>
        <xdr:cNvPr id="399" name="Gruppieren 398">
          <a:extLst>
            <a:ext uri="{FF2B5EF4-FFF2-40B4-BE49-F238E27FC236}">
              <a16:creationId xmlns:a16="http://schemas.microsoft.com/office/drawing/2014/main" id="{00000000-0008-0000-0500-00008F010000}"/>
            </a:ext>
          </a:extLst>
        </xdr:cNvPr>
        <xdr:cNvGrpSpPr/>
      </xdr:nvGrpSpPr>
      <xdr:grpSpPr>
        <a:xfrm flipH="1">
          <a:off x="4547936" y="7229476"/>
          <a:ext cx="126016" cy="203603"/>
          <a:chOff x="6665123" y="2144244"/>
          <a:chExt cx="126016" cy="200859"/>
        </a:xfrm>
      </xdr:grpSpPr>
      <xdr:sp macro="" textlink="">
        <xdr:nvSpPr>
          <xdr:cNvPr id="400" name="Rechtwinkliges Dreieck 133">
            <a:extLst>
              <a:ext uri="{FF2B5EF4-FFF2-40B4-BE49-F238E27FC236}">
                <a16:creationId xmlns:a16="http://schemas.microsoft.com/office/drawing/2014/main" id="{00000000-0008-0000-0500-000090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01" name="Gerade Verbindung 134">
            <a:extLst>
              <a:ext uri="{FF2B5EF4-FFF2-40B4-BE49-F238E27FC236}">
                <a16:creationId xmlns:a16="http://schemas.microsoft.com/office/drawing/2014/main" id="{00000000-0008-0000-0500-000091010000}"/>
              </a:ext>
            </a:extLst>
          </xdr:cNvPr>
          <xdr:cNvCxnSpPr>
            <a:stCxn id="400" idx="4"/>
            <a:endCxn id="40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02" name="Rechtwinkliges Dreieck 135">
            <a:extLst>
              <a:ext uri="{FF2B5EF4-FFF2-40B4-BE49-F238E27FC236}">
                <a16:creationId xmlns:a16="http://schemas.microsoft.com/office/drawing/2014/main" id="{00000000-0008-0000-0500-000092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03" name="Gerade Verbindung 136">
            <a:extLst>
              <a:ext uri="{FF2B5EF4-FFF2-40B4-BE49-F238E27FC236}">
                <a16:creationId xmlns:a16="http://schemas.microsoft.com/office/drawing/2014/main" id="{00000000-0008-0000-0500-000093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14131</xdr:colOff>
      <xdr:row>43</xdr:row>
      <xdr:rowOff>142876</xdr:rowOff>
    </xdr:from>
    <xdr:to>
      <xdr:col>17</xdr:col>
      <xdr:colOff>140147</xdr:colOff>
      <xdr:row>45</xdr:row>
      <xdr:rowOff>22629</xdr:rowOff>
    </xdr:to>
    <xdr:grpSp>
      <xdr:nvGrpSpPr>
        <xdr:cNvPr id="404" name="Gruppieren 403">
          <a:extLst>
            <a:ext uri="{FF2B5EF4-FFF2-40B4-BE49-F238E27FC236}">
              <a16:creationId xmlns:a16="http://schemas.microsoft.com/office/drawing/2014/main" id="{00000000-0008-0000-0500-000094010000}"/>
            </a:ext>
          </a:extLst>
        </xdr:cNvPr>
        <xdr:cNvGrpSpPr/>
      </xdr:nvGrpSpPr>
      <xdr:grpSpPr>
        <a:xfrm flipH="1">
          <a:off x="6643531" y="7715251"/>
          <a:ext cx="126016" cy="203603"/>
          <a:chOff x="6665123" y="2144244"/>
          <a:chExt cx="126016" cy="200859"/>
        </a:xfrm>
      </xdr:grpSpPr>
      <xdr:sp macro="" textlink="">
        <xdr:nvSpPr>
          <xdr:cNvPr id="405" name="Rechtwinkliges Dreieck 133">
            <a:extLst>
              <a:ext uri="{FF2B5EF4-FFF2-40B4-BE49-F238E27FC236}">
                <a16:creationId xmlns:a16="http://schemas.microsoft.com/office/drawing/2014/main" id="{00000000-0008-0000-0500-000095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06" name="Gerade Verbindung 134">
            <a:extLst>
              <a:ext uri="{FF2B5EF4-FFF2-40B4-BE49-F238E27FC236}">
                <a16:creationId xmlns:a16="http://schemas.microsoft.com/office/drawing/2014/main" id="{00000000-0008-0000-0500-000096010000}"/>
              </a:ext>
            </a:extLst>
          </xdr:cNvPr>
          <xdr:cNvCxnSpPr>
            <a:stCxn id="405" idx="4"/>
            <a:endCxn id="40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07" name="Rechtwinkliges Dreieck 135">
            <a:extLst>
              <a:ext uri="{FF2B5EF4-FFF2-40B4-BE49-F238E27FC236}">
                <a16:creationId xmlns:a16="http://schemas.microsoft.com/office/drawing/2014/main" id="{00000000-0008-0000-0500-000097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08" name="Gerade Verbindung 136">
            <a:extLst>
              <a:ext uri="{FF2B5EF4-FFF2-40B4-BE49-F238E27FC236}">
                <a16:creationId xmlns:a16="http://schemas.microsoft.com/office/drawing/2014/main" id="{00000000-0008-0000-0500-000098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381471</xdr:colOff>
      <xdr:row>44</xdr:row>
      <xdr:rowOff>146582</xdr:rowOff>
    </xdr:from>
    <xdr:to>
      <xdr:col>5</xdr:col>
      <xdr:colOff>509323</xdr:colOff>
      <xdr:row>46</xdr:row>
      <xdr:rowOff>26335</xdr:rowOff>
    </xdr:to>
    <xdr:grpSp>
      <xdr:nvGrpSpPr>
        <xdr:cNvPr id="409" name="Gruppieren 408">
          <a:extLst>
            <a:ext uri="{FF2B5EF4-FFF2-40B4-BE49-F238E27FC236}">
              <a16:creationId xmlns:a16="http://schemas.microsoft.com/office/drawing/2014/main" id="{00000000-0008-0000-0500-000099010000}"/>
            </a:ext>
          </a:extLst>
        </xdr:cNvPr>
        <xdr:cNvGrpSpPr/>
      </xdr:nvGrpSpPr>
      <xdr:grpSpPr>
        <a:xfrm>
          <a:off x="2400771" y="7880882"/>
          <a:ext cx="127852" cy="203603"/>
          <a:chOff x="6665123" y="2144244"/>
          <a:chExt cx="126016" cy="200859"/>
        </a:xfrm>
      </xdr:grpSpPr>
      <xdr:sp macro="" textlink="">
        <xdr:nvSpPr>
          <xdr:cNvPr id="410" name="Rechtwinkliges Dreieck 133">
            <a:extLst>
              <a:ext uri="{FF2B5EF4-FFF2-40B4-BE49-F238E27FC236}">
                <a16:creationId xmlns:a16="http://schemas.microsoft.com/office/drawing/2014/main" id="{00000000-0008-0000-0500-00009A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11" name="Gerade Verbindung 134">
            <a:extLst>
              <a:ext uri="{FF2B5EF4-FFF2-40B4-BE49-F238E27FC236}">
                <a16:creationId xmlns:a16="http://schemas.microsoft.com/office/drawing/2014/main" id="{00000000-0008-0000-0500-00009B010000}"/>
              </a:ext>
            </a:extLst>
          </xdr:cNvPr>
          <xdr:cNvCxnSpPr>
            <a:stCxn id="410" idx="4"/>
            <a:endCxn id="41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12" name="Rechtwinkliges Dreieck 135">
            <a:extLst>
              <a:ext uri="{FF2B5EF4-FFF2-40B4-BE49-F238E27FC236}">
                <a16:creationId xmlns:a16="http://schemas.microsoft.com/office/drawing/2014/main" id="{00000000-0008-0000-0500-00009C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13" name="Gerade Verbindung 136">
            <a:extLst>
              <a:ext uri="{FF2B5EF4-FFF2-40B4-BE49-F238E27FC236}">
                <a16:creationId xmlns:a16="http://schemas.microsoft.com/office/drawing/2014/main" id="{00000000-0008-0000-0500-00009D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390044</xdr:colOff>
      <xdr:row>42</xdr:row>
      <xdr:rowOff>141818</xdr:rowOff>
    </xdr:from>
    <xdr:to>
      <xdr:col>14</xdr:col>
      <xdr:colOff>1540</xdr:colOff>
      <xdr:row>44</xdr:row>
      <xdr:rowOff>21571</xdr:rowOff>
    </xdr:to>
    <xdr:grpSp>
      <xdr:nvGrpSpPr>
        <xdr:cNvPr id="414" name="Gruppieren 413">
          <a:extLst>
            <a:ext uri="{FF2B5EF4-FFF2-40B4-BE49-F238E27FC236}">
              <a16:creationId xmlns:a16="http://schemas.microsoft.com/office/drawing/2014/main" id="{00000000-0008-0000-0500-00009E010000}"/>
            </a:ext>
          </a:extLst>
        </xdr:cNvPr>
        <xdr:cNvGrpSpPr/>
      </xdr:nvGrpSpPr>
      <xdr:grpSpPr>
        <a:xfrm>
          <a:off x="5914544" y="7552268"/>
          <a:ext cx="125846" cy="203603"/>
          <a:chOff x="6665123" y="2144244"/>
          <a:chExt cx="126016" cy="200859"/>
        </a:xfrm>
      </xdr:grpSpPr>
      <xdr:sp macro="" textlink="">
        <xdr:nvSpPr>
          <xdr:cNvPr id="415" name="Rechtwinkliges Dreieck 133">
            <a:extLst>
              <a:ext uri="{FF2B5EF4-FFF2-40B4-BE49-F238E27FC236}">
                <a16:creationId xmlns:a16="http://schemas.microsoft.com/office/drawing/2014/main" id="{00000000-0008-0000-0500-00009F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16" name="Gerade Verbindung 134">
            <a:extLst>
              <a:ext uri="{FF2B5EF4-FFF2-40B4-BE49-F238E27FC236}">
                <a16:creationId xmlns:a16="http://schemas.microsoft.com/office/drawing/2014/main" id="{00000000-0008-0000-0500-0000A0010000}"/>
              </a:ext>
            </a:extLst>
          </xdr:cNvPr>
          <xdr:cNvCxnSpPr>
            <a:stCxn id="415" idx="4"/>
            <a:endCxn id="41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17" name="Rechtwinkliges Dreieck 135">
            <a:extLst>
              <a:ext uri="{FF2B5EF4-FFF2-40B4-BE49-F238E27FC236}">
                <a16:creationId xmlns:a16="http://schemas.microsoft.com/office/drawing/2014/main" id="{00000000-0008-0000-0500-0000A1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18" name="Gerade Verbindung 136">
            <a:extLst>
              <a:ext uri="{FF2B5EF4-FFF2-40B4-BE49-F238E27FC236}">
                <a16:creationId xmlns:a16="http://schemas.microsoft.com/office/drawing/2014/main" id="{00000000-0008-0000-0500-0000A2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14036</xdr:colOff>
      <xdr:row>44</xdr:row>
      <xdr:rowOff>142876</xdr:rowOff>
    </xdr:from>
    <xdr:to>
      <xdr:col>10</xdr:col>
      <xdr:colOff>140052</xdr:colOff>
      <xdr:row>46</xdr:row>
      <xdr:rowOff>22629</xdr:rowOff>
    </xdr:to>
    <xdr:grpSp>
      <xdr:nvGrpSpPr>
        <xdr:cNvPr id="419" name="Gruppieren 418">
          <a:extLst>
            <a:ext uri="{FF2B5EF4-FFF2-40B4-BE49-F238E27FC236}">
              <a16:creationId xmlns:a16="http://schemas.microsoft.com/office/drawing/2014/main" id="{00000000-0008-0000-0500-0000A3010000}"/>
            </a:ext>
          </a:extLst>
        </xdr:cNvPr>
        <xdr:cNvGrpSpPr/>
      </xdr:nvGrpSpPr>
      <xdr:grpSpPr>
        <a:xfrm flipH="1">
          <a:off x="4547936" y="7877176"/>
          <a:ext cx="126016" cy="203603"/>
          <a:chOff x="6665123" y="2144244"/>
          <a:chExt cx="126016" cy="200859"/>
        </a:xfrm>
      </xdr:grpSpPr>
      <xdr:sp macro="" textlink="">
        <xdr:nvSpPr>
          <xdr:cNvPr id="420" name="Rechtwinkliges Dreieck 133">
            <a:extLst>
              <a:ext uri="{FF2B5EF4-FFF2-40B4-BE49-F238E27FC236}">
                <a16:creationId xmlns:a16="http://schemas.microsoft.com/office/drawing/2014/main" id="{00000000-0008-0000-0500-0000A4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21" name="Gerade Verbindung 134">
            <a:extLst>
              <a:ext uri="{FF2B5EF4-FFF2-40B4-BE49-F238E27FC236}">
                <a16:creationId xmlns:a16="http://schemas.microsoft.com/office/drawing/2014/main" id="{00000000-0008-0000-0500-0000A5010000}"/>
              </a:ext>
            </a:extLst>
          </xdr:cNvPr>
          <xdr:cNvCxnSpPr>
            <a:stCxn id="420" idx="4"/>
            <a:endCxn id="42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22" name="Rechtwinkliges Dreieck 135">
            <a:extLst>
              <a:ext uri="{FF2B5EF4-FFF2-40B4-BE49-F238E27FC236}">
                <a16:creationId xmlns:a16="http://schemas.microsoft.com/office/drawing/2014/main" id="{00000000-0008-0000-0500-0000A6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23" name="Gerade Verbindung 136">
            <a:extLst>
              <a:ext uri="{FF2B5EF4-FFF2-40B4-BE49-F238E27FC236}">
                <a16:creationId xmlns:a16="http://schemas.microsoft.com/office/drawing/2014/main" id="{00000000-0008-0000-0500-0000A7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381471</xdr:colOff>
      <xdr:row>48</xdr:row>
      <xdr:rowOff>141819</xdr:rowOff>
    </xdr:from>
    <xdr:to>
      <xdr:col>5</xdr:col>
      <xdr:colOff>509323</xdr:colOff>
      <xdr:row>50</xdr:row>
      <xdr:rowOff>21572</xdr:rowOff>
    </xdr:to>
    <xdr:grpSp>
      <xdr:nvGrpSpPr>
        <xdr:cNvPr id="429" name="Gruppieren 428">
          <a:extLst>
            <a:ext uri="{FF2B5EF4-FFF2-40B4-BE49-F238E27FC236}">
              <a16:creationId xmlns:a16="http://schemas.microsoft.com/office/drawing/2014/main" id="{00000000-0008-0000-0500-0000AD010000}"/>
            </a:ext>
          </a:extLst>
        </xdr:cNvPr>
        <xdr:cNvGrpSpPr/>
      </xdr:nvGrpSpPr>
      <xdr:grpSpPr>
        <a:xfrm>
          <a:off x="2400771" y="8523819"/>
          <a:ext cx="127852" cy="203603"/>
          <a:chOff x="6665123" y="2144244"/>
          <a:chExt cx="126016" cy="200859"/>
        </a:xfrm>
      </xdr:grpSpPr>
      <xdr:sp macro="" textlink="">
        <xdr:nvSpPr>
          <xdr:cNvPr id="430" name="Rechtwinkliges Dreieck 133">
            <a:extLst>
              <a:ext uri="{FF2B5EF4-FFF2-40B4-BE49-F238E27FC236}">
                <a16:creationId xmlns:a16="http://schemas.microsoft.com/office/drawing/2014/main" id="{00000000-0008-0000-0500-0000AE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31" name="Gerade Verbindung 134">
            <a:extLst>
              <a:ext uri="{FF2B5EF4-FFF2-40B4-BE49-F238E27FC236}">
                <a16:creationId xmlns:a16="http://schemas.microsoft.com/office/drawing/2014/main" id="{00000000-0008-0000-0500-0000AF010000}"/>
              </a:ext>
            </a:extLst>
          </xdr:cNvPr>
          <xdr:cNvCxnSpPr>
            <a:stCxn id="430" idx="4"/>
            <a:endCxn id="43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32" name="Rechtwinkliges Dreieck 135">
            <a:extLst>
              <a:ext uri="{FF2B5EF4-FFF2-40B4-BE49-F238E27FC236}">
                <a16:creationId xmlns:a16="http://schemas.microsoft.com/office/drawing/2014/main" id="{00000000-0008-0000-0500-0000B0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33" name="Gerade Verbindung 136">
            <a:extLst>
              <a:ext uri="{FF2B5EF4-FFF2-40B4-BE49-F238E27FC236}">
                <a16:creationId xmlns:a16="http://schemas.microsoft.com/office/drawing/2014/main" id="{00000000-0008-0000-0500-0000B1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385031</xdr:colOff>
      <xdr:row>46</xdr:row>
      <xdr:rowOff>141818</xdr:rowOff>
    </xdr:from>
    <xdr:to>
      <xdr:col>13</xdr:col>
      <xdr:colOff>512883</xdr:colOff>
      <xdr:row>48</xdr:row>
      <xdr:rowOff>21571</xdr:rowOff>
    </xdr:to>
    <xdr:grpSp>
      <xdr:nvGrpSpPr>
        <xdr:cNvPr id="434" name="Gruppieren 433">
          <a:extLst>
            <a:ext uri="{FF2B5EF4-FFF2-40B4-BE49-F238E27FC236}">
              <a16:creationId xmlns:a16="http://schemas.microsoft.com/office/drawing/2014/main" id="{00000000-0008-0000-0500-0000B2010000}"/>
            </a:ext>
          </a:extLst>
        </xdr:cNvPr>
        <xdr:cNvGrpSpPr/>
      </xdr:nvGrpSpPr>
      <xdr:grpSpPr>
        <a:xfrm>
          <a:off x="5909531" y="8199968"/>
          <a:ext cx="127852" cy="203603"/>
          <a:chOff x="6665123" y="2144244"/>
          <a:chExt cx="126016" cy="200859"/>
        </a:xfrm>
      </xdr:grpSpPr>
      <xdr:sp macro="" textlink="">
        <xdr:nvSpPr>
          <xdr:cNvPr id="435" name="Rechtwinkliges Dreieck 133">
            <a:extLst>
              <a:ext uri="{FF2B5EF4-FFF2-40B4-BE49-F238E27FC236}">
                <a16:creationId xmlns:a16="http://schemas.microsoft.com/office/drawing/2014/main" id="{00000000-0008-0000-0500-0000B3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36" name="Gerade Verbindung 134">
            <a:extLst>
              <a:ext uri="{FF2B5EF4-FFF2-40B4-BE49-F238E27FC236}">
                <a16:creationId xmlns:a16="http://schemas.microsoft.com/office/drawing/2014/main" id="{00000000-0008-0000-0500-0000B4010000}"/>
              </a:ext>
            </a:extLst>
          </xdr:cNvPr>
          <xdr:cNvCxnSpPr>
            <a:stCxn id="435" idx="4"/>
            <a:endCxn id="43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37" name="Rechtwinkliges Dreieck 135">
            <a:extLst>
              <a:ext uri="{FF2B5EF4-FFF2-40B4-BE49-F238E27FC236}">
                <a16:creationId xmlns:a16="http://schemas.microsoft.com/office/drawing/2014/main" id="{00000000-0008-0000-0500-0000B5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38" name="Gerade Verbindung 136">
            <a:extLst>
              <a:ext uri="{FF2B5EF4-FFF2-40B4-BE49-F238E27FC236}">
                <a16:creationId xmlns:a16="http://schemas.microsoft.com/office/drawing/2014/main" id="{00000000-0008-0000-0500-0000B6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14036</xdr:colOff>
      <xdr:row>48</xdr:row>
      <xdr:rowOff>142876</xdr:rowOff>
    </xdr:from>
    <xdr:to>
      <xdr:col>10</xdr:col>
      <xdr:colOff>140052</xdr:colOff>
      <xdr:row>50</xdr:row>
      <xdr:rowOff>22629</xdr:rowOff>
    </xdr:to>
    <xdr:grpSp>
      <xdr:nvGrpSpPr>
        <xdr:cNvPr id="439" name="Gruppieren 438">
          <a:extLst>
            <a:ext uri="{FF2B5EF4-FFF2-40B4-BE49-F238E27FC236}">
              <a16:creationId xmlns:a16="http://schemas.microsoft.com/office/drawing/2014/main" id="{00000000-0008-0000-0500-0000B7010000}"/>
            </a:ext>
          </a:extLst>
        </xdr:cNvPr>
        <xdr:cNvGrpSpPr/>
      </xdr:nvGrpSpPr>
      <xdr:grpSpPr>
        <a:xfrm flipH="1">
          <a:off x="4547936" y="8524876"/>
          <a:ext cx="126016" cy="203603"/>
          <a:chOff x="6665123" y="2144244"/>
          <a:chExt cx="126016" cy="200859"/>
        </a:xfrm>
      </xdr:grpSpPr>
      <xdr:sp macro="" textlink="">
        <xdr:nvSpPr>
          <xdr:cNvPr id="440" name="Rechtwinkliges Dreieck 133">
            <a:extLst>
              <a:ext uri="{FF2B5EF4-FFF2-40B4-BE49-F238E27FC236}">
                <a16:creationId xmlns:a16="http://schemas.microsoft.com/office/drawing/2014/main" id="{00000000-0008-0000-0500-0000B8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41" name="Gerade Verbindung 134">
            <a:extLst>
              <a:ext uri="{FF2B5EF4-FFF2-40B4-BE49-F238E27FC236}">
                <a16:creationId xmlns:a16="http://schemas.microsoft.com/office/drawing/2014/main" id="{00000000-0008-0000-0500-0000B9010000}"/>
              </a:ext>
            </a:extLst>
          </xdr:cNvPr>
          <xdr:cNvCxnSpPr>
            <a:stCxn id="440" idx="4"/>
            <a:endCxn id="44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42" name="Rechtwinkliges Dreieck 135">
            <a:extLst>
              <a:ext uri="{FF2B5EF4-FFF2-40B4-BE49-F238E27FC236}">
                <a16:creationId xmlns:a16="http://schemas.microsoft.com/office/drawing/2014/main" id="{00000000-0008-0000-0500-0000BA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43" name="Gerade Verbindung 136">
            <a:extLst>
              <a:ext uri="{FF2B5EF4-FFF2-40B4-BE49-F238E27FC236}">
                <a16:creationId xmlns:a16="http://schemas.microsoft.com/office/drawing/2014/main" id="{00000000-0008-0000-0500-0000BB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14036</xdr:colOff>
      <xdr:row>51</xdr:row>
      <xdr:rowOff>142877</xdr:rowOff>
    </xdr:from>
    <xdr:to>
      <xdr:col>10</xdr:col>
      <xdr:colOff>140052</xdr:colOff>
      <xdr:row>53</xdr:row>
      <xdr:rowOff>22630</xdr:rowOff>
    </xdr:to>
    <xdr:grpSp>
      <xdr:nvGrpSpPr>
        <xdr:cNvPr id="454" name="Gruppieren 453">
          <a:extLst>
            <a:ext uri="{FF2B5EF4-FFF2-40B4-BE49-F238E27FC236}">
              <a16:creationId xmlns:a16="http://schemas.microsoft.com/office/drawing/2014/main" id="{00000000-0008-0000-0500-0000C6010000}"/>
            </a:ext>
          </a:extLst>
        </xdr:cNvPr>
        <xdr:cNvGrpSpPr/>
      </xdr:nvGrpSpPr>
      <xdr:grpSpPr>
        <a:xfrm flipH="1">
          <a:off x="4547936" y="9010652"/>
          <a:ext cx="126016" cy="203603"/>
          <a:chOff x="6665123" y="2144244"/>
          <a:chExt cx="126016" cy="200859"/>
        </a:xfrm>
      </xdr:grpSpPr>
      <xdr:sp macro="" textlink="">
        <xdr:nvSpPr>
          <xdr:cNvPr id="455" name="Rechtwinkliges Dreieck 133">
            <a:extLst>
              <a:ext uri="{FF2B5EF4-FFF2-40B4-BE49-F238E27FC236}">
                <a16:creationId xmlns:a16="http://schemas.microsoft.com/office/drawing/2014/main" id="{00000000-0008-0000-0500-0000C7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56" name="Gerade Verbindung 134">
            <a:extLst>
              <a:ext uri="{FF2B5EF4-FFF2-40B4-BE49-F238E27FC236}">
                <a16:creationId xmlns:a16="http://schemas.microsoft.com/office/drawing/2014/main" id="{00000000-0008-0000-0500-0000C8010000}"/>
              </a:ext>
            </a:extLst>
          </xdr:cNvPr>
          <xdr:cNvCxnSpPr>
            <a:stCxn id="455" idx="4"/>
            <a:endCxn id="45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57" name="Rechtwinkliges Dreieck 135">
            <a:extLst>
              <a:ext uri="{FF2B5EF4-FFF2-40B4-BE49-F238E27FC236}">
                <a16:creationId xmlns:a16="http://schemas.microsoft.com/office/drawing/2014/main" id="{00000000-0008-0000-0500-0000C9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58" name="Gerade Verbindung 136">
            <a:extLst>
              <a:ext uri="{FF2B5EF4-FFF2-40B4-BE49-F238E27FC236}">
                <a16:creationId xmlns:a16="http://schemas.microsoft.com/office/drawing/2014/main" id="{00000000-0008-0000-0500-0000CA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390044</xdr:colOff>
      <xdr:row>59</xdr:row>
      <xdr:rowOff>141817</xdr:rowOff>
    </xdr:from>
    <xdr:to>
      <xdr:col>14</xdr:col>
      <xdr:colOff>1540</xdr:colOff>
      <xdr:row>61</xdr:row>
      <xdr:rowOff>21570</xdr:rowOff>
    </xdr:to>
    <xdr:grpSp>
      <xdr:nvGrpSpPr>
        <xdr:cNvPr id="474" name="Gruppieren 473">
          <a:extLst>
            <a:ext uri="{FF2B5EF4-FFF2-40B4-BE49-F238E27FC236}">
              <a16:creationId xmlns:a16="http://schemas.microsoft.com/office/drawing/2014/main" id="{00000000-0008-0000-0500-0000DA010000}"/>
            </a:ext>
          </a:extLst>
        </xdr:cNvPr>
        <xdr:cNvGrpSpPr/>
      </xdr:nvGrpSpPr>
      <xdr:grpSpPr>
        <a:xfrm>
          <a:off x="5914544" y="10219267"/>
          <a:ext cx="125846" cy="203603"/>
          <a:chOff x="6665123" y="2144244"/>
          <a:chExt cx="126016" cy="200859"/>
        </a:xfrm>
      </xdr:grpSpPr>
      <xdr:sp macro="" textlink="">
        <xdr:nvSpPr>
          <xdr:cNvPr id="475" name="Rechtwinkliges Dreieck 133">
            <a:extLst>
              <a:ext uri="{FF2B5EF4-FFF2-40B4-BE49-F238E27FC236}">
                <a16:creationId xmlns:a16="http://schemas.microsoft.com/office/drawing/2014/main" id="{00000000-0008-0000-0500-0000DB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76" name="Gerade Verbindung 134">
            <a:extLst>
              <a:ext uri="{FF2B5EF4-FFF2-40B4-BE49-F238E27FC236}">
                <a16:creationId xmlns:a16="http://schemas.microsoft.com/office/drawing/2014/main" id="{00000000-0008-0000-0500-0000DC010000}"/>
              </a:ext>
            </a:extLst>
          </xdr:cNvPr>
          <xdr:cNvCxnSpPr>
            <a:stCxn id="475" idx="4"/>
            <a:endCxn id="47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77" name="Rechtwinkliges Dreieck 135">
            <a:extLst>
              <a:ext uri="{FF2B5EF4-FFF2-40B4-BE49-F238E27FC236}">
                <a16:creationId xmlns:a16="http://schemas.microsoft.com/office/drawing/2014/main" id="{00000000-0008-0000-0500-0000DD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78" name="Gerade Verbindung 136">
            <a:extLst>
              <a:ext uri="{FF2B5EF4-FFF2-40B4-BE49-F238E27FC236}">
                <a16:creationId xmlns:a16="http://schemas.microsoft.com/office/drawing/2014/main" id="{00000000-0008-0000-0500-0000DE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23558</xdr:colOff>
      <xdr:row>64</xdr:row>
      <xdr:rowOff>142875</xdr:rowOff>
    </xdr:from>
    <xdr:to>
      <xdr:col>10</xdr:col>
      <xdr:colOff>149574</xdr:colOff>
      <xdr:row>66</xdr:row>
      <xdr:rowOff>22628</xdr:rowOff>
    </xdr:to>
    <xdr:grpSp>
      <xdr:nvGrpSpPr>
        <xdr:cNvPr id="479" name="Gruppieren 478">
          <a:extLst>
            <a:ext uri="{FF2B5EF4-FFF2-40B4-BE49-F238E27FC236}">
              <a16:creationId xmlns:a16="http://schemas.microsoft.com/office/drawing/2014/main" id="{00000000-0008-0000-0500-0000DF010000}"/>
            </a:ext>
          </a:extLst>
        </xdr:cNvPr>
        <xdr:cNvGrpSpPr/>
      </xdr:nvGrpSpPr>
      <xdr:grpSpPr>
        <a:xfrm flipH="1">
          <a:off x="4557458" y="11029950"/>
          <a:ext cx="126016" cy="203603"/>
          <a:chOff x="6665123" y="2144244"/>
          <a:chExt cx="126016" cy="200859"/>
        </a:xfrm>
      </xdr:grpSpPr>
      <xdr:sp macro="" textlink="">
        <xdr:nvSpPr>
          <xdr:cNvPr id="480" name="Rechtwinkliges Dreieck 133">
            <a:extLst>
              <a:ext uri="{FF2B5EF4-FFF2-40B4-BE49-F238E27FC236}">
                <a16:creationId xmlns:a16="http://schemas.microsoft.com/office/drawing/2014/main" id="{00000000-0008-0000-0500-0000E0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81" name="Gerade Verbindung 134">
            <a:extLst>
              <a:ext uri="{FF2B5EF4-FFF2-40B4-BE49-F238E27FC236}">
                <a16:creationId xmlns:a16="http://schemas.microsoft.com/office/drawing/2014/main" id="{00000000-0008-0000-0500-0000E1010000}"/>
              </a:ext>
            </a:extLst>
          </xdr:cNvPr>
          <xdr:cNvCxnSpPr>
            <a:stCxn id="480" idx="4"/>
            <a:endCxn id="48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82" name="Rechtwinkliges Dreieck 135">
            <a:extLst>
              <a:ext uri="{FF2B5EF4-FFF2-40B4-BE49-F238E27FC236}">
                <a16:creationId xmlns:a16="http://schemas.microsoft.com/office/drawing/2014/main" id="{00000000-0008-0000-0500-0000E2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83" name="Gerade Verbindung 136">
            <a:extLst>
              <a:ext uri="{FF2B5EF4-FFF2-40B4-BE49-F238E27FC236}">
                <a16:creationId xmlns:a16="http://schemas.microsoft.com/office/drawing/2014/main" id="{00000000-0008-0000-0500-0000E3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390044</xdr:colOff>
      <xdr:row>66</xdr:row>
      <xdr:rowOff>149396</xdr:rowOff>
    </xdr:from>
    <xdr:to>
      <xdr:col>14</xdr:col>
      <xdr:colOff>1540</xdr:colOff>
      <xdr:row>68</xdr:row>
      <xdr:rowOff>27146</xdr:rowOff>
    </xdr:to>
    <xdr:grpSp>
      <xdr:nvGrpSpPr>
        <xdr:cNvPr id="489" name="Gruppieren 488">
          <a:extLst>
            <a:ext uri="{FF2B5EF4-FFF2-40B4-BE49-F238E27FC236}">
              <a16:creationId xmlns:a16="http://schemas.microsoft.com/office/drawing/2014/main" id="{00000000-0008-0000-0500-0000E9010000}"/>
            </a:ext>
          </a:extLst>
        </xdr:cNvPr>
        <xdr:cNvGrpSpPr/>
      </xdr:nvGrpSpPr>
      <xdr:grpSpPr>
        <a:xfrm>
          <a:off x="5914544" y="11360321"/>
          <a:ext cx="125846" cy="201600"/>
          <a:chOff x="6665123" y="2144244"/>
          <a:chExt cx="126016" cy="200859"/>
        </a:xfrm>
      </xdr:grpSpPr>
      <xdr:sp macro="" textlink="">
        <xdr:nvSpPr>
          <xdr:cNvPr id="490" name="Rechtwinkliges Dreieck 133">
            <a:extLst>
              <a:ext uri="{FF2B5EF4-FFF2-40B4-BE49-F238E27FC236}">
                <a16:creationId xmlns:a16="http://schemas.microsoft.com/office/drawing/2014/main" id="{00000000-0008-0000-0500-0000EA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91" name="Gerade Verbindung 134">
            <a:extLst>
              <a:ext uri="{FF2B5EF4-FFF2-40B4-BE49-F238E27FC236}">
                <a16:creationId xmlns:a16="http://schemas.microsoft.com/office/drawing/2014/main" id="{00000000-0008-0000-0500-0000EB010000}"/>
              </a:ext>
            </a:extLst>
          </xdr:cNvPr>
          <xdr:cNvCxnSpPr>
            <a:stCxn id="490" idx="4"/>
            <a:endCxn id="49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92" name="Rechtwinkliges Dreieck 135">
            <a:extLst>
              <a:ext uri="{FF2B5EF4-FFF2-40B4-BE49-F238E27FC236}">
                <a16:creationId xmlns:a16="http://schemas.microsoft.com/office/drawing/2014/main" id="{00000000-0008-0000-0500-0000EC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93" name="Gerade Verbindung 136">
            <a:extLst>
              <a:ext uri="{FF2B5EF4-FFF2-40B4-BE49-F238E27FC236}">
                <a16:creationId xmlns:a16="http://schemas.microsoft.com/office/drawing/2014/main" id="{00000000-0008-0000-0500-0000ED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381471</xdr:colOff>
      <xdr:row>69</xdr:row>
      <xdr:rowOff>141818</xdr:rowOff>
    </xdr:from>
    <xdr:to>
      <xdr:col>5</xdr:col>
      <xdr:colOff>509323</xdr:colOff>
      <xdr:row>71</xdr:row>
      <xdr:rowOff>21571</xdr:rowOff>
    </xdr:to>
    <xdr:grpSp>
      <xdr:nvGrpSpPr>
        <xdr:cNvPr id="494" name="Gruppieren 493">
          <a:extLst>
            <a:ext uri="{FF2B5EF4-FFF2-40B4-BE49-F238E27FC236}">
              <a16:creationId xmlns:a16="http://schemas.microsoft.com/office/drawing/2014/main" id="{00000000-0008-0000-0500-0000EE010000}"/>
            </a:ext>
          </a:extLst>
        </xdr:cNvPr>
        <xdr:cNvGrpSpPr/>
      </xdr:nvGrpSpPr>
      <xdr:grpSpPr>
        <a:xfrm>
          <a:off x="2400771" y="11838518"/>
          <a:ext cx="127852" cy="203603"/>
          <a:chOff x="6665123" y="2144244"/>
          <a:chExt cx="126016" cy="200859"/>
        </a:xfrm>
      </xdr:grpSpPr>
      <xdr:sp macro="" textlink="">
        <xdr:nvSpPr>
          <xdr:cNvPr id="495" name="Rechtwinkliges Dreieck 133">
            <a:extLst>
              <a:ext uri="{FF2B5EF4-FFF2-40B4-BE49-F238E27FC236}">
                <a16:creationId xmlns:a16="http://schemas.microsoft.com/office/drawing/2014/main" id="{00000000-0008-0000-0500-0000EF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96" name="Gerade Verbindung 134">
            <a:extLst>
              <a:ext uri="{FF2B5EF4-FFF2-40B4-BE49-F238E27FC236}">
                <a16:creationId xmlns:a16="http://schemas.microsoft.com/office/drawing/2014/main" id="{00000000-0008-0000-0500-0000F0010000}"/>
              </a:ext>
            </a:extLst>
          </xdr:cNvPr>
          <xdr:cNvCxnSpPr>
            <a:stCxn id="495" idx="4"/>
            <a:endCxn id="49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97" name="Rechtwinkliges Dreieck 135">
            <a:extLst>
              <a:ext uri="{FF2B5EF4-FFF2-40B4-BE49-F238E27FC236}">
                <a16:creationId xmlns:a16="http://schemas.microsoft.com/office/drawing/2014/main" id="{00000000-0008-0000-0500-0000F1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98" name="Gerade Verbindung 136">
            <a:extLst>
              <a:ext uri="{FF2B5EF4-FFF2-40B4-BE49-F238E27FC236}">
                <a16:creationId xmlns:a16="http://schemas.microsoft.com/office/drawing/2014/main" id="{00000000-0008-0000-0500-0000F2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390044</xdr:colOff>
      <xdr:row>69</xdr:row>
      <xdr:rowOff>141818</xdr:rowOff>
    </xdr:from>
    <xdr:to>
      <xdr:col>14</xdr:col>
      <xdr:colOff>1540</xdr:colOff>
      <xdr:row>71</xdr:row>
      <xdr:rowOff>21571</xdr:rowOff>
    </xdr:to>
    <xdr:grpSp>
      <xdr:nvGrpSpPr>
        <xdr:cNvPr id="499" name="Gruppieren 498">
          <a:extLst>
            <a:ext uri="{FF2B5EF4-FFF2-40B4-BE49-F238E27FC236}">
              <a16:creationId xmlns:a16="http://schemas.microsoft.com/office/drawing/2014/main" id="{00000000-0008-0000-0500-0000F3010000}"/>
            </a:ext>
          </a:extLst>
        </xdr:cNvPr>
        <xdr:cNvGrpSpPr/>
      </xdr:nvGrpSpPr>
      <xdr:grpSpPr>
        <a:xfrm>
          <a:off x="5914544" y="11838518"/>
          <a:ext cx="125846" cy="203603"/>
          <a:chOff x="6665123" y="2144244"/>
          <a:chExt cx="126016" cy="200859"/>
        </a:xfrm>
      </xdr:grpSpPr>
      <xdr:sp macro="" textlink="">
        <xdr:nvSpPr>
          <xdr:cNvPr id="500" name="Rechtwinkliges Dreieck 133">
            <a:extLst>
              <a:ext uri="{FF2B5EF4-FFF2-40B4-BE49-F238E27FC236}">
                <a16:creationId xmlns:a16="http://schemas.microsoft.com/office/drawing/2014/main" id="{00000000-0008-0000-0500-0000F4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01" name="Gerade Verbindung 134">
            <a:extLst>
              <a:ext uri="{FF2B5EF4-FFF2-40B4-BE49-F238E27FC236}">
                <a16:creationId xmlns:a16="http://schemas.microsoft.com/office/drawing/2014/main" id="{00000000-0008-0000-0500-0000F5010000}"/>
              </a:ext>
            </a:extLst>
          </xdr:cNvPr>
          <xdr:cNvCxnSpPr>
            <a:stCxn id="500" idx="4"/>
            <a:endCxn id="50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502" name="Rechtwinkliges Dreieck 135">
            <a:extLst>
              <a:ext uri="{FF2B5EF4-FFF2-40B4-BE49-F238E27FC236}">
                <a16:creationId xmlns:a16="http://schemas.microsoft.com/office/drawing/2014/main" id="{00000000-0008-0000-0500-0000F6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03" name="Gerade Verbindung 136">
            <a:extLst>
              <a:ext uri="{FF2B5EF4-FFF2-40B4-BE49-F238E27FC236}">
                <a16:creationId xmlns:a16="http://schemas.microsoft.com/office/drawing/2014/main" id="{00000000-0008-0000-0500-0000F7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381469</xdr:colOff>
      <xdr:row>69</xdr:row>
      <xdr:rowOff>141818</xdr:rowOff>
    </xdr:from>
    <xdr:to>
      <xdr:col>17</xdr:col>
      <xdr:colOff>509321</xdr:colOff>
      <xdr:row>71</xdr:row>
      <xdr:rowOff>21571</xdr:rowOff>
    </xdr:to>
    <xdr:grpSp>
      <xdr:nvGrpSpPr>
        <xdr:cNvPr id="509" name="Gruppieren 508">
          <a:extLst>
            <a:ext uri="{FF2B5EF4-FFF2-40B4-BE49-F238E27FC236}">
              <a16:creationId xmlns:a16="http://schemas.microsoft.com/office/drawing/2014/main" id="{00000000-0008-0000-0500-0000FD010000}"/>
            </a:ext>
          </a:extLst>
        </xdr:cNvPr>
        <xdr:cNvGrpSpPr/>
      </xdr:nvGrpSpPr>
      <xdr:grpSpPr>
        <a:xfrm>
          <a:off x="7010869" y="11838518"/>
          <a:ext cx="127852" cy="203603"/>
          <a:chOff x="6665123" y="2144244"/>
          <a:chExt cx="126016" cy="200859"/>
        </a:xfrm>
      </xdr:grpSpPr>
      <xdr:sp macro="" textlink="">
        <xdr:nvSpPr>
          <xdr:cNvPr id="510" name="Rechtwinkliges Dreieck 133">
            <a:extLst>
              <a:ext uri="{FF2B5EF4-FFF2-40B4-BE49-F238E27FC236}">
                <a16:creationId xmlns:a16="http://schemas.microsoft.com/office/drawing/2014/main" id="{00000000-0008-0000-0500-0000FE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11" name="Gerade Verbindung 134">
            <a:extLst>
              <a:ext uri="{FF2B5EF4-FFF2-40B4-BE49-F238E27FC236}">
                <a16:creationId xmlns:a16="http://schemas.microsoft.com/office/drawing/2014/main" id="{00000000-0008-0000-0500-0000FF010000}"/>
              </a:ext>
            </a:extLst>
          </xdr:cNvPr>
          <xdr:cNvCxnSpPr>
            <a:stCxn id="510" idx="4"/>
            <a:endCxn id="51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512" name="Rechtwinkliges Dreieck 135">
            <a:extLst>
              <a:ext uri="{FF2B5EF4-FFF2-40B4-BE49-F238E27FC236}">
                <a16:creationId xmlns:a16="http://schemas.microsoft.com/office/drawing/2014/main" id="{00000000-0008-0000-0500-00000002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13" name="Gerade Verbindung 136">
            <a:extLst>
              <a:ext uri="{FF2B5EF4-FFF2-40B4-BE49-F238E27FC236}">
                <a16:creationId xmlns:a16="http://schemas.microsoft.com/office/drawing/2014/main" id="{00000000-0008-0000-0500-00000102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390044</xdr:colOff>
      <xdr:row>11</xdr:row>
      <xdr:rowOff>141817</xdr:rowOff>
    </xdr:from>
    <xdr:to>
      <xdr:col>14</xdr:col>
      <xdr:colOff>1540</xdr:colOff>
      <xdr:row>13</xdr:row>
      <xdr:rowOff>21570</xdr:rowOff>
    </xdr:to>
    <xdr:grpSp>
      <xdr:nvGrpSpPr>
        <xdr:cNvPr id="237" name="Gruppieren 236">
          <a:extLst>
            <a:ext uri="{FF2B5EF4-FFF2-40B4-BE49-F238E27FC236}">
              <a16:creationId xmlns:a16="http://schemas.microsoft.com/office/drawing/2014/main" id="{00000000-0008-0000-0500-0000ED000000}"/>
            </a:ext>
          </a:extLst>
        </xdr:cNvPr>
        <xdr:cNvGrpSpPr/>
      </xdr:nvGrpSpPr>
      <xdr:grpSpPr>
        <a:xfrm>
          <a:off x="5914544" y="2532592"/>
          <a:ext cx="125846" cy="203603"/>
          <a:chOff x="6665123" y="2144244"/>
          <a:chExt cx="126016" cy="200859"/>
        </a:xfrm>
      </xdr:grpSpPr>
      <xdr:sp macro="" textlink="">
        <xdr:nvSpPr>
          <xdr:cNvPr id="238" name="Rechtwinkliges Dreieck 133">
            <a:extLst>
              <a:ext uri="{FF2B5EF4-FFF2-40B4-BE49-F238E27FC236}">
                <a16:creationId xmlns:a16="http://schemas.microsoft.com/office/drawing/2014/main" id="{00000000-0008-0000-0500-0000EE00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39" name="Gerade Verbindung 134">
            <a:extLst>
              <a:ext uri="{FF2B5EF4-FFF2-40B4-BE49-F238E27FC236}">
                <a16:creationId xmlns:a16="http://schemas.microsoft.com/office/drawing/2014/main" id="{00000000-0008-0000-0500-0000EF000000}"/>
              </a:ext>
            </a:extLst>
          </xdr:cNvPr>
          <xdr:cNvCxnSpPr>
            <a:stCxn id="238" idx="4"/>
            <a:endCxn id="238"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40" name="Rechtwinkliges Dreieck 135">
            <a:extLst>
              <a:ext uri="{FF2B5EF4-FFF2-40B4-BE49-F238E27FC236}">
                <a16:creationId xmlns:a16="http://schemas.microsoft.com/office/drawing/2014/main" id="{00000000-0008-0000-0500-0000F000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41" name="Gerade Verbindung 136">
            <a:extLst>
              <a:ext uri="{FF2B5EF4-FFF2-40B4-BE49-F238E27FC236}">
                <a16:creationId xmlns:a16="http://schemas.microsoft.com/office/drawing/2014/main" id="{00000000-0008-0000-0500-0000F100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390044</xdr:colOff>
      <xdr:row>57</xdr:row>
      <xdr:rowOff>142874</xdr:rowOff>
    </xdr:from>
    <xdr:to>
      <xdr:col>14</xdr:col>
      <xdr:colOff>1540</xdr:colOff>
      <xdr:row>59</xdr:row>
      <xdr:rowOff>20624</xdr:rowOff>
    </xdr:to>
    <xdr:grpSp>
      <xdr:nvGrpSpPr>
        <xdr:cNvPr id="257" name="Gruppieren 256">
          <a:extLst>
            <a:ext uri="{FF2B5EF4-FFF2-40B4-BE49-F238E27FC236}">
              <a16:creationId xmlns:a16="http://schemas.microsoft.com/office/drawing/2014/main" id="{00000000-0008-0000-0500-000001010000}"/>
            </a:ext>
          </a:extLst>
        </xdr:cNvPr>
        <xdr:cNvGrpSpPr/>
      </xdr:nvGrpSpPr>
      <xdr:grpSpPr>
        <a:xfrm>
          <a:off x="5914544" y="9896474"/>
          <a:ext cx="125846" cy="201600"/>
          <a:chOff x="6665123" y="2144244"/>
          <a:chExt cx="126016" cy="200859"/>
        </a:xfrm>
      </xdr:grpSpPr>
      <xdr:sp macro="" textlink="">
        <xdr:nvSpPr>
          <xdr:cNvPr id="258" name="Rechtwinkliges Dreieck 133">
            <a:extLst>
              <a:ext uri="{FF2B5EF4-FFF2-40B4-BE49-F238E27FC236}">
                <a16:creationId xmlns:a16="http://schemas.microsoft.com/office/drawing/2014/main" id="{00000000-0008-0000-0500-000002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59" name="Gerade Verbindung 134">
            <a:extLst>
              <a:ext uri="{FF2B5EF4-FFF2-40B4-BE49-F238E27FC236}">
                <a16:creationId xmlns:a16="http://schemas.microsoft.com/office/drawing/2014/main" id="{00000000-0008-0000-0500-000003010000}"/>
              </a:ext>
            </a:extLst>
          </xdr:cNvPr>
          <xdr:cNvCxnSpPr>
            <a:stCxn id="258" idx="4"/>
            <a:endCxn id="258"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60" name="Rechtwinkliges Dreieck 135">
            <a:extLst>
              <a:ext uri="{FF2B5EF4-FFF2-40B4-BE49-F238E27FC236}">
                <a16:creationId xmlns:a16="http://schemas.microsoft.com/office/drawing/2014/main" id="{00000000-0008-0000-0500-000004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61" name="Gerade Verbindung 136">
            <a:extLst>
              <a:ext uri="{FF2B5EF4-FFF2-40B4-BE49-F238E27FC236}">
                <a16:creationId xmlns:a16="http://schemas.microsoft.com/office/drawing/2014/main" id="{00000000-0008-0000-0500-000005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15</xdr:col>
      <xdr:colOff>14033</xdr:colOff>
      <xdr:row>57</xdr:row>
      <xdr:rowOff>142874</xdr:rowOff>
    </xdr:from>
    <xdr:to>
      <xdr:col>15</xdr:col>
      <xdr:colOff>140049</xdr:colOff>
      <xdr:row>59</xdr:row>
      <xdr:rowOff>20624</xdr:rowOff>
    </xdr:to>
    <xdr:grpSp>
      <xdr:nvGrpSpPr>
        <xdr:cNvPr id="262" name="Gruppieren 261">
          <a:extLst>
            <a:ext uri="{FF2B5EF4-FFF2-40B4-BE49-F238E27FC236}">
              <a16:creationId xmlns:a16="http://schemas.microsoft.com/office/drawing/2014/main" id="{00000000-0008-0000-0500-000006010000}"/>
            </a:ext>
          </a:extLst>
        </xdr:cNvPr>
        <xdr:cNvGrpSpPr/>
      </xdr:nvGrpSpPr>
      <xdr:grpSpPr>
        <a:xfrm flipH="1">
          <a:off x="6224333" y="9896474"/>
          <a:ext cx="126016" cy="201600"/>
          <a:chOff x="6665123" y="2144244"/>
          <a:chExt cx="126016" cy="200859"/>
        </a:xfrm>
      </xdr:grpSpPr>
      <xdr:sp macro="" textlink="">
        <xdr:nvSpPr>
          <xdr:cNvPr id="263" name="Rechtwinkliges Dreieck 133">
            <a:extLst>
              <a:ext uri="{FF2B5EF4-FFF2-40B4-BE49-F238E27FC236}">
                <a16:creationId xmlns:a16="http://schemas.microsoft.com/office/drawing/2014/main" id="{00000000-0008-0000-0500-000007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64" name="Gerade Verbindung 134">
            <a:extLst>
              <a:ext uri="{FF2B5EF4-FFF2-40B4-BE49-F238E27FC236}">
                <a16:creationId xmlns:a16="http://schemas.microsoft.com/office/drawing/2014/main" id="{00000000-0008-0000-0500-000008010000}"/>
              </a:ext>
            </a:extLst>
          </xdr:cNvPr>
          <xdr:cNvCxnSpPr>
            <a:stCxn id="263" idx="4"/>
            <a:endCxn id="263"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65" name="Rechtwinkliges Dreieck 135">
            <a:extLst>
              <a:ext uri="{FF2B5EF4-FFF2-40B4-BE49-F238E27FC236}">
                <a16:creationId xmlns:a16="http://schemas.microsoft.com/office/drawing/2014/main" id="{00000000-0008-0000-0500-000009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66" name="Gerade Verbindung 136">
            <a:extLst>
              <a:ext uri="{FF2B5EF4-FFF2-40B4-BE49-F238E27FC236}">
                <a16:creationId xmlns:a16="http://schemas.microsoft.com/office/drawing/2014/main" id="{00000000-0008-0000-0500-00000A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381471</xdr:colOff>
      <xdr:row>52</xdr:row>
      <xdr:rowOff>141819</xdr:rowOff>
    </xdr:from>
    <xdr:to>
      <xdr:col>5</xdr:col>
      <xdr:colOff>509323</xdr:colOff>
      <xdr:row>54</xdr:row>
      <xdr:rowOff>21572</xdr:rowOff>
    </xdr:to>
    <xdr:grpSp>
      <xdr:nvGrpSpPr>
        <xdr:cNvPr id="277" name="Gruppieren 276">
          <a:extLst>
            <a:ext uri="{FF2B5EF4-FFF2-40B4-BE49-F238E27FC236}">
              <a16:creationId xmlns:a16="http://schemas.microsoft.com/office/drawing/2014/main" id="{00000000-0008-0000-0500-000015010000}"/>
            </a:ext>
          </a:extLst>
        </xdr:cNvPr>
        <xdr:cNvGrpSpPr/>
      </xdr:nvGrpSpPr>
      <xdr:grpSpPr>
        <a:xfrm>
          <a:off x="2400771" y="9171519"/>
          <a:ext cx="127852" cy="203603"/>
          <a:chOff x="6665123" y="2144244"/>
          <a:chExt cx="126016" cy="200859"/>
        </a:xfrm>
      </xdr:grpSpPr>
      <xdr:sp macro="" textlink="">
        <xdr:nvSpPr>
          <xdr:cNvPr id="278" name="Rechtwinkliges Dreieck 133">
            <a:extLst>
              <a:ext uri="{FF2B5EF4-FFF2-40B4-BE49-F238E27FC236}">
                <a16:creationId xmlns:a16="http://schemas.microsoft.com/office/drawing/2014/main" id="{00000000-0008-0000-0500-000016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79" name="Gerade Verbindung 134">
            <a:extLst>
              <a:ext uri="{FF2B5EF4-FFF2-40B4-BE49-F238E27FC236}">
                <a16:creationId xmlns:a16="http://schemas.microsoft.com/office/drawing/2014/main" id="{00000000-0008-0000-0500-000017010000}"/>
              </a:ext>
            </a:extLst>
          </xdr:cNvPr>
          <xdr:cNvCxnSpPr>
            <a:stCxn id="278" idx="4"/>
            <a:endCxn id="278"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80" name="Rechtwinkliges Dreieck 135">
            <a:extLst>
              <a:ext uri="{FF2B5EF4-FFF2-40B4-BE49-F238E27FC236}">
                <a16:creationId xmlns:a16="http://schemas.microsoft.com/office/drawing/2014/main" id="{00000000-0008-0000-0500-000018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81" name="Gerade Verbindung 136">
            <a:extLst>
              <a:ext uri="{FF2B5EF4-FFF2-40B4-BE49-F238E27FC236}">
                <a16:creationId xmlns:a16="http://schemas.microsoft.com/office/drawing/2014/main" id="{00000000-0008-0000-0500-000019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5013</xdr:colOff>
      <xdr:row>42</xdr:row>
      <xdr:rowOff>140494</xdr:rowOff>
    </xdr:from>
    <xdr:to>
      <xdr:col>0</xdr:col>
      <xdr:colOff>131029</xdr:colOff>
      <xdr:row>44</xdr:row>
      <xdr:rowOff>20247</xdr:rowOff>
    </xdr:to>
    <xdr:grpSp>
      <xdr:nvGrpSpPr>
        <xdr:cNvPr id="254" name="Gruppieren 253">
          <a:extLst>
            <a:ext uri="{FF2B5EF4-FFF2-40B4-BE49-F238E27FC236}">
              <a16:creationId xmlns:a16="http://schemas.microsoft.com/office/drawing/2014/main" id="{00000000-0008-0000-0500-0000FE000000}"/>
            </a:ext>
          </a:extLst>
        </xdr:cNvPr>
        <xdr:cNvGrpSpPr/>
      </xdr:nvGrpSpPr>
      <xdr:grpSpPr>
        <a:xfrm flipH="1">
          <a:off x="5013" y="7550944"/>
          <a:ext cx="126016" cy="203603"/>
          <a:chOff x="6665123" y="2144244"/>
          <a:chExt cx="126016" cy="200859"/>
        </a:xfrm>
      </xdr:grpSpPr>
      <xdr:sp macro="" textlink="">
        <xdr:nvSpPr>
          <xdr:cNvPr id="255" name="Rechtwinkliges Dreieck 133">
            <a:extLst>
              <a:ext uri="{FF2B5EF4-FFF2-40B4-BE49-F238E27FC236}">
                <a16:creationId xmlns:a16="http://schemas.microsoft.com/office/drawing/2014/main" id="{00000000-0008-0000-0500-0000FF00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56" name="Gerade Verbindung 134">
            <a:extLst>
              <a:ext uri="{FF2B5EF4-FFF2-40B4-BE49-F238E27FC236}">
                <a16:creationId xmlns:a16="http://schemas.microsoft.com/office/drawing/2014/main" id="{00000000-0008-0000-0500-000000010000}"/>
              </a:ext>
            </a:extLst>
          </xdr:cNvPr>
          <xdr:cNvCxnSpPr>
            <a:stCxn id="255" idx="4"/>
            <a:endCxn id="25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67" name="Rechtwinkliges Dreieck 135">
            <a:extLst>
              <a:ext uri="{FF2B5EF4-FFF2-40B4-BE49-F238E27FC236}">
                <a16:creationId xmlns:a16="http://schemas.microsoft.com/office/drawing/2014/main" id="{00000000-0008-0000-0500-00000B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68" name="Gerade Verbindung 136">
            <a:extLst>
              <a:ext uri="{FF2B5EF4-FFF2-40B4-BE49-F238E27FC236}">
                <a16:creationId xmlns:a16="http://schemas.microsoft.com/office/drawing/2014/main" id="{00000000-0008-0000-0500-00000C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5013</xdr:colOff>
      <xdr:row>46</xdr:row>
      <xdr:rowOff>145256</xdr:rowOff>
    </xdr:from>
    <xdr:to>
      <xdr:col>0</xdr:col>
      <xdr:colOff>131029</xdr:colOff>
      <xdr:row>48</xdr:row>
      <xdr:rowOff>25009</xdr:rowOff>
    </xdr:to>
    <xdr:grpSp>
      <xdr:nvGrpSpPr>
        <xdr:cNvPr id="269" name="Gruppieren 268">
          <a:extLst>
            <a:ext uri="{FF2B5EF4-FFF2-40B4-BE49-F238E27FC236}">
              <a16:creationId xmlns:a16="http://schemas.microsoft.com/office/drawing/2014/main" id="{00000000-0008-0000-0500-00000D010000}"/>
            </a:ext>
          </a:extLst>
        </xdr:cNvPr>
        <xdr:cNvGrpSpPr/>
      </xdr:nvGrpSpPr>
      <xdr:grpSpPr>
        <a:xfrm flipH="1">
          <a:off x="5013" y="8203406"/>
          <a:ext cx="126016" cy="203603"/>
          <a:chOff x="6665123" y="2144244"/>
          <a:chExt cx="126016" cy="200859"/>
        </a:xfrm>
      </xdr:grpSpPr>
      <xdr:sp macro="" textlink="">
        <xdr:nvSpPr>
          <xdr:cNvPr id="270" name="Rechtwinkliges Dreieck 133">
            <a:extLst>
              <a:ext uri="{FF2B5EF4-FFF2-40B4-BE49-F238E27FC236}">
                <a16:creationId xmlns:a16="http://schemas.microsoft.com/office/drawing/2014/main" id="{00000000-0008-0000-0500-00000E01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71" name="Gerade Verbindung 134">
            <a:extLst>
              <a:ext uri="{FF2B5EF4-FFF2-40B4-BE49-F238E27FC236}">
                <a16:creationId xmlns:a16="http://schemas.microsoft.com/office/drawing/2014/main" id="{00000000-0008-0000-0500-00000F010000}"/>
              </a:ext>
            </a:extLst>
          </xdr:cNvPr>
          <xdr:cNvCxnSpPr>
            <a:stCxn id="270" idx="4"/>
            <a:endCxn id="27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82" name="Rechtwinkliges Dreieck 135">
            <a:extLst>
              <a:ext uri="{FF2B5EF4-FFF2-40B4-BE49-F238E27FC236}">
                <a16:creationId xmlns:a16="http://schemas.microsoft.com/office/drawing/2014/main" id="{00000000-0008-0000-0500-00001A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83" name="Gerade Verbindung 136">
            <a:extLst>
              <a:ext uri="{FF2B5EF4-FFF2-40B4-BE49-F238E27FC236}">
                <a16:creationId xmlns:a16="http://schemas.microsoft.com/office/drawing/2014/main" id="{00000000-0008-0000-0500-00001B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5013</xdr:colOff>
      <xdr:row>50</xdr:row>
      <xdr:rowOff>138112</xdr:rowOff>
    </xdr:from>
    <xdr:to>
      <xdr:col>0</xdr:col>
      <xdr:colOff>131029</xdr:colOff>
      <xdr:row>52</xdr:row>
      <xdr:rowOff>17865</xdr:rowOff>
    </xdr:to>
    <xdr:grpSp>
      <xdr:nvGrpSpPr>
        <xdr:cNvPr id="284" name="Gruppieren 283">
          <a:extLst>
            <a:ext uri="{FF2B5EF4-FFF2-40B4-BE49-F238E27FC236}">
              <a16:creationId xmlns:a16="http://schemas.microsoft.com/office/drawing/2014/main" id="{00000000-0008-0000-0500-00001C010000}"/>
            </a:ext>
          </a:extLst>
        </xdr:cNvPr>
        <xdr:cNvGrpSpPr/>
      </xdr:nvGrpSpPr>
      <xdr:grpSpPr>
        <a:xfrm flipH="1">
          <a:off x="5013" y="8843962"/>
          <a:ext cx="126016" cy="203603"/>
          <a:chOff x="6665123" y="2144244"/>
          <a:chExt cx="126016" cy="200859"/>
        </a:xfrm>
      </xdr:grpSpPr>
      <xdr:sp macro="" textlink="">
        <xdr:nvSpPr>
          <xdr:cNvPr id="285" name="Rechtwinkliges Dreieck 133">
            <a:extLst>
              <a:ext uri="{FF2B5EF4-FFF2-40B4-BE49-F238E27FC236}">
                <a16:creationId xmlns:a16="http://schemas.microsoft.com/office/drawing/2014/main" id="{00000000-0008-0000-0500-00001D01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86" name="Gerade Verbindung 134">
            <a:extLst>
              <a:ext uri="{FF2B5EF4-FFF2-40B4-BE49-F238E27FC236}">
                <a16:creationId xmlns:a16="http://schemas.microsoft.com/office/drawing/2014/main" id="{00000000-0008-0000-0500-00001E010000}"/>
              </a:ext>
            </a:extLst>
          </xdr:cNvPr>
          <xdr:cNvCxnSpPr>
            <a:stCxn id="285" idx="4"/>
            <a:endCxn id="28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87" name="Rechtwinkliges Dreieck 135">
            <a:extLst>
              <a:ext uri="{FF2B5EF4-FFF2-40B4-BE49-F238E27FC236}">
                <a16:creationId xmlns:a16="http://schemas.microsoft.com/office/drawing/2014/main" id="{00000000-0008-0000-0500-00001F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88" name="Gerade Verbindung 136">
            <a:extLst>
              <a:ext uri="{FF2B5EF4-FFF2-40B4-BE49-F238E27FC236}">
                <a16:creationId xmlns:a16="http://schemas.microsoft.com/office/drawing/2014/main" id="{00000000-0008-0000-0500-000020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5013</xdr:colOff>
      <xdr:row>54</xdr:row>
      <xdr:rowOff>140493</xdr:rowOff>
    </xdr:from>
    <xdr:to>
      <xdr:col>0</xdr:col>
      <xdr:colOff>131029</xdr:colOff>
      <xdr:row>56</xdr:row>
      <xdr:rowOff>20246</xdr:rowOff>
    </xdr:to>
    <xdr:grpSp>
      <xdr:nvGrpSpPr>
        <xdr:cNvPr id="449" name="Gruppieren 448">
          <a:extLst>
            <a:ext uri="{FF2B5EF4-FFF2-40B4-BE49-F238E27FC236}">
              <a16:creationId xmlns:a16="http://schemas.microsoft.com/office/drawing/2014/main" id="{00000000-0008-0000-0500-0000C1010000}"/>
            </a:ext>
          </a:extLst>
        </xdr:cNvPr>
        <xdr:cNvGrpSpPr/>
      </xdr:nvGrpSpPr>
      <xdr:grpSpPr>
        <a:xfrm flipH="1">
          <a:off x="5013" y="9494043"/>
          <a:ext cx="126016" cy="203603"/>
          <a:chOff x="6665123" y="2144244"/>
          <a:chExt cx="126016" cy="200859"/>
        </a:xfrm>
      </xdr:grpSpPr>
      <xdr:sp macro="" textlink="">
        <xdr:nvSpPr>
          <xdr:cNvPr id="450" name="Rechtwinkliges Dreieck 133">
            <a:extLst>
              <a:ext uri="{FF2B5EF4-FFF2-40B4-BE49-F238E27FC236}">
                <a16:creationId xmlns:a16="http://schemas.microsoft.com/office/drawing/2014/main" id="{00000000-0008-0000-0500-0000C201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51" name="Gerade Verbindung 134">
            <a:extLst>
              <a:ext uri="{FF2B5EF4-FFF2-40B4-BE49-F238E27FC236}">
                <a16:creationId xmlns:a16="http://schemas.microsoft.com/office/drawing/2014/main" id="{00000000-0008-0000-0500-0000C3010000}"/>
              </a:ext>
            </a:extLst>
          </xdr:cNvPr>
          <xdr:cNvCxnSpPr>
            <a:stCxn id="450" idx="4"/>
            <a:endCxn id="45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52" name="Rechtwinkliges Dreieck 135">
            <a:extLst>
              <a:ext uri="{FF2B5EF4-FFF2-40B4-BE49-F238E27FC236}">
                <a16:creationId xmlns:a16="http://schemas.microsoft.com/office/drawing/2014/main" id="{00000000-0008-0000-0500-0000C4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53" name="Gerade Verbindung 136">
            <a:extLst>
              <a:ext uri="{FF2B5EF4-FFF2-40B4-BE49-F238E27FC236}">
                <a16:creationId xmlns:a16="http://schemas.microsoft.com/office/drawing/2014/main" id="{00000000-0008-0000-0500-0000C5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0</xdr:colOff>
      <xdr:row>72</xdr:row>
      <xdr:rowOff>142875</xdr:rowOff>
    </xdr:from>
    <xdr:to>
      <xdr:col>0</xdr:col>
      <xdr:colOff>126016</xdr:colOff>
      <xdr:row>74</xdr:row>
      <xdr:rowOff>22628</xdr:rowOff>
    </xdr:to>
    <xdr:grpSp>
      <xdr:nvGrpSpPr>
        <xdr:cNvPr id="459" name="Gruppieren 458">
          <a:extLst>
            <a:ext uri="{FF2B5EF4-FFF2-40B4-BE49-F238E27FC236}">
              <a16:creationId xmlns:a16="http://schemas.microsoft.com/office/drawing/2014/main" id="{00000000-0008-0000-0500-0000CB010000}"/>
            </a:ext>
          </a:extLst>
        </xdr:cNvPr>
        <xdr:cNvGrpSpPr/>
      </xdr:nvGrpSpPr>
      <xdr:grpSpPr>
        <a:xfrm flipH="1">
          <a:off x="0" y="12325350"/>
          <a:ext cx="126016" cy="203603"/>
          <a:chOff x="6665123" y="2144244"/>
          <a:chExt cx="126016" cy="200859"/>
        </a:xfrm>
      </xdr:grpSpPr>
      <xdr:sp macro="" textlink="">
        <xdr:nvSpPr>
          <xdr:cNvPr id="460" name="Rechtwinkliges Dreieck 133">
            <a:extLst>
              <a:ext uri="{FF2B5EF4-FFF2-40B4-BE49-F238E27FC236}">
                <a16:creationId xmlns:a16="http://schemas.microsoft.com/office/drawing/2014/main" id="{00000000-0008-0000-0500-0000CC01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61" name="Gerade Verbindung 134">
            <a:extLst>
              <a:ext uri="{FF2B5EF4-FFF2-40B4-BE49-F238E27FC236}">
                <a16:creationId xmlns:a16="http://schemas.microsoft.com/office/drawing/2014/main" id="{00000000-0008-0000-0500-0000CD010000}"/>
              </a:ext>
            </a:extLst>
          </xdr:cNvPr>
          <xdr:cNvCxnSpPr>
            <a:stCxn id="460" idx="4"/>
            <a:endCxn id="46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62" name="Rechtwinkliges Dreieck 135">
            <a:extLst>
              <a:ext uri="{FF2B5EF4-FFF2-40B4-BE49-F238E27FC236}">
                <a16:creationId xmlns:a16="http://schemas.microsoft.com/office/drawing/2014/main" id="{00000000-0008-0000-0500-0000CE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63" name="Gerade Verbindung 136">
            <a:extLst>
              <a:ext uri="{FF2B5EF4-FFF2-40B4-BE49-F238E27FC236}">
                <a16:creationId xmlns:a16="http://schemas.microsoft.com/office/drawing/2014/main" id="{00000000-0008-0000-0500-0000CF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17</xdr:col>
      <xdr:colOff>104775</xdr:colOff>
      <xdr:row>0</xdr:row>
      <xdr:rowOff>0</xdr:rowOff>
    </xdr:from>
    <xdr:ext cx="1476375" cy="752129"/>
    <xdr:sp macro="" textlink="">
      <xdr:nvSpPr>
        <xdr:cNvPr id="246" name="Textfeld 245">
          <a:extLst>
            <a:ext uri="{FF2B5EF4-FFF2-40B4-BE49-F238E27FC236}">
              <a16:creationId xmlns:a16="http://schemas.microsoft.com/office/drawing/2014/main" id="{00000000-0008-0000-0500-0000F6000000}"/>
            </a:ext>
          </a:extLst>
        </xdr:cNvPr>
        <xdr:cNvSpPr txBox="1"/>
      </xdr:nvSpPr>
      <xdr:spPr>
        <a:xfrm>
          <a:off x="6734175" y="0"/>
          <a:ext cx="1476375" cy="752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Lindenhofstrasse 21</a:t>
          </a:r>
        </a:p>
        <a:p>
          <a:r>
            <a:rPr lang="de-CH" sz="850">
              <a:latin typeface="Arial" pitchFamily="34" charset="0"/>
              <a:cs typeface="Arial" pitchFamily="34" charset="0"/>
            </a:rPr>
            <a:t>Postfach, 8021 Zürich</a:t>
          </a:r>
        </a:p>
        <a:p>
          <a:r>
            <a:rPr lang="de-CH" sz="850">
              <a:latin typeface="Arial" pitchFamily="34" charset="0"/>
              <a:cs typeface="Arial" pitchFamily="34" charset="0"/>
            </a:rPr>
            <a:t>+41 44 412 11 11</a:t>
          </a:r>
        </a:p>
        <a:p>
          <a:r>
            <a:rPr lang="de-CH" sz="850">
              <a:latin typeface="Arial" pitchFamily="34" charset="0"/>
              <a:cs typeface="Arial" pitchFamily="34" charset="0"/>
            </a:rPr>
            <a:t>www.stadt-zuerich.ch/hochbau</a:t>
          </a:r>
        </a:p>
      </xdr:txBody>
    </xdr:sp>
    <xdr:clientData/>
  </xdr:oneCellAnchor>
  <xdr:twoCellAnchor editAs="oneCell">
    <xdr:from>
      <xdr:col>0</xdr:col>
      <xdr:colOff>9518</xdr:colOff>
      <xdr:row>0</xdr:row>
      <xdr:rowOff>9525</xdr:rowOff>
    </xdr:from>
    <xdr:to>
      <xdr:col>4</xdr:col>
      <xdr:colOff>618009</xdr:colOff>
      <xdr:row>0</xdr:row>
      <xdr:rowOff>338709</xdr:rowOff>
    </xdr:to>
    <xdr:pic>
      <xdr:nvPicPr>
        <xdr:cNvPr id="247" name="Grafik 246">
          <a:extLst>
            <a:ext uri="{FF2B5EF4-FFF2-40B4-BE49-F238E27FC236}">
              <a16:creationId xmlns:a16="http://schemas.microsoft.com/office/drawing/2014/main" id="{00000000-0008-0000-0500-0000F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18" y="9525"/>
          <a:ext cx="1980091" cy="329184"/>
        </a:xfrm>
        <a:prstGeom prst="rect">
          <a:avLst/>
        </a:prstGeom>
      </xdr:spPr>
    </xdr:pic>
    <xdr:clientData/>
  </xdr:twoCellAnchor>
  <xdr:twoCellAnchor>
    <xdr:from>
      <xdr:col>5</xdr:col>
      <xdr:colOff>380750</xdr:colOff>
      <xdr:row>18</xdr:row>
      <xdr:rowOff>147418</xdr:rowOff>
    </xdr:from>
    <xdr:to>
      <xdr:col>5</xdr:col>
      <xdr:colOff>506766</xdr:colOff>
      <xdr:row>20</xdr:row>
      <xdr:rowOff>21750</xdr:rowOff>
    </xdr:to>
    <xdr:grpSp>
      <xdr:nvGrpSpPr>
        <xdr:cNvPr id="242" name="Gruppieren 241">
          <a:extLst>
            <a:ext uri="{FF2B5EF4-FFF2-40B4-BE49-F238E27FC236}">
              <a16:creationId xmlns:a16="http://schemas.microsoft.com/office/drawing/2014/main" id="{00000000-0008-0000-0500-0000F2000000}"/>
            </a:ext>
          </a:extLst>
        </xdr:cNvPr>
        <xdr:cNvGrpSpPr/>
      </xdr:nvGrpSpPr>
      <xdr:grpSpPr>
        <a:xfrm>
          <a:off x="2400050" y="3671668"/>
          <a:ext cx="126016" cy="198182"/>
          <a:chOff x="6665123" y="2144244"/>
          <a:chExt cx="126016" cy="200859"/>
        </a:xfrm>
      </xdr:grpSpPr>
      <xdr:sp macro="" textlink="">
        <xdr:nvSpPr>
          <xdr:cNvPr id="243" name="Rechtwinkliges Dreieck 133">
            <a:extLst>
              <a:ext uri="{FF2B5EF4-FFF2-40B4-BE49-F238E27FC236}">
                <a16:creationId xmlns:a16="http://schemas.microsoft.com/office/drawing/2014/main" id="{00000000-0008-0000-0500-0000F300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44" name="Gerade Verbindung 134">
            <a:extLst>
              <a:ext uri="{FF2B5EF4-FFF2-40B4-BE49-F238E27FC236}">
                <a16:creationId xmlns:a16="http://schemas.microsoft.com/office/drawing/2014/main" id="{00000000-0008-0000-0500-0000F4000000}"/>
              </a:ext>
            </a:extLst>
          </xdr:cNvPr>
          <xdr:cNvCxnSpPr>
            <a:stCxn id="243" idx="4"/>
            <a:endCxn id="243"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45" name="Rechtwinkliges Dreieck 135">
            <a:extLst>
              <a:ext uri="{FF2B5EF4-FFF2-40B4-BE49-F238E27FC236}">
                <a16:creationId xmlns:a16="http://schemas.microsoft.com/office/drawing/2014/main" id="{00000000-0008-0000-0500-0000F500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48" name="Gerade Verbindung 136">
            <a:extLst>
              <a:ext uri="{FF2B5EF4-FFF2-40B4-BE49-F238E27FC236}">
                <a16:creationId xmlns:a16="http://schemas.microsoft.com/office/drawing/2014/main" id="{00000000-0008-0000-0500-0000F800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22</xdr:row>
      <xdr:rowOff>147441</xdr:rowOff>
    </xdr:from>
    <xdr:to>
      <xdr:col>5</xdr:col>
      <xdr:colOff>506766</xdr:colOff>
      <xdr:row>24</xdr:row>
      <xdr:rowOff>21774</xdr:rowOff>
    </xdr:to>
    <xdr:grpSp>
      <xdr:nvGrpSpPr>
        <xdr:cNvPr id="249" name="Gruppieren 248">
          <a:extLst>
            <a:ext uri="{FF2B5EF4-FFF2-40B4-BE49-F238E27FC236}">
              <a16:creationId xmlns:a16="http://schemas.microsoft.com/office/drawing/2014/main" id="{00000000-0008-0000-0500-0000F9000000}"/>
            </a:ext>
          </a:extLst>
        </xdr:cNvPr>
        <xdr:cNvGrpSpPr/>
      </xdr:nvGrpSpPr>
      <xdr:grpSpPr>
        <a:xfrm>
          <a:off x="2400050" y="4319391"/>
          <a:ext cx="126016" cy="198183"/>
          <a:chOff x="6665123" y="2144244"/>
          <a:chExt cx="126016" cy="200859"/>
        </a:xfrm>
      </xdr:grpSpPr>
      <xdr:sp macro="" textlink="">
        <xdr:nvSpPr>
          <xdr:cNvPr id="250" name="Rechtwinkliges Dreieck 133">
            <a:extLst>
              <a:ext uri="{FF2B5EF4-FFF2-40B4-BE49-F238E27FC236}">
                <a16:creationId xmlns:a16="http://schemas.microsoft.com/office/drawing/2014/main" id="{00000000-0008-0000-0500-0000FA00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51" name="Gerade Verbindung 134">
            <a:extLst>
              <a:ext uri="{FF2B5EF4-FFF2-40B4-BE49-F238E27FC236}">
                <a16:creationId xmlns:a16="http://schemas.microsoft.com/office/drawing/2014/main" id="{00000000-0008-0000-0500-0000FB000000}"/>
              </a:ext>
            </a:extLst>
          </xdr:cNvPr>
          <xdr:cNvCxnSpPr>
            <a:stCxn id="250" idx="4"/>
            <a:endCxn id="25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52" name="Rechtwinkliges Dreieck 135">
            <a:extLst>
              <a:ext uri="{FF2B5EF4-FFF2-40B4-BE49-F238E27FC236}">
                <a16:creationId xmlns:a16="http://schemas.microsoft.com/office/drawing/2014/main" id="{00000000-0008-0000-0500-0000FC00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53" name="Gerade Verbindung 136">
            <a:extLst>
              <a:ext uri="{FF2B5EF4-FFF2-40B4-BE49-F238E27FC236}">
                <a16:creationId xmlns:a16="http://schemas.microsoft.com/office/drawing/2014/main" id="{00000000-0008-0000-0500-0000FD00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25</xdr:row>
      <xdr:rowOff>147441</xdr:rowOff>
    </xdr:from>
    <xdr:to>
      <xdr:col>5</xdr:col>
      <xdr:colOff>506766</xdr:colOff>
      <xdr:row>27</xdr:row>
      <xdr:rowOff>21774</xdr:rowOff>
    </xdr:to>
    <xdr:grpSp>
      <xdr:nvGrpSpPr>
        <xdr:cNvPr id="272" name="Gruppieren 271">
          <a:extLst>
            <a:ext uri="{FF2B5EF4-FFF2-40B4-BE49-F238E27FC236}">
              <a16:creationId xmlns:a16="http://schemas.microsoft.com/office/drawing/2014/main" id="{00000000-0008-0000-0500-000010010000}"/>
            </a:ext>
          </a:extLst>
        </xdr:cNvPr>
        <xdr:cNvGrpSpPr/>
      </xdr:nvGrpSpPr>
      <xdr:grpSpPr>
        <a:xfrm>
          <a:off x="2400050" y="4805166"/>
          <a:ext cx="126016" cy="198183"/>
          <a:chOff x="6665123" y="2144244"/>
          <a:chExt cx="126016" cy="200859"/>
        </a:xfrm>
      </xdr:grpSpPr>
      <xdr:sp macro="" textlink="">
        <xdr:nvSpPr>
          <xdr:cNvPr id="273" name="Rechtwinkliges Dreieck 133">
            <a:extLst>
              <a:ext uri="{FF2B5EF4-FFF2-40B4-BE49-F238E27FC236}">
                <a16:creationId xmlns:a16="http://schemas.microsoft.com/office/drawing/2014/main" id="{00000000-0008-0000-0500-000011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74" name="Gerade Verbindung 134">
            <a:extLst>
              <a:ext uri="{FF2B5EF4-FFF2-40B4-BE49-F238E27FC236}">
                <a16:creationId xmlns:a16="http://schemas.microsoft.com/office/drawing/2014/main" id="{00000000-0008-0000-0500-000012010000}"/>
              </a:ext>
            </a:extLst>
          </xdr:cNvPr>
          <xdr:cNvCxnSpPr>
            <a:stCxn id="273" idx="4"/>
            <a:endCxn id="273"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75" name="Rechtwinkliges Dreieck 135">
            <a:extLst>
              <a:ext uri="{FF2B5EF4-FFF2-40B4-BE49-F238E27FC236}">
                <a16:creationId xmlns:a16="http://schemas.microsoft.com/office/drawing/2014/main" id="{00000000-0008-0000-0500-000013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76" name="Gerade Verbindung 136">
            <a:extLst>
              <a:ext uri="{FF2B5EF4-FFF2-40B4-BE49-F238E27FC236}">
                <a16:creationId xmlns:a16="http://schemas.microsoft.com/office/drawing/2014/main" id="{00000000-0008-0000-0500-000014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27</xdr:row>
      <xdr:rowOff>147441</xdr:rowOff>
    </xdr:from>
    <xdr:to>
      <xdr:col>5</xdr:col>
      <xdr:colOff>506766</xdr:colOff>
      <xdr:row>29</xdr:row>
      <xdr:rowOff>21773</xdr:rowOff>
    </xdr:to>
    <xdr:grpSp>
      <xdr:nvGrpSpPr>
        <xdr:cNvPr id="384" name="Gruppieren 383">
          <a:extLst>
            <a:ext uri="{FF2B5EF4-FFF2-40B4-BE49-F238E27FC236}">
              <a16:creationId xmlns:a16="http://schemas.microsoft.com/office/drawing/2014/main" id="{00000000-0008-0000-0500-000080010000}"/>
            </a:ext>
          </a:extLst>
        </xdr:cNvPr>
        <xdr:cNvGrpSpPr/>
      </xdr:nvGrpSpPr>
      <xdr:grpSpPr>
        <a:xfrm>
          <a:off x="2400050" y="5129016"/>
          <a:ext cx="126016" cy="198182"/>
          <a:chOff x="6665123" y="2144244"/>
          <a:chExt cx="126016" cy="200859"/>
        </a:xfrm>
      </xdr:grpSpPr>
      <xdr:sp macro="" textlink="">
        <xdr:nvSpPr>
          <xdr:cNvPr id="385" name="Rechtwinkliges Dreieck 133">
            <a:extLst>
              <a:ext uri="{FF2B5EF4-FFF2-40B4-BE49-F238E27FC236}">
                <a16:creationId xmlns:a16="http://schemas.microsoft.com/office/drawing/2014/main" id="{00000000-0008-0000-0500-000081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86" name="Gerade Verbindung 134">
            <a:extLst>
              <a:ext uri="{FF2B5EF4-FFF2-40B4-BE49-F238E27FC236}">
                <a16:creationId xmlns:a16="http://schemas.microsoft.com/office/drawing/2014/main" id="{00000000-0008-0000-0500-000082010000}"/>
              </a:ext>
            </a:extLst>
          </xdr:cNvPr>
          <xdr:cNvCxnSpPr>
            <a:stCxn id="385" idx="4"/>
            <a:endCxn id="38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87" name="Rechtwinkliges Dreieck 135">
            <a:extLst>
              <a:ext uri="{FF2B5EF4-FFF2-40B4-BE49-F238E27FC236}">
                <a16:creationId xmlns:a16="http://schemas.microsoft.com/office/drawing/2014/main" id="{00000000-0008-0000-0500-000083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88" name="Gerade Verbindung 136">
            <a:extLst>
              <a:ext uri="{FF2B5EF4-FFF2-40B4-BE49-F238E27FC236}">
                <a16:creationId xmlns:a16="http://schemas.microsoft.com/office/drawing/2014/main" id="{00000000-0008-0000-0500-000084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58</xdr:row>
      <xdr:rowOff>147442</xdr:rowOff>
    </xdr:from>
    <xdr:to>
      <xdr:col>5</xdr:col>
      <xdr:colOff>506766</xdr:colOff>
      <xdr:row>60</xdr:row>
      <xdr:rowOff>21775</xdr:rowOff>
    </xdr:to>
    <xdr:grpSp>
      <xdr:nvGrpSpPr>
        <xdr:cNvPr id="424" name="Gruppieren 423">
          <a:extLst>
            <a:ext uri="{FF2B5EF4-FFF2-40B4-BE49-F238E27FC236}">
              <a16:creationId xmlns:a16="http://schemas.microsoft.com/office/drawing/2014/main" id="{00000000-0008-0000-0500-0000A8010000}"/>
            </a:ext>
          </a:extLst>
        </xdr:cNvPr>
        <xdr:cNvGrpSpPr/>
      </xdr:nvGrpSpPr>
      <xdr:grpSpPr>
        <a:xfrm>
          <a:off x="2400050" y="10062967"/>
          <a:ext cx="126016" cy="198183"/>
          <a:chOff x="6665123" y="2144244"/>
          <a:chExt cx="126016" cy="200859"/>
        </a:xfrm>
      </xdr:grpSpPr>
      <xdr:sp macro="" textlink="">
        <xdr:nvSpPr>
          <xdr:cNvPr id="425" name="Rechtwinkliges Dreieck 133">
            <a:extLst>
              <a:ext uri="{FF2B5EF4-FFF2-40B4-BE49-F238E27FC236}">
                <a16:creationId xmlns:a16="http://schemas.microsoft.com/office/drawing/2014/main" id="{00000000-0008-0000-0500-0000A9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26" name="Gerade Verbindung 134">
            <a:extLst>
              <a:ext uri="{FF2B5EF4-FFF2-40B4-BE49-F238E27FC236}">
                <a16:creationId xmlns:a16="http://schemas.microsoft.com/office/drawing/2014/main" id="{00000000-0008-0000-0500-0000AA010000}"/>
              </a:ext>
            </a:extLst>
          </xdr:cNvPr>
          <xdr:cNvCxnSpPr>
            <a:stCxn id="425" idx="4"/>
            <a:endCxn id="42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27" name="Rechtwinkliges Dreieck 135">
            <a:extLst>
              <a:ext uri="{FF2B5EF4-FFF2-40B4-BE49-F238E27FC236}">
                <a16:creationId xmlns:a16="http://schemas.microsoft.com/office/drawing/2014/main" id="{00000000-0008-0000-0500-0000AB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28" name="Gerade Verbindung 136">
            <a:extLst>
              <a:ext uri="{FF2B5EF4-FFF2-40B4-BE49-F238E27FC236}">
                <a16:creationId xmlns:a16="http://schemas.microsoft.com/office/drawing/2014/main" id="{00000000-0008-0000-0500-0000AC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180975</xdr:colOff>
      <xdr:row>19</xdr:row>
      <xdr:rowOff>152400</xdr:rowOff>
    </xdr:from>
    <xdr:to>
      <xdr:col>17</xdr:col>
      <xdr:colOff>485775</xdr:colOff>
      <xdr:row>19</xdr:row>
      <xdr:rowOff>153988</xdr:rowOff>
    </xdr:to>
    <xdr:cxnSp macro="">
      <xdr:nvCxnSpPr>
        <xdr:cNvPr id="2" name="Gerade Verbindung 346">
          <a:extLst>
            <a:ext uri="{FF2B5EF4-FFF2-40B4-BE49-F238E27FC236}">
              <a16:creationId xmlns:a16="http://schemas.microsoft.com/office/drawing/2014/main" id="{00000000-0008-0000-0600-000002000000}"/>
            </a:ext>
          </a:extLst>
        </xdr:cNvPr>
        <xdr:cNvCxnSpPr/>
      </xdr:nvCxnSpPr>
      <xdr:spPr>
        <a:xfrm rot="10800000">
          <a:off x="6819900" y="3733800"/>
          <a:ext cx="304800" cy="1588"/>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35</xdr:row>
      <xdr:rowOff>9525</xdr:rowOff>
    </xdr:from>
    <xdr:to>
      <xdr:col>17</xdr:col>
      <xdr:colOff>485775</xdr:colOff>
      <xdr:row>35</xdr:row>
      <xdr:rowOff>11113</xdr:rowOff>
    </xdr:to>
    <xdr:cxnSp macro="">
      <xdr:nvCxnSpPr>
        <xdr:cNvPr id="3" name="Gerade Verbindung 347">
          <a:extLst>
            <a:ext uri="{FF2B5EF4-FFF2-40B4-BE49-F238E27FC236}">
              <a16:creationId xmlns:a16="http://schemas.microsoft.com/office/drawing/2014/main" id="{00000000-0008-0000-0600-000003000000}"/>
            </a:ext>
          </a:extLst>
        </xdr:cNvPr>
        <xdr:cNvCxnSpPr/>
      </xdr:nvCxnSpPr>
      <xdr:spPr>
        <a:xfrm rot="10800000">
          <a:off x="6819900" y="6181725"/>
          <a:ext cx="304800" cy="1588"/>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37</xdr:row>
      <xdr:rowOff>71158</xdr:rowOff>
    </xdr:from>
    <xdr:to>
      <xdr:col>17</xdr:col>
      <xdr:colOff>485775</xdr:colOff>
      <xdr:row>37</xdr:row>
      <xdr:rowOff>72746</xdr:rowOff>
    </xdr:to>
    <xdr:cxnSp macro="">
      <xdr:nvCxnSpPr>
        <xdr:cNvPr id="4" name="Gerade Verbindung 348">
          <a:extLst>
            <a:ext uri="{FF2B5EF4-FFF2-40B4-BE49-F238E27FC236}">
              <a16:creationId xmlns:a16="http://schemas.microsoft.com/office/drawing/2014/main" id="{00000000-0008-0000-0600-000004000000}"/>
            </a:ext>
          </a:extLst>
        </xdr:cNvPr>
        <xdr:cNvCxnSpPr/>
      </xdr:nvCxnSpPr>
      <xdr:spPr>
        <a:xfrm rot="10800000">
          <a:off x="6819900" y="6567208"/>
          <a:ext cx="304800" cy="1588"/>
        </a:xfrm>
        <a:prstGeom prst="line">
          <a:avLst/>
        </a:prstGeom>
        <a:ln w="0">
          <a:solidFill>
            <a:schemeClr val="tx1"/>
          </a:solidFill>
          <a:prstDash val="dash"/>
          <a:headEnd type="stealt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161926</xdr:colOff>
      <xdr:row>20</xdr:row>
      <xdr:rowOff>28575</xdr:rowOff>
    </xdr:from>
    <xdr:to>
      <xdr:col>17</xdr:col>
      <xdr:colOff>161926</xdr:colOff>
      <xdr:row>31</xdr:row>
      <xdr:rowOff>3</xdr:rowOff>
    </xdr:to>
    <xdr:cxnSp macro="">
      <xdr:nvCxnSpPr>
        <xdr:cNvPr id="5" name="Gerade Verbindung 349">
          <a:extLst>
            <a:ext uri="{FF2B5EF4-FFF2-40B4-BE49-F238E27FC236}">
              <a16:creationId xmlns:a16="http://schemas.microsoft.com/office/drawing/2014/main" id="{00000000-0008-0000-0600-000005000000}"/>
            </a:ext>
          </a:extLst>
        </xdr:cNvPr>
        <xdr:cNvCxnSpPr/>
      </xdr:nvCxnSpPr>
      <xdr:spPr>
        <a:xfrm>
          <a:off x="6800851" y="3771900"/>
          <a:ext cx="0" cy="1752603"/>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162719</xdr:colOff>
      <xdr:row>32</xdr:row>
      <xdr:rowOff>19846</xdr:rowOff>
    </xdr:from>
    <xdr:to>
      <xdr:col>17</xdr:col>
      <xdr:colOff>162719</xdr:colOff>
      <xdr:row>37</xdr:row>
      <xdr:rowOff>56030</xdr:rowOff>
    </xdr:to>
    <xdr:cxnSp macro="">
      <xdr:nvCxnSpPr>
        <xdr:cNvPr id="6" name="Gerade Verbindung 355">
          <a:extLst>
            <a:ext uri="{FF2B5EF4-FFF2-40B4-BE49-F238E27FC236}">
              <a16:creationId xmlns:a16="http://schemas.microsoft.com/office/drawing/2014/main" id="{00000000-0008-0000-0600-000006000000}"/>
            </a:ext>
          </a:extLst>
        </xdr:cNvPr>
        <xdr:cNvCxnSpPr/>
      </xdr:nvCxnSpPr>
      <xdr:spPr>
        <a:xfrm>
          <a:off x="6785395" y="5577964"/>
          <a:ext cx="0" cy="820595"/>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46</xdr:row>
      <xdr:rowOff>66675</xdr:rowOff>
    </xdr:from>
    <xdr:to>
      <xdr:col>17</xdr:col>
      <xdr:colOff>485775</xdr:colOff>
      <xdr:row>46</xdr:row>
      <xdr:rowOff>68263</xdr:rowOff>
    </xdr:to>
    <xdr:cxnSp macro="">
      <xdr:nvCxnSpPr>
        <xdr:cNvPr id="7" name="Gerade Verbindung 357">
          <a:extLst>
            <a:ext uri="{FF2B5EF4-FFF2-40B4-BE49-F238E27FC236}">
              <a16:creationId xmlns:a16="http://schemas.microsoft.com/office/drawing/2014/main" id="{00000000-0008-0000-0600-000007000000}"/>
            </a:ext>
          </a:extLst>
        </xdr:cNvPr>
        <xdr:cNvCxnSpPr/>
      </xdr:nvCxnSpPr>
      <xdr:spPr>
        <a:xfrm rot="10800000">
          <a:off x="6438900" y="9210675"/>
          <a:ext cx="304800" cy="1588"/>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50</xdr:row>
      <xdr:rowOff>85725</xdr:rowOff>
    </xdr:from>
    <xdr:to>
      <xdr:col>17</xdr:col>
      <xdr:colOff>485775</xdr:colOff>
      <xdr:row>50</xdr:row>
      <xdr:rowOff>87313</xdr:rowOff>
    </xdr:to>
    <xdr:cxnSp macro="">
      <xdr:nvCxnSpPr>
        <xdr:cNvPr id="8" name="Gerade Verbindung 358">
          <a:extLst>
            <a:ext uri="{FF2B5EF4-FFF2-40B4-BE49-F238E27FC236}">
              <a16:creationId xmlns:a16="http://schemas.microsoft.com/office/drawing/2014/main" id="{00000000-0008-0000-0600-000008000000}"/>
            </a:ext>
          </a:extLst>
        </xdr:cNvPr>
        <xdr:cNvCxnSpPr/>
      </xdr:nvCxnSpPr>
      <xdr:spPr>
        <a:xfrm rot="10800000">
          <a:off x="6819900" y="8686800"/>
          <a:ext cx="304800" cy="1588"/>
        </a:xfrm>
        <a:prstGeom prst="line">
          <a:avLst/>
        </a:prstGeom>
        <a:ln w="0">
          <a:solidFill>
            <a:schemeClr val="tx1"/>
          </a:solidFill>
          <a:prstDash val="dash"/>
          <a:headEnd type="stealt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161925</xdr:colOff>
      <xdr:row>46</xdr:row>
      <xdr:rowOff>76200</xdr:rowOff>
    </xdr:from>
    <xdr:to>
      <xdr:col>17</xdr:col>
      <xdr:colOff>161925</xdr:colOff>
      <xdr:row>50</xdr:row>
      <xdr:rowOff>95250</xdr:rowOff>
    </xdr:to>
    <xdr:cxnSp macro="">
      <xdr:nvCxnSpPr>
        <xdr:cNvPr id="9" name="Gerade Verbindung 359">
          <a:extLst>
            <a:ext uri="{FF2B5EF4-FFF2-40B4-BE49-F238E27FC236}">
              <a16:creationId xmlns:a16="http://schemas.microsoft.com/office/drawing/2014/main" id="{00000000-0008-0000-0600-000009000000}"/>
            </a:ext>
          </a:extLst>
        </xdr:cNvPr>
        <xdr:cNvCxnSpPr/>
      </xdr:nvCxnSpPr>
      <xdr:spPr>
        <a:xfrm>
          <a:off x="6800850" y="8029575"/>
          <a:ext cx="0" cy="666750"/>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388287</xdr:colOff>
      <xdr:row>9</xdr:row>
      <xdr:rowOff>54587</xdr:rowOff>
    </xdr:from>
    <xdr:to>
      <xdr:col>14</xdr:col>
      <xdr:colOff>786</xdr:colOff>
      <xdr:row>11</xdr:row>
      <xdr:rowOff>18062</xdr:rowOff>
    </xdr:to>
    <xdr:grpSp>
      <xdr:nvGrpSpPr>
        <xdr:cNvPr id="309" name="Gruppieren 308">
          <a:extLst>
            <a:ext uri="{FF2B5EF4-FFF2-40B4-BE49-F238E27FC236}">
              <a16:creationId xmlns:a16="http://schemas.microsoft.com/office/drawing/2014/main" id="{00000000-0008-0000-0600-000035010000}"/>
            </a:ext>
          </a:extLst>
        </xdr:cNvPr>
        <xdr:cNvGrpSpPr/>
      </xdr:nvGrpSpPr>
      <xdr:grpSpPr>
        <a:xfrm>
          <a:off x="5912787" y="2207237"/>
          <a:ext cx="126849" cy="201600"/>
          <a:chOff x="6665123" y="2144244"/>
          <a:chExt cx="126016" cy="200859"/>
        </a:xfrm>
      </xdr:grpSpPr>
      <xdr:sp macro="" textlink="">
        <xdr:nvSpPr>
          <xdr:cNvPr id="310" name="Rechtwinkliges Dreieck 133">
            <a:extLst>
              <a:ext uri="{FF2B5EF4-FFF2-40B4-BE49-F238E27FC236}">
                <a16:creationId xmlns:a16="http://schemas.microsoft.com/office/drawing/2014/main" id="{00000000-0008-0000-0600-000036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11" name="Gerade Verbindung 134">
            <a:extLst>
              <a:ext uri="{FF2B5EF4-FFF2-40B4-BE49-F238E27FC236}">
                <a16:creationId xmlns:a16="http://schemas.microsoft.com/office/drawing/2014/main" id="{00000000-0008-0000-0600-000037010000}"/>
              </a:ext>
            </a:extLst>
          </xdr:cNvPr>
          <xdr:cNvCxnSpPr>
            <a:stCxn id="310" idx="4"/>
            <a:endCxn id="31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12" name="Rechtwinkliges Dreieck 135">
            <a:extLst>
              <a:ext uri="{FF2B5EF4-FFF2-40B4-BE49-F238E27FC236}">
                <a16:creationId xmlns:a16="http://schemas.microsoft.com/office/drawing/2014/main" id="{00000000-0008-0000-0600-000038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13" name="Gerade Verbindung 136">
            <a:extLst>
              <a:ext uri="{FF2B5EF4-FFF2-40B4-BE49-F238E27FC236}">
                <a16:creationId xmlns:a16="http://schemas.microsoft.com/office/drawing/2014/main" id="{00000000-0008-0000-0600-000039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14</xdr:row>
      <xdr:rowOff>140313</xdr:rowOff>
    </xdr:from>
    <xdr:to>
      <xdr:col>13</xdr:col>
      <xdr:colOff>515136</xdr:colOff>
      <xdr:row>16</xdr:row>
      <xdr:rowOff>21570</xdr:rowOff>
    </xdr:to>
    <xdr:grpSp>
      <xdr:nvGrpSpPr>
        <xdr:cNvPr id="314" name="Gruppieren 313">
          <a:extLst>
            <a:ext uri="{FF2B5EF4-FFF2-40B4-BE49-F238E27FC236}">
              <a16:creationId xmlns:a16="http://schemas.microsoft.com/office/drawing/2014/main" id="{00000000-0008-0000-0600-00003A010000}"/>
            </a:ext>
          </a:extLst>
        </xdr:cNvPr>
        <xdr:cNvGrpSpPr/>
      </xdr:nvGrpSpPr>
      <xdr:grpSpPr>
        <a:xfrm>
          <a:off x="5912787" y="3016863"/>
          <a:ext cx="126849" cy="205107"/>
          <a:chOff x="6665123" y="2144244"/>
          <a:chExt cx="126016" cy="200859"/>
        </a:xfrm>
      </xdr:grpSpPr>
      <xdr:sp macro="" textlink="">
        <xdr:nvSpPr>
          <xdr:cNvPr id="315" name="Rechtwinkliges Dreieck 133">
            <a:extLst>
              <a:ext uri="{FF2B5EF4-FFF2-40B4-BE49-F238E27FC236}">
                <a16:creationId xmlns:a16="http://schemas.microsoft.com/office/drawing/2014/main" id="{00000000-0008-0000-0600-00003B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16" name="Gerade Verbindung 134">
            <a:extLst>
              <a:ext uri="{FF2B5EF4-FFF2-40B4-BE49-F238E27FC236}">
                <a16:creationId xmlns:a16="http://schemas.microsoft.com/office/drawing/2014/main" id="{00000000-0008-0000-0600-00003C010000}"/>
              </a:ext>
            </a:extLst>
          </xdr:cNvPr>
          <xdr:cNvCxnSpPr>
            <a:stCxn id="315" idx="4"/>
            <a:endCxn id="31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17" name="Rechtwinkliges Dreieck 135">
            <a:extLst>
              <a:ext uri="{FF2B5EF4-FFF2-40B4-BE49-F238E27FC236}">
                <a16:creationId xmlns:a16="http://schemas.microsoft.com/office/drawing/2014/main" id="{00000000-0008-0000-0600-00003D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18" name="Gerade Verbindung 136">
            <a:extLst>
              <a:ext uri="{FF2B5EF4-FFF2-40B4-BE49-F238E27FC236}">
                <a16:creationId xmlns:a16="http://schemas.microsoft.com/office/drawing/2014/main" id="{00000000-0008-0000-0600-00003E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375653</xdr:colOff>
      <xdr:row>15</xdr:row>
      <xdr:rowOff>140313</xdr:rowOff>
    </xdr:from>
    <xdr:to>
      <xdr:col>17</xdr:col>
      <xdr:colOff>502502</xdr:colOff>
      <xdr:row>17</xdr:row>
      <xdr:rowOff>21570</xdr:rowOff>
    </xdr:to>
    <xdr:grpSp>
      <xdr:nvGrpSpPr>
        <xdr:cNvPr id="319" name="Gruppieren 318">
          <a:extLst>
            <a:ext uri="{FF2B5EF4-FFF2-40B4-BE49-F238E27FC236}">
              <a16:creationId xmlns:a16="http://schemas.microsoft.com/office/drawing/2014/main" id="{00000000-0008-0000-0600-00003F010000}"/>
            </a:ext>
          </a:extLst>
        </xdr:cNvPr>
        <xdr:cNvGrpSpPr/>
      </xdr:nvGrpSpPr>
      <xdr:grpSpPr>
        <a:xfrm>
          <a:off x="7005053" y="3178788"/>
          <a:ext cx="126849" cy="205107"/>
          <a:chOff x="6665123" y="2144244"/>
          <a:chExt cx="126016" cy="200859"/>
        </a:xfrm>
      </xdr:grpSpPr>
      <xdr:sp macro="" textlink="">
        <xdr:nvSpPr>
          <xdr:cNvPr id="320" name="Rechtwinkliges Dreieck 133">
            <a:extLst>
              <a:ext uri="{FF2B5EF4-FFF2-40B4-BE49-F238E27FC236}">
                <a16:creationId xmlns:a16="http://schemas.microsoft.com/office/drawing/2014/main" id="{00000000-0008-0000-0600-000040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21" name="Gerade Verbindung 134">
            <a:extLst>
              <a:ext uri="{FF2B5EF4-FFF2-40B4-BE49-F238E27FC236}">
                <a16:creationId xmlns:a16="http://schemas.microsoft.com/office/drawing/2014/main" id="{00000000-0008-0000-0600-000041010000}"/>
              </a:ext>
            </a:extLst>
          </xdr:cNvPr>
          <xdr:cNvCxnSpPr>
            <a:stCxn id="320" idx="4"/>
            <a:endCxn id="32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22" name="Rechtwinkliges Dreieck 135">
            <a:extLst>
              <a:ext uri="{FF2B5EF4-FFF2-40B4-BE49-F238E27FC236}">
                <a16:creationId xmlns:a16="http://schemas.microsoft.com/office/drawing/2014/main" id="{00000000-0008-0000-0600-000042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23" name="Gerade Verbindung 136">
            <a:extLst>
              <a:ext uri="{FF2B5EF4-FFF2-40B4-BE49-F238E27FC236}">
                <a16:creationId xmlns:a16="http://schemas.microsoft.com/office/drawing/2014/main" id="{00000000-0008-0000-0600-000043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375653</xdr:colOff>
      <xdr:row>14</xdr:row>
      <xdr:rowOff>145327</xdr:rowOff>
    </xdr:from>
    <xdr:to>
      <xdr:col>5</xdr:col>
      <xdr:colOff>502502</xdr:colOff>
      <xdr:row>16</xdr:row>
      <xdr:rowOff>26584</xdr:rowOff>
    </xdr:to>
    <xdr:grpSp>
      <xdr:nvGrpSpPr>
        <xdr:cNvPr id="324" name="Gruppieren 323">
          <a:extLst>
            <a:ext uri="{FF2B5EF4-FFF2-40B4-BE49-F238E27FC236}">
              <a16:creationId xmlns:a16="http://schemas.microsoft.com/office/drawing/2014/main" id="{00000000-0008-0000-0600-000044010000}"/>
            </a:ext>
          </a:extLst>
        </xdr:cNvPr>
        <xdr:cNvGrpSpPr/>
      </xdr:nvGrpSpPr>
      <xdr:grpSpPr>
        <a:xfrm>
          <a:off x="2394953" y="3021877"/>
          <a:ext cx="126849" cy="205107"/>
          <a:chOff x="6665123" y="2144244"/>
          <a:chExt cx="126016" cy="200859"/>
        </a:xfrm>
      </xdr:grpSpPr>
      <xdr:sp macro="" textlink="">
        <xdr:nvSpPr>
          <xdr:cNvPr id="325" name="Rechtwinkliges Dreieck 133">
            <a:extLst>
              <a:ext uri="{FF2B5EF4-FFF2-40B4-BE49-F238E27FC236}">
                <a16:creationId xmlns:a16="http://schemas.microsoft.com/office/drawing/2014/main" id="{00000000-0008-0000-0600-000045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26" name="Gerade Verbindung 134">
            <a:extLst>
              <a:ext uri="{FF2B5EF4-FFF2-40B4-BE49-F238E27FC236}">
                <a16:creationId xmlns:a16="http://schemas.microsoft.com/office/drawing/2014/main" id="{00000000-0008-0000-0600-000046010000}"/>
              </a:ext>
            </a:extLst>
          </xdr:cNvPr>
          <xdr:cNvCxnSpPr>
            <a:stCxn id="325" idx="4"/>
            <a:endCxn id="32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27" name="Rechtwinkliges Dreieck 135">
            <a:extLst>
              <a:ext uri="{FF2B5EF4-FFF2-40B4-BE49-F238E27FC236}">
                <a16:creationId xmlns:a16="http://schemas.microsoft.com/office/drawing/2014/main" id="{00000000-0008-0000-0600-000047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28" name="Gerade Verbindung 136">
            <a:extLst>
              <a:ext uri="{FF2B5EF4-FFF2-40B4-BE49-F238E27FC236}">
                <a16:creationId xmlns:a16="http://schemas.microsoft.com/office/drawing/2014/main" id="{00000000-0008-0000-0600-000048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18</xdr:row>
      <xdr:rowOff>140313</xdr:rowOff>
    </xdr:from>
    <xdr:to>
      <xdr:col>13</xdr:col>
      <xdr:colOff>515136</xdr:colOff>
      <xdr:row>20</xdr:row>
      <xdr:rowOff>21570</xdr:rowOff>
    </xdr:to>
    <xdr:grpSp>
      <xdr:nvGrpSpPr>
        <xdr:cNvPr id="334" name="Gruppieren 333">
          <a:extLst>
            <a:ext uri="{FF2B5EF4-FFF2-40B4-BE49-F238E27FC236}">
              <a16:creationId xmlns:a16="http://schemas.microsoft.com/office/drawing/2014/main" id="{00000000-0008-0000-0600-00004E010000}"/>
            </a:ext>
          </a:extLst>
        </xdr:cNvPr>
        <xdr:cNvGrpSpPr/>
      </xdr:nvGrpSpPr>
      <xdr:grpSpPr>
        <a:xfrm>
          <a:off x="5912787" y="3664563"/>
          <a:ext cx="126849" cy="205107"/>
          <a:chOff x="6665123" y="2144244"/>
          <a:chExt cx="126016" cy="200859"/>
        </a:xfrm>
      </xdr:grpSpPr>
      <xdr:sp macro="" textlink="">
        <xdr:nvSpPr>
          <xdr:cNvPr id="335" name="Rechtwinkliges Dreieck 133">
            <a:extLst>
              <a:ext uri="{FF2B5EF4-FFF2-40B4-BE49-F238E27FC236}">
                <a16:creationId xmlns:a16="http://schemas.microsoft.com/office/drawing/2014/main" id="{00000000-0008-0000-0600-00004F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36" name="Gerade Verbindung 134">
            <a:extLst>
              <a:ext uri="{FF2B5EF4-FFF2-40B4-BE49-F238E27FC236}">
                <a16:creationId xmlns:a16="http://schemas.microsoft.com/office/drawing/2014/main" id="{00000000-0008-0000-0600-000050010000}"/>
              </a:ext>
            </a:extLst>
          </xdr:cNvPr>
          <xdr:cNvCxnSpPr>
            <a:stCxn id="335" idx="4"/>
            <a:endCxn id="33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37" name="Rechtwinkliges Dreieck 135">
            <a:extLst>
              <a:ext uri="{FF2B5EF4-FFF2-40B4-BE49-F238E27FC236}">
                <a16:creationId xmlns:a16="http://schemas.microsoft.com/office/drawing/2014/main" id="{00000000-0008-0000-0600-000051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38" name="Gerade Verbindung 136">
            <a:extLst>
              <a:ext uri="{FF2B5EF4-FFF2-40B4-BE49-F238E27FC236}">
                <a16:creationId xmlns:a16="http://schemas.microsoft.com/office/drawing/2014/main" id="{00000000-0008-0000-0600-000052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22</xdr:row>
      <xdr:rowOff>140312</xdr:rowOff>
    </xdr:from>
    <xdr:to>
      <xdr:col>13</xdr:col>
      <xdr:colOff>515136</xdr:colOff>
      <xdr:row>24</xdr:row>
      <xdr:rowOff>21569</xdr:rowOff>
    </xdr:to>
    <xdr:grpSp>
      <xdr:nvGrpSpPr>
        <xdr:cNvPr id="339" name="Gruppieren 338">
          <a:extLst>
            <a:ext uri="{FF2B5EF4-FFF2-40B4-BE49-F238E27FC236}">
              <a16:creationId xmlns:a16="http://schemas.microsoft.com/office/drawing/2014/main" id="{00000000-0008-0000-0600-000053010000}"/>
            </a:ext>
          </a:extLst>
        </xdr:cNvPr>
        <xdr:cNvGrpSpPr/>
      </xdr:nvGrpSpPr>
      <xdr:grpSpPr>
        <a:xfrm>
          <a:off x="5912787" y="4312262"/>
          <a:ext cx="126849" cy="205107"/>
          <a:chOff x="6665123" y="2144244"/>
          <a:chExt cx="126016" cy="200859"/>
        </a:xfrm>
      </xdr:grpSpPr>
      <xdr:sp macro="" textlink="">
        <xdr:nvSpPr>
          <xdr:cNvPr id="340" name="Rechtwinkliges Dreieck 133">
            <a:extLst>
              <a:ext uri="{FF2B5EF4-FFF2-40B4-BE49-F238E27FC236}">
                <a16:creationId xmlns:a16="http://schemas.microsoft.com/office/drawing/2014/main" id="{00000000-0008-0000-0600-000054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41" name="Gerade Verbindung 134">
            <a:extLst>
              <a:ext uri="{FF2B5EF4-FFF2-40B4-BE49-F238E27FC236}">
                <a16:creationId xmlns:a16="http://schemas.microsoft.com/office/drawing/2014/main" id="{00000000-0008-0000-0600-000055010000}"/>
              </a:ext>
            </a:extLst>
          </xdr:cNvPr>
          <xdr:cNvCxnSpPr>
            <a:stCxn id="340" idx="4"/>
            <a:endCxn id="34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42" name="Rechtwinkliges Dreieck 135">
            <a:extLst>
              <a:ext uri="{FF2B5EF4-FFF2-40B4-BE49-F238E27FC236}">
                <a16:creationId xmlns:a16="http://schemas.microsoft.com/office/drawing/2014/main" id="{00000000-0008-0000-0600-000056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43" name="Gerade Verbindung 136">
            <a:extLst>
              <a:ext uri="{FF2B5EF4-FFF2-40B4-BE49-F238E27FC236}">
                <a16:creationId xmlns:a16="http://schemas.microsoft.com/office/drawing/2014/main" id="{00000000-0008-0000-0600-000057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26</xdr:row>
      <xdr:rowOff>140313</xdr:rowOff>
    </xdr:from>
    <xdr:to>
      <xdr:col>13</xdr:col>
      <xdr:colOff>515136</xdr:colOff>
      <xdr:row>28</xdr:row>
      <xdr:rowOff>21570</xdr:rowOff>
    </xdr:to>
    <xdr:grpSp>
      <xdr:nvGrpSpPr>
        <xdr:cNvPr id="359" name="Gruppieren 358">
          <a:extLst>
            <a:ext uri="{FF2B5EF4-FFF2-40B4-BE49-F238E27FC236}">
              <a16:creationId xmlns:a16="http://schemas.microsoft.com/office/drawing/2014/main" id="{00000000-0008-0000-0600-000067010000}"/>
            </a:ext>
          </a:extLst>
        </xdr:cNvPr>
        <xdr:cNvGrpSpPr/>
      </xdr:nvGrpSpPr>
      <xdr:grpSpPr>
        <a:xfrm>
          <a:off x="5912787" y="4959963"/>
          <a:ext cx="126849" cy="205107"/>
          <a:chOff x="6665123" y="2144244"/>
          <a:chExt cx="126016" cy="200859"/>
        </a:xfrm>
      </xdr:grpSpPr>
      <xdr:sp macro="" textlink="">
        <xdr:nvSpPr>
          <xdr:cNvPr id="360" name="Rechtwinkliges Dreieck 133">
            <a:extLst>
              <a:ext uri="{FF2B5EF4-FFF2-40B4-BE49-F238E27FC236}">
                <a16:creationId xmlns:a16="http://schemas.microsoft.com/office/drawing/2014/main" id="{00000000-0008-0000-0600-000068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61" name="Gerade Verbindung 134">
            <a:extLst>
              <a:ext uri="{FF2B5EF4-FFF2-40B4-BE49-F238E27FC236}">
                <a16:creationId xmlns:a16="http://schemas.microsoft.com/office/drawing/2014/main" id="{00000000-0008-0000-0600-000069010000}"/>
              </a:ext>
            </a:extLst>
          </xdr:cNvPr>
          <xdr:cNvCxnSpPr>
            <a:stCxn id="360" idx="4"/>
            <a:endCxn id="36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62" name="Rechtwinkliges Dreieck 135">
            <a:extLst>
              <a:ext uri="{FF2B5EF4-FFF2-40B4-BE49-F238E27FC236}">
                <a16:creationId xmlns:a16="http://schemas.microsoft.com/office/drawing/2014/main" id="{00000000-0008-0000-0600-00006A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63" name="Gerade Verbindung 136">
            <a:extLst>
              <a:ext uri="{FF2B5EF4-FFF2-40B4-BE49-F238E27FC236}">
                <a16:creationId xmlns:a16="http://schemas.microsoft.com/office/drawing/2014/main" id="{00000000-0008-0000-0600-00006B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375654</xdr:colOff>
      <xdr:row>30</xdr:row>
      <xdr:rowOff>140313</xdr:rowOff>
    </xdr:from>
    <xdr:to>
      <xdr:col>17</xdr:col>
      <xdr:colOff>502503</xdr:colOff>
      <xdr:row>32</xdr:row>
      <xdr:rowOff>21570</xdr:rowOff>
    </xdr:to>
    <xdr:grpSp>
      <xdr:nvGrpSpPr>
        <xdr:cNvPr id="364" name="Gruppieren 363">
          <a:extLst>
            <a:ext uri="{FF2B5EF4-FFF2-40B4-BE49-F238E27FC236}">
              <a16:creationId xmlns:a16="http://schemas.microsoft.com/office/drawing/2014/main" id="{00000000-0008-0000-0600-00006C010000}"/>
            </a:ext>
          </a:extLst>
        </xdr:cNvPr>
        <xdr:cNvGrpSpPr/>
      </xdr:nvGrpSpPr>
      <xdr:grpSpPr>
        <a:xfrm>
          <a:off x="7005054" y="5607663"/>
          <a:ext cx="126849" cy="205107"/>
          <a:chOff x="6665123" y="2144244"/>
          <a:chExt cx="126016" cy="200859"/>
        </a:xfrm>
      </xdr:grpSpPr>
      <xdr:sp macro="" textlink="">
        <xdr:nvSpPr>
          <xdr:cNvPr id="365" name="Rechtwinkliges Dreieck 133">
            <a:extLst>
              <a:ext uri="{FF2B5EF4-FFF2-40B4-BE49-F238E27FC236}">
                <a16:creationId xmlns:a16="http://schemas.microsoft.com/office/drawing/2014/main" id="{00000000-0008-0000-0600-00006D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66" name="Gerade Verbindung 134">
            <a:extLst>
              <a:ext uri="{FF2B5EF4-FFF2-40B4-BE49-F238E27FC236}">
                <a16:creationId xmlns:a16="http://schemas.microsoft.com/office/drawing/2014/main" id="{00000000-0008-0000-0600-00006E010000}"/>
              </a:ext>
            </a:extLst>
          </xdr:cNvPr>
          <xdr:cNvCxnSpPr>
            <a:stCxn id="365" idx="4"/>
            <a:endCxn id="36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67" name="Rechtwinkliges Dreieck 135">
            <a:extLst>
              <a:ext uri="{FF2B5EF4-FFF2-40B4-BE49-F238E27FC236}">
                <a16:creationId xmlns:a16="http://schemas.microsoft.com/office/drawing/2014/main" id="{00000000-0008-0000-0600-00006F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68" name="Gerade Verbindung 136">
            <a:extLst>
              <a:ext uri="{FF2B5EF4-FFF2-40B4-BE49-F238E27FC236}">
                <a16:creationId xmlns:a16="http://schemas.microsoft.com/office/drawing/2014/main" id="{00000000-0008-0000-0600-000070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381368</xdr:colOff>
      <xdr:row>30</xdr:row>
      <xdr:rowOff>140314</xdr:rowOff>
    </xdr:from>
    <xdr:to>
      <xdr:col>5</xdr:col>
      <xdr:colOff>508217</xdr:colOff>
      <xdr:row>32</xdr:row>
      <xdr:rowOff>21571</xdr:rowOff>
    </xdr:to>
    <xdr:grpSp>
      <xdr:nvGrpSpPr>
        <xdr:cNvPr id="369" name="Gruppieren 368">
          <a:extLst>
            <a:ext uri="{FF2B5EF4-FFF2-40B4-BE49-F238E27FC236}">
              <a16:creationId xmlns:a16="http://schemas.microsoft.com/office/drawing/2014/main" id="{00000000-0008-0000-0600-000071010000}"/>
            </a:ext>
          </a:extLst>
        </xdr:cNvPr>
        <xdr:cNvGrpSpPr/>
      </xdr:nvGrpSpPr>
      <xdr:grpSpPr>
        <a:xfrm>
          <a:off x="2400668" y="5607664"/>
          <a:ext cx="126849" cy="205107"/>
          <a:chOff x="6665123" y="2144244"/>
          <a:chExt cx="126016" cy="200859"/>
        </a:xfrm>
      </xdr:grpSpPr>
      <xdr:sp macro="" textlink="">
        <xdr:nvSpPr>
          <xdr:cNvPr id="370" name="Rechtwinkliges Dreieck 133">
            <a:extLst>
              <a:ext uri="{FF2B5EF4-FFF2-40B4-BE49-F238E27FC236}">
                <a16:creationId xmlns:a16="http://schemas.microsoft.com/office/drawing/2014/main" id="{00000000-0008-0000-0600-000072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71" name="Gerade Verbindung 134">
            <a:extLst>
              <a:ext uri="{FF2B5EF4-FFF2-40B4-BE49-F238E27FC236}">
                <a16:creationId xmlns:a16="http://schemas.microsoft.com/office/drawing/2014/main" id="{00000000-0008-0000-0600-000073010000}"/>
              </a:ext>
            </a:extLst>
          </xdr:cNvPr>
          <xdr:cNvCxnSpPr>
            <a:stCxn id="370" idx="4"/>
            <a:endCxn id="37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72" name="Rechtwinkliges Dreieck 135">
            <a:extLst>
              <a:ext uri="{FF2B5EF4-FFF2-40B4-BE49-F238E27FC236}">
                <a16:creationId xmlns:a16="http://schemas.microsoft.com/office/drawing/2014/main" id="{00000000-0008-0000-0600-000074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73" name="Gerade Verbindung 136">
            <a:extLst>
              <a:ext uri="{FF2B5EF4-FFF2-40B4-BE49-F238E27FC236}">
                <a16:creationId xmlns:a16="http://schemas.microsoft.com/office/drawing/2014/main" id="{00000000-0008-0000-0600-000075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375653</xdr:colOff>
      <xdr:row>32</xdr:row>
      <xdr:rowOff>140314</xdr:rowOff>
    </xdr:from>
    <xdr:to>
      <xdr:col>5</xdr:col>
      <xdr:colOff>502502</xdr:colOff>
      <xdr:row>34</xdr:row>
      <xdr:rowOff>21571</xdr:rowOff>
    </xdr:to>
    <xdr:grpSp>
      <xdr:nvGrpSpPr>
        <xdr:cNvPr id="374" name="Gruppieren 373">
          <a:extLst>
            <a:ext uri="{FF2B5EF4-FFF2-40B4-BE49-F238E27FC236}">
              <a16:creationId xmlns:a16="http://schemas.microsoft.com/office/drawing/2014/main" id="{00000000-0008-0000-0600-000076010000}"/>
            </a:ext>
          </a:extLst>
        </xdr:cNvPr>
        <xdr:cNvGrpSpPr/>
      </xdr:nvGrpSpPr>
      <xdr:grpSpPr>
        <a:xfrm>
          <a:off x="2394953" y="5931514"/>
          <a:ext cx="126849" cy="205107"/>
          <a:chOff x="6665123" y="2144244"/>
          <a:chExt cx="126016" cy="200859"/>
        </a:xfrm>
      </xdr:grpSpPr>
      <xdr:sp macro="" textlink="">
        <xdr:nvSpPr>
          <xdr:cNvPr id="375" name="Rechtwinkliges Dreieck 133">
            <a:extLst>
              <a:ext uri="{FF2B5EF4-FFF2-40B4-BE49-F238E27FC236}">
                <a16:creationId xmlns:a16="http://schemas.microsoft.com/office/drawing/2014/main" id="{00000000-0008-0000-0600-000077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76" name="Gerade Verbindung 134">
            <a:extLst>
              <a:ext uri="{FF2B5EF4-FFF2-40B4-BE49-F238E27FC236}">
                <a16:creationId xmlns:a16="http://schemas.microsoft.com/office/drawing/2014/main" id="{00000000-0008-0000-0600-000078010000}"/>
              </a:ext>
            </a:extLst>
          </xdr:cNvPr>
          <xdr:cNvCxnSpPr>
            <a:stCxn id="375" idx="4"/>
            <a:endCxn id="37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77" name="Rechtwinkliges Dreieck 135">
            <a:extLst>
              <a:ext uri="{FF2B5EF4-FFF2-40B4-BE49-F238E27FC236}">
                <a16:creationId xmlns:a16="http://schemas.microsoft.com/office/drawing/2014/main" id="{00000000-0008-0000-0600-000079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78" name="Gerade Verbindung 136">
            <a:extLst>
              <a:ext uri="{FF2B5EF4-FFF2-40B4-BE49-F238E27FC236}">
                <a16:creationId xmlns:a16="http://schemas.microsoft.com/office/drawing/2014/main" id="{00000000-0008-0000-0600-00007A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31</xdr:row>
      <xdr:rowOff>140313</xdr:rowOff>
    </xdr:from>
    <xdr:to>
      <xdr:col>13</xdr:col>
      <xdr:colOff>515136</xdr:colOff>
      <xdr:row>33</xdr:row>
      <xdr:rowOff>21570</xdr:rowOff>
    </xdr:to>
    <xdr:grpSp>
      <xdr:nvGrpSpPr>
        <xdr:cNvPr id="379" name="Gruppieren 378">
          <a:extLst>
            <a:ext uri="{FF2B5EF4-FFF2-40B4-BE49-F238E27FC236}">
              <a16:creationId xmlns:a16="http://schemas.microsoft.com/office/drawing/2014/main" id="{00000000-0008-0000-0600-00007B010000}"/>
            </a:ext>
          </a:extLst>
        </xdr:cNvPr>
        <xdr:cNvGrpSpPr/>
      </xdr:nvGrpSpPr>
      <xdr:grpSpPr>
        <a:xfrm>
          <a:off x="5912787" y="5769588"/>
          <a:ext cx="126849" cy="205107"/>
          <a:chOff x="6665123" y="2144244"/>
          <a:chExt cx="126016" cy="200859"/>
        </a:xfrm>
      </xdr:grpSpPr>
      <xdr:sp macro="" textlink="">
        <xdr:nvSpPr>
          <xdr:cNvPr id="380" name="Rechtwinkliges Dreieck 133">
            <a:extLst>
              <a:ext uri="{FF2B5EF4-FFF2-40B4-BE49-F238E27FC236}">
                <a16:creationId xmlns:a16="http://schemas.microsoft.com/office/drawing/2014/main" id="{00000000-0008-0000-0600-00007C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81" name="Gerade Verbindung 134">
            <a:extLst>
              <a:ext uri="{FF2B5EF4-FFF2-40B4-BE49-F238E27FC236}">
                <a16:creationId xmlns:a16="http://schemas.microsoft.com/office/drawing/2014/main" id="{00000000-0008-0000-0600-00007D010000}"/>
              </a:ext>
            </a:extLst>
          </xdr:cNvPr>
          <xdr:cNvCxnSpPr>
            <a:stCxn id="380" idx="4"/>
            <a:endCxn id="38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82" name="Rechtwinkliges Dreieck 135">
            <a:extLst>
              <a:ext uri="{FF2B5EF4-FFF2-40B4-BE49-F238E27FC236}">
                <a16:creationId xmlns:a16="http://schemas.microsoft.com/office/drawing/2014/main" id="{00000000-0008-0000-0600-00007E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83" name="Gerade Verbindung 136">
            <a:extLst>
              <a:ext uri="{FF2B5EF4-FFF2-40B4-BE49-F238E27FC236}">
                <a16:creationId xmlns:a16="http://schemas.microsoft.com/office/drawing/2014/main" id="{00000000-0008-0000-0600-00007F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375653</xdr:colOff>
      <xdr:row>34</xdr:row>
      <xdr:rowOff>140314</xdr:rowOff>
    </xdr:from>
    <xdr:to>
      <xdr:col>5</xdr:col>
      <xdr:colOff>502502</xdr:colOff>
      <xdr:row>36</xdr:row>
      <xdr:rowOff>21571</xdr:rowOff>
    </xdr:to>
    <xdr:grpSp>
      <xdr:nvGrpSpPr>
        <xdr:cNvPr id="384" name="Gruppieren 383">
          <a:extLst>
            <a:ext uri="{FF2B5EF4-FFF2-40B4-BE49-F238E27FC236}">
              <a16:creationId xmlns:a16="http://schemas.microsoft.com/office/drawing/2014/main" id="{00000000-0008-0000-0600-000080010000}"/>
            </a:ext>
          </a:extLst>
        </xdr:cNvPr>
        <xdr:cNvGrpSpPr/>
      </xdr:nvGrpSpPr>
      <xdr:grpSpPr>
        <a:xfrm>
          <a:off x="2394953" y="6255364"/>
          <a:ext cx="126849" cy="205107"/>
          <a:chOff x="6665123" y="2144244"/>
          <a:chExt cx="126016" cy="200859"/>
        </a:xfrm>
      </xdr:grpSpPr>
      <xdr:sp macro="" textlink="">
        <xdr:nvSpPr>
          <xdr:cNvPr id="385" name="Rechtwinkliges Dreieck 133">
            <a:extLst>
              <a:ext uri="{FF2B5EF4-FFF2-40B4-BE49-F238E27FC236}">
                <a16:creationId xmlns:a16="http://schemas.microsoft.com/office/drawing/2014/main" id="{00000000-0008-0000-0600-000081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86" name="Gerade Verbindung 134">
            <a:extLst>
              <a:ext uri="{FF2B5EF4-FFF2-40B4-BE49-F238E27FC236}">
                <a16:creationId xmlns:a16="http://schemas.microsoft.com/office/drawing/2014/main" id="{00000000-0008-0000-0600-000082010000}"/>
              </a:ext>
            </a:extLst>
          </xdr:cNvPr>
          <xdr:cNvCxnSpPr>
            <a:stCxn id="385" idx="4"/>
            <a:endCxn id="38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87" name="Rechtwinkliges Dreieck 135">
            <a:extLst>
              <a:ext uri="{FF2B5EF4-FFF2-40B4-BE49-F238E27FC236}">
                <a16:creationId xmlns:a16="http://schemas.microsoft.com/office/drawing/2014/main" id="{00000000-0008-0000-0600-000083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88" name="Gerade Verbindung 136">
            <a:extLst>
              <a:ext uri="{FF2B5EF4-FFF2-40B4-BE49-F238E27FC236}">
                <a16:creationId xmlns:a16="http://schemas.microsoft.com/office/drawing/2014/main" id="{00000000-0008-0000-0600-000084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375653</xdr:colOff>
      <xdr:row>36</xdr:row>
      <xdr:rowOff>140314</xdr:rowOff>
    </xdr:from>
    <xdr:to>
      <xdr:col>5</xdr:col>
      <xdr:colOff>502502</xdr:colOff>
      <xdr:row>38</xdr:row>
      <xdr:rowOff>21571</xdr:rowOff>
    </xdr:to>
    <xdr:grpSp>
      <xdr:nvGrpSpPr>
        <xdr:cNvPr id="389" name="Gruppieren 388">
          <a:extLst>
            <a:ext uri="{FF2B5EF4-FFF2-40B4-BE49-F238E27FC236}">
              <a16:creationId xmlns:a16="http://schemas.microsoft.com/office/drawing/2014/main" id="{00000000-0008-0000-0600-000085010000}"/>
            </a:ext>
          </a:extLst>
        </xdr:cNvPr>
        <xdr:cNvGrpSpPr/>
      </xdr:nvGrpSpPr>
      <xdr:grpSpPr>
        <a:xfrm>
          <a:off x="2394953" y="6579214"/>
          <a:ext cx="126849" cy="205107"/>
          <a:chOff x="6665123" y="2144244"/>
          <a:chExt cx="126016" cy="200859"/>
        </a:xfrm>
      </xdr:grpSpPr>
      <xdr:sp macro="" textlink="">
        <xdr:nvSpPr>
          <xdr:cNvPr id="390" name="Rechtwinkliges Dreieck 133">
            <a:extLst>
              <a:ext uri="{FF2B5EF4-FFF2-40B4-BE49-F238E27FC236}">
                <a16:creationId xmlns:a16="http://schemas.microsoft.com/office/drawing/2014/main" id="{00000000-0008-0000-0600-000086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91" name="Gerade Verbindung 134">
            <a:extLst>
              <a:ext uri="{FF2B5EF4-FFF2-40B4-BE49-F238E27FC236}">
                <a16:creationId xmlns:a16="http://schemas.microsoft.com/office/drawing/2014/main" id="{00000000-0008-0000-0600-000087010000}"/>
              </a:ext>
            </a:extLst>
          </xdr:cNvPr>
          <xdr:cNvCxnSpPr>
            <a:stCxn id="390" idx="4"/>
            <a:endCxn id="39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92" name="Rechtwinkliges Dreieck 135">
            <a:extLst>
              <a:ext uri="{FF2B5EF4-FFF2-40B4-BE49-F238E27FC236}">
                <a16:creationId xmlns:a16="http://schemas.microsoft.com/office/drawing/2014/main" id="{00000000-0008-0000-0600-000088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93" name="Gerade Verbindung 136">
            <a:extLst>
              <a:ext uri="{FF2B5EF4-FFF2-40B4-BE49-F238E27FC236}">
                <a16:creationId xmlns:a16="http://schemas.microsoft.com/office/drawing/2014/main" id="{00000000-0008-0000-0600-000089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35</xdr:row>
      <xdr:rowOff>140313</xdr:rowOff>
    </xdr:from>
    <xdr:to>
      <xdr:col>14</xdr:col>
      <xdr:colOff>786</xdr:colOff>
      <xdr:row>37</xdr:row>
      <xdr:rowOff>21570</xdr:rowOff>
    </xdr:to>
    <xdr:grpSp>
      <xdr:nvGrpSpPr>
        <xdr:cNvPr id="394" name="Gruppieren 393">
          <a:extLst>
            <a:ext uri="{FF2B5EF4-FFF2-40B4-BE49-F238E27FC236}">
              <a16:creationId xmlns:a16="http://schemas.microsoft.com/office/drawing/2014/main" id="{00000000-0008-0000-0600-00008A010000}"/>
            </a:ext>
          </a:extLst>
        </xdr:cNvPr>
        <xdr:cNvGrpSpPr/>
      </xdr:nvGrpSpPr>
      <xdr:grpSpPr>
        <a:xfrm>
          <a:off x="5912787" y="6417288"/>
          <a:ext cx="126849" cy="205107"/>
          <a:chOff x="6665123" y="2144244"/>
          <a:chExt cx="126016" cy="200859"/>
        </a:xfrm>
      </xdr:grpSpPr>
      <xdr:sp macro="" textlink="">
        <xdr:nvSpPr>
          <xdr:cNvPr id="395" name="Rechtwinkliges Dreieck 133">
            <a:extLst>
              <a:ext uri="{FF2B5EF4-FFF2-40B4-BE49-F238E27FC236}">
                <a16:creationId xmlns:a16="http://schemas.microsoft.com/office/drawing/2014/main" id="{00000000-0008-0000-0600-00008B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96" name="Gerade Verbindung 134">
            <a:extLst>
              <a:ext uri="{FF2B5EF4-FFF2-40B4-BE49-F238E27FC236}">
                <a16:creationId xmlns:a16="http://schemas.microsoft.com/office/drawing/2014/main" id="{00000000-0008-0000-0600-00008C010000}"/>
              </a:ext>
            </a:extLst>
          </xdr:cNvPr>
          <xdr:cNvCxnSpPr>
            <a:stCxn id="395" idx="4"/>
            <a:endCxn id="39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97" name="Rechtwinkliges Dreieck 135">
            <a:extLst>
              <a:ext uri="{FF2B5EF4-FFF2-40B4-BE49-F238E27FC236}">
                <a16:creationId xmlns:a16="http://schemas.microsoft.com/office/drawing/2014/main" id="{00000000-0008-0000-0600-00008D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98" name="Gerade Verbindung 136">
            <a:extLst>
              <a:ext uri="{FF2B5EF4-FFF2-40B4-BE49-F238E27FC236}">
                <a16:creationId xmlns:a16="http://schemas.microsoft.com/office/drawing/2014/main" id="{00000000-0008-0000-0600-00008E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5013</xdr:colOff>
      <xdr:row>38</xdr:row>
      <xdr:rowOff>138363</xdr:rowOff>
    </xdr:from>
    <xdr:to>
      <xdr:col>0</xdr:col>
      <xdr:colOff>131029</xdr:colOff>
      <xdr:row>40</xdr:row>
      <xdr:rowOff>19619</xdr:rowOff>
    </xdr:to>
    <xdr:grpSp>
      <xdr:nvGrpSpPr>
        <xdr:cNvPr id="399" name="Gruppieren 398">
          <a:extLst>
            <a:ext uri="{FF2B5EF4-FFF2-40B4-BE49-F238E27FC236}">
              <a16:creationId xmlns:a16="http://schemas.microsoft.com/office/drawing/2014/main" id="{00000000-0008-0000-0600-00008F010000}"/>
            </a:ext>
          </a:extLst>
        </xdr:cNvPr>
        <xdr:cNvGrpSpPr/>
      </xdr:nvGrpSpPr>
      <xdr:grpSpPr>
        <a:xfrm flipH="1">
          <a:off x="5013" y="6901113"/>
          <a:ext cx="126016" cy="205106"/>
          <a:chOff x="6665123" y="2144244"/>
          <a:chExt cx="126016" cy="200859"/>
        </a:xfrm>
      </xdr:grpSpPr>
      <xdr:sp macro="" textlink="">
        <xdr:nvSpPr>
          <xdr:cNvPr id="400" name="Rechtwinkliges Dreieck 133">
            <a:extLst>
              <a:ext uri="{FF2B5EF4-FFF2-40B4-BE49-F238E27FC236}">
                <a16:creationId xmlns:a16="http://schemas.microsoft.com/office/drawing/2014/main" id="{00000000-0008-0000-0600-00009001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01" name="Gerade Verbindung 134">
            <a:extLst>
              <a:ext uri="{FF2B5EF4-FFF2-40B4-BE49-F238E27FC236}">
                <a16:creationId xmlns:a16="http://schemas.microsoft.com/office/drawing/2014/main" id="{00000000-0008-0000-0600-000091010000}"/>
              </a:ext>
            </a:extLst>
          </xdr:cNvPr>
          <xdr:cNvCxnSpPr>
            <a:stCxn id="400" idx="4"/>
            <a:endCxn id="40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02" name="Rechtwinkliges Dreieck 135">
            <a:extLst>
              <a:ext uri="{FF2B5EF4-FFF2-40B4-BE49-F238E27FC236}">
                <a16:creationId xmlns:a16="http://schemas.microsoft.com/office/drawing/2014/main" id="{00000000-0008-0000-0600-000092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03" name="Gerade Verbindung 136">
            <a:extLst>
              <a:ext uri="{FF2B5EF4-FFF2-40B4-BE49-F238E27FC236}">
                <a16:creationId xmlns:a16="http://schemas.microsoft.com/office/drawing/2014/main" id="{00000000-0008-0000-0600-000093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38</xdr:row>
      <xdr:rowOff>140314</xdr:rowOff>
    </xdr:from>
    <xdr:to>
      <xdr:col>14</xdr:col>
      <xdr:colOff>786</xdr:colOff>
      <xdr:row>40</xdr:row>
      <xdr:rowOff>21570</xdr:rowOff>
    </xdr:to>
    <xdr:grpSp>
      <xdr:nvGrpSpPr>
        <xdr:cNvPr id="404" name="Gruppieren 403">
          <a:extLst>
            <a:ext uri="{FF2B5EF4-FFF2-40B4-BE49-F238E27FC236}">
              <a16:creationId xmlns:a16="http://schemas.microsoft.com/office/drawing/2014/main" id="{00000000-0008-0000-0600-000094010000}"/>
            </a:ext>
          </a:extLst>
        </xdr:cNvPr>
        <xdr:cNvGrpSpPr/>
      </xdr:nvGrpSpPr>
      <xdr:grpSpPr>
        <a:xfrm>
          <a:off x="5912787" y="6903064"/>
          <a:ext cx="126849" cy="205106"/>
          <a:chOff x="6665123" y="2144244"/>
          <a:chExt cx="126016" cy="200859"/>
        </a:xfrm>
      </xdr:grpSpPr>
      <xdr:sp macro="" textlink="">
        <xdr:nvSpPr>
          <xdr:cNvPr id="405" name="Rechtwinkliges Dreieck 133">
            <a:extLst>
              <a:ext uri="{FF2B5EF4-FFF2-40B4-BE49-F238E27FC236}">
                <a16:creationId xmlns:a16="http://schemas.microsoft.com/office/drawing/2014/main" id="{00000000-0008-0000-0600-000095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06" name="Gerade Verbindung 134">
            <a:extLst>
              <a:ext uri="{FF2B5EF4-FFF2-40B4-BE49-F238E27FC236}">
                <a16:creationId xmlns:a16="http://schemas.microsoft.com/office/drawing/2014/main" id="{00000000-0008-0000-0600-000096010000}"/>
              </a:ext>
            </a:extLst>
          </xdr:cNvPr>
          <xdr:cNvCxnSpPr>
            <a:stCxn id="405" idx="4"/>
            <a:endCxn id="40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07" name="Rechtwinkliges Dreieck 135">
            <a:extLst>
              <a:ext uri="{FF2B5EF4-FFF2-40B4-BE49-F238E27FC236}">
                <a16:creationId xmlns:a16="http://schemas.microsoft.com/office/drawing/2014/main" id="{00000000-0008-0000-0600-000097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08" name="Gerade Verbindung 136">
            <a:extLst>
              <a:ext uri="{FF2B5EF4-FFF2-40B4-BE49-F238E27FC236}">
                <a16:creationId xmlns:a16="http://schemas.microsoft.com/office/drawing/2014/main" id="{00000000-0008-0000-0600-000098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375653</xdr:colOff>
      <xdr:row>40</xdr:row>
      <xdr:rowOff>140313</xdr:rowOff>
    </xdr:from>
    <xdr:to>
      <xdr:col>5</xdr:col>
      <xdr:colOff>502502</xdr:colOff>
      <xdr:row>42</xdr:row>
      <xdr:rowOff>21570</xdr:rowOff>
    </xdr:to>
    <xdr:grpSp>
      <xdr:nvGrpSpPr>
        <xdr:cNvPr id="409" name="Gruppieren 408">
          <a:extLst>
            <a:ext uri="{FF2B5EF4-FFF2-40B4-BE49-F238E27FC236}">
              <a16:creationId xmlns:a16="http://schemas.microsoft.com/office/drawing/2014/main" id="{00000000-0008-0000-0600-000099010000}"/>
            </a:ext>
          </a:extLst>
        </xdr:cNvPr>
        <xdr:cNvGrpSpPr/>
      </xdr:nvGrpSpPr>
      <xdr:grpSpPr>
        <a:xfrm>
          <a:off x="2394953" y="7226913"/>
          <a:ext cx="126849" cy="205107"/>
          <a:chOff x="6665123" y="2144244"/>
          <a:chExt cx="126016" cy="200859"/>
        </a:xfrm>
      </xdr:grpSpPr>
      <xdr:sp macro="" textlink="">
        <xdr:nvSpPr>
          <xdr:cNvPr id="410" name="Rechtwinkliges Dreieck 133">
            <a:extLst>
              <a:ext uri="{FF2B5EF4-FFF2-40B4-BE49-F238E27FC236}">
                <a16:creationId xmlns:a16="http://schemas.microsoft.com/office/drawing/2014/main" id="{00000000-0008-0000-0600-00009A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11" name="Gerade Verbindung 134">
            <a:extLst>
              <a:ext uri="{FF2B5EF4-FFF2-40B4-BE49-F238E27FC236}">
                <a16:creationId xmlns:a16="http://schemas.microsoft.com/office/drawing/2014/main" id="{00000000-0008-0000-0600-00009B010000}"/>
              </a:ext>
            </a:extLst>
          </xdr:cNvPr>
          <xdr:cNvCxnSpPr>
            <a:stCxn id="410" idx="4"/>
            <a:endCxn id="41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12" name="Rechtwinkliges Dreieck 135">
            <a:extLst>
              <a:ext uri="{FF2B5EF4-FFF2-40B4-BE49-F238E27FC236}">
                <a16:creationId xmlns:a16="http://schemas.microsoft.com/office/drawing/2014/main" id="{00000000-0008-0000-0600-00009C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13" name="Gerade Verbindung 136">
            <a:extLst>
              <a:ext uri="{FF2B5EF4-FFF2-40B4-BE49-F238E27FC236}">
                <a16:creationId xmlns:a16="http://schemas.microsoft.com/office/drawing/2014/main" id="{00000000-0008-0000-0600-00009D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13837</xdr:colOff>
      <xdr:row>40</xdr:row>
      <xdr:rowOff>143376</xdr:rowOff>
    </xdr:from>
    <xdr:to>
      <xdr:col>10</xdr:col>
      <xdr:colOff>139853</xdr:colOff>
      <xdr:row>42</xdr:row>
      <xdr:rowOff>24633</xdr:rowOff>
    </xdr:to>
    <xdr:grpSp>
      <xdr:nvGrpSpPr>
        <xdr:cNvPr id="414" name="Gruppieren 413">
          <a:extLst>
            <a:ext uri="{FF2B5EF4-FFF2-40B4-BE49-F238E27FC236}">
              <a16:creationId xmlns:a16="http://schemas.microsoft.com/office/drawing/2014/main" id="{00000000-0008-0000-0600-00009E010000}"/>
            </a:ext>
          </a:extLst>
        </xdr:cNvPr>
        <xdr:cNvGrpSpPr/>
      </xdr:nvGrpSpPr>
      <xdr:grpSpPr>
        <a:xfrm flipH="1">
          <a:off x="4547737" y="7229976"/>
          <a:ext cx="126016" cy="205107"/>
          <a:chOff x="6665123" y="2144244"/>
          <a:chExt cx="126016" cy="200859"/>
        </a:xfrm>
      </xdr:grpSpPr>
      <xdr:sp macro="" textlink="">
        <xdr:nvSpPr>
          <xdr:cNvPr id="415" name="Rechtwinkliges Dreieck 133">
            <a:extLst>
              <a:ext uri="{FF2B5EF4-FFF2-40B4-BE49-F238E27FC236}">
                <a16:creationId xmlns:a16="http://schemas.microsoft.com/office/drawing/2014/main" id="{00000000-0008-0000-0600-00009F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16" name="Gerade Verbindung 134">
            <a:extLst>
              <a:ext uri="{FF2B5EF4-FFF2-40B4-BE49-F238E27FC236}">
                <a16:creationId xmlns:a16="http://schemas.microsoft.com/office/drawing/2014/main" id="{00000000-0008-0000-0600-0000A0010000}"/>
              </a:ext>
            </a:extLst>
          </xdr:cNvPr>
          <xdr:cNvCxnSpPr>
            <a:stCxn id="415" idx="4"/>
            <a:endCxn id="41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17" name="Rechtwinkliges Dreieck 135">
            <a:extLst>
              <a:ext uri="{FF2B5EF4-FFF2-40B4-BE49-F238E27FC236}">
                <a16:creationId xmlns:a16="http://schemas.microsoft.com/office/drawing/2014/main" id="{00000000-0008-0000-0600-0000A1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18" name="Gerade Verbindung 136">
            <a:extLst>
              <a:ext uri="{FF2B5EF4-FFF2-40B4-BE49-F238E27FC236}">
                <a16:creationId xmlns:a16="http://schemas.microsoft.com/office/drawing/2014/main" id="{00000000-0008-0000-0600-0000A2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375653</xdr:colOff>
      <xdr:row>44</xdr:row>
      <xdr:rowOff>140313</xdr:rowOff>
    </xdr:from>
    <xdr:to>
      <xdr:col>5</xdr:col>
      <xdr:colOff>502502</xdr:colOff>
      <xdr:row>46</xdr:row>
      <xdr:rowOff>21570</xdr:rowOff>
    </xdr:to>
    <xdr:grpSp>
      <xdr:nvGrpSpPr>
        <xdr:cNvPr id="424" name="Gruppieren 423">
          <a:extLst>
            <a:ext uri="{FF2B5EF4-FFF2-40B4-BE49-F238E27FC236}">
              <a16:creationId xmlns:a16="http://schemas.microsoft.com/office/drawing/2014/main" id="{00000000-0008-0000-0600-0000A8010000}"/>
            </a:ext>
          </a:extLst>
        </xdr:cNvPr>
        <xdr:cNvGrpSpPr/>
      </xdr:nvGrpSpPr>
      <xdr:grpSpPr>
        <a:xfrm>
          <a:off x="2394953" y="7874613"/>
          <a:ext cx="126849" cy="205107"/>
          <a:chOff x="6665123" y="2144244"/>
          <a:chExt cx="126016" cy="200859"/>
        </a:xfrm>
      </xdr:grpSpPr>
      <xdr:sp macro="" textlink="">
        <xdr:nvSpPr>
          <xdr:cNvPr id="425" name="Rechtwinkliges Dreieck 133">
            <a:extLst>
              <a:ext uri="{FF2B5EF4-FFF2-40B4-BE49-F238E27FC236}">
                <a16:creationId xmlns:a16="http://schemas.microsoft.com/office/drawing/2014/main" id="{00000000-0008-0000-0600-0000A9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26" name="Gerade Verbindung 134">
            <a:extLst>
              <a:ext uri="{FF2B5EF4-FFF2-40B4-BE49-F238E27FC236}">
                <a16:creationId xmlns:a16="http://schemas.microsoft.com/office/drawing/2014/main" id="{00000000-0008-0000-0600-0000AA010000}"/>
              </a:ext>
            </a:extLst>
          </xdr:cNvPr>
          <xdr:cNvCxnSpPr>
            <a:stCxn id="425" idx="4"/>
            <a:endCxn id="42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27" name="Rechtwinkliges Dreieck 135">
            <a:extLst>
              <a:ext uri="{FF2B5EF4-FFF2-40B4-BE49-F238E27FC236}">
                <a16:creationId xmlns:a16="http://schemas.microsoft.com/office/drawing/2014/main" id="{00000000-0008-0000-0600-0000AB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28" name="Gerade Verbindung 136">
            <a:extLst>
              <a:ext uri="{FF2B5EF4-FFF2-40B4-BE49-F238E27FC236}">
                <a16:creationId xmlns:a16="http://schemas.microsoft.com/office/drawing/2014/main" id="{00000000-0008-0000-0600-0000AC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13837</xdr:colOff>
      <xdr:row>44</xdr:row>
      <xdr:rowOff>143375</xdr:rowOff>
    </xdr:from>
    <xdr:to>
      <xdr:col>10</xdr:col>
      <xdr:colOff>139853</xdr:colOff>
      <xdr:row>46</xdr:row>
      <xdr:rowOff>24632</xdr:rowOff>
    </xdr:to>
    <xdr:grpSp>
      <xdr:nvGrpSpPr>
        <xdr:cNvPr id="429" name="Gruppieren 428">
          <a:extLst>
            <a:ext uri="{FF2B5EF4-FFF2-40B4-BE49-F238E27FC236}">
              <a16:creationId xmlns:a16="http://schemas.microsoft.com/office/drawing/2014/main" id="{00000000-0008-0000-0600-0000AD010000}"/>
            </a:ext>
          </a:extLst>
        </xdr:cNvPr>
        <xdr:cNvGrpSpPr/>
      </xdr:nvGrpSpPr>
      <xdr:grpSpPr>
        <a:xfrm flipH="1">
          <a:off x="4547737" y="7877675"/>
          <a:ext cx="126016" cy="205107"/>
          <a:chOff x="6665123" y="2144244"/>
          <a:chExt cx="126016" cy="200859"/>
        </a:xfrm>
      </xdr:grpSpPr>
      <xdr:sp macro="" textlink="">
        <xdr:nvSpPr>
          <xdr:cNvPr id="430" name="Rechtwinkliges Dreieck 133">
            <a:extLst>
              <a:ext uri="{FF2B5EF4-FFF2-40B4-BE49-F238E27FC236}">
                <a16:creationId xmlns:a16="http://schemas.microsoft.com/office/drawing/2014/main" id="{00000000-0008-0000-0600-0000AE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31" name="Gerade Verbindung 134">
            <a:extLst>
              <a:ext uri="{FF2B5EF4-FFF2-40B4-BE49-F238E27FC236}">
                <a16:creationId xmlns:a16="http://schemas.microsoft.com/office/drawing/2014/main" id="{00000000-0008-0000-0600-0000AF010000}"/>
              </a:ext>
            </a:extLst>
          </xdr:cNvPr>
          <xdr:cNvCxnSpPr>
            <a:stCxn id="430" idx="4"/>
            <a:endCxn id="43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32" name="Rechtwinkliges Dreieck 135">
            <a:extLst>
              <a:ext uri="{FF2B5EF4-FFF2-40B4-BE49-F238E27FC236}">
                <a16:creationId xmlns:a16="http://schemas.microsoft.com/office/drawing/2014/main" id="{00000000-0008-0000-0600-0000B0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33" name="Gerade Verbindung 136">
            <a:extLst>
              <a:ext uri="{FF2B5EF4-FFF2-40B4-BE49-F238E27FC236}">
                <a16:creationId xmlns:a16="http://schemas.microsoft.com/office/drawing/2014/main" id="{00000000-0008-0000-0600-0000B1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13837</xdr:colOff>
      <xdr:row>43</xdr:row>
      <xdr:rowOff>143376</xdr:rowOff>
    </xdr:from>
    <xdr:to>
      <xdr:col>17</xdr:col>
      <xdr:colOff>139853</xdr:colOff>
      <xdr:row>45</xdr:row>
      <xdr:rowOff>24633</xdr:rowOff>
    </xdr:to>
    <xdr:grpSp>
      <xdr:nvGrpSpPr>
        <xdr:cNvPr id="434" name="Gruppieren 433">
          <a:extLst>
            <a:ext uri="{FF2B5EF4-FFF2-40B4-BE49-F238E27FC236}">
              <a16:creationId xmlns:a16="http://schemas.microsoft.com/office/drawing/2014/main" id="{00000000-0008-0000-0600-0000B2010000}"/>
            </a:ext>
          </a:extLst>
        </xdr:cNvPr>
        <xdr:cNvGrpSpPr/>
      </xdr:nvGrpSpPr>
      <xdr:grpSpPr>
        <a:xfrm flipH="1">
          <a:off x="6643237" y="7715751"/>
          <a:ext cx="126016" cy="205107"/>
          <a:chOff x="6665123" y="2144244"/>
          <a:chExt cx="126016" cy="200859"/>
        </a:xfrm>
      </xdr:grpSpPr>
      <xdr:sp macro="" textlink="">
        <xdr:nvSpPr>
          <xdr:cNvPr id="435" name="Rechtwinkliges Dreieck 133">
            <a:extLst>
              <a:ext uri="{FF2B5EF4-FFF2-40B4-BE49-F238E27FC236}">
                <a16:creationId xmlns:a16="http://schemas.microsoft.com/office/drawing/2014/main" id="{00000000-0008-0000-0600-0000B3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36" name="Gerade Verbindung 134">
            <a:extLst>
              <a:ext uri="{FF2B5EF4-FFF2-40B4-BE49-F238E27FC236}">
                <a16:creationId xmlns:a16="http://schemas.microsoft.com/office/drawing/2014/main" id="{00000000-0008-0000-0600-0000B4010000}"/>
              </a:ext>
            </a:extLst>
          </xdr:cNvPr>
          <xdr:cNvCxnSpPr>
            <a:stCxn id="435" idx="4"/>
            <a:endCxn id="43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37" name="Rechtwinkliges Dreieck 135">
            <a:extLst>
              <a:ext uri="{FF2B5EF4-FFF2-40B4-BE49-F238E27FC236}">
                <a16:creationId xmlns:a16="http://schemas.microsoft.com/office/drawing/2014/main" id="{00000000-0008-0000-0600-0000B5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38" name="Gerade Verbindung 136">
            <a:extLst>
              <a:ext uri="{FF2B5EF4-FFF2-40B4-BE49-F238E27FC236}">
                <a16:creationId xmlns:a16="http://schemas.microsoft.com/office/drawing/2014/main" id="{00000000-0008-0000-0600-0000B6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42</xdr:row>
      <xdr:rowOff>140314</xdr:rowOff>
    </xdr:from>
    <xdr:to>
      <xdr:col>13</xdr:col>
      <xdr:colOff>515136</xdr:colOff>
      <xdr:row>44</xdr:row>
      <xdr:rowOff>21571</xdr:rowOff>
    </xdr:to>
    <xdr:grpSp>
      <xdr:nvGrpSpPr>
        <xdr:cNvPr id="439" name="Gruppieren 438">
          <a:extLst>
            <a:ext uri="{FF2B5EF4-FFF2-40B4-BE49-F238E27FC236}">
              <a16:creationId xmlns:a16="http://schemas.microsoft.com/office/drawing/2014/main" id="{00000000-0008-0000-0600-0000B7010000}"/>
            </a:ext>
          </a:extLst>
        </xdr:cNvPr>
        <xdr:cNvGrpSpPr/>
      </xdr:nvGrpSpPr>
      <xdr:grpSpPr>
        <a:xfrm>
          <a:off x="5912787" y="7550764"/>
          <a:ext cx="126849" cy="205107"/>
          <a:chOff x="6665123" y="2144244"/>
          <a:chExt cx="126016" cy="200859"/>
        </a:xfrm>
      </xdr:grpSpPr>
      <xdr:sp macro="" textlink="">
        <xdr:nvSpPr>
          <xdr:cNvPr id="440" name="Rechtwinkliges Dreieck 133">
            <a:extLst>
              <a:ext uri="{FF2B5EF4-FFF2-40B4-BE49-F238E27FC236}">
                <a16:creationId xmlns:a16="http://schemas.microsoft.com/office/drawing/2014/main" id="{00000000-0008-0000-0600-0000B8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41" name="Gerade Verbindung 134">
            <a:extLst>
              <a:ext uri="{FF2B5EF4-FFF2-40B4-BE49-F238E27FC236}">
                <a16:creationId xmlns:a16="http://schemas.microsoft.com/office/drawing/2014/main" id="{00000000-0008-0000-0600-0000B9010000}"/>
              </a:ext>
            </a:extLst>
          </xdr:cNvPr>
          <xdr:cNvCxnSpPr>
            <a:stCxn id="440" idx="4"/>
            <a:endCxn id="44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42" name="Rechtwinkliges Dreieck 135">
            <a:extLst>
              <a:ext uri="{FF2B5EF4-FFF2-40B4-BE49-F238E27FC236}">
                <a16:creationId xmlns:a16="http://schemas.microsoft.com/office/drawing/2014/main" id="{00000000-0008-0000-0600-0000BA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43" name="Gerade Verbindung 136">
            <a:extLst>
              <a:ext uri="{FF2B5EF4-FFF2-40B4-BE49-F238E27FC236}">
                <a16:creationId xmlns:a16="http://schemas.microsoft.com/office/drawing/2014/main" id="{00000000-0008-0000-0600-0000BB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375653</xdr:colOff>
      <xdr:row>48</xdr:row>
      <xdr:rowOff>140313</xdr:rowOff>
    </xdr:from>
    <xdr:to>
      <xdr:col>5</xdr:col>
      <xdr:colOff>502502</xdr:colOff>
      <xdr:row>50</xdr:row>
      <xdr:rowOff>21570</xdr:rowOff>
    </xdr:to>
    <xdr:grpSp>
      <xdr:nvGrpSpPr>
        <xdr:cNvPr id="454" name="Gruppieren 453">
          <a:extLst>
            <a:ext uri="{FF2B5EF4-FFF2-40B4-BE49-F238E27FC236}">
              <a16:creationId xmlns:a16="http://schemas.microsoft.com/office/drawing/2014/main" id="{00000000-0008-0000-0600-0000C6010000}"/>
            </a:ext>
          </a:extLst>
        </xdr:cNvPr>
        <xdr:cNvGrpSpPr/>
      </xdr:nvGrpSpPr>
      <xdr:grpSpPr>
        <a:xfrm>
          <a:off x="2394953" y="8522313"/>
          <a:ext cx="126849" cy="205107"/>
          <a:chOff x="6665123" y="2144244"/>
          <a:chExt cx="126016" cy="200859"/>
        </a:xfrm>
      </xdr:grpSpPr>
      <xdr:sp macro="" textlink="">
        <xdr:nvSpPr>
          <xdr:cNvPr id="455" name="Rechtwinkliges Dreieck 133">
            <a:extLst>
              <a:ext uri="{FF2B5EF4-FFF2-40B4-BE49-F238E27FC236}">
                <a16:creationId xmlns:a16="http://schemas.microsoft.com/office/drawing/2014/main" id="{00000000-0008-0000-0600-0000C7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56" name="Gerade Verbindung 134">
            <a:extLst>
              <a:ext uri="{FF2B5EF4-FFF2-40B4-BE49-F238E27FC236}">
                <a16:creationId xmlns:a16="http://schemas.microsoft.com/office/drawing/2014/main" id="{00000000-0008-0000-0600-0000C8010000}"/>
              </a:ext>
            </a:extLst>
          </xdr:cNvPr>
          <xdr:cNvCxnSpPr>
            <a:stCxn id="455" idx="4"/>
            <a:endCxn id="45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57" name="Rechtwinkliges Dreieck 135">
            <a:extLst>
              <a:ext uri="{FF2B5EF4-FFF2-40B4-BE49-F238E27FC236}">
                <a16:creationId xmlns:a16="http://schemas.microsoft.com/office/drawing/2014/main" id="{00000000-0008-0000-0600-0000C9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58" name="Gerade Verbindung 136">
            <a:extLst>
              <a:ext uri="{FF2B5EF4-FFF2-40B4-BE49-F238E27FC236}">
                <a16:creationId xmlns:a16="http://schemas.microsoft.com/office/drawing/2014/main" id="{00000000-0008-0000-0600-0000CA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13837</xdr:colOff>
      <xdr:row>48</xdr:row>
      <xdr:rowOff>138361</xdr:rowOff>
    </xdr:from>
    <xdr:to>
      <xdr:col>10</xdr:col>
      <xdr:colOff>139853</xdr:colOff>
      <xdr:row>50</xdr:row>
      <xdr:rowOff>19618</xdr:rowOff>
    </xdr:to>
    <xdr:grpSp>
      <xdr:nvGrpSpPr>
        <xdr:cNvPr id="459" name="Gruppieren 458">
          <a:extLst>
            <a:ext uri="{FF2B5EF4-FFF2-40B4-BE49-F238E27FC236}">
              <a16:creationId xmlns:a16="http://schemas.microsoft.com/office/drawing/2014/main" id="{00000000-0008-0000-0600-0000CB010000}"/>
            </a:ext>
          </a:extLst>
        </xdr:cNvPr>
        <xdr:cNvGrpSpPr/>
      </xdr:nvGrpSpPr>
      <xdr:grpSpPr>
        <a:xfrm flipH="1">
          <a:off x="4547737" y="8520361"/>
          <a:ext cx="126016" cy="205107"/>
          <a:chOff x="6665123" y="2144244"/>
          <a:chExt cx="126016" cy="200859"/>
        </a:xfrm>
      </xdr:grpSpPr>
      <xdr:sp macro="" textlink="">
        <xdr:nvSpPr>
          <xdr:cNvPr id="460" name="Rechtwinkliges Dreieck 133">
            <a:extLst>
              <a:ext uri="{FF2B5EF4-FFF2-40B4-BE49-F238E27FC236}">
                <a16:creationId xmlns:a16="http://schemas.microsoft.com/office/drawing/2014/main" id="{00000000-0008-0000-0600-0000CC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61" name="Gerade Verbindung 134">
            <a:extLst>
              <a:ext uri="{FF2B5EF4-FFF2-40B4-BE49-F238E27FC236}">
                <a16:creationId xmlns:a16="http://schemas.microsoft.com/office/drawing/2014/main" id="{00000000-0008-0000-0600-0000CD010000}"/>
              </a:ext>
            </a:extLst>
          </xdr:cNvPr>
          <xdr:cNvCxnSpPr>
            <a:stCxn id="460" idx="4"/>
            <a:endCxn id="46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62" name="Rechtwinkliges Dreieck 135">
            <a:extLst>
              <a:ext uri="{FF2B5EF4-FFF2-40B4-BE49-F238E27FC236}">
                <a16:creationId xmlns:a16="http://schemas.microsoft.com/office/drawing/2014/main" id="{00000000-0008-0000-0600-0000CE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63" name="Gerade Verbindung 136">
            <a:extLst>
              <a:ext uri="{FF2B5EF4-FFF2-40B4-BE49-F238E27FC236}">
                <a16:creationId xmlns:a16="http://schemas.microsoft.com/office/drawing/2014/main" id="{00000000-0008-0000-0600-0000CF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13837</xdr:colOff>
      <xdr:row>51</xdr:row>
      <xdr:rowOff>143374</xdr:rowOff>
    </xdr:from>
    <xdr:to>
      <xdr:col>10</xdr:col>
      <xdr:colOff>139853</xdr:colOff>
      <xdr:row>53</xdr:row>
      <xdr:rowOff>24631</xdr:rowOff>
    </xdr:to>
    <xdr:grpSp>
      <xdr:nvGrpSpPr>
        <xdr:cNvPr id="474" name="Gruppieren 473">
          <a:extLst>
            <a:ext uri="{FF2B5EF4-FFF2-40B4-BE49-F238E27FC236}">
              <a16:creationId xmlns:a16="http://schemas.microsoft.com/office/drawing/2014/main" id="{00000000-0008-0000-0600-0000DA010000}"/>
            </a:ext>
          </a:extLst>
        </xdr:cNvPr>
        <xdr:cNvGrpSpPr/>
      </xdr:nvGrpSpPr>
      <xdr:grpSpPr>
        <a:xfrm flipH="1">
          <a:off x="4547737" y="9011149"/>
          <a:ext cx="126016" cy="205107"/>
          <a:chOff x="6665123" y="2144244"/>
          <a:chExt cx="126016" cy="200859"/>
        </a:xfrm>
      </xdr:grpSpPr>
      <xdr:sp macro="" textlink="">
        <xdr:nvSpPr>
          <xdr:cNvPr id="475" name="Rechtwinkliges Dreieck 133">
            <a:extLst>
              <a:ext uri="{FF2B5EF4-FFF2-40B4-BE49-F238E27FC236}">
                <a16:creationId xmlns:a16="http://schemas.microsoft.com/office/drawing/2014/main" id="{00000000-0008-0000-0600-0000DB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76" name="Gerade Verbindung 134">
            <a:extLst>
              <a:ext uri="{FF2B5EF4-FFF2-40B4-BE49-F238E27FC236}">
                <a16:creationId xmlns:a16="http://schemas.microsoft.com/office/drawing/2014/main" id="{00000000-0008-0000-0600-0000DC010000}"/>
              </a:ext>
            </a:extLst>
          </xdr:cNvPr>
          <xdr:cNvCxnSpPr>
            <a:stCxn id="475" idx="4"/>
            <a:endCxn id="47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77" name="Rechtwinkliges Dreieck 135">
            <a:extLst>
              <a:ext uri="{FF2B5EF4-FFF2-40B4-BE49-F238E27FC236}">
                <a16:creationId xmlns:a16="http://schemas.microsoft.com/office/drawing/2014/main" id="{00000000-0008-0000-0600-0000DD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78" name="Gerade Verbindung 136">
            <a:extLst>
              <a:ext uri="{FF2B5EF4-FFF2-40B4-BE49-F238E27FC236}">
                <a16:creationId xmlns:a16="http://schemas.microsoft.com/office/drawing/2014/main" id="{00000000-0008-0000-0600-0000DE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46</xdr:row>
      <xdr:rowOff>140314</xdr:rowOff>
    </xdr:from>
    <xdr:to>
      <xdr:col>13</xdr:col>
      <xdr:colOff>515136</xdr:colOff>
      <xdr:row>48</xdr:row>
      <xdr:rowOff>21571</xdr:rowOff>
    </xdr:to>
    <xdr:grpSp>
      <xdr:nvGrpSpPr>
        <xdr:cNvPr id="479" name="Gruppieren 478">
          <a:extLst>
            <a:ext uri="{FF2B5EF4-FFF2-40B4-BE49-F238E27FC236}">
              <a16:creationId xmlns:a16="http://schemas.microsoft.com/office/drawing/2014/main" id="{00000000-0008-0000-0600-0000DF010000}"/>
            </a:ext>
          </a:extLst>
        </xdr:cNvPr>
        <xdr:cNvGrpSpPr/>
      </xdr:nvGrpSpPr>
      <xdr:grpSpPr>
        <a:xfrm>
          <a:off x="5912787" y="8198464"/>
          <a:ext cx="126849" cy="205107"/>
          <a:chOff x="6665123" y="2144244"/>
          <a:chExt cx="126016" cy="200859"/>
        </a:xfrm>
      </xdr:grpSpPr>
      <xdr:sp macro="" textlink="">
        <xdr:nvSpPr>
          <xdr:cNvPr id="480" name="Rechtwinkliges Dreieck 133">
            <a:extLst>
              <a:ext uri="{FF2B5EF4-FFF2-40B4-BE49-F238E27FC236}">
                <a16:creationId xmlns:a16="http://schemas.microsoft.com/office/drawing/2014/main" id="{00000000-0008-0000-0600-0000E0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81" name="Gerade Verbindung 134">
            <a:extLst>
              <a:ext uri="{FF2B5EF4-FFF2-40B4-BE49-F238E27FC236}">
                <a16:creationId xmlns:a16="http://schemas.microsoft.com/office/drawing/2014/main" id="{00000000-0008-0000-0600-0000E1010000}"/>
              </a:ext>
            </a:extLst>
          </xdr:cNvPr>
          <xdr:cNvCxnSpPr>
            <a:stCxn id="480" idx="4"/>
            <a:endCxn id="48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82" name="Rechtwinkliges Dreieck 135">
            <a:extLst>
              <a:ext uri="{FF2B5EF4-FFF2-40B4-BE49-F238E27FC236}">
                <a16:creationId xmlns:a16="http://schemas.microsoft.com/office/drawing/2014/main" id="{00000000-0008-0000-0600-0000E2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83" name="Gerade Verbindung 136">
            <a:extLst>
              <a:ext uri="{FF2B5EF4-FFF2-40B4-BE49-F238E27FC236}">
                <a16:creationId xmlns:a16="http://schemas.microsoft.com/office/drawing/2014/main" id="{00000000-0008-0000-0600-0000E3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57</xdr:row>
      <xdr:rowOff>140315</xdr:rowOff>
    </xdr:from>
    <xdr:to>
      <xdr:col>13</xdr:col>
      <xdr:colOff>515136</xdr:colOff>
      <xdr:row>59</xdr:row>
      <xdr:rowOff>21572</xdr:rowOff>
    </xdr:to>
    <xdr:grpSp>
      <xdr:nvGrpSpPr>
        <xdr:cNvPr id="484" name="Gruppieren 483">
          <a:extLst>
            <a:ext uri="{FF2B5EF4-FFF2-40B4-BE49-F238E27FC236}">
              <a16:creationId xmlns:a16="http://schemas.microsoft.com/office/drawing/2014/main" id="{00000000-0008-0000-0600-0000E4010000}"/>
            </a:ext>
          </a:extLst>
        </xdr:cNvPr>
        <xdr:cNvGrpSpPr/>
      </xdr:nvGrpSpPr>
      <xdr:grpSpPr>
        <a:xfrm>
          <a:off x="5912787" y="9893915"/>
          <a:ext cx="126849" cy="205107"/>
          <a:chOff x="6665123" y="2144244"/>
          <a:chExt cx="126016" cy="200859"/>
        </a:xfrm>
      </xdr:grpSpPr>
      <xdr:sp macro="" textlink="">
        <xdr:nvSpPr>
          <xdr:cNvPr id="485" name="Rechtwinkliges Dreieck 133">
            <a:extLst>
              <a:ext uri="{FF2B5EF4-FFF2-40B4-BE49-F238E27FC236}">
                <a16:creationId xmlns:a16="http://schemas.microsoft.com/office/drawing/2014/main" id="{00000000-0008-0000-0600-0000E5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86" name="Gerade Verbindung 134">
            <a:extLst>
              <a:ext uri="{FF2B5EF4-FFF2-40B4-BE49-F238E27FC236}">
                <a16:creationId xmlns:a16="http://schemas.microsoft.com/office/drawing/2014/main" id="{00000000-0008-0000-0600-0000E6010000}"/>
              </a:ext>
            </a:extLst>
          </xdr:cNvPr>
          <xdr:cNvCxnSpPr>
            <a:stCxn id="485" idx="4"/>
            <a:endCxn id="48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87" name="Rechtwinkliges Dreieck 135">
            <a:extLst>
              <a:ext uri="{FF2B5EF4-FFF2-40B4-BE49-F238E27FC236}">
                <a16:creationId xmlns:a16="http://schemas.microsoft.com/office/drawing/2014/main" id="{00000000-0008-0000-0600-0000E7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88" name="Gerade Verbindung 136">
            <a:extLst>
              <a:ext uri="{FF2B5EF4-FFF2-40B4-BE49-F238E27FC236}">
                <a16:creationId xmlns:a16="http://schemas.microsoft.com/office/drawing/2014/main" id="{00000000-0008-0000-0600-0000E8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15</xdr:col>
      <xdr:colOff>13837</xdr:colOff>
      <xdr:row>57</xdr:row>
      <xdr:rowOff>138363</xdr:rowOff>
    </xdr:from>
    <xdr:to>
      <xdr:col>15</xdr:col>
      <xdr:colOff>139853</xdr:colOff>
      <xdr:row>59</xdr:row>
      <xdr:rowOff>19620</xdr:rowOff>
    </xdr:to>
    <xdr:grpSp>
      <xdr:nvGrpSpPr>
        <xdr:cNvPr id="489" name="Gruppieren 488">
          <a:extLst>
            <a:ext uri="{FF2B5EF4-FFF2-40B4-BE49-F238E27FC236}">
              <a16:creationId xmlns:a16="http://schemas.microsoft.com/office/drawing/2014/main" id="{00000000-0008-0000-0600-0000E9010000}"/>
            </a:ext>
          </a:extLst>
        </xdr:cNvPr>
        <xdr:cNvGrpSpPr/>
      </xdr:nvGrpSpPr>
      <xdr:grpSpPr>
        <a:xfrm flipH="1">
          <a:off x="6224137" y="9891963"/>
          <a:ext cx="126016" cy="205107"/>
          <a:chOff x="6665123" y="2144244"/>
          <a:chExt cx="126016" cy="200859"/>
        </a:xfrm>
      </xdr:grpSpPr>
      <xdr:sp macro="" textlink="">
        <xdr:nvSpPr>
          <xdr:cNvPr id="490" name="Rechtwinkliges Dreieck 133">
            <a:extLst>
              <a:ext uri="{FF2B5EF4-FFF2-40B4-BE49-F238E27FC236}">
                <a16:creationId xmlns:a16="http://schemas.microsoft.com/office/drawing/2014/main" id="{00000000-0008-0000-0600-0000EA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91" name="Gerade Verbindung 134">
            <a:extLst>
              <a:ext uri="{FF2B5EF4-FFF2-40B4-BE49-F238E27FC236}">
                <a16:creationId xmlns:a16="http://schemas.microsoft.com/office/drawing/2014/main" id="{00000000-0008-0000-0600-0000EB010000}"/>
              </a:ext>
            </a:extLst>
          </xdr:cNvPr>
          <xdr:cNvCxnSpPr>
            <a:stCxn id="490" idx="4"/>
            <a:endCxn id="49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92" name="Rechtwinkliges Dreieck 135">
            <a:extLst>
              <a:ext uri="{FF2B5EF4-FFF2-40B4-BE49-F238E27FC236}">
                <a16:creationId xmlns:a16="http://schemas.microsoft.com/office/drawing/2014/main" id="{00000000-0008-0000-0600-0000EC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93" name="Gerade Verbindung 136">
            <a:extLst>
              <a:ext uri="{FF2B5EF4-FFF2-40B4-BE49-F238E27FC236}">
                <a16:creationId xmlns:a16="http://schemas.microsoft.com/office/drawing/2014/main" id="{00000000-0008-0000-0600-0000ED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59</xdr:row>
      <xdr:rowOff>140316</xdr:rowOff>
    </xdr:from>
    <xdr:to>
      <xdr:col>13</xdr:col>
      <xdr:colOff>515136</xdr:colOff>
      <xdr:row>61</xdr:row>
      <xdr:rowOff>21573</xdr:rowOff>
    </xdr:to>
    <xdr:grpSp>
      <xdr:nvGrpSpPr>
        <xdr:cNvPr id="494" name="Gruppieren 493">
          <a:extLst>
            <a:ext uri="{FF2B5EF4-FFF2-40B4-BE49-F238E27FC236}">
              <a16:creationId xmlns:a16="http://schemas.microsoft.com/office/drawing/2014/main" id="{00000000-0008-0000-0600-0000EE010000}"/>
            </a:ext>
          </a:extLst>
        </xdr:cNvPr>
        <xdr:cNvGrpSpPr/>
      </xdr:nvGrpSpPr>
      <xdr:grpSpPr>
        <a:xfrm>
          <a:off x="5912787" y="10217766"/>
          <a:ext cx="126849" cy="205107"/>
          <a:chOff x="6665123" y="2144244"/>
          <a:chExt cx="126016" cy="200859"/>
        </a:xfrm>
      </xdr:grpSpPr>
      <xdr:sp macro="" textlink="">
        <xdr:nvSpPr>
          <xdr:cNvPr id="495" name="Rechtwinkliges Dreieck 133">
            <a:extLst>
              <a:ext uri="{FF2B5EF4-FFF2-40B4-BE49-F238E27FC236}">
                <a16:creationId xmlns:a16="http://schemas.microsoft.com/office/drawing/2014/main" id="{00000000-0008-0000-0600-0000EF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96" name="Gerade Verbindung 134">
            <a:extLst>
              <a:ext uri="{FF2B5EF4-FFF2-40B4-BE49-F238E27FC236}">
                <a16:creationId xmlns:a16="http://schemas.microsoft.com/office/drawing/2014/main" id="{00000000-0008-0000-0600-0000F0010000}"/>
              </a:ext>
            </a:extLst>
          </xdr:cNvPr>
          <xdr:cNvCxnSpPr>
            <a:stCxn id="495" idx="4"/>
            <a:endCxn id="49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97" name="Rechtwinkliges Dreieck 135">
            <a:extLst>
              <a:ext uri="{FF2B5EF4-FFF2-40B4-BE49-F238E27FC236}">
                <a16:creationId xmlns:a16="http://schemas.microsoft.com/office/drawing/2014/main" id="{00000000-0008-0000-0600-0000F1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98" name="Gerade Verbindung 136">
            <a:extLst>
              <a:ext uri="{FF2B5EF4-FFF2-40B4-BE49-F238E27FC236}">
                <a16:creationId xmlns:a16="http://schemas.microsoft.com/office/drawing/2014/main" id="{00000000-0008-0000-0600-0000F2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23362</xdr:colOff>
      <xdr:row>64</xdr:row>
      <xdr:rowOff>145172</xdr:rowOff>
    </xdr:from>
    <xdr:to>
      <xdr:col>10</xdr:col>
      <xdr:colOff>149378</xdr:colOff>
      <xdr:row>66</xdr:row>
      <xdr:rowOff>22922</xdr:rowOff>
    </xdr:to>
    <xdr:grpSp>
      <xdr:nvGrpSpPr>
        <xdr:cNvPr id="499" name="Gruppieren 498">
          <a:extLst>
            <a:ext uri="{FF2B5EF4-FFF2-40B4-BE49-F238E27FC236}">
              <a16:creationId xmlns:a16="http://schemas.microsoft.com/office/drawing/2014/main" id="{00000000-0008-0000-0600-0000F3010000}"/>
            </a:ext>
          </a:extLst>
        </xdr:cNvPr>
        <xdr:cNvGrpSpPr/>
      </xdr:nvGrpSpPr>
      <xdr:grpSpPr>
        <a:xfrm flipH="1">
          <a:off x="4557262" y="11032247"/>
          <a:ext cx="126016" cy="201600"/>
          <a:chOff x="6665123" y="2144244"/>
          <a:chExt cx="126016" cy="200859"/>
        </a:xfrm>
      </xdr:grpSpPr>
      <xdr:sp macro="" textlink="">
        <xdr:nvSpPr>
          <xdr:cNvPr id="500" name="Rechtwinkliges Dreieck 133">
            <a:extLst>
              <a:ext uri="{FF2B5EF4-FFF2-40B4-BE49-F238E27FC236}">
                <a16:creationId xmlns:a16="http://schemas.microsoft.com/office/drawing/2014/main" id="{00000000-0008-0000-0600-0000F4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01" name="Gerade Verbindung 134">
            <a:extLst>
              <a:ext uri="{FF2B5EF4-FFF2-40B4-BE49-F238E27FC236}">
                <a16:creationId xmlns:a16="http://schemas.microsoft.com/office/drawing/2014/main" id="{00000000-0008-0000-0600-0000F5010000}"/>
              </a:ext>
            </a:extLst>
          </xdr:cNvPr>
          <xdr:cNvCxnSpPr>
            <a:stCxn id="500" idx="4"/>
            <a:endCxn id="50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502" name="Rechtwinkliges Dreieck 135">
            <a:extLst>
              <a:ext uri="{FF2B5EF4-FFF2-40B4-BE49-F238E27FC236}">
                <a16:creationId xmlns:a16="http://schemas.microsoft.com/office/drawing/2014/main" id="{00000000-0008-0000-0600-0000F6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03" name="Gerade Verbindung 136">
            <a:extLst>
              <a:ext uri="{FF2B5EF4-FFF2-40B4-BE49-F238E27FC236}">
                <a16:creationId xmlns:a16="http://schemas.microsoft.com/office/drawing/2014/main" id="{00000000-0008-0000-0600-0000F7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66</xdr:row>
      <xdr:rowOff>140315</xdr:rowOff>
    </xdr:from>
    <xdr:to>
      <xdr:col>13</xdr:col>
      <xdr:colOff>515136</xdr:colOff>
      <xdr:row>68</xdr:row>
      <xdr:rowOff>21572</xdr:rowOff>
    </xdr:to>
    <xdr:grpSp>
      <xdr:nvGrpSpPr>
        <xdr:cNvPr id="504" name="Gruppieren 503">
          <a:extLst>
            <a:ext uri="{FF2B5EF4-FFF2-40B4-BE49-F238E27FC236}">
              <a16:creationId xmlns:a16="http://schemas.microsoft.com/office/drawing/2014/main" id="{00000000-0008-0000-0600-0000F8010000}"/>
            </a:ext>
          </a:extLst>
        </xdr:cNvPr>
        <xdr:cNvGrpSpPr/>
      </xdr:nvGrpSpPr>
      <xdr:grpSpPr>
        <a:xfrm>
          <a:off x="5912787" y="11351240"/>
          <a:ext cx="126849" cy="205107"/>
          <a:chOff x="6665123" y="2144244"/>
          <a:chExt cx="126016" cy="200859"/>
        </a:xfrm>
      </xdr:grpSpPr>
      <xdr:sp macro="" textlink="">
        <xdr:nvSpPr>
          <xdr:cNvPr id="505" name="Rechtwinkliges Dreieck 133">
            <a:extLst>
              <a:ext uri="{FF2B5EF4-FFF2-40B4-BE49-F238E27FC236}">
                <a16:creationId xmlns:a16="http://schemas.microsoft.com/office/drawing/2014/main" id="{00000000-0008-0000-0600-0000F9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06" name="Gerade Verbindung 134">
            <a:extLst>
              <a:ext uri="{FF2B5EF4-FFF2-40B4-BE49-F238E27FC236}">
                <a16:creationId xmlns:a16="http://schemas.microsoft.com/office/drawing/2014/main" id="{00000000-0008-0000-0600-0000FA010000}"/>
              </a:ext>
            </a:extLst>
          </xdr:cNvPr>
          <xdr:cNvCxnSpPr>
            <a:stCxn id="505" idx="4"/>
            <a:endCxn id="50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507" name="Rechtwinkliges Dreieck 135">
            <a:extLst>
              <a:ext uri="{FF2B5EF4-FFF2-40B4-BE49-F238E27FC236}">
                <a16:creationId xmlns:a16="http://schemas.microsoft.com/office/drawing/2014/main" id="{00000000-0008-0000-0600-0000FB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08" name="Gerade Verbindung 136">
            <a:extLst>
              <a:ext uri="{FF2B5EF4-FFF2-40B4-BE49-F238E27FC236}">
                <a16:creationId xmlns:a16="http://schemas.microsoft.com/office/drawing/2014/main" id="{00000000-0008-0000-0600-0000FC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69</xdr:row>
      <xdr:rowOff>140315</xdr:rowOff>
    </xdr:from>
    <xdr:to>
      <xdr:col>13</xdr:col>
      <xdr:colOff>515136</xdr:colOff>
      <xdr:row>71</xdr:row>
      <xdr:rowOff>21572</xdr:rowOff>
    </xdr:to>
    <xdr:grpSp>
      <xdr:nvGrpSpPr>
        <xdr:cNvPr id="509" name="Gruppieren 508">
          <a:extLst>
            <a:ext uri="{FF2B5EF4-FFF2-40B4-BE49-F238E27FC236}">
              <a16:creationId xmlns:a16="http://schemas.microsoft.com/office/drawing/2014/main" id="{00000000-0008-0000-0600-0000FD010000}"/>
            </a:ext>
          </a:extLst>
        </xdr:cNvPr>
        <xdr:cNvGrpSpPr/>
      </xdr:nvGrpSpPr>
      <xdr:grpSpPr>
        <a:xfrm>
          <a:off x="5912787" y="11837015"/>
          <a:ext cx="126849" cy="205107"/>
          <a:chOff x="6665123" y="2144244"/>
          <a:chExt cx="126016" cy="200859"/>
        </a:xfrm>
      </xdr:grpSpPr>
      <xdr:sp macro="" textlink="">
        <xdr:nvSpPr>
          <xdr:cNvPr id="510" name="Rechtwinkliges Dreieck 133">
            <a:extLst>
              <a:ext uri="{FF2B5EF4-FFF2-40B4-BE49-F238E27FC236}">
                <a16:creationId xmlns:a16="http://schemas.microsoft.com/office/drawing/2014/main" id="{00000000-0008-0000-0600-0000FE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11" name="Gerade Verbindung 134">
            <a:extLst>
              <a:ext uri="{FF2B5EF4-FFF2-40B4-BE49-F238E27FC236}">
                <a16:creationId xmlns:a16="http://schemas.microsoft.com/office/drawing/2014/main" id="{00000000-0008-0000-0600-0000FF010000}"/>
              </a:ext>
            </a:extLst>
          </xdr:cNvPr>
          <xdr:cNvCxnSpPr>
            <a:stCxn id="510" idx="4"/>
            <a:endCxn id="51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512" name="Rechtwinkliges Dreieck 135">
            <a:extLst>
              <a:ext uri="{FF2B5EF4-FFF2-40B4-BE49-F238E27FC236}">
                <a16:creationId xmlns:a16="http://schemas.microsoft.com/office/drawing/2014/main" id="{00000000-0008-0000-0600-00000002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13" name="Gerade Verbindung 136">
            <a:extLst>
              <a:ext uri="{FF2B5EF4-FFF2-40B4-BE49-F238E27FC236}">
                <a16:creationId xmlns:a16="http://schemas.microsoft.com/office/drawing/2014/main" id="{00000000-0008-0000-0600-00000102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375653</xdr:colOff>
      <xdr:row>69</xdr:row>
      <xdr:rowOff>140315</xdr:rowOff>
    </xdr:from>
    <xdr:to>
      <xdr:col>17</xdr:col>
      <xdr:colOff>502502</xdr:colOff>
      <xdr:row>71</xdr:row>
      <xdr:rowOff>21572</xdr:rowOff>
    </xdr:to>
    <xdr:grpSp>
      <xdr:nvGrpSpPr>
        <xdr:cNvPr id="514" name="Gruppieren 513">
          <a:extLst>
            <a:ext uri="{FF2B5EF4-FFF2-40B4-BE49-F238E27FC236}">
              <a16:creationId xmlns:a16="http://schemas.microsoft.com/office/drawing/2014/main" id="{00000000-0008-0000-0600-000002020000}"/>
            </a:ext>
          </a:extLst>
        </xdr:cNvPr>
        <xdr:cNvGrpSpPr/>
      </xdr:nvGrpSpPr>
      <xdr:grpSpPr>
        <a:xfrm>
          <a:off x="7005053" y="11837015"/>
          <a:ext cx="126849" cy="205107"/>
          <a:chOff x="6665123" y="2144244"/>
          <a:chExt cx="126016" cy="200859"/>
        </a:xfrm>
      </xdr:grpSpPr>
      <xdr:sp macro="" textlink="">
        <xdr:nvSpPr>
          <xdr:cNvPr id="515" name="Rechtwinkliges Dreieck 133">
            <a:extLst>
              <a:ext uri="{FF2B5EF4-FFF2-40B4-BE49-F238E27FC236}">
                <a16:creationId xmlns:a16="http://schemas.microsoft.com/office/drawing/2014/main" id="{00000000-0008-0000-0600-00000302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16" name="Gerade Verbindung 134">
            <a:extLst>
              <a:ext uri="{FF2B5EF4-FFF2-40B4-BE49-F238E27FC236}">
                <a16:creationId xmlns:a16="http://schemas.microsoft.com/office/drawing/2014/main" id="{00000000-0008-0000-0600-000004020000}"/>
              </a:ext>
            </a:extLst>
          </xdr:cNvPr>
          <xdr:cNvCxnSpPr>
            <a:stCxn id="515" idx="4"/>
            <a:endCxn id="51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517" name="Rechtwinkliges Dreieck 135">
            <a:extLst>
              <a:ext uri="{FF2B5EF4-FFF2-40B4-BE49-F238E27FC236}">
                <a16:creationId xmlns:a16="http://schemas.microsoft.com/office/drawing/2014/main" id="{00000000-0008-0000-0600-00000502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18" name="Gerade Verbindung 136">
            <a:extLst>
              <a:ext uri="{FF2B5EF4-FFF2-40B4-BE49-F238E27FC236}">
                <a16:creationId xmlns:a16="http://schemas.microsoft.com/office/drawing/2014/main" id="{00000000-0008-0000-0600-00000602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375653</xdr:colOff>
      <xdr:row>69</xdr:row>
      <xdr:rowOff>140313</xdr:rowOff>
    </xdr:from>
    <xdr:to>
      <xdr:col>5</xdr:col>
      <xdr:colOff>502502</xdr:colOff>
      <xdr:row>71</xdr:row>
      <xdr:rowOff>21570</xdr:rowOff>
    </xdr:to>
    <xdr:grpSp>
      <xdr:nvGrpSpPr>
        <xdr:cNvPr id="519" name="Gruppieren 518">
          <a:extLst>
            <a:ext uri="{FF2B5EF4-FFF2-40B4-BE49-F238E27FC236}">
              <a16:creationId xmlns:a16="http://schemas.microsoft.com/office/drawing/2014/main" id="{00000000-0008-0000-0600-000007020000}"/>
            </a:ext>
          </a:extLst>
        </xdr:cNvPr>
        <xdr:cNvGrpSpPr/>
      </xdr:nvGrpSpPr>
      <xdr:grpSpPr>
        <a:xfrm>
          <a:off x="2394953" y="11837013"/>
          <a:ext cx="126849" cy="205107"/>
          <a:chOff x="6665123" y="2144244"/>
          <a:chExt cx="126016" cy="200859"/>
        </a:xfrm>
      </xdr:grpSpPr>
      <xdr:sp macro="" textlink="">
        <xdr:nvSpPr>
          <xdr:cNvPr id="520" name="Rechtwinkliges Dreieck 133">
            <a:extLst>
              <a:ext uri="{FF2B5EF4-FFF2-40B4-BE49-F238E27FC236}">
                <a16:creationId xmlns:a16="http://schemas.microsoft.com/office/drawing/2014/main" id="{00000000-0008-0000-0600-00000802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21" name="Gerade Verbindung 134">
            <a:extLst>
              <a:ext uri="{FF2B5EF4-FFF2-40B4-BE49-F238E27FC236}">
                <a16:creationId xmlns:a16="http://schemas.microsoft.com/office/drawing/2014/main" id="{00000000-0008-0000-0600-000009020000}"/>
              </a:ext>
            </a:extLst>
          </xdr:cNvPr>
          <xdr:cNvCxnSpPr>
            <a:stCxn id="520" idx="4"/>
            <a:endCxn id="52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522" name="Rechtwinkliges Dreieck 135">
            <a:extLst>
              <a:ext uri="{FF2B5EF4-FFF2-40B4-BE49-F238E27FC236}">
                <a16:creationId xmlns:a16="http://schemas.microsoft.com/office/drawing/2014/main" id="{00000000-0008-0000-0600-00000A02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23" name="Gerade Verbindung 136">
            <a:extLst>
              <a:ext uri="{FF2B5EF4-FFF2-40B4-BE49-F238E27FC236}">
                <a16:creationId xmlns:a16="http://schemas.microsoft.com/office/drawing/2014/main" id="{00000000-0008-0000-0600-00000B02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390044</xdr:colOff>
      <xdr:row>11</xdr:row>
      <xdr:rowOff>141817</xdr:rowOff>
    </xdr:from>
    <xdr:to>
      <xdr:col>14</xdr:col>
      <xdr:colOff>1540</xdr:colOff>
      <xdr:row>13</xdr:row>
      <xdr:rowOff>21570</xdr:rowOff>
    </xdr:to>
    <xdr:grpSp>
      <xdr:nvGrpSpPr>
        <xdr:cNvPr id="232" name="Gruppieren 231">
          <a:extLst>
            <a:ext uri="{FF2B5EF4-FFF2-40B4-BE49-F238E27FC236}">
              <a16:creationId xmlns:a16="http://schemas.microsoft.com/office/drawing/2014/main" id="{00000000-0008-0000-0600-0000E8000000}"/>
            </a:ext>
          </a:extLst>
        </xdr:cNvPr>
        <xdr:cNvGrpSpPr/>
      </xdr:nvGrpSpPr>
      <xdr:grpSpPr>
        <a:xfrm>
          <a:off x="5914544" y="2532592"/>
          <a:ext cx="125846" cy="203603"/>
          <a:chOff x="6665123" y="2144244"/>
          <a:chExt cx="126016" cy="200859"/>
        </a:xfrm>
      </xdr:grpSpPr>
      <xdr:sp macro="" textlink="">
        <xdr:nvSpPr>
          <xdr:cNvPr id="233" name="Rechtwinkliges Dreieck 133">
            <a:extLst>
              <a:ext uri="{FF2B5EF4-FFF2-40B4-BE49-F238E27FC236}">
                <a16:creationId xmlns:a16="http://schemas.microsoft.com/office/drawing/2014/main" id="{00000000-0008-0000-0600-0000E900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34" name="Gerade Verbindung 134">
            <a:extLst>
              <a:ext uri="{FF2B5EF4-FFF2-40B4-BE49-F238E27FC236}">
                <a16:creationId xmlns:a16="http://schemas.microsoft.com/office/drawing/2014/main" id="{00000000-0008-0000-0600-0000EA000000}"/>
              </a:ext>
            </a:extLst>
          </xdr:cNvPr>
          <xdr:cNvCxnSpPr>
            <a:stCxn id="233" idx="4"/>
            <a:endCxn id="233"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35" name="Rechtwinkliges Dreieck 135">
            <a:extLst>
              <a:ext uri="{FF2B5EF4-FFF2-40B4-BE49-F238E27FC236}">
                <a16:creationId xmlns:a16="http://schemas.microsoft.com/office/drawing/2014/main" id="{00000000-0008-0000-0600-0000EB00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36" name="Gerade Verbindung 136">
            <a:extLst>
              <a:ext uri="{FF2B5EF4-FFF2-40B4-BE49-F238E27FC236}">
                <a16:creationId xmlns:a16="http://schemas.microsoft.com/office/drawing/2014/main" id="{00000000-0008-0000-0600-0000EC00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375653</xdr:colOff>
      <xdr:row>52</xdr:row>
      <xdr:rowOff>140313</xdr:rowOff>
    </xdr:from>
    <xdr:to>
      <xdr:col>5</xdr:col>
      <xdr:colOff>502502</xdr:colOff>
      <xdr:row>54</xdr:row>
      <xdr:rowOff>21570</xdr:rowOff>
    </xdr:to>
    <xdr:grpSp>
      <xdr:nvGrpSpPr>
        <xdr:cNvPr id="247" name="Gruppieren 246">
          <a:extLst>
            <a:ext uri="{FF2B5EF4-FFF2-40B4-BE49-F238E27FC236}">
              <a16:creationId xmlns:a16="http://schemas.microsoft.com/office/drawing/2014/main" id="{00000000-0008-0000-0600-0000F7000000}"/>
            </a:ext>
          </a:extLst>
        </xdr:cNvPr>
        <xdr:cNvGrpSpPr/>
      </xdr:nvGrpSpPr>
      <xdr:grpSpPr>
        <a:xfrm>
          <a:off x="2394953" y="9170013"/>
          <a:ext cx="126849" cy="205107"/>
          <a:chOff x="6665123" y="2144244"/>
          <a:chExt cx="126016" cy="200859"/>
        </a:xfrm>
      </xdr:grpSpPr>
      <xdr:sp macro="" textlink="">
        <xdr:nvSpPr>
          <xdr:cNvPr id="248" name="Rechtwinkliges Dreieck 133">
            <a:extLst>
              <a:ext uri="{FF2B5EF4-FFF2-40B4-BE49-F238E27FC236}">
                <a16:creationId xmlns:a16="http://schemas.microsoft.com/office/drawing/2014/main" id="{00000000-0008-0000-0600-0000F800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49" name="Gerade Verbindung 134">
            <a:extLst>
              <a:ext uri="{FF2B5EF4-FFF2-40B4-BE49-F238E27FC236}">
                <a16:creationId xmlns:a16="http://schemas.microsoft.com/office/drawing/2014/main" id="{00000000-0008-0000-0600-0000F9000000}"/>
              </a:ext>
            </a:extLst>
          </xdr:cNvPr>
          <xdr:cNvCxnSpPr>
            <a:stCxn id="248" idx="4"/>
            <a:endCxn id="248"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50" name="Rechtwinkliges Dreieck 135">
            <a:extLst>
              <a:ext uri="{FF2B5EF4-FFF2-40B4-BE49-F238E27FC236}">
                <a16:creationId xmlns:a16="http://schemas.microsoft.com/office/drawing/2014/main" id="{00000000-0008-0000-0600-0000FA00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51" name="Gerade Verbindung 136">
            <a:extLst>
              <a:ext uri="{FF2B5EF4-FFF2-40B4-BE49-F238E27FC236}">
                <a16:creationId xmlns:a16="http://schemas.microsoft.com/office/drawing/2014/main" id="{00000000-0008-0000-0600-0000FB00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5013</xdr:colOff>
      <xdr:row>42</xdr:row>
      <xdr:rowOff>140744</xdr:rowOff>
    </xdr:from>
    <xdr:to>
      <xdr:col>0</xdr:col>
      <xdr:colOff>131029</xdr:colOff>
      <xdr:row>44</xdr:row>
      <xdr:rowOff>22000</xdr:rowOff>
    </xdr:to>
    <xdr:grpSp>
      <xdr:nvGrpSpPr>
        <xdr:cNvPr id="264" name="Gruppieren 263">
          <a:extLst>
            <a:ext uri="{FF2B5EF4-FFF2-40B4-BE49-F238E27FC236}">
              <a16:creationId xmlns:a16="http://schemas.microsoft.com/office/drawing/2014/main" id="{00000000-0008-0000-0600-000008010000}"/>
            </a:ext>
          </a:extLst>
        </xdr:cNvPr>
        <xdr:cNvGrpSpPr/>
      </xdr:nvGrpSpPr>
      <xdr:grpSpPr>
        <a:xfrm flipH="1">
          <a:off x="5013" y="7551194"/>
          <a:ext cx="126016" cy="205106"/>
          <a:chOff x="6665123" y="2144244"/>
          <a:chExt cx="126016" cy="200859"/>
        </a:xfrm>
      </xdr:grpSpPr>
      <xdr:sp macro="" textlink="">
        <xdr:nvSpPr>
          <xdr:cNvPr id="265" name="Rechtwinkliges Dreieck 133">
            <a:extLst>
              <a:ext uri="{FF2B5EF4-FFF2-40B4-BE49-F238E27FC236}">
                <a16:creationId xmlns:a16="http://schemas.microsoft.com/office/drawing/2014/main" id="{00000000-0008-0000-0600-00000901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66" name="Gerade Verbindung 134">
            <a:extLst>
              <a:ext uri="{FF2B5EF4-FFF2-40B4-BE49-F238E27FC236}">
                <a16:creationId xmlns:a16="http://schemas.microsoft.com/office/drawing/2014/main" id="{00000000-0008-0000-0600-00000A010000}"/>
              </a:ext>
            </a:extLst>
          </xdr:cNvPr>
          <xdr:cNvCxnSpPr>
            <a:stCxn id="265" idx="4"/>
            <a:endCxn id="26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67" name="Rechtwinkliges Dreieck 135">
            <a:extLst>
              <a:ext uri="{FF2B5EF4-FFF2-40B4-BE49-F238E27FC236}">
                <a16:creationId xmlns:a16="http://schemas.microsoft.com/office/drawing/2014/main" id="{00000000-0008-0000-0600-00000B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68" name="Gerade Verbindung 136">
            <a:extLst>
              <a:ext uri="{FF2B5EF4-FFF2-40B4-BE49-F238E27FC236}">
                <a16:creationId xmlns:a16="http://schemas.microsoft.com/office/drawing/2014/main" id="{00000000-0008-0000-0600-00000C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5013</xdr:colOff>
      <xdr:row>46</xdr:row>
      <xdr:rowOff>143125</xdr:rowOff>
    </xdr:from>
    <xdr:to>
      <xdr:col>0</xdr:col>
      <xdr:colOff>131029</xdr:colOff>
      <xdr:row>48</xdr:row>
      <xdr:rowOff>24381</xdr:rowOff>
    </xdr:to>
    <xdr:grpSp>
      <xdr:nvGrpSpPr>
        <xdr:cNvPr id="269" name="Gruppieren 268">
          <a:extLst>
            <a:ext uri="{FF2B5EF4-FFF2-40B4-BE49-F238E27FC236}">
              <a16:creationId xmlns:a16="http://schemas.microsoft.com/office/drawing/2014/main" id="{00000000-0008-0000-0600-00000D010000}"/>
            </a:ext>
          </a:extLst>
        </xdr:cNvPr>
        <xdr:cNvGrpSpPr/>
      </xdr:nvGrpSpPr>
      <xdr:grpSpPr>
        <a:xfrm flipH="1">
          <a:off x="5013" y="8201275"/>
          <a:ext cx="126016" cy="205106"/>
          <a:chOff x="6665123" y="2144244"/>
          <a:chExt cx="126016" cy="200859"/>
        </a:xfrm>
      </xdr:grpSpPr>
      <xdr:sp macro="" textlink="">
        <xdr:nvSpPr>
          <xdr:cNvPr id="270" name="Rechtwinkliges Dreieck 133">
            <a:extLst>
              <a:ext uri="{FF2B5EF4-FFF2-40B4-BE49-F238E27FC236}">
                <a16:creationId xmlns:a16="http://schemas.microsoft.com/office/drawing/2014/main" id="{00000000-0008-0000-0600-00000E01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71" name="Gerade Verbindung 134">
            <a:extLst>
              <a:ext uri="{FF2B5EF4-FFF2-40B4-BE49-F238E27FC236}">
                <a16:creationId xmlns:a16="http://schemas.microsoft.com/office/drawing/2014/main" id="{00000000-0008-0000-0600-00000F010000}"/>
              </a:ext>
            </a:extLst>
          </xdr:cNvPr>
          <xdr:cNvCxnSpPr>
            <a:stCxn id="270" idx="4"/>
            <a:endCxn id="27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72" name="Rechtwinkliges Dreieck 135">
            <a:extLst>
              <a:ext uri="{FF2B5EF4-FFF2-40B4-BE49-F238E27FC236}">
                <a16:creationId xmlns:a16="http://schemas.microsoft.com/office/drawing/2014/main" id="{00000000-0008-0000-0600-000010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73" name="Gerade Verbindung 136">
            <a:extLst>
              <a:ext uri="{FF2B5EF4-FFF2-40B4-BE49-F238E27FC236}">
                <a16:creationId xmlns:a16="http://schemas.microsoft.com/office/drawing/2014/main" id="{00000000-0008-0000-0600-000011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5013</xdr:colOff>
      <xdr:row>50</xdr:row>
      <xdr:rowOff>140743</xdr:rowOff>
    </xdr:from>
    <xdr:to>
      <xdr:col>0</xdr:col>
      <xdr:colOff>131029</xdr:colOff>
      <xdr:row>52</xdr:row>
      <xdr:rowOff>21999</xdr:rowOff>
    </xdr:to>
    <xdr:grpSp>
      <xdr:nvGrpSpPr>
        <xdr:cNvPr id="274" name="Gruppieren 273">
          <a:extLst>
            <a:ext uri="{FF2B5EF4-FFF2-40B4-BE49-F238E27FC236}">
              <a16:creationId xmlns:a16="http://schemas.microsoft.com/office/drawing/2014/main" id="{00000000-0008-0000-0600-000012010000}"/>
            </a:ext>
          </a:extLst>
        </xdr:cNvPr>
        <xdr:cNvGrpSpPr/>
      </xdr:nvGrpSpPr>
      <xdr:grpSpPr>
        <a:xfrm flipH="1">
          <a:off x="5013" y="8846593"/>
          <a:ext cx="126016" cy="205106"/>
          <a:chOff x="6665123" y="2144244"/>
          <a:chExt cx="126016" cy="200859"/>
        </a:xfrm>
      </xdr:grpSpPr>
      <xdr:sp macro="" textlink="">
        <xdr:nvSpPr>
          <xdr:cNvPr id="275" name="Rechtwinkliges Dreieck 133">
            <a:extLst>
              <a:ext uri="{FF2B5EF4-FFF2-40B4-BE49-F238E27FC236}">
                <a16:creationId xmlns:a16="http://schemas.microsoft.com/office/drawing/2014/main" id="{00000000-0008-0000-0600-00001301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76" name="Gerade Verbindung 134">
            <a:extLst>
              <a:ext uri="{FF2B5EF4-FFF2-40B4-BE49-F238E27FC236}">
                <a16:creationId xmlns:a16="http://schemas.microsoft.com/office/drawing/2014/main" id="{00000000-0008-0000-0600-000014010000}"/>
              </a:ext>
            </a:extLst>
          </xdr:cNvPr>
          <xdr:cNvCxnSpPr>
            <a:stCxn id="275" idx="4"/>
            <a:endCxn id="27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77" name="Rechtwinkliges Dreieck 135">
            <a:extLst>
              <a:ext uri="{FF2B5EF4-FFF2-40B4-BE49-F238E27FC236}">
                <a16:creationId xmlns:a16="http://schemas.microsoft.com/office/drawing/2014/main" id="{00000000-0008-0000-0600-000015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78" name="Gerade Verbindung 136">
            <a:extLst>
              <a:ext uri="{FF2B5EF4-FFF2-40B4-BE49-F238E27FC236}">
                <a16:creationId xmlns:a16="http://schemas.microsoft.com/office/drawing/2014/main" id="{00000000-0008-0000-0600-000016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5013</xdr:colOff>
      <xdr:row>54</xdr:row>
      <xdr:rowOff>143124</xdr:rowOff>
    </xdr:from>
    <xdr:to>
      <xdr:col>0</xdr:col>
      <xdr:colOff>131029</xdr:colOff>
      <xdr:row>56</xdr:row>
      <xdr:rowOff>24380</xdr:rowOff>
    </xdr:to>
    <xdr:grpSp>
      <xdr:nvGrpSpPr>
        <xdr:cNvPr id="279" name="Gruppieren 278">
          <a:extLst>
            <a:ext uri="{FF2B5EF4-FFF2-40B4-BE49-F238E27FC236}">
              <a16:creationId xmlns:a16="http://schemas.microsoft.com/office/drawing/2014/main" id="{00000000-0008-0000-0600-000017010000}"/>
            </a:ext>
          </a:extLst>
        </xdr:cNvPr>
        <xdr:cNvGrpSpPr/>
      </xdr:nvGrpSpPr>
      <xdr:grpSpPr>
        <a:xfrm flipH="1">
          <a:off x="5013" y="9496674"/>
          <a:ext cx="126016" cy="205106"/>
          <a:chOff x="6665123" y="2144244"/>
          <a:chExt cx="126016" cy="200859"/>
        </a:xfrm>
      </xdr:grpSpPr>
      <xdr:sp macro="" textlink="">
        <xdr:nvSpPr>
          <xdr:cNvPr id="280" name="Rechtwinkliges Dreieck 133">
            <a:extLst>
              <a:ext uri="{FF2B5EF4-FFF2-40B4-BE49-F238E27FC236}">
                <a16:creationId xmlns:a16="http://schemas.microsoft.com/office/drawing/2014/main" id="{00000000-0008-0000-0600-00001801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81" name="Gerade Verbindung 134">
            <a:extLst>
              <a:ext uri="{FF2B5EF4-FFF2-40B4-BE49-F238E27FC236}">
                <a16:creationId xmlns:a16="http://schemas.microsoft.com/office/drawing/2014/main" id="{00000000-0008-0000-0600-000019010000}"/>
              </a:ext>
            </a:extLst>
          </xdr:cNvPr>
          <xdr:cNvCxnSpPr>
            <a:stCxn id="280" idx="4"/>
            <a:endCxn id="28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82" name="Rechtwinkliges Dreieck 135">
            <a:extLst>
              <a:ext uri="{FF2B5EF4-FFF2-40B4-BE49-F238E27FC236}">
                <a16:creationId xmlns:a16="http://schemas.microsoft.com/office/drawing/2014/main" id="{00000000-0008-0000-0600-00001A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83" name="Gerade Verbindung 136">
            <a:extLst>
              <a:ext uri="{FF2B5EF4-FFF2-40B4-BE49-F238E27FC236}">
                <a16:creationId xmlns:a16="http://schemas.microsoft.com/office/drawing/2014/main" id="{00000000-0008-0000-0600-00001B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5013</xdr:colOff>
      <xdr:row>72</xdr:row>
      <xdr:rowOff>143125</xdr:rowOff>
    </xdr:from>
    <xdr:to>
      <xdr:col>0</xdr:col>
      <xdr:colOff>131029</xdr:colOff>
      <xdr:row>74</xdr:row>
      <xdr:rowOff>24381</xdr:rowOff>
    </xdr:to>
    <xdr:grpSp>
      <xdr:nvGrpSpPr>
        <xdr:cNvPr id="289" name="Gruppieren 288">
          <a:extLst>
            <a:ext uri="{FF2B5EF4-FFF2-40B4-BE49-F238E27FC236}">
              <a16:creationId xmlns:a16="http://schemas.microsoft.com/office/drawing/2014/main" id="{00000000-0008-0000-0600-000021010000}"/>
            </a:ext>
          </a:extLst>
        </xdr:cNvPr>
        <xdr:cNvGrpSpPr/>
      </xdr:nvGrpSpPr>
      <xdr:grpSpPr>
        <a:xfrm flipH="1">
          <a:off x="5013" y="12325600"/>
          <a:ext cx="126016" cy="205106"/>
          <a:chOff x="6665123" y="2144244"/>
          <a:chExt cx="126016" cy="200859"/>
        </a:xfrm>
      </xdr:grpSpPr>
      <xdr:sp macro="" textlink="">
        <xdr:nvSpPr>
          <xdr:cNvPr id="290" name="Rechtwinkliges Dreieck 133">
            <a:extLst>
              <a:ext uri="{FF2B5EF4-FFF2-40B4-BE49-F238E27FC236}">
                <a16:creationId xmlns:a16="http://schemas.microsoft.com/office/drawing/2014/main" id="{00000000-0008-0000-0600-00002201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91" name="Gerade Verbindung 134">
            <a:extLst>
              <a:ext uri="{FF2B5EF4-FFF2-40B4-BE49-F238E27FC236}">
                <a16:creationId xmlns:a16="http://schemas.microsoft.com/office/drawing/2014/main" id="{00000000-0008-0000-0600-000023010000}"/>
              </a:ext>
            </a:extLst>
          </xdr:cNvPr>
          <xdr:cNvCxnSpPr>
            <a:stCxn id="290" idx="4"/>
            <a:endCxn id="29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92" name="Rechtwinkliges Dreieck 135">
            <a:extLst>
              <a:ext uri="{FF2B5EF4-FFF2-40B4-BE49-F238E27FC236}">
                <a16:creationId xmlns:a16="http://schemas.microsoft.com/office/drawing/2014/main" id="{00000000-0008-0000-0600-000024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93" name="Gerade Verbindung 136">
            <a:extLst>
              <a:ext uri="{FF2B5EF4-FFF2-40B4-BE49-F238E27FC236}">
                <a16:creationId xmlns:a16="http://schemas.microsoft.com/office/drawing/2014/main" id="{00000000-0008-0000-0600-000025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17</xdr:col>
      <xdr:colOff>104775</xdr:colOff>
      <xdr:row>0</xdr:row>
      <xdr:rowOff>0</xdr:rowOff>
    </xdr:from>
    <xdr:ext cx="1476375" cy="752129"/>
    <xdr:sp macro="" textlink="">
      <xdr:nvSpPr>
        <xdr:cNvPr id="246" name="Textfeld 245">
          <a:extLst>
            <a:ext uri="{FF2B5EF4-FFF2-40B4-BE49-F238E27FC236}">
              <a16:creationId xmlns:a16="http://schemas.microsoft.com/office/drawing/2014/main" id="{00000000-0008-0000-0600-0000F6000000}"/>
            </a:ext>
          </a:extLst>
        </xdr:cNvPr>
        <xdr:cNvSpPr txBox="1"/>
      </xdr:nvSpPr>
      <xdr:spPr>
        <a:xfrm>
          <a:off x="6734175" y="0"/>
          <a:ext cx="1476375" cy="752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Lindenhofstrasse 21</a:t>
          </a:r>
        </a:p>
        <a:p>
          <a:r>
            <a:rPr lang="de-CH" sz="850">
              <a:latin typeface="Arial" pitchFamily="34" charset="0"/>
              <a:cs typeface="Arial" pitchFamily="34" charset="0"/>
            </a:rPr>
            <a:t>Postfach, 8021 Zürich</a:t>
          </a:r>
        </a:p>
        <a:p>
          <a:r>
            <a:rPr lang="de-CH" sz="850">
              <a:latin typeface="Arial" pitchFamily="34" charset="0"/>
              <a:cs typeface="Arial" pitchFamily="34" charset="0"/>
            </a:rPr>
            <a:t>+41 44 412 11 11</a:t>
          </a:r>
        </a:p>
        <a:p>
          <a:r>
            <a:rPr lang="de-CH" sz="850">
              <a:latin typeface="Arial" pitchFamily="34" charset="0"/>
              <a:cs typeface="Arial" pitchFamily="34" charset="0"/>
            </a:rPr>
            <a:t>www.stadt-zuerich.ch/hochbau</a:t>
          </a:r>
        </a:p>
      </xdr:txBody>
    </xdr:sp>
    <xdr:clientData/>
  </xdr:oneCellAnchor>
  <xdr:twoCellAnchor editAs="oneCell">
    <xdr:from>
      <xdr:col>0</xdr:col>
      <xdr:colOff>9518</xdr:colOff>
      <xdr:row>0</xdr:row>
      <xdr:rowOff>9525</xdr:rowOff>
    </xdr:from>
    <xdr:to>
      <xdr:col>4</xdr:col>
      <xdr:colOff>618009</xdr:colOff>
      <xdr:row>0</xdr:row>
      <xdr:rowOff>338709</xdr:rowOff>
    </xdr:to>
    <xdr:pic>
      <xdr:nvPicPr>
        <xdr:cNvPr id="252" name="Grafik 251">
          <a:extLst>
            <a:ext uri="{FF2B5EF4-FFF2-40B4-BE49-F238E27FC236}">
              <a16:creationId xmlns:a16="http://schemas.microsoft.com/office/drawing/2014/main" id="{00000000-0008-0000-0600-0000F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18" y="9525"/>
          <a:ext cx="1980091" cy="329184"/>
        </a:xfrm>
        <a:prstGeom prst="rect">
          <a:avLst/>
        </a:prstGeom>
      </xdr:spPr>
    </xdr:pic>
    <xdr:clientData/>
  </xdr:twoCellAnchor>
  <xdr:twoCellAnchor>
    <xdr:from>
      <xdr:col>5</xdr:col>
      <xdr:colOff>380750</xdr:colOff>
      <xdr:row>18</xdr:row>
      <xdr:rowOff>147418</xdr:rowOff>
    </xdr:from>
    <xdr:to>
      <xdr:col>5</xdr:col>
      <xdr:colOff>506766</xdr:colOff>
      <xdr:row>20</xdr:row>
      <xdr:rowOff>21750</xdr:rowOff>
    </xdr:to>
    <xdr:grpSp>
      <xdr:nvGrpSpPr>
        <xdr:cNvPr id="242" name="Gruppieren 241">
          <a:extLst>
            <a:ext uri="{FF2B5EF4-FFF2-40B4-BE49-F238E27FC236}">
              <a16:creationId xmlns:a16="http://schemas.microsoft.com/office/drawing/2014/main" id="{00000000-0008-0000-0600-0000F2000000}"/>
            </a:ext>
          </a:extLst>
        </xdr:cNvPr>
        <xdr:cNvGrpSpPr/>
      </xdr:nvGrpSpPr>
      <xdr:grpSpPr>
        <a:xfrm>
          <a:off x="2400050" y="3671668"/>
          <a:ext cx="126016" cy="198182"/>
          <a:chOff x="6665123" y="2144244"/>
          <a:chExt cx="126016" cy="200859"/>
        </a:xfrm>
      </xdr:grpSpPr>
      <xdr:sp macro="" textlink="">
        <xdr:nvSpPr>
          <xdr:cNvPr id="243" name="Rechtwinkliges Dreieck 133">
            <a:extLst>
              <a:ext uri="{FF2B5EF4-FFF2-40B4-BE49-F238E27FC236}">
                <a16:creationId xmlns:a16="http://schemas.microsoft.com/office/drawing/2014/main" id="{00000000-0008-0000-0600-0000F300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44" name="Gerade Verbindung 134">
            <a:extLst>
              <a:ext uri="{FF2B5EF4-FFF2-40B4-BE49-F238E27FC236}">
                <a16:creationId xmlns:a16="http://schemas.microsoft.com/office/drawing/2014/main" id="{00000000-0008-0000-0600-0000F4000000}"/>
              </a:ext>
            </a:extLst>
          </xdr:cNvPr>
          <xdr:cNvCxnSpPr>
            <a:stCxn id="243" idx="4"/>
            <a:endCxn id="243"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45" name="Rechtwinkliges Dreieck 135">
            <a:extLst>
              <a:ext uri="{FF2B5EF4-FFF2-40B4-BE49-F238E27FC236}">
                <a16:creationId xmlns:a16="http://schemas.microsoft.com/office/drawing/2014/main" id="{00000000-0008-0000-0600-0000F500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53" name="Gerade Verbindung 136">
            <a:extLst>
              <a:ext uri="{FF2B5EF4-FFF2-40B4-BE49-F238E27FC236}">
                <a16:creationId xmlns:a16="http://schemas.microsoft.com/office/drawing/2014/main" id="{00000000-0008-0000-0600-0000FD00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22</xdr:row>
      <xdr:rowOff>147441</xdr:rowOff>
    </xdr:from>
    <xdr:to>
      <xdr:col>5</xdr:col>
      <xdr:colOff>506766</xdr:colOff>
      <xdr:row>24</xdr:row>
      <xdr:rowOff>21774</xdr:rowOff>
    </xdr:to>
    <xdr:grpSp>
      <xdr:nvGrpSpPr>
        <xdr:cNvPr id="254" name="Gruppieren 253">
          <a:extLst>
            <a:ext uri="{FF2B5EF4-FFF2-40B4-BE49-F238E27FC236}">
              <a16:creationId xmlns:a16="http://schemas.microsoft.com/office/drawing/2014/main" id="{00000000-0008-0000-0600-0000FE000000}"/>
            </a:ext>
          </a:extLst>
        </xdr:cNvPr>
        <xdr:cNvGrpSpPr/>
      </xdr:nvGrpSpPr>
      <xdr:grpSpPr>
        <a:xfrm>
          <a:off x="2400050" y="4319391"/>
          <a:ext cx="126016" cy="198183"/>
          <a:chOff x="6665123" y="2144244"/>
          <a:chExt cx="126016" cy="200859"/>
        </a:xfrm>
      </xdr:grpSpPr>
      <xdr:sp macro="" textlink="">
        <xdr:nvSpPr>
          <xdr:cNvPr id="255" name="Rechtwinkliges Dreieck 133">
            <a:extLst>
              <a:ext uri="{FF2B5EF4-FFF2-40B4-BE49-F238E27FC236}">
                <a16:creationId xmlns:a16="http://schemas.microsoft.com/office/drawing/2014/main" id="{00000000-0008-0000-0600-0000FF00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56" name="Gerade Verbindung 134">
            <a:extLst>
              <a:ext uri="{FF2B5EF4-FFF2-40B4-BE49-F238E27FC236}">
                <a16:creationId xmlns:a16="http://schemas.microsoft.com/office/drawing/2014/main" id="{00000000-0008-0000-0600-000000010000}"/>
              </a:ext>
            </a:extLst>
          </xdr:cNvPr>
          <xdr:cNvCxnSpPr>
            <a:stCxn id="255" idx="4"/>
            <a:endCxn id="25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57" name="Rechtwinkliges Dreieck 135">
            <a:extLst>
              <a:ext uri="{FF2B5EF4-FFF2-40B4-BE49-F238E27FC236}">
                <a16:creationId xmlns:a16="http://schemas.microsoft.com/office/drawing/2014/main" id="{00000000-0008-0000-0600-000001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58" name="Gerade Verbindung 136">
            <a:extLst>
              <a:ext uri="{FF2B5EF4-FFF2-40B4-BE49-F238E27FC236}">
                <a16:creationId xmlns:a16="http://schemas.microsoft.com/office/drawing/2014/main" id="{00000000-0008-0000-0600-000002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25</xdr:row>
      <xdr:rowOff>147441</xdr:rowOff>
    </xdr:from>
    <xdr:to>
      <xdr:col>5</xdr:col>
      <xdr:colOff>506766</xdr:colOff>
      <xdr:row>27</xdr:row>
      <xdr:rowOff>21774</xdr:rowOff>
    </xdr:to>
    <xdr:grpSp>
      <xdr:nvGrpSpPr>
        <xdr:cNvPr id="259" name="Gruppieren 258">
          <a:extLst>
            <a:ext uri="{FF2B5EF4-FFF2-40B4-BE49-F238E27FC236}">
              <a16:creationId xmlns:a16="http://schemas.microsoft.com/office/drawing/2014/main" id="{00000000-0008-0000-0600-000003010000}"/>
            </a:ext>
          </a:extLst>
        </xdr:cNvPr>
        <xdr:cNvGrpSpPr/>
      </xdr:nvGrpSpPr>
      <xdr:grpSpPr>
        <a:xfrm>
          <a:off x="2400050" y="4805166"/>
          <a:ext cx="126016" cy="198183"/>
          <a:chOff x="6665123" y="2144244"/>
          <a:chExt cx="126016" cy="200859"/>
        </a:xfrm>
      </xdr:grpSpPr>
      <xdr:sp macro="" textlink="">
        <xdr:nvSpPr>
          <xdr:cNvPr id="260" name="Rechtwinkliges Dreieck 133">
            <a:extLst>
              <a:ext uri="{FF2B5EF4-FFF2-40B4-BE49-F238E27FC236}">
                <a16:creationId xmlns:a16="http://schemas.microsoft.com/office/drawing/2014/main" id="{00000000-0008-0000-0600-000004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61" name="Gerade Verbindung 134">
            <a:extLst>
              <a:ext uri="{FF2B5EF4-FFF2-40B4-BE49-F238E27FC236}">
                <a16:creationId xmlns:a16="http://schemas.microsoft.com/office/drawing/2014/main" id="{00000000-0008-0000-0600-000005010000}"/>
              </a:ext>
            </a:extLst>
          </xdr:cNvPr>
          <xdr:cNvCxnSpPr>
            <a:stCxn id="260" idx="4"/>
            <a:endCxn id="26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62" name="Rechtwinkliges Dreieck 135">
            <a:extLst>
              <a:ext uri="{FF2B5EF4-FFF2-40B4-BE49-F238E27FC236}">
                <a16:creationId xmlns:a16="http://schemas.microsoft.com/office/drawing/2014/main" id="{00000000-0008-0000-0600-000006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63" name="Gerade Verbindung 136">
            <a:extLst>
              <a:ext uri="{FF2B5EF4-FFF2-40B4-BE49-F238E27FC236}">
                <a16:creationId xmlns:a16="http://schemas.microsoft.com/office/drawing/2014/main" id="{00000000-0008-0000-0600-000007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27</xdr:row>
      <xdr:rowOff>147441</xdr:rowOff>
    </xdr:from>
    <xdr:to>
      <xdr:col>5</xdr:col>
      <xdr:colOff>506766</xdr:colOff>
      <xdr:row>29</xdr:row>
      <xdr:rowOff>21773</xdr:rowOff>
    </xdr:to>
    <xdr:grpSp>
      <xdr:nvGrpSpPr>
        <xdr:cNvPr id="284" name="Gruppieren 283">
          <a:extLst>
            <a:ext uri="{FF2B5EF4-FFF2-40B4-BE49-F238E27FC236}">
              <a16:creationId xmlns:a16="http://schemas.microsoft.com/office/drawing/2014/main" id="{00000000-0008-0000-0600-00001C010000}"/>
            </a:ext>
          </a:extLst>
        </xdr:cNvPr>
        <xdr:cNvGrpSpPr/>
      </xdr:nvGrpSpPr>
      <xdr:grpSpPr>
        <a:xfrm>
          <a:off x="2400050" y="5129016"/>
          <a:ext cx="126016" cy="198182"/>
          <a:chOff x="6665123" y="2144244"/>
          <a:chExt cx="126016" cy="200859"/>
        </a:xfrm>
      </xdr:grpSpPr>
      <xdr:sp macro="" textlink="">
        <xdr:nvSpPr>
          <xdr:cNvPr id="285" name="Rechtwinkliges Dreieck 133">
            <a:extLst>
              <a:ext uri="{FF2B5EF4-FFF2-40B4-BE49-F238E27FC236}">
                <a16:creationId xmlns:a16="http://schemas.microsoft.com/office/drawing/2014/main" id="{00000000-0008-0000-0600-00001D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86" name="Gerade Verbindung 134">
            <a:extLst>
              <a:ext uri="{FF2B5EF4-FFF2-40B4-BE49-F238E27FC236}">
                <a16:creationId xmlns:a16="http://schemas.microsoft.com/office/drawing/2014/main" id="{00000000-0008-0000-0600-00001E010000}"/>
              </a:ext>
            </a:extLst>
          </xdr:cNvPr>
          <xdr:cNvCxnSpPr>
            <a:stCxn id="285" idx="4"/>
            <a:endCxn id="28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87" name="Rechtwinkliges Dreieck 135">
            <a:extLst>
              <a:ext uri="{FF2B5EF4-FFF2-40B4-BE49-F238E27FC236}">
                <a16:creationId xmlns:a16="http://schemas.microsoft.com/office/drawing/2014/main" id="{00000000-0008-0000-0600-00001F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88" name="Gerade Verbindung 136">
            <a:extLst>
              <a:ext uri="{FF2B5EF4-FFF2-40B4-BE49-F238E27FC236}">
                <a16:creationId xmlns:a16="http://schemas.microsoft.com/office/drawing/2014/main" id="{00000000-0008-0000-0600-000020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58</xdr:row>
      <xdr:rowOff>147442</xdr:rowOff>
    </xdr:from>
    <xdr:to>
      <xdr:col>5</xdr:col>
      <xdr:colOff>506766</xdr:colOff>
      <xdr:row>60</xdr:row>
      <xdr:rowOff>21775</xdr:rowOff>
    </xdr:to>
    <xdr:grpSp>
      <xdr:nvGrpSpPr>
        <xdr:cNvPr id="294" name="Gruppieren 293">
          <a:extLst>
            <a:ext uri="{FF2B5EF4-FFF2-40B4-BE49-F238E27FC236}">
              <a16:creationId xmlns:a16="http://schemas.microsoft.com/office/drawing/2014/main" id="{00000000-0008-0000-0600-000026010000}"/>
            </a:ext>
          </a:extLst>
        </xdr:cNvPr>
        <xdr:cNvGrpSpPr/>
      </xdr:nvGrpSpPr>
      <xdr:grpSpPr>
        <a:xfrm>
          <a:off x="2400050" y="10062967"/>
          <a:ext cx="126016" cy="198183"/>
          <a:chOff x="6665123" y="2144244"/>
          <a:chExt cx="126016" cy="200859"/>
        </a:xfrm>
      </xdr:grpSpPr>
      <xdr:sp macro="" textlink="">
        <xdr:nvSpPr>
          <xdr:cNvPr id="295" name="Rechtwinkliges Dreieck 133">
            <a:extLst>
              <a:ext uri="{FF2B5EF4-FFF2-40B4-BE49-F238E27FC236}">
                <a16:creationId xmlns:a16="http://schemas.microsoft.com/office/drawing/2014/main" id="{00000000-0008-0000-0600-000027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96" name="Gerade Verbindung 134">
            <a:extLst>
              <a:ext uri="{FF2B5EF4-FFF2-40B4-BE49-F238E27FC236}">
                <a16:creationId xmlns:a16="http://schemas.microsoft.com/office/drawing/2014/main" id="{00000000-0008-0000-0600-000028010000}"/>
              </a:ext>
            </a:extLst>
          </xdr:cNvPr>
          <xdr:cNvCxnSpPr>
            <a:stCxn id="295" idx="4"/>
            <a:endCxn id="29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97" name="Rechtwinkliges Dreieck 135">
            <a:extLst>
              <a:ext uri="{FF2B5EF4-FFF2-40B4-BE49-F238E27FC236}">
                <a16:creationId xmlns:a16="http://schemas.microsoft.com/office/drawing/2014/main" id="{00000000-0008-0000-0600-000029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98" name="Gerade Verbindung 136">
            <a:extLst>
              <a:ext uri="{FF2B5EF4-FFF2-40B4-BE49-F238E27FC236}">
                <a16:creationId xmlns:a16="http://schemas.microsoft.com/office/drawing/2014/main" id="{00000000-0008-0000-0600-00002A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7.xml><?xml version="1.0" encoding="utf-8"?>
<xdr:wsDr xmlns:xdr="http://schemas.openxmlformats.org/drawingml/2006/spreadsheetDrawing" xmlns:a="http://schemas.openxmlformats.org/drawingml/2006/main">
  <xdr:twoCellAnchor>
    <xdr:from>
      <xdr:col>17</xdr:col>
      <xdr:colOff>180975</xdr:colOff>
      <xdr:row>20</xdr:row>
      <xdr:rowOff>0</xdr:rowOff>
    </xdr:from>
    <xdr:to>
      <xdr:col>17</xdr:col>
      <xdr:colOff>485775</xdr:colOff>
      <xdr:row>20</xdr:row>
      <xdr:rowOff>1588</xdr:rowOff>
    </xdr:to>
    <xdr:cxnSp macro="">
      <xdr:nvCxnSpPr>
        <xdr:cNvPr id="2" name="Gerade Verbindung 346">
          <a:extLst>
            <a:ext uri="{FF2B5EF4-FFF2-40B4-BE49-F238E27FC236}">
              <a16:creationId xmlns:a16="http://schemas.microsoft.com/office/drawing/2014/main" id="{00000000-0008-0000-0700-000002000000}"/>
            </a:ext>
          </a:extLst>
        </xdr:cNvPr>
        <xdr:cNvCxnSpPr/>
      </xdr:nvCxnSpPr>
      <xdr:spPr>
        <a:xfrm rot="10800000">
          <a:off x="6819900" y="3743325"/>
          <a:ext cx="304800" cy="1588"/>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35</xdr:row>
      <xdr:rowOff>19050</xdr:rowOff>
    </xdr:from>
    <xdr:to>
      <xdr:col>17</xdr:col>
      <xdr:colOff>485775</xdr:colOff>
      <xdr:row>35</xdr:row>
      <xdr:rowOff>20638</xdr:rowOff>
    </xdr:to>
    <xdr:cxnSp macro="">
      <xdr:nvCxnSpPr>
        <xdr:cNvPr id="3" name="Gerade Verbindung 347">
          <a:extLst>
            <a:ext uri="{FF2B5EF4-FFF2-40B4-BE49-F238E27FC236}">
              <a16:creationId xmlns:a16="http://schemas.microsoft.com/office/drawing/2014/main" id="{00000000-0008-0000-0700-000003000000}"/>
            </a:ext>
          </a:extLst>
        </xdr:cNvPr>
        <xdr:cNvCxnSpPr/>
      </xdr:nvCxnSpPr>
      <xdr:spPr>
        <a:xfrm rot="10800000">
          <a:off x="6819900" y="6191250"/>
          <a:ext cx="304800" cy="1588"/>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37</xdr:row>
      <xdr:rowOff>63314</xdr:rowOff>
    </xdr:from>
    <xdr:to>
      <xdr:col>17</xdr:col>
      <xdr:colOff>485775</xdr:colOff>
      <xdr:row>37</xdr:row>
      <xdr:rowOff>64902</xdr:rowOff>
    </xdr:to>
    <xdr:cxnSp macro="">
      <xdr:nvCxnSpPr>
        <xdr:cNvPr id="4" name="Gerade Verbindung 348">
          <a:extLst>
            <a:ext uri="{FF2B5EF4-FFF2-40B4-BE49-F238E27FC236}">
              <a16:creationId xmlns:a16="http://schemas.microsoft.com/office/drawing/2014/main" id="{00000000-0008-0000-0700-000004000000}"/>
            </a:ext>
          </a:extLst>
        </xdr:cNvPr>
        <xdr:cNvCxnSpPr/>
      </xdr:nvCxnSpPr>
      <xdr:spPr>
        <a:xfrm rot="10800000">
          <a:off x="6803651" y="6405843"/>
          <a:ext cx="304800" cy="1588"/>
        </a:xfrm>
        <a:prstGeom prst="line">
          <a:avLst/>
        </a:prstGeom>
        <a:ln w="0">
          <a:solidFill>
            <a:schemeClr val="tx1"/>
          </a:solidFill>
          <a:prstDash val="dash"/>
          <a:headEnd type="stealt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161926</xdr:colOff>
      <xdr:row>20</xdr:row>
      <xdr:rowOff>19050</xdr:rowOff>
    </xdr:from>
    <xdr:to>
      <xdr:col>17</xdr:col>
      <xdr:colOff>161926</xdr:colOff>
      <xdr:row>31</xdr:row>
      <xdr:rowOff>3</xdr:rowOff>
    </xdr:to>
    <xdr:cxnSp macro="">
      <xdr:nvCxnSpPr>
        <xdr:cNvPr id="5" name="Gerade Verbindung 349">
          <a:extLst>
            <a:ext uri="{FF2B5EF4-FFF2-40B4-BE49-F238E27FC236}">
              <a16:creationId xmlns:a16="http://schemas.microsoft.com/office/drawing/2014/main" id="{00000000-0008-0000-0700-000005000000}"/>
            </a:ext>
          </a:extLst>
        </xdr:cNvPr>
        <xdr:cNvCxnSpPr/>
      </xdr:nvCxnSpPr>
      <xdr:spPr>
        <a:xfrm>
          <a:off x="6800851" y="3762375"/>
          <a:ext cx="0" cy="1762128"/>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162719</xdr:colOff>
      <xdr:row>32</xdr:row>
      <xdr:rowOff>19846</xdr:rowOff>
    </xdr:from>
    <xdr:to>
      <xdr:col>17</xdr:col>
      <xdr:colOff>162719</xdr:colOff>
      <xdr:row>37</xdr:row>
      <xdr:rowOff>67236</xdr:rowOff>
    </xdr:to>
    <xdr:cxnSp macro="">
      <xdr:nvCxnSpPr>
        <xdr:cNvPr id="6" name="Gerade Verbindung 355">
          <a:extLst>
            <a:ext uri="{FF2B5EF4-FFF2-40B4-BE49-F238E27FC236}">
              <a16:creationId xmlns:a16="http://schemas.microsoft.com/office/drawing/2014/main" id="{00000000-0008-0000-0700-000006000000}"/>
            </a:ext>
          </a:extLst>
        </xdr:cNvPr>
        <xdr:cNvCxnSpPr/>
      </xdr:nvCxnSpPr>
      <xdr:spPr>
        <a:xfrm>
          <a:off x="6785395" y="5577964"/>
          <a:ext cx="0" cy="831801"/>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46</xdr:row>
      <xdr:rowOff>66675</xdr:rowOff>
    </xdr:from>
    <xdr:to>
      <xdr:col>17</xdr:col>
      <xdr:colOff>485775</xdr:colOff>
      <xdr:row>46</xdr:row>
      <xdr:rowOff>68263</xdr:rowOff>
    </xdr:to>
    <xdr:cxnSp macro="">
      <xdr:nvCxnSpPr>
        <xdr:cNvPr id="7" name="Gerade Verbindung 357">
          <a:extLst>
            <a:ext uri="{FF2B5EF4-FFF2-40B4-BE49-F238E27FC236}">
              <a16:creationId xmlns:a16="http://schemas.microsoft.com/office/drawing/2014/main" id="{00000000-0008-0000-0700-000007000000}"/>
            </a:ext>
          </a:extLst>
        </xdr:cNvPr>
        <xdr:cNvCxnSpPr/>
      </xdr:nvCxnSpPr>
      <xdr:spPr>
        <a:xfrm rot="10800000">
          <a:off x="6438900" y="9210675"/>
          <a:ext cx="304800" cy="1588"/>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50</xdr:row>
      <xdr:rowOff>85725</xdr:rowOff>
    </xdr:from>
    <xdr:to>
      <xdr:col>17</xdr:col>
      <xdr:colOff>485775</xdr:colOff>
      <xdr:row>50</xdr:row>
      <xdr:rowOff>87313</xdr:rowOff>
    </xdr:to>
    <xdr:cxnSp macro="">
      <xdr:nvCxnSpPr>
        <xdr:cNvPr id="8" name="Gerade Verbindung 358">
          <a:extLst>
            <a:ext uri="{FF2B5EF4-FFF2-40B4-BE49-F238E27FC236}">
              <a16:creationId xmlns:a16="http://schemas.microsoft.com/office/drawing/2014/main" id="{00000000-0008-0000-0700-000008000000}"/>
            </a:ext>
          </a:extLst>
        </xdr:cNvPr>
        <xdr:cNvCxnSpPr/>
      </xdr:nvCxnSpPr>
      <xdr:spPr>
        <a:xfrm rot="10800000">
          <a:off x="6819900" y="8686800"/>
          <a:ext cx="304800" cy="1588"/>
        </a:xfrm>
        <a:prstGeom prst="line">
          <a:avLst/>
        </a:prstGeom>
        <a:ln w="0">
          <a:solidFill>
            <a:schemeClr val="tx1"/>
          </a:solidFill>
          <a:prstDash val="dash"/>
          <a:headEnd type="stealt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161925</xdr:colOff>
      <xdr:row>46</xdr:row>
      <xdr:rowOff>66675</xdr:rowOff>
    </xdr:from>
    <xdr:to>
      <xdr:col>17</xdr:col>
      <xdr:colOff>161925</xdr:colOff>
      <xdr:row>50</xdr:row>
      <xdr:rowOff>85725</xdr:rowOff>
    </xdr:to>
    <xdr:cxnSp macro="">
      <xdr:nvCxnSpPr>
        <xdr:cNvPr id="9" name="Gerade Verbindung 359">
          <a:extLst>
            <a:ext uri="{FF2B5EF4-FFF2-40B4-BE49-F238E27FC236}">
              <a16:creationId xmlns:a16="http://schemas.microsoft.com/office/drawing/2014/main" id="{00000000-0008-0000-0700-000009000000}"/>
            </a:ext>
          </a:extLst>
        </xdr:cNvPr>
        <xdr:cNvCxnSpPr/>
      </xdr:nvCxnSpPr>
      <xdr:spPr>
        <a:xfrm>
          <a:off x="6800850" y="8020050"/>
          <a:ext cx="0" cy="666750"/>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388287</xdr:colOff>
      <xdr:row>9</xdr:row>
      <xdr:rowOff>56594</xdr:rowOff>
    </xdr:from>
    <xdr:to>
      <xdr:col>14</xdr:col>
      <xdr:colOff>786</xdr:colOff>
      <xdr:row>11</xdr:row>
      <xdr:rowOff>20069</xdr:rowOff>
    </xdr:to>
    <xdr:grpSp>
      <xdr:nvGrpSpPr>
        <xdr:cNvPr id="299" name="Gruppieren 298">
          <a:extLst>
            <a:ext uri="{FF2B5EF4-FFF2-40B4-BE49-F238E27FC236}">
              <a16:creationId xmlns:a16="http://schemas.microsoft.com/office/drawing/2014/main" id="{00000000-0008-0000-0700-00002B010000}"/>
            </a:ext>
          </a:extLst>
        </xdr:cNvPr>
        <xdr:cNvGrpSpPr/>
      </xdr:nvGrpSpPr>
      <xdr:grpSpPr>
        <a:xfrm>
          <a:off x="5912787" y="2209244"/>
          <a:ext cx="126849" cy="201600"/>
          <a:chOff x="6665123" y="2144244"/>
          <a:chExt cx="126016" cy="200859"/>
        </a:xfrm>
      </xdr:grpSpPr>
      <xdr:sp macro="" textlink="">
        <xdr:nvSpPr>
          <xdr:cNvPr id="300" name="Rechtwinkliges Dreieck 133">
            <a:extLst>
              <a:ext uri="{FF2B5EF4-FFF2-40B4-BE49-F238E27FC236}">
                <a16:creationId xmlns:a16="http://schemas.microsoft.com/office/drawing/2014/main" id="{00000000-0008-0000-0700-00002C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01" name="Gerade Verbindung 134">
            <a:extLst>
              <a:ext uri="{FF2B5EF4-FFF2-40B4-BE49-F238E27FC236}">
                <a16:creationId xmlns:a16="http://schemas.microsoft.com/office/drawing/2014/main" id="{00000000-0008-0000-0700-00002D010000}"/>
              </a:ext>
            </a:extLst>
          </xdr:cNvPr>
          <xdr:cNvCxnSpPr>
            <a:stCxn id="300" idx="4"/>
            <a:endCxn id="30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02" name="Rechtwinkliges Dreieck 135">
            <a:extLst>
              <a:ext uri="{FF2B5EF4-FFF2-40B4-BE49-F238E27FC236}">
                <a16:creationId xmlns:a16="http://schemas.microsoft.com/office/drawing/2014/main" id="{00000000-0008-0000-0700-00002E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03" name="Gerade Verbindung 136">
            <a:extLst>
              <a:ext uri="{FF2B5EF4-FFF2-40B4-BE49-F238E27FC236}">
                <a16:creationId xmlns:a16="http://schemas.microsoft.com/office/drawing/2014/main" id="{00000000-0008-0000-0700-00002F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14</xdr:row>
      <xdr:rowOff>142319</xdr:rowOff>
    </xdr:from>
    <xdr:to>
      <xdr:col>13</xdr:col>
      <xdr:colOff>515136</xdr:colOff>
      <xdr:row>16</xdr:row>
      <xdr:rowOff>27085</xdr:rowOff>
    </xdr:to>
    <xdr:grpSp>
      <xdr:nvGrpSpPr>
        <xdr:cNvPr id="304" name="Gruppieren 303">
          <a:extLst>
            <a:ext uri="{FF2B5EF4-FFF2-40B4-BE49-F238E27FC236}">
              <a16:creationId xmlns:a16="http://schemas.microsoft.com/office/drawing/2014/main" id="{00000000-0008-0000-0700-000030010000}"/>
            </a:ext>
          </a:extLst>
        </xdr:cNvPr>
        <xdr:cNvGrpSpPr/>
      </xdr:nvGrpSpPr>
      <xdr:grpSpPr>
        <a:xfrm>
          <a:off x="5912787" y="3018869"/>
          <a:ext cx="126849" cy="208616"/>
          <a:chOff x="6665123" y="2144244"/>
          <a:chExt cx="126016" cy="200859"/>
        </a:xfrm>
      </xdr:grpSpPr>
      <xdr:sp macro="" textlink="">
        <xdr:nvSpPr>
          <xdr:cNvPr id="305" name="Rechtwinkliges Dreieck 133">
            <a:extLst>
              <a:ext uri="{FF2B5EF4-FFF2-40B4-BE49-F238E27FC236}">
                <a16:creationId xmlns:a16="http://schemas.microsoft.com/office/drawing/2014/main" id="{00000000-0008-0000-0700-000031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06" name="Gerade Verbindung 134">
            <a:extLst>
              <a:ext uri="{FF2B5EF4-FFF2-40B4-BE49-F238E27FC236}">
                <a16:creationId xmlns:a16="http://schemas.microsoft.com/office/drawing/2014/main" id="{00000000-0008-0000-0700-000032010000}"/>
              </a:ext>
            </a:extLst>
          </xdr:cNvPr>
          <xdr:cNvCxnSpPr>
            <a:stCxn id="305" idx="4"/>
            <a:endCxn id="30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07" name="Rechtwinkliges Dreieck 135">
            <a:extLst>
              <a:ext uri="{FF2B5EF4-FFF2-40B4-BE49-F238E27FC236}">
                <a16:creationId xmlns:a16="http://schemas.microsoft.com/office/drawing/2014/main" id="{00000000-0008-0000-0700-000033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08" name="Gerade Verbindung 136">
            <a:extLst>
              <a:ext uri="{FF2B5EF4-FFF2-40B4-BE49-F238E27FC236}">
                <a16:creationId xmlns:a16="http://schemas.microsoft.com/office/drawing/2014/main" id="{00000000-0008-0000-0700-000034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381368</xdr:colOff>
      <xdr:row>14</xdr:row>
      <xdr:rowOff>142319</xdr:rowOff>
    </xdr:from>
    <xdr:to>
      <xdr:col>5</xdr:col>
      <xdr:colOff>508217</xdr:colOff>
      <xdr:row>16</xdr:row>
      <xdr:rowOff>27085</xdr:rowOff>
    </xdr:to>
    <xdr:grpSp>
      <xdr:nvGrpSpPr>
        <xdr:cNvPr id="309" name="Gruppieren 308">
          <a:extLst>
            <a:ext uri="{FF2B5EF4-FFF2-40B4-BE49-F238E27FC236}">
              <a16:creationId xmlns:a16="http://schemas.microsoft.com/office/drawing/2014/main" id="{00000000-0008-0000-0700-000035010000}"/>
            </a:ext>
          </a:extLst>
        </xdr:cNvPr>
        <xdr:cNvGrpSpPr/>
      </xdr:nvGrpSpPr>
      <xdr:grpSpPr>
        <a:xfrm>
          <a:off x="2400668" y="3018869"/>
          <a:ext cx="126849" cy="208616"/>
          <a:chOff x="6665123" y="2144244"/>
          <a:chExt cx="126016" cy="200859"/>
        </a:xfrm>
      </xdr:grpSpPr>
      <xdr:sp macro="" textlink="">
        <xdr:nvSpPr>
          <xdr:cNvPr id="310" name="Rechtwinkliges Dreieck 133">
            <a:extLst>
              <a:ext uri="{FF2B5EF4-FFF2-40B4-BE49-F238E27FC236}">
                <a16:creationId xmlns:a16="http://schemas.microsoft.com/office/drawing/2014/main" id="{00000000-0008-0000-0700-000036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11" name="Gerade Verbindung 134">
            <a:extLst>
              <a:ext uri="{FF2B5EF4-FFF2-40B4-BE49-F238E27FC236}">
                <a16:creationId xmlns:a16="http://schemas.microsoft.com/office/drawing/2014/main" id="{00000000-0008-0000-0700-000037010000}"/>
              </a:ext>
            </a:extLst>
          </xdr:cNvPr>
          <xdr:cNvCxnSpPr>
            <a:stCxn id="310" idx="4"/>
            <a:endCxn id="31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12" name="Rechtwinkliges Dreieck 135">
            <a:extLst>
              <a:ext uri="{FF2B5EF4-FFF2-40B4-BE49-F238E27FC236}">
                <a16:creationId xmlns:a16="http://schemas.microsoft.com/office/drawing/2014/main" id="{00000000-0008-0000-0700-000038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13" name="Gerade Verbindung 136">
            <a:extLst>
              <a:ext uri="{FF2B5EF4-FFF2-40B4-BE49-F238E27FC236}">
                <a16:creationId xmlns:a16="http://schemas.microsoft.com/office/drawing/2014/main" id="{00000000-0008-0000-0700-000039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381368</xdr:colOff>
      <xdr:row>15</xdr:row>
      <xdr:rowOff>142320</xdr:rowOff>
    </xdr:from>
    <xdr:to>
      <xdr:col>17</xdr:col>
      <xdr:colOff>508217</xdr:colOff>
      <xdr:row>17</xdr:row>
      <xdr:rowOff>27086</xdr:rowOff>
    </xdr:to>
    <xdr:grpSp>
      <xdr:nvGrpSpPr>
        <xdr:cNvPr id="314" name="Gruppieren 313">
          <a:extLst>
            <a:ext uri="{FF2B5EF4-FFF2-40B4-BE49-F238E27FC236}">
              <a16:creationId xmlns:a16="http://schemas.microsoft.com/office/drawing/2014/main" id="{00000000-0008-0000-0700-00003A010000}"/>
            </a:ext>
          </a:extLst>
        </xdr:cNvPr>
        <xdr:cNvGrpSpPr/>
      </xdr:nvGrpSpPr>
      <xdr:grpSpPr>
        <a:xfrm>
          <a:off x="7010768" y="3180795"/>
          <a:ext cx="126849" cy="208616"/>
          <a:chOff x="6665123" y="2144244"/>
          <a:chExt cx="126016" cy="200859"/>
        </a:xfrm>
      </xdr:grpSpPr>
      <xdr:sp macro="" textlink="">
        <xdr:nvSpPr>
          <xdr:cNvPr id="315" name="Rechtwinkliges Dreieck 133">
            <a:extLst>
              <a:ext uri="{FF2B5EF4-FFF2-40B4-BE49-F238E27FC236}">
                <a16:creationId xmlns:a16="http://schemas.microsoft.com/office/drawing/2014/main" id="{00000000-0008-0000-0700-00003B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16" name="Gerade Verbindung 134">
            <a:extLst>
              <a:ext uri="{FF2B5EF4-FFF2-40B4-BE49-F238E27FC236}">
                <a16:creationId xmlns:a16="http://schemas.microsoft.com/office/drawing/2014/main" id="{00000000-0008-0000-0700-00003C010000}"/>
              </a:ext>
            </a:extLst>
          </xdr:cNvPr>
          <xdr:cNvCxnSpPr>
            <a:stCxn id="315" idx="4"/>
            <a:endCxn id="31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17" name="Rechtwinkliges Dreieck 135">
            <a:extLst>
              <a:ext uri="{FF2B5EF4-FFF2-40B4-BE49-F238E27FC236}">
                <a16:creationId xmlns:a16="http://schemas.microsoft.com/office/drawing/2014/main" id="{00000000-0008-0000-0700-00003D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18" name="Gerade Verbindung 136">
            <a:extLst>
              <a:ext uri="{FF2B5EF4-FFF2-40B4-BE49-F238E27FC236}">
                <a16:creationId xmlns:a16="http://schemas.microsoft.com/office/drawing/2014/main" id="{00000000-0008-0000-0700-00003E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18</xdr:row>
      <xdr:rowOff>137306</xdr:rowOff>
    </xdr:from>
    <xdr:to>
      <xdr:col>13</xdr:col>
      <xdr:colOff>515136</xdr:colOff>
      <xdr:row>20</xdr:row>
      <xdr:rowOff>22072</xdr:rowOff>
    </xdr:to>
    <xdr:grpSp>
      <xdr:nvGrpSpPr>
        <xdr:cNvPr id="319" name="Gruppieren 318">
          <a:extLst>
            <a:ext uri="{FF2B5EF4-FFF2-40B4-BE49-F238E27FC236}">
              <a16:creationId xmlns:a16="http://schemas.microsoft.com/office/drawing/2014/main" id="{00000000-0008-0000-0700-00003F010000}"/>
            </a:ext>
          </a:extLst>
        </xdr:cNvPr>
        <xdr:cNvGrpSpPr/>
      </xdr:nvGrpSpPr>
      <xdr:grpSpPr>
        <a:xfrm>
          <a:off x="5912787" y="3661556"/>
          <a:ext cx="126849" cy="208616"/>
          <a:chOff x="6665123" y="2144244"/>
          <a:chExt cx="126016" cy="200859"/>
        </a:xfrm>
      </xdr:grpSpPr>
      <xdr:sp macro="" textlink="">
        <xdr:nvSpPr>
          <xdr:cNvPr id="320" name="Rechtwinkliges Dreieck 133">
            <a:extLst>
              <a:ext uri="{FF2B5EF4-FFF2-40B4-BE49-F238E27FC236}">
                <a16:creationId xmlns:a16="http://schemas.microsoft.com/office/drawing/2014/main" id="{00000000-0008-0000-0700-000040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21" name="Gerade Verbindung 134">
            <a:extLst>
              <a:ext uri="{FF2B5EF4-FFF2-40B4-BE49-F238E27FC236}">
                <a16:creationId xmlns:a16="http://schemas.microsoft.com/office/drawing/2014/main" id="{00000000-0008-0000-0700-000041010000}"/>
              </a:ext>
            </a:extLst>
          </xdr:cNvPr>
          <xdr:cNvCxnSpPr>
            <a:stCxn id="320" idx="4"/>
            <a:endCxn id="32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22" name="Rechtwinkliges Dreieck 135">
            <a:extLst>
              <a:ext uri="{FF2B5EF4-FFF2-40B4-BE49-F238E27FC236}">
                <a16:creationId xmlns:a16="http://schemas.microsoft.com/office/drawing/2014/main" id="{00000000-0008-0000-0700-000042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23" name="Gerade Verbindung 136">
            <a:extLst>
              <a:ext uri="{FF2B5EF4-FFF2-40B4-BE49-F238E27FC236}">
                <a16:creationId xmlns:a16="http://schemas.microsoft.com/office/drawing/2014/main" id="{00000000-0008-0000-0700-000043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22</xdr:row>
      <xdr:rowOff>142319</xdr:rowOff>
    </xdr:from>
    <xdr:to>
      <xdr:col>13</xdr:col>
      <xdr:colOff>515136</xdr:colOff>
      <xdr:row>24</xdr:row>
      <xdr:rowOff>27085</xdr:rowOff>
    </xdr:to>
    <xdr:grpSp>
      <xdr:nvGrpSpPr>
        <xdr:cNvPr id="329" name="Gruppieren 328">
          <a:extLst>
            <a:ext uri="{FF2B5EF4-FFF2-40B4-BE49-F238E27FC236}">
              <a16:creationId xmlns:a16="http://schemas.microsoft.com/office/drawing/2014/main" id="{00000000-0008-0000-0700-000049010000}"/>
            </a:ext>
          </a:extLst>
        </xdr:cNvPr>
        <xdr:cNvGrpSpPr/>
      </xdr:nvGrpSpPr>
      <xdr:grpSpPr>
        <a:xfrm>
          <a:off x="5912787" y="4314269"/>
          <a:ext cx="126849" cy="208616"/>
          <a:chOff x="6665123" y="2144244"/>
          <a:chExt cx="126016" cy="200859"/>
        </a:xfrm>
      </xdr:grpSpPr>
      <xdr:sp macro="" textlink="">
        <xdr:nvSpPr>
          <xdr:cNvPr id="330" name="Rechtwinkliges Dreieck 133">
            <a:extLst>
              <a:ext uri="{FF2B5EF4-FFF2-40B4-BE49-F238E27FC236}">
                <a16:creationId xmlns:a16="http://schemas.microsoft.com/office/drawing/2014/main" id="{00000000-0008-0000-0700-00004A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31" name="Gerade Verbindung 134">
            <a:extLst>
              <a:ext uri="{FF2B5EF4-FFF2-40B4-BE49-F238E27FC236}">
                <a16:creationId xmlns:a16="http://schemas.microsoft.com/office/drawing/2014/main" id="{00000000-0008-0000-0700-00004B010000}"/>
              </a:ext>
            </a:extLst>
          </xdr:cNvPr>
          <xdr:cNvCxnSpPr>
            <a:stCxn id="330" idx="4"/>
            <a:endCxn id="33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32" name="Rechtwinkliges Dreieck 135">
            <a:extLst>
              <a:ext uri="{FF2B5EF4-FFF2-40B4-BE49-F238E27FC236}">
                <a16:creationId xmlns:a16="http://schemas.microsoft.com/office/drawing/2014/main" id="{00000000-0008-0000-0700-00004C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33" name="Gerade Verbindung 136">
            <a:extLst>
              <a:ext uri="{FF2B5EF4-FFF2-40B4-BE49-F238E27FC236}">
                <a16:creationId xmlns:a16="http://schemas.microsoft.com/office/drawing/2014/main" id="{00000000-0008-0000-0700-00004D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26</xdr:row>
      <xdr:rowOff>142319</xdr:rowOff>
    </xdr:from>
    <xdr:to>
      <xdr:col>13</xdr:col>
      <xdr:colOff>515136</xdr:colOff>
      <xdr:row>28</xdr:row>
      <xdr:rowOff>27085</xdr:rowOff>
    </xdr:to>
    <xdr:grpSp>
      <xdr:nvGrpSpPr>
        <xdr:cNvPr id="349" name="Gruppieren 348">
          <a:extLst>
            <a:ext uri="{FF2B5EF4-FFF2-40B4-BE49-F238E27FC236}">
              <a16:creationId xmlns:a16="http://schemas.microsoft.com/office/drawing/2014/main" id="{00000000-0008-0000-0700-00005D010000}"/>
            </a:ext>
          </a:extLst>
        </xdr:cNvPr>
        <xdr:cNvGrpSpPr/>
      </xdr:nvGrpSpPr>
      <xdr:grpSpPr>
        <a:xfrm>
          <a:off x="5912787" y="4961969"/>
          <a:ext cx="126849" cy="208616"/>
          <a:chOff x="6665123" y="2144244"/>
          <a:chExt cx="126016" cy="200859"/>
        </a:xfrm>
      </xdr:grpSpPr>
      <xdr:sp macro="" textlink="">
        <xdr:nvSpPr>
          <xdr:cNvPr id="350" name="Rechtwinkliges Dreieck 133">
            <a:extLst>
              <a:ext uri="{FF2B5EF4-FFF2-40B4-BE49-F238E27FC236}">
                <a16:creationId xmlns:a16="http://schemas.microsoft.com/office/drawing/2014/main" id="{00000000-0008-0000-0700-00005E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51" name="Gerade Verbindung 134">
            <a:extLst>
              <a:ext uri="{FF2B5EF4-FFF2-40B4-BE49-F238E27FC236}">
                <a16:creationId xmlns:a16="http://schemas.microsoft.com/office/drawing/2014/main" id="{00000000-0008-0000-0700-00005F010000}"/>
              </a:ext>
            </a:extLst>
          </xdr:cNvPr>
          <xdr:cNvCxnSpPr>
            <a:stCxn id="350" idx="4"/>
            <a:endCxn id="35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52" name="Rechtwinkliges Dreieck 135">
            <a:extLst>
              <a:ext uri="{FF2B5EF4-FFF2-40B4-BE49-F238E27FC236}">
                <a16:creationId xmlns:a16="http://schemas.microsoft.com/office/drawing/2014/main" id="{00000000-0008-0000-0700-000060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53" name="Gerade Verbindung 136">
            <a:extLst>
              <a:ext uri="{FF2B5EF4-FFF2-40B4-BE49-F238E27FC236}">
                <a16:creationId xmlns:a16="http://schemas.microsoft.com/office/drawing/2014/main" id="{00000000-0008-0000-0700-000061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381091</xdr:colOff>
      <xdr:row>30</xdr:row>
      <xdr:rowOff>142320</xdr:rowOff>
    </xdr:from>
    <xdr:to>
      <xdr:col>17</xdr:col>
      <xdr:colOff>507940</xdr:colOff>
      <xdr:row>32</xdr:row>
      <xdr:rowOff>27085</xdr:rowOff>
    </xdr:to>
    <xdr:grpSp>
      <xdr:nvGrpSpPr>
        <xdr:cNvPr id="354" name="Gruppieren 353">
          <a:extLst>
            <a:ext uri="{FF2B5EF4-FFF2-40B4-BE49-F238E27FC236}">
              <a16:creationId xmlns:a16="http://schemas.microsoft.com/office/drawing/2014/main" id="{00000000-0008-0000-0700-000062010000}"/>
            </a:ext>
          </a:extLst>
        </xdr:cNvPr>
        <xdr:cNvGrpSpPr/>
      </xdr:nvGrpSpPr>
      <xdr:grpSpPr>
        <a:xfrm>
          <a:off x="7010491" y="5609670"/>
          <a:ext cx="126849" cy="208615"/>
          <a:chOff x="6665123" y="2144244"/>
          <a:chExt cx="126016" cy="200859"/>
        </a:xfrm>
      </xdr:grpSpPr>
      <xdr:sp macro="" textlink="">
        <xdr:nvSpPr>
          <xdr:cNvPr id="355" name="Rechtwinkliges Dreieck 133">
            <a:extLst>
              <a:ext uri="{FF2B5EF4-FFF2-40B4-BE49-F238E27FC236}">
                <a16:creationId xmlns:a16="http://schemas.microsoft.com/office/drawing/2014/main" id="{00000000-0008-0000-0700-000063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56" name="Gerade Verbindung 134">
            <a:extLst>
              <a:ext uri="{FF2B5EF4-FFF2-40B4-BE49-F238E27FC236}">
                <a16:creationId xmlns:a16="http://schemas.microsoft.com/office/drawing/2014/main" id="{00000000-0008-0000-0700-000064010000}"/>
              </a:ext>
            </a:extLst>
          </xdr:cNvPr>
          <xdr:cNvCxnSpPr>
            <a:stCxn id="355" idx="4"/>
            <a:endCxn id="35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57" name="Rechtwinkliges Dreieck 135">
            <a:extLst>
              <a:ext uri="{FF2B5EF4-FFF2-40B4-BE49-F238E27FC236}">
                <a16:creationId xmlns:a16="http://schemas.microsoft.com/office/drawing/2014/main" id="{00000000-0008-0000-0700-000065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58" name="Gerade Verbindung 136">
            <a:extLst>
              <a:ext uri="{FF2B5EF4-FFF2-40B4-BE49-F238E27FC236}">
                <a16:creationId xmlns:a16="http://schemas.microsoft.com/office/drawing/2014/main" id="{00000000-0008-0000-0700-000066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381368</xdr:colOff>
      <xdr:row>30</xdr:row>
      <xdr:rowOff>142317</xdr:rowOff>
    </xdr:from>
    <xdr:to>
      <xdr:col>5</xdr:col>
      <xdr:colOff>508217</xdr:colOff>
      <xdr:row>32</xdr:row>
      <xdr:rowOff>27082</xdr:rowOff>
    </xdr:to>
    <xdr:grpSp>
      <xdr:nvGrpSpPr>
        <xdr:cNvPr id="359" name="Gruppieren 358">
          <a:extLst>
            <a:ext uri="{FF2B5EF4-FFF2-40B4-BE49-F238E27FC236}">
              <a16:creationId xmlns:a16="http://schemas.microsoft.com/office/drawing/2014/main" id="{00000000-0008-0000-0700-000067010000}"/>
            </a:ext>
          </a:extLst>
        </xdr:cNvPr>
        <xdr:cNvGrpSpPr/>
      </xdr:nvGrpSpPr>
      <xdr:grpSpPr>
        <a:xfrm>
          <a:off x="2400668" y="5609667"/>
          <a:ext cx="126849" cy="208615"/>
          <a:chOff x="6665123" y="2144244"/>
          <a:chExt cx="126016" cy="200859"/>
        </a:xfrm>
      </xdr:grpSpPr>
      <xdr:sp macro="" textlink="">
        <xdr:nvSpPr>
          <xdr:cNvPr id="360" name="Rechtwinkliges Dreieck 133">
            <a:extLst>
              <a:ext uri="{FF2B5EF4-FFF2-40B4-BE49-F238E27FC236}">
                <a16:creationId xmlns:a16="http://schemas.microsoft.com/office/drawing/2014/main" id="{00000000-0008-0000-0700-000068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61" name="Gerade Verbindung 134">
            <a:extLst>
              <a:ext uri="{FF2B5EF4-FFF2-40B4-BE49-F238E27FC236}">
                <a16:creationId xmlns:a16="http://schemas.microsoft.com/office/drawing/2014/main" id="{00000000-0008-0000-0700-000069010000}"/>
              </a:ext>
            </a:extLst>
          </xdr:cNvPr>
          <xdr:cNvCxnSpPr>
            <a:stCxn id="360" idx="4"/>
            <a:endCxn id="36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62" name="Rechtwinkliges Dreieck 135">
            <a:extLst>
              <a:ext uri="{FF2B5EF4-FFF2-40B4-BE49-F238E27FC236}">
                <a16:creationId xmlns:a16="http://schemas.microsoft.com/office/drawing/2014/main" id="{00000000-0008-0000-0700-00006A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63" name="Gerade Verbindung 136">
            <a:extLst>
              <a:ext uri="{FF2B5EF4-FFF2-40B4-BE49-F238E27FC236}">
                <a16:creationId xmlns:a16="http://schemas.microsoft.com/office/drawing/2014/main" id="{00000000-0008-0000-0700-00006B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381368</xdr:colOff>
      <xdr:row>32</xdr:row>
      <xdr:rowOff>142317</xdr:rowOff>
    </xdr:from>
    <xdr:to>
      <xdr:col>5</xdr:col>
      <xdr:colOff>508217</xdr:colOff>
      <xdr:row>34</xdr:row>
      <xdr:rowOff>27084</xdr:rowOff>
    </xdr:to>
    <xdr:grpSp>
      <xdr:nvGrpSpPr>
        <xdr:cNvPr id="364" name="Gruppieren 363">
          <a:extLst>
            <a:ext uri="{FF2B5EF4-FFF2-40B4-BE49-F238E27FC236}">
              <a16:creationId xmlns:a16="http://schemas.microsoft.com/office/drawing/2014/main" id="{00000000-0008-0000-0700-00006C010000}"/>
            </a:ext>
          </a:extLst>
        </xdr:cNvPr>
        <xdr:cNvGrpSpPr/>
      </xdr:nvGrpSpPr>
      <xdr:grpSpPr>
        <a:xfrm>
          <a:off x="2400668" y="5933517"/>
          <a:ext cx="126849" cy="208617"/>
          <a:chOff x="6665123" y="2144244"/>
          <a:chExt cx="126016" cy="200859"/>
        </a:xfrm>
      </xdr:grpSpPr>
      <xdr:sp macro="" textlink="">
        <xdr:nvSpPr>
          <xdr:cNvPr id="365" name="Rechtwinkliges Dreieck 133">
            <a:extLst>
              <a:ext uri="{FF2B5EF4-FFF2-40B4-BE49-F238E27FC236}">
                <a16:creationId xmlns:a16="http://schemas.microsoft.com/office/drawing/2014/main" id="{00000000-0008-0000-0700-00006D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66" name="Gerade Verbindung 134">
            <a:extLst>
              <a:ext uri="{FF2B5EF4-FFF2-40B4-BE49-F238E27FC236}">
                <a16:creationId xmlns:a16="http://schemas.microsoft.com/office/drawing/2014/main" id="{00000000-0008-0000-0700-00006E010000}"/>
              </a:ext>
            </a:extLst>
          </xdr:cNvPr>
          <xdr:cNvCxnSpPr>
            <a:stCxn id="365" idx="4"/>
            <a:endCxn id="36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67" name="Rechtwinkliges Dreieck 135">
            <a:extLst>
              <a:ext uri="{FF2B5EF4-FFF2-40B4-BE49-F238E27FC236}">
                <a16:creationId xmlns:a16="http://schemas.microsoft.com/office/drawing/2014/main" id="{00000000-0008-0000-0700-00006F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68" name="Gerade Verbindung 136">
            <a:extLst>
              <a:ext uri="{FF2B5EF4-FFF2-40B4-BE49-F238E27FC236}">
                <a16:creationId xmlns:a16="http://schemas.microsoft.com/office/drawing/2014/main" id="{00000000-0008-0000-0700-000070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31</xdr:row>
      <xdr:rowOff>142318</xdr:rowOff>
    </xdr:from>
    <xdr:to>
      <xdr:col>14</xdr:col>
      <xdr:colOff>1844</xdr:colOff>
      <xdr:row>33</xdr:row>
      <xdr:rowOff>27084</xdr:rowOff>
    </xdr:to>
    <xdr:grpSp>
      <xdr:nvGrpSpPr>
        <xdr:cNvPr id="369" name="Gruppieren 368">
          <a:extLst>
            <a:ext uri="{FF2B5EF4-FFF2-40B4-BE49-F238E27FC236}">
              <a16:creationId xmlns:a16="http://schemas.microsoft.com/office/drawing/2014/main" id="{00000000-0008-0000-0700-000071010000}"/>
            </a:ext>
          </a:extLst>
        </xdr:cNvPr>
        <xdr:cNvGrpSpPr/>
      </xdr:nvGrpSpPr>
      <xdr:grpSpPr>
        <a:xfrm>
          <a:off x="5912787" y="5771593"/>
          <a:ext cx="127907" cy="208616"/>
          <a:chOff x="6665123" y="2144244"/>
          <a:chExt cx="126016" cy="200859"/>
        </a:xfrm>
      </xdr:grpSpPr>
      <xdr:sp macro="" textlink="">
        <xdr:nvSpPr>
          <xdr:cNvPr id="370" name="Rechtwinkliges Dreieck 133">
            <a:extLst>
              <a:ext uri="{FF2B5EF4-FFF2-40B4-BE49-F238E27FC236}">
                <a16:creationId xmlns:a16="http://schemas.microsoft.com/office/drawing/2014/main" id="{00000000-0008-0000-0700-000072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71" name="Gerade Verbindung 134">
            <a:extLst>
              <a:ext uri="{FF2B5EF4-FFF2-40B4-BE49-F238E27FC236}">
                <a16:creationId xmlns:a16="http://schemas.microsoft.com/office/drawing/2014/main" id="{00000000-0008-0000-0700-000073010000}"/>
              </a:ext>
            </a:extLst>
          </xdr:cNvPr>
          <xdr:cNvCxnSpPr>
            <a:stCxn id="370" idx="4"/>
            <a:endCxn id="37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72" name="Rechtwinkliges Dreieck 135">
            <a:extLst>
              <a:ext uri="{FF2B5EF4-FFF2-40B4-BE49-F238E27FC236}">
                <a16:creationId xmlns:a16="http://schemas.microsoft.com/office/drawing/2014/main" id="{00000000-0008-0000-0700-000074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73" name="Gerade Verbindung 136">
            <a:extLst>
              <a:ext uri="{FF2B5EF4-FFF2-40B4-BE49-F238E27FC236}">
                <a16:creationId xmlns:a16="http://schemas.microsoft.com/office/drawing/2014/main" id="{00000000-0008-0000-0700-000075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35</xdr:row>
      <xdr:rowOff>142317</xdr:rowOff>
    </xdr:from>
    <xdr:to>
      <xdr:col>14</xdr:col>
      <xdr:colOff>1844</xdr:colOff>
      <xdr:row>37</xdr:row>
      <xdr:rowOff>27083</xdr:rowOff>
    </xdr:to>
    <xdr:grpSp>
      <xdr:nvGrpSpPr>
        <xdr:cNvPr id="374" name="Gruppieren 373">
          <a:extLst>
            <a:ext uri="{FF2B5EF4-FFF2-40B4-BE49-F238E27FC236}">
              <a16:creationId xmlns:a16="http://schemas.microsoft.com/office/drawing/2014/main" id="{00000000-0008-0000-0700-000076010000}"/>
            </a:ext>
          </a:extLst>
        </xdr:cNvPr>
        <xdr:cNvGrpSpPr/>
      </xdr:nvGrpSpPr>
      <xdr:grpSpPr>
        <a:xfrm>
          <a:off x="5912787" y="6419292"/>
          <a:ext cx="127907" cy="208616"/>
          <a:chOff x="6665123" y="2144244"/>
          <a:chExt cx="126016" cy="200859"/>
        </a:xfrm>
      </xdr:grpSpPr>
      <xdr:sp macro="" textlink="">
        <xdr:nvSpPr>
          <xdr:cNvPr id="375" name="Rechtwinkliges Dreieck 133">
            <a:extLst>
              <a:ext uri="{FF2B5EF4-FFF2-40B4-BE49-F238E27FC236}">
                <a16:creationId xmlns:a16="http://schemas.microsoft.com/office/drawing/2014/main" id="{00000000-0008-0000-0700-000077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76" name="Gerade Verbindung 134">
            <a:extLst>
              <a:ext uri="{FF2B5EF4-FFF2-40B4-BE49-F238E27FC236}">
                <a16:creationId xmlns:a16="http://schemas.microsoft.com/office/drawing/2014/main" id="{00000000-0008-0000-0700-000078010000}"/>
              </a:ext>
            </a:extLst>
          </xdr:cNvPr>
          <xdr:cNvCxnSpPr>
            <a:stCxn id="375" idx="4"/>
            <a:endCxn id="37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77" name="Rechtwinkliges Dreieck 135">
            <a:extLst>
              <a:ext uri="{FF2B5EF4-FFF2-40B4-BE49-F238E27FC236}">
                <a16:creationId xmlns:a16="http://schemas.microsoft.com/office/drawing/2014/main" id="{00000000-0008-0000-0700-000079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78" name="Gerade Verbindung 136">
            <a:extLst>
              <a:ext uri="{FF2B5EF4-FFF2-40B4-BE49-F238E27FC236}">
                <a16:creationId xmlns:a16="http://schemas.microsoft.com/office/drawing/2014/main" id="{00000000-0008-0000-0700-00007A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381368</xdr:colOff>
      <xdr:row>34</xdr:row>
      <xdr:rowOff>142317</xdr:rowOff>
    </xdr:from>
    <xdr:to>
      <xdr:col>5</xdr:col>
      <xdr:colOff>508217</xdr:colOff>
      <xdr:row>36</xdr:row>
      <xdr:rowOff>27083</xdr:rowOff>
    </xdr:to>
    <xdr:grpSp>
      <xdr:nvGrpSpPr>
        <xdr:cNvPr id="379" name="Gruppieren 378">
          <a:extLst>
            <a:ext uri="{FF2B5EF4-FFF2-40B4-BE49-F238E27FC236}">
              <a16:creationId xmlns:a16="http://schemas.microsoft.com/office/drawing/2014/main" id="{00000000-0008-0000-0700-00007B010000}"/>
            </a:ext>
          </a:extLst>
        </xdr:cNvPr>
        <xdr:cNvGrpSpPr/>
      </xdr:nvGrpSpPr>
      <xdr:grpSpPr>
        <a:xfrm>
          <a:off x="2400668" y="6257367"/>
          <a:ext cx="126849" cy="208616"/>
          <a:chOff x="6665123" y="2144244"/>
          <a:chExt cx="126016" cy="200859"/>
        </a:xfrm>
      </xdr:grpSpPr>
      <xdr:sp macro="" textlink="">
        <xdr:nvSpPr>
          <xdr:cNvPr id="380" name="Rechtwinkliges Dreieck 133">
            <a:extLst>
              <a:ext uri="{FF2B5EF4-FFF2-40B4-BE49-F238E27FC236}">
                <a16:creationId xmlns:a16="http://schemas.microsoft.com/office/drawing/2014/main" id="{00000000-0008-0000-0700-00007C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81" name="Gerade Verbindung 134">
            <a:extLst>
              <a:ext uri="{FF2B5EF4-FFF2-40B4-BE49-F238E27FC236}">
                <a16:creationId xmlns:a16="http://schemas.microsoft.com/office/drawing/2014/main" id="{00000000-0008-0000-0700-00007D010000}"/>
              </a:ext>
            </a:extLst>
          </xdr:cNvPr>
          <xdr:cNvCxnSpPr>
            <a:stCxn id="380" idx="4"/>
            <a:endCxn id="38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82" name="Rechtwinkliges Dreieck 135">
            <a:extLst>
              <a:ext uri="{FF2B5EF4-FFF2-40B4-BE49-F238E27FC236}">
                <a16:creationId xmlns:a16="http://schemas.microsoft.com/office/drawing/2014/main" id="{00000000-0008-0000-0700-00007E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83" name="Gerade Verbindung 136">
            <a:extLst>
              <a:ext uri="{FF2B5EF4-FFF2-40B4-BE49-F238E27FC236}">
                <a16:creationId xmlns:a16="http://schemas.microsoft.com/office/drawing/2014/main" id="{00000000-0008-0000-0700-00007F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381368</xdr:colOff>
      <xdr:row>36</xdr:row>
      <xdr:rowOff>142318</xdr:rowOff>
    </xdr:from>
    <xdr:to>
      <xdr:col>5</xdr:col>
      <xdr:colOff>508217</xdr:colOff>
      <xdr:row>38</xdr:row>
      <xdr:rowOff>27084</xdr:rowOff>
    </xdr:to>
    <xdr:grpSp>
      <xdr:nvGrpSpPr>
        <xdr:cNvPr id="384" name="Gruppieren 383">
          <a:extLst>
            <a:ext uri="{FF2B5EF4-FFF2-40B4-BE49-F238E27FC236}">
              <a16:creationId xmlns:a16="http://schemas.microsoft.com/office/drawing/2014/main" id="{00000000-0008-0000-0700-000080010000}"/>
            </a:ext>
          </a:extLst>
        </xdr:cNvPr>
        <xdr:cNvGrpSpPr/>
      </xdr:nvGrpSpPr>
      <xdr:grpSpPr>
        <a:xfrm>
          <a:off x="2400668" y="6581218"/>
          <a:ext cx="126849" cy="208616"/>
          <a:chOff x="6665123" y="2144244"/>
          <a:chExt cx="126016" cy="200859"/>
        </a:xfrm>
      </xdr:grpSpPr>
      <xdr:sp macro="" textlink="">
        <xdr:nvSpPr>
          <xdr:cNvPr id="385" name="Rechtwinkliges Dreieck 133">
            <a:extLst>
              <a:ext uri="{FF2B5EF4-FFF2-40B4-BE49-F238E27FC236}">
                <a16:creationId xmlns:a16="http://schemas.microsoft.com/office/drawing/2014/main" id="{00000000-0008-0000-0700-000081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86" name="Gerade Verbindung 134">
            <a:extLst>
              <a:ext uri="{FF2B5EF4-FFF2-40B4-BE49-F238E27FC236}">
                <a16:creationId xmlns:a16="http://schemas.microsoft.com/office/drawing/2014/main" id="{00000000-0008-0000-0700-000082010000}"/>
              </a:ext>
            </a:extLst>
          </xdr:cNvPr>
          <xdr:cNvCxnSpPr>
            <a:stCxn id="385" idx="4"/>
            <a:endCxn id="38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87" name="Rechtwinkliges Dreieck 135">
            <a:extLst>
              <a:ext uri="{FF2B5EF4-FFF2-40B4-BE49-F238E27FC236}">
                <a16:creationId xmlns:a16="http://schemas.microsoft.com/office/drawing/2014/main" id="{00000000-0008-0000-0700-000083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88" name="Gerade Verbindung 136">
            <a:extLst>
              <a:ext uri="{FF2B5EF4-FFF2-40B4-BE49-F238E27FC236}">
                <a16:creationId xmlns:a16="http://schemas.microsoft.com/office/drawing/2014/main" id="{00000000-0008-0000-0700-000084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5292</xdr:colOff>
      <xdr:row>38</xdr:row>
      <xdr:rowOff>148167</xdr:rowOff>
    </xdr:from>
    <xdr:to>
      <xdr:col>0</xdr:col>
      <xdr:colOff>131308</xdr:colOff>
      <xdr:row>40</xdr:row>
      <xdr:rowOff>23687</xdr:rowOff>
    </xdr:to>
    <xdr:grpSp>
      <xdr:nvGrpSpPr>
        <xdr:cNvPr id="389" name="Gruppieren 388">
          <a:extLst>
            <a:ext uri="{FF2B5EF4-FFF2-40B4-BE49-F238E27FC236}">
              <a16:creationId xmlns:a16="http://schemas.microsoft.com/office/drawing/2014/main" id="{00000000-0008-0000-0700-000085010000}"/>
            </a:ext>
          </a:extLst>
        </xdr:cNvPr>
        <xdr:cNvGrpSpPr/>
      </xdr:nvGrpSpPr>
      <xdr:grpSpPr>
        <a:xfrm flipH="1">
          <a:off x="5292" y="6910917"/>
          <a:ext cx="126016" cy="199370"/>
          <a:chOff x="6665123" y="2144244"/>
          <a:chExt cx="126016" cy="200859"/>
        </a:xfrm>
      </xdr:grpSpPr>
      <xdr:sp macro="" textlink="">
        <xdr:nvSpPr>
          <xdr:cNvPr id="390" name="Rechtwinkliges Dreieck 133">
            <a:extLst>
              <a:ext uri="{FF2B5EF4-FFF2-40B4-BE49-F238E27FC236}">
                <a16:creationId xmlns:a16="http://schemas.microsoft.com/office/drawing/2014/main" id="{00000000-0008-0000-0700-00008601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91" name="Gerade Verbindung 134">
            <a:extLst>
              <a:ext uri="{FF2B5EF4-FFF2-40B4-BE49-F238E27FC236}">
                <a16:creationId xmlns:a16="http://schemas.microsoft.com/office/drawing/2014/main" id="{00000000-0008-0000-0700-000087010000}"/>
              </a:ext>
            </a:extLst>
          </xdr:cNvPr>
          <xdr:cNvCxnSpPr>
            <a:stCxn id="390" idx="4"/>
            <a:endCxn id="39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92" name="Rechtwinkliges Dreieck 135">
            <a:extLst>
              <a:ext uri="{FF2B5EF4-FFF2-40B4-BE49-F238E27FC236}">
                <a16:creationId xmlns:a16="http://schemas.microsoft.com/office/drawing/2014/main" id="{00000000-0008-0000-0700-000088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93" name="Gerade Verbindung 136">
            <a:extLst>
              <a:ext uri="{FF2B5EF4-FFF2-40B4-BE49-F238E27FC236}">
                <a16:creationId xmlns:a16="http://schemas.microsoft.com/office/drawing/2014/main" id="{00000000-0008-0000-0700-000089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38</xdr:row>
      <xdr:rowOff>142318</xdr:rowOff>
    </xdr:from>
    <xdr:to>
      <xdr:col>14</xdr:col>
      <xdr:colOff>1844</xdr:colOff>
      <xdr:row>40</xdr:row>
      <xdr:rowOff>27084</xdr:rowOff>
    </xdr:to>
    <xdr:grpSp>
      <xdr:nvGrpSpPr>
        <xdr:cNvPr id="394" name="Gruppieren 393">
          <a:extLst>
            <a:ext uri="{FF2B5EF4-FFF2-40B4-BE49-F238E27FC236}">
              <a16:creationId xmlns:a16="http://schemas.microsoft.com/office/drawing/2014/main" id="{00000000-0008-0000-0700-00008A010000}"/>
            </a:ext>
          </a:extLst>
        </xdr:cNvPr>
        <xdr:cNvGrpSpPr/>
      </xdr:nvGrpSpPr>
      <xdr:grpSpPr>
        <a:xfrm>
          <a:off x="5912787" y="6905068"/>
          <a:ext cx="127907" cy="208616"/>
          <a:chOff x="6665123" y="2144244"/>
          <a:chExt cx="126016" cy="200859"/>
        </a:xfrm>
      </xdr:grpSpPr>
      <xdr:sp macro="" textlink="">
        <xdr:nvSpPr>
          <xdr:cNvPr id="395" name="Rechtwinkliges Dreieck 133">
            <a:extLst>
              <a:ext uri="{FF2B5EF4-FFF2-40B4-BE49-F238E27FC236}">
                <a16:creationId xmlns:a16="http://schemas.microsoft.com/office/drawing/2014/main" id="{00000000-0008-0000-0700-00008B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96" name="Gerade Verbindung 134">
            <a:extLst>
              <a:ext uri="{FF2B5EF4-FFF2-40B4-BE49-F238E27FC236}">
                <a16:creationId xmlns:a16="http://schemas.microsoft.com/office/drawing/2014/main" id="{00000000-0008-0000-0700-00008C010000}"/>
              </a:ext>
            </a:extLst>
          </xdr:cNvPr>
          <xdr:cNvCxnSpPr>
            <a:stCxn id="395" idx="4"/>
            <a:endCxn id="39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97" name="Rechtwinkliges Dreieck 135">
            <a:extLst>
              <a:ext uri="{FF2B5EF4-FFF2-40B4-BE49-F238E27FC236}">
                <a16:creationId xmlns:a16="http://schemas.microsoft.com/office/drawing/2014/main" id="{00000000-0008-0000-0700-00008D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98" name="Gerade Verbindung 136">
            <a:extLst>
              <a:ext uri="{FF2B5EF4-FFF2-40B4-BE49-F238E27FC236}">
                <a16:creationId xmlns:a16="http://schemas.microsoft.com/office/drawing/2014/main" id="{00000000-0008-0000-0700-00008E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381368</xdr:colOff>
      <xdr:row>40</xdr:row>
      <xdr:rowOff>142316</xdr:rowOff>
    </xdr:from>
    <xdr:to>
      <xdr:col>5</xdr:col>
      <xdr:colOff>508217</xdr:colOff>
      <xdr:row>42</xdr:row>
      <xdr:rowOff>27083</xdr:rowOff>
    </xdr:to>
    <xdr:grpSp>
      <xdr:nvGrpSpPr>
        <xdr:cNvPr id="399" name="Gruppieren 398">
          <a:extLst>
            <a:ext uri="{FF2B5EF4-FFF2-40B4-BE49-F238E27FC236}">
              <a16:creationId xmlns:a16="http://schemas.microsoft.com/office/drawing/2014/main" id="{00000000-0008-0000-0700-00008F010000}"/>
            </a:ext>
          </a:extLst>
        </xdr:cNvPr>
        <xdr:cNvGrpSpPr/>
      </xdr:nvGrpSpPr>
      <xdr:grpSpPr>
        <a:xfrm>
          <a:off x="2400668" y="7228916"/>
          <a:ext cx="126849" cy="208617"/>
          <a:chOff x="6665123" y="2144244"/>
          <a:chExt cx="126016" cy="200859"/>
        </a:xfrm>
      </xdr:grpSpPr>
      <xdr:sp macro="" textlink="">
        <xdr:nvSpPr>
          <xdr:cNvPr id="400" name="Rechtwinkliges Dreieck 133">
            <a:extLst>
              <a:ext uri="{FF2B5EF4-FFF2-40B4-BE49-F238E27FC236}">
                <a16:creationId xmlns:a16="http://schemas.microsoft.com/office/drawing/2014/main" id="{00000000-0008-0000-0700-000090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01" name="Gerade Verbindung 134">
            <a:extLst>
              <a:ext uri="{FF2B5EF4-FFF2-40B4-BE49-F238E27FC236}">
                <a16:creationId xmlns:a16="http://schemas.microsoft.com/office/drawing/2014/main" id="{00000000-0008-0000-0700-000091010000}"/>
              </a:ext>
            </a:extLst>
          </xdr:cNvPr>
          <xdr:cNvCxnSpPr>
            <a:stCxn id="400" idx="4"/>
            <a:endCxn id="40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02" name="Rechtwinkliges Dreieck 135">
            <a:extLst>
              <a:ext uri="{FF2B5EF4-FFF2-40B4-BE49-F238E27FC236}">
                <a16:creationId xmlns:a16="http://schemas.microsoft.com/office/drawing/2014/main" id="{00000000-0008-0000-0700-000092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03" name="Gerade Verbindung 136">
            <a:extLst>
              <a:ext uri="{FF2B5EF4-FFF2-40B4-BE49-F238E27FC236}">
                <a16:creationId xmlns:a16="http://schemas.microsoft.com/office/drawing/2014/main" id="{00000000-0008-0000-0700-000093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14392</xdr:colOff>
      <xdr:row>40</xdr:row>
      <xdr:rowOff>148167</xdr:rowOff>
    </xdr:from>
    <xdr:to>
      <xdr:col>10</xdr:col>
      <xdr:colOff>140408</xdr:colOff>
      <xdr:row>42</xdr:row>
      <xdr:rowOff>23687</xdr:rowOff>
    </xdr:to>
    <xdr:grpSp>
      <xdr:nvGrpSpPr>
        <xdr:cNvPr id="404" name="Gruppieren 403">
          <a:extLst>
            <a:ext uri="{FF2B5EF4-FFF2-40B4-BE49-F238E27FC236}">
              <a16:creationId xmlns:a16="http://schemas.microsoft.com/office/drawing/2014/main" id="{00000000-0008-0000-0700-000094010000}"/>
            </a:ext>
          </a:extLst>
        </xdr:cNvPr>
        <xdr:cNvGrpSpPr/>
      </xdr:nvGrpSpPr>
      <xdr:grpSpPr>
        <a:xfrm flipH="1">
          <a:off x="4548292" y="7234767"/>
          <a:ext cx="126016" cy="199370"/>
          <a:chOff x="6665123" y="2144244"/>
          <a:chExt cx="126016" cy="200859"/>
        </a:xfrm>
      </xdr:grpSpPr>
      <xdr:sp macro="" textlink="">
        <xdr:nvSpPr>
          <xdr:cNvPr id="405" name="Rechtwinkliges Dreieck 133">
            <a:extLst>
              <a:ext uri="{FF2B5EF4-FFF2-40B4-BE49-F238E27FC236}">
                <a16:creationId xmlns:a16="http://schemas.microsoft.com/office/drawing/2014/main" id="{00000000-0008-0000-0700-000095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06" name="Gerade Verbindung 134">
            <a:extLst>
              <a:ext uri="{FF2B5EF4-FFF2-40B4-BE49-F238E27FC236}">
                <a16:creationId xmlns:a16="http://schemas.microsoft.com/office/drawing/2014/main" id="{00000000-0008-0000-0700-000096010000}"/>
              </a:ext>
            </a:extLst>
          </xdr:cNvPr>
          <xdr:cNvCxnSpPr>
            <a:stCxn id="405" idx="4"/>
            <a:endCxn id="40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07" name="Rechtwinkliges Dreieck 135">
            <a:extLst>
              <a:ext uri="{FF2B5EF4-FFF2-40B4-BE49-F238E27FC236}">
                <a16:creationId xmlns:a16="http://schemas.microsoft.com/office/drawing/2014/main" id="{00000000-0008-0000-0700-000097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08" name="Gerade Verbindung 136">
            <a:extLst>
              <a:ext uri="{FF2B5EF4-FFF2-40B4-BE49-F238E27FC236}">
                <a16:creationId xmlns:a16="http://schemas.microsoft.com/office/drawing/2014/main" id="{00000000-0008-0000-0700-000098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14391</xdr:colOff>
      <xdr:row>43</xdr:row>
      <xdr:rowOff>148167</xdr:rowOff>
    </xdr:from>
    <xdr:to>
      <xdr:col>17</xdr:col>
      <xdr:colOff>140407</xdr:colOff>
      <xdr:row>45</xdr:row>
      <xdr:rowOff>23687</xdr:rowOff>
    </xdr:to>
    <xdr:grpSp>
      <xdr:nvGrpSpPr>
        <xdr:cNvPr id="409" name="Gruppieren 408">
          <a:extLst>
            <a:ext uri="{FF2B5EF4-FFF2-40B4-BE49-F238E27FC236}">
              <a16:creationId xmlns:a16="http://schemas.microsoft.com/office/drawing/2014/main" id="{00000000-0008-0000-0700-000099010000}"/>
            </a:ext>
          </a:extLst>
        </xdr:cNvPr>
        <xdr:cNvGrpSpPr/>
      </xdr:nvGrpSpPr>
      <xdr:grpSpPr>
        <a:xfrm flipH="1">
          <a:off x="6643791" y="7720542"/>
          <a:ext cx="126016" cy="199370"/>
          <a:chOff x="6665123" y="2144244"/>
          <a:chExt cx="126016" cy="200859"/>
        </a:xfrm>
      </xdr:grpSpPr>
      <xdr:sp macro="" textlink="">
        <xdr:nvSpPr>
          <xdr:cNvPr id="410" name="Rechtwinkliges Dreieck 133">
            <a:extLst>
              <a:ext uri="{FF2B5EF4-FFF2-40B4-BE49-F238E27FC236}">
                <a16:creationId xmlns:a16="http://schemas.microsoft.com/office/drawing/2014/main" id="{00000000-0008-0000-0700-00009A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11" name="Gerade Verbindung 134">
            <a:extLst>
              <a:ext uri="{FF2B5EF4-FFF2-40B4-BE49-F238E27FC236}">
                <a16:creationId xmlns:a16="http://schemas.microsoft.com/office/drawing/2014/main" id="{00000000-0008-0000-0700-00009B010000}"/>
              </a:ext>
            </a:extLst>
          </xdr:cNvPr>
          <xdr:cNvCxnSpPr>
            <a:stCxn id="410" idx="4"/>
            <a:endCxn id="41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12" name="Rechtwinkliges Dreieck 135">
            <a:extLst>
              <a:ext uri="{FF2B5EF4-FFF2-40B4-BE49-F238E27FC236}">
                <a16:creationId xmlns:a16="http://schemas.microsoft.com/office/drawing/2014/main" id="{00000000-0008-0000-0700-00009C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13" name="Gerade Verbindung 136">
            <a:extLst>
              <a:ext uri="{FF2B5EF4-FFF2-40B4-BE49-F238E27FC236}">
                <a16:creationId xmlns:a16="http://schemas.microsoft.com/office/drawing/2014/main" id="{00000000-0008-0000-0700-00009D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5292</xdr:colOff>
      <xdr:row>42</xdr:row>
      <xdr:rowOff>142877</xdr:rowOff>
    </xdr:from>
    <xdr:to>
      <xdr:col>0</xdr:col>
      <xdr:colOff>131308</xdr:colOff>
      <xdr:row>44</xdr:row>
      <xdr:rowOff>18396</xdr:rowOff>
    </xdr:to>
    <xdr:grpSp>
      <xdr:nvGrpSpPr>
        <xdr:cNvPr id="414" name="Gruppieren 413">
          <a:extLst>
            <a:ext uri="{FF2B5EF4-FFF2-40B4-BE49-F238E27FC236}">
              <a16:creationId xmlns:a16="http://schemas.microsoft.com/office/drawing/2014/main" id="{00000000-0008-0000-0700-00009E010000}"/>
            </a:ext>
          </a:extLst>
        </xdr:cNvPr>
        <xdr:cNvGrpSpPr/>
      </xdr:nvGrpSpPr>
      <xdr:grpSpPr>
        <a:xfrm flipH="1">
          <a:off x="5292" y="7553327"/>
          <a:ext cx="126016" cy="199369"/>
          <a:chOff x="6665123" y="2144244"/>
          <a:chExt cx="126016" cy="200859"/>
        </a:xfrm>
      </xdr:grpSpPr>
      <xdr:sp macro="" textlink="">
        <xdr:nvSpPr>
          <xdr:cNvPr id="415" name="Rechtwinkliges Dreieck 133">
            <a:extLst>
              <a:ext uri="{FF2B5EF4-FFF2-40B4-BE49-F238E27FC236}">
                <a16:creationId xmlns:a16="http://schemas.microsoft.com/office/drawing/2014/main" id="{00000000-0008-0000-0700-00009F01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16" name="Gerade Verbindung 134">
            <a:extLst>
              <a:ext uri="{FF2B5EF4-FFF2-40B4-BE49-F238E27FC236}">
                <a16:creationId xmlns:a16="http://schemas.microsoft.com/office/drawing/2014/main" id="{00000000-0008-0000-0700-0000A0010000}"/>
              </a:ext>
            </a:extLst>
          </xdr:cNvPr>
          <xdr:cNvCxnSpPr>
            <a:stCxn id="415" idx="4"/>
            <a:endCxn id="41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17" name="Rechtwinkliges Dreieck 135">
            <a:extLst>
              <a:ext uri="{FF2B5EF4-FFF2-40B4-BE49-F238E27FC236}">
                <a16:creationId xmlns:a16="http://schemas.microsoft.com/office/drawing/2014/main" id="{00000000-0008-0000-0700-0000A1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18" name="Gerade Verbindung 136">
            <a:extLst>
              <a:ext uri="{FF2B5EF4-FFF2-40B4-BE49-F238E27FC236}">
                <a16:creationId xmlns:a16="http://schemas.microsoft.com/office/drawing/2014/main" id="{00000000-0008-0000-0700-0000A2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5292</xdr:colOff>
      <xdr:row>46</xdr:row>
      <xdr:rowOff>148168</xdr:rowOff>
    </xdr:from>
    <xdr:to>
      <xdr:col>0</xdr:col>
      <xdr:colOff>131308</xdr:colOff>
      <xdr:row>48</xdr:row>
      <xdr:rowOff>23688</xdr:rowOff>
    </xdr:to>
    <xdr:grpSp>
      <xdr:nvGrpSpPr>
        <xdr:cNvPr id="419" name="Gruppieren 418">
          <a:extLst>
            <a:ext uri="{FF2B5EF4-FFF2-40B4-BE49-F238E27FC236}">
              <a16:creationId xmlns:a16="http://schemas.microsoft.com/office/drawing/2014/main" id="{00000000-0008-0000-0700-0000A3010000}"/>
            </a:ext>
          </a:extLst>
        </xdr:cNvPr>
        <xdr:cNvGrpSpPr/>
      </xdr:nvGrpSpPr>
      <xdr:grpSpPr>
        <a:xfrm flipH="1">
          <a:off x="5292" y="8206318"/>
          <a:ext cx="126016" cy="199370"/>
          <a:chOff x="6665123" y="2144244"/>
          <a:chExt cx="126016" cy="200859"/>
        </a:xfrm>
      </xdr:grpSpPr>
      <xdr:sp macro="" textlink="">
        <xdr:nvSpPr>
          <xdr:cNvPr id="420" name="Rechtwinkliges Dreieck 133">
            <a:extLst>
              <a:ext uri="{FF2B5EF4-FFF2-40B4-BE49-F238E27FC236}">
                <a16:creationId xmlns:a16="http://schemas.microsoft.com/office/drawing/2014/main" id="{00000000-0008-0000-0700-0000A401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21" name="Gerade Verbindung 134">
            <a:extLst>
              <a:ext uri="{FF2B5EF4-FFF2-40B4-BE49-F238E27FC236}">
                <a16:creationId xmlns:a16="http://schemas.microsoft.com/office/drawing/2014/main" id="{00000000-0008-0000-0700-0000A5010000}"/>
              </a:ext>
            </a:extLst>
          </xdr:cNvPr>
          <xdr:cNvCxnSpPr>
            <a:stCxn id="420" idx="4"/>
            <a:endCxn id="42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22" name="Rechtwinkliges Dreieck 135">
            <a:extLst>
              <a:ext uri="{FF2B5EF4-FFF2-40B4-BE49-F238E27FC236}">
                <a16:creationId xmlns:a16="http://schemas.microsoft.com/office/drawing/2014/main" id="{00000000-0008-0000-0700-0000A6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23" name="Gerade Verbindung 136">
            <a:extLst>
              <a:ext uri="{FF2B5EF4-FFF2-40B4-BE49-F238E27FC236}">
                <a16:creationId xmlns:a16="http://schemas.microsoft.com/office/drawing/2014/main" id="{00000000-0008-0000-0700-0000A7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381368</xdr:colOff>
      <xdr:row>44</xdr:row>
      <xdr:rowOff>142315</xdr:rowOff>
    </xdr:from>
    <xdr:to>
      <xdr:col>5</xdr:col>
      <xdr:colOff>508217</xdr:colOff>
      <xdr:row>46</xdr:row>
      <xdr:rowOff>27082</xdr:rowOff>
    </xdr:to>
    <xdr:grpSp>
      <xdr:nvGrpSpPr>
        <xdr:cNvPr id="424" name="Gruppieren 423">
          <a:extLst>
            <a:ext uri="{FF2B5EF4-FFF2-40B4-BE49-F238E27FC236}">
              <a16:creationId xmlns:a16="http://schemas.microsoft.com/office/drawing/2014/main" id="{00000000-0008-0000-0700-0000A8010000}"/>
            </a:ext>
          </a:extLst>
        </xdr:cNvPr>
        <xdr:cNvGrpSpPr/>
      </xdr:nvGrpSpPr>
      <xdr:grpSpPr>
        <a:xfrm>
          <a:off x="2400668" y="7876615"/>
          <a:ext cx="126849" cy="208617"/>
          <a:chOff x="6665123" y="2144244"/>
          <a:chExt cx="126016" cy="200859"/>
        </a:xfrm>
      </xdr:grpSpPr>
      <xdr:sp macro="" textlink="">
        <xdr:nvSpPr>
          <xdr:cNvPr id="425" name="Rechtwinkliges Dreieck 133">
            <a:extLst>
              <a:ext uri="{FF2B5EF4-FFF2-40B4-BE49-F238E27FC236}">
                <a16:creationId xmlns:a16="http://schemas.microsoft.com/office/drawing/2014/main" id="{00000000-0008-0000-0700-0000A9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26" name="Gerade Verbindung 134">
            <a:extLst>
              <a:ext uri="{FF2B5EF4-FFF2-40B4-BE49-F238E27FC236}">
                <a16:creationId xmlns:a16="http://schemas.microsoft.com/office/drawing/2014/main" id="{00000000-0008-0000-0700-0000AA010000}"/>
              </a:ext>
            </a:extLst>
          </xdr:cNvPr>
          <xdr:cNvCxnSpPr>
            <a:stCxn id="425" idx="4"/>
            <a:endCxn id="42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27" name="Rechtwinkliges Dreieck 135">
            <a:extLst>
              <a:ext uri="{FF2B5EF4-FFF2-40B4-BE49-F238E27FC236}">
                <a16:creationId xmlns:a16="http://schemas.microsoft.com/office/drawing/2014/main" id="{00000000-0008-0000-0700-0000AB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28" name="Gerade Verbindung 136">
            <a:extLst>
              <a:ext uri="{FF2B5EF4-FFF2-40B4-BE49-F238E27FC236}">
                <a16:creationId xmlns:a16="http://schemas.microsoft.com/office/drawing/2014/main" id="{00000000-0008-0000-0700-0000AC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381368</xdr:colOff>
      <xdr:row>48</xdr:row>
      <xdr:rowOff>142317</xdr:rowOff>
    </xdr:from>
    <xdr:to>
      <xdr:col>5</xdr:col>
      <xdr:colOff>508217</xdr:colOff>
      <xdr:row>50</xdr:row>
      <xdr:rowOff>27083</xdr:rowOff>
    </xdr:to>
    <xdr:grpSp>
      <xdr:nvGrpSpPr>
        <xdr:cNvPr id="429" name="Gruppieren 428">
          <a:extLst>
            <a:ext uri="{FF2B5EF4-FFF2-40B4-BE49-F238E27FC236}">
              <a16:creationId xmlns:a16="http://schemas.microsoft.com/office/drawing/2014/main" id="{00000000-0008-0000-0700-0000AD010000}"/>
            </a:ext>
          </a:extLst>
        </xdr:cNvPr>
        <xdr:cNvGrpSpPr/>
      </xdr:nvGrpSpPr>
      <xdr:grpSpPr>
        <a:xfrm>
          <a:off x="2400668" y="8524317"/>
          <a:ext cx="126849" cy="208616"/>
          <a:chOff x="6665123" y="2144244"/>
          <a:chExt cx="126016" cy="200859"/>
        </a:xfrm>
      </xdr:grpSpPr>
      <xdr:sp macro="" textlink="">
        <xdr:nvSpPr>
          <xdr:cNvPr id="430" name="Rechtwinkliges Dreieck 133">
            <a:extLst>
              <a:ext uri="{FF2B5EF4-FFF2-40B4-BE49-F238E27FC236}">
                <a16:creationId xmlns:a16="http://schemas.microsoft.com/office/drawing/2014/main" id="{00000000-0008-0000-0700-0000AE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31" name="Gerade Verbindung 134">
            <a:extLst>
              <a:ext uri="{FF2B5EF4-FFF2-40B4-BE49-F238E27FC236}">
                <a16:creationId xmlns:a16="http://schemas.microsoft.com/office/drawing/2014/main" id="{00000000-0008-0000-0700-0000AF010000}"/>
              </a:ext>
            </a:extLst>
          </xdr:cNvPr>
          <xdr:cNvCxnSpPr>
            <a:stCxn id="430" idx="4"/>
            <a:endCxn id="43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32" name="Rechtwinkliges Dreieck 135">
            <a:extLst>
              <a:ext uri="{FF2B5EF4-FFF2-40B4-BE49-F238E27FC236}">
                <a16:creationId xmlns:a16="http://schemas.microsoft.com/office/drawing/2014/main" id="{00000000-0008-0000-0700-0000B0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33" name="Gerade Verbindung 136">
            <a:extLst>
              <a:ext uri="{FF2B5EF4-FFF2-40B4-BE49-F238E27FC236}">
                <a16:creationId xmlns:a16="http://schemas.microsoft.com/office/drawing/2014/main" id="{00000000-0008-0000-0700-0000B1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14392</xdr:colOff>
      <xdr:row>44</xdr:row>
      <xdr:rowOff>148166</xdr:rowOff>
    </xdr:from>
    <xdr:to>
      <xdr:col>10</xdr:col>
      <xdr:colOff>140408</xdr:colOff>
      <xdr:row>46</xdr:row>
      <xdr:rowOff>23686</xdr:rowOff>
    </xdr:to>
    <xdr:grpSp>
      <xdr:nvGrpSpPr>
        <xdr:cNvPr id="434" name="Gruppieren 433">
          <a:extLst>
            <a:ext uri="{FF2B5EF4-FFF2-40B4-BE49-F238E27FC236}">
              <a16:creationId xmlns:a16="http://schemas.microsoft.com/office/drawing/2014/main" id="{00000000-0008-0000-0700-0000B2010000}"/>
            </a:ext>
          </a:extLst>
        </xdr:cNvPr>
        <xdr:cNvGrpSpPr/>
      </xdr:nvGrpSpPr>
      <xdr:grpSpPr>
        <a:xfrm flipH="1">
          <a:off x="4548292" y="7882466"/>
          <a:ext cx="126016" cy="199370"/>
          <a:chOff x="6665123" y="2144244"/>
          <a:chExt cx="126016" cy="200859"/>
        </a:xfrm>
      </xdr:grpSpPr>
      <xdr:sp macro="" textlink="">
        <xdr:nvSpPr>
          <xdr:cNvPr id="435" name="Rechtwinkliges Dreieck 133">
            <a:extLst>
              <a:ext uri="{FF2B5EF4-FFF2-40B4-BE49-F238E27FC236}">
                <a16:creationId xmlns:a16="http://schemas.microsoft.com/office/drawing/2014/main" id="{00000000-0008-0000-0700-0000B3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36" name="Gerade Verbindung 134">
            <a:extLst>
              <a:ext uri="{FF2B5EF4-FFF2-40B4-BE49-F238E27FC236}">
                <a16:creationId xmlns:a16="http://schemas.microsoft.com/office/drawing/2014/main" id="{00000000-0008-0000-0700-0000B4010000}"/>
              </a:ext>
            </a:extLst>
          </xdr:cNvPr>
          <xdr:cNvCxnSpPr>
            <a:stCxn id="435" idx="4"/>
            <a:endCxn id="43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37" name="Rechtwinkliges Dreieck 135">
            <a:extLst>
              <a:ext uri="{FF2B5EF4-FFF2-40B4-BE49-F238E27FC236}">
                <a16:creationId xmlns:a16="http://schemas.microsoft.com/office/drawing/2014/main" id="{00000000-0008-0000-0700-0000B5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38" name="Gerade Verbindung 136">
            <a:extLst>
              <a:ext uri="{FF2B5EF4-FFF2-40B4-BE49-F238E27FC236}">
                <a16:creationId xmlns:a16="http://schemas.microsoft.com/office/drawing/2014/main" id="{00000000-0008-0000-0700-0000B6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14392</xdr:colOff>
      <xdr:row>48</xdr:row>
      <xdr:rowOff>148167</xdr:rowOff>
    </xdr:from>
    <xdr:to>
      <xdr:col>10</xdr:col>
      <xdr:colOff>140408</xdr:colOff>
      <xdr:row>50</xdr:row>
      <xdr:rowOff>23686</xdr:rowOff>
    </xdr:to>
    <xdr:grpSp>
      <xdr:nvGrpSpPr>
        <xdr:cNvPr id="439" name="Gruppieren 438">
          <a:extLst>
            <a:ext uri="{FF2B5EF4-FFF2-40B4-BE49-F238E27FC236}">
              <a16:creationId xmlns:a16="http://schemas.microsoft.com/office/drawing/2014/main" id="{00000000-0008-0000-0700-0000B7010000}"/>
            </a:ext>
          </a:extLst>
        </xdr:cNvPr>
        <xdr:cNvGrpSpPr/>
      </xdr:nvGrpSpPr>
      <xdr:grpSpPr>
        <a:xfrm flipH="1">
          <a:off x="4548292" y="8530167"/>
          <a:ext cx="126016" cy="199369"/>
          <a:chOff x="6665123" y="2144244"/>
          <a:chExt cx="126016" cy="200859"/>
        </a:xfrm>
      </xdr:grpSpPr>
      <xdr:sp macro="" textlink="">
        <xdr:nvSpPr>
          <xdr:cNvPr id="440" name="Rechtwinkliges Dreieck 133">
            <a:extLst>
              <a:ext uri="{FF2B5EF4-FFF2-40B4-BE49-F238E27FC236}">
                <a16:creationId xmlns:a16="http://schemas.microsoft.com/office/drawing/2014/main" id="{00000000-0008-0000-0700-0000B8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41" name="Gerade Verbindung 134">
            <a:extLst>
              <a:ext uri="{FF2B5EF4-FFF2-40B4-BE49-F238E27FC236}">
                <a16:creationId xmlns:a16="http://schemas.microsoft.com/office/drawing/2014/main" id="{00000000-0008-0000-0700-0000B9010000}"/>
              </a:ext>
            </a:extLst>
          </xdr:cNvPr>
          <xdr:cNvCxnSpPr>
            <a:stCxn id="440" idx="4"/>
            <a:endCxn id="44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42" name="Rechtwinkliges Dreieck 135">
            <a:extLst>
              <a:ext uri="{FF2B5EF4-FFF2-40B4-BE49-F238E27FC236}">
                <a16:creationId xmlns:a16="http://schemas.microsoft.com/office/drawing/2014/main" id="{00000000-0008-0000-0700-0000BA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43" name="Gerade Verbindung 136">
            <a:extLst>
              <a:ext uri="{FF2B5EF4-FFF2-40B4-BE49-F238E27FC236}">
                <a16:creationId xmlns:a16="http://schemas.microsoft.com/office/drawing/2014/main" id="{00000000-0008-0000-0700-0000BB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42</xdr:row>
      <xdr:rowOff>137027</xdr:rowOff>
    </xdr:from>
    <xdr:to>
      <xdr:col>14</xdr:col>
      <xdr:colOff>1844</xdr:colOff>
      <xdr:row>44</xdr:row>
      <xdr:rowOff>21792</xdr:rowOff>
    </xdr:to>
    <xdr:grpSp>
      <xdr:nvGrpSpPr>
        <xdr:cNvPr id="444" name="Gruppieren 443">
          <a:extLst>
            <a:ext uri="{FF2B5EF4-FFF2-40B4-BE49-F238E27FC236}">
              <a16:creationId xmlns:a16="http://schemas.microsoft.com/office/drawing/2014/main" id="{00000000-0008-0000-0700-0000BC010000}"/>
            </a:ext>
          </a:extLst>
        </xdr:cNvPr>
        <xdr:cNvGrpSpPr/>
      </xdr:nvGrpSpPr>
      <xdr:grpSpPr>
        <a:xfrm>
          <a:off x="5912787" y="7547477"/>
          <a:ext cx="127907" cy="208615"/>
          <a:chOff x="6665123" y="2144244"/>
          <a:chExt cx="126016" cy="200859"/>
        </a:xfrm>
      </xdr:grpSpPr>
      <xdr:sp macro="" textlink="">
        <xdr:nvSpPr>
          <xdr:cNvPr id="445" name="Rechtwinkliges Dreieck 133">
            <a:extLst>
              <a:ext uri="{FF2B5EF4-FFF2-40B4-BE49-F238E27FC236}">
                <a16:creationId xmlns:a16="http://schemas.microsoft.com/office/drawing/2014/main" id="{00000000-0008-0000-0700-0000BD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46" name="Gerade Verbindung 134">
            <a:extLst>
              <a:ext uri="{FF2B5EF4-FFF2-40B4-BE49-F238E27FC236}">
                <a16:creationId xmlns:a16="http://schemas.microsoft.com/office/drawing/2014/main" id="{00000000-0008-0000-0700-0000BE010000}"/>
              </a:ext>
            </a:extLst>
          </xdr:cNvPr>
          <xdr:cNvCxnSpPr>
            <a:stCxn id="445" idx="4"/>
            <a:endCxn id="44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47" name="Rechtwinkliges Dreieck 135">
            <a:extLst>
              <a:ext uri="{FF2B5EF4-FFF2-40B4-BE49-F238E27FC236}">
                <a16:creationId xmlns:a16="http://schemas.microsoft.com/office/drawing/2014/main" id="{00000000-0008-0000-0700-0000BF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48" name="Gerade Verbindung 136">
            <a:extLst>
              <a:ext uri="{FF2B5EF4-FFF2-40B4-BE49-F238E27FC236}">
                <a16:creationId xmlns:a16="http://schemas.microsoft.com/office/drawing/2014/main" id="{00000000-0008-0000-0700-0000C0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46</xdr:row>
      <xdr:rowOff>142318</xdr:rowOff>
    </xdr:from>
    <xdr:to>
      <xdr:col>14</xdr:col>
      <xdr:colOff>1844</xdr:colOff>
      <xdr:row>48</xdr:row>
      <xdr:rowOff>27084</xdr:rowOff>
    </xdr:to>
    <xdr:grpSp>
      <xdr:nvGrpSpPr>
        <xdr:cNvPr id="449" name="Gruppieren 448">
          <a:extLst>
            <a:ext uri="{FF2B5EF4-FFF2-40B4-BE49-F238E27FC236}">
              <a16:creationId xmlns:a16="http://schemas.microsoft.com/office/drawing/2014/main" id="{00000000-0008-0000-0700-0000C1010000}"/>
            </a:ext>
          </a:extLst>
        </xdr:cNvPr>
        <xdr:cNvGrpSpPr/>
      </xdr:nvGrpSpPr>
      <xdr:grpSpPr>
        <a:xfrm>
          <a:off x="5912787" y="8200468"/>
          <a:ext cx="127907" cy="208616"/>
          <a:chOff x="6665123" y="2144244"/>
          <a:chExt cx="126016" cy="200859"/>
        </a:xfrm>
      </xdr:grpSpPr>
      <xdr:sp macro="" textlink="">
        <xdr:nvSpPr>
          <xdr:cNvPr id="450" name="Rechtwinkliges Dreieck 133">
            <a:extLst>
              <a:ext uri="{FF2B5EF4-FFF2-40B4-BE49-F238E27FC236}">
                <a16:creationId xmlns:a16="http://schemas.microsoft.com/office/drawing/2014/main" id="{00000000-0008-0000-0700-0000C2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51" name="Gerade Verbindung 134">
            <a:extLst>
              <a:ext uri="{FF2B5EF4-FFF2-40B4-BE49-F238E27FC236}">
                <a16:creationId xmlns:a16="http://schemas.microsoft.com/office/drawing/2014/main" id="{00000000-0008-0000-0700-0000C3010000}"/>
              </a:ext>
            </a:extLst>
          </xdr:cNvPr>
          <xdr:cNvCxnSpPr>
            <a:stCxn id="450" idx="4"/>
            <a:endCxn id="45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52" name="Rechtwinkliges Dreieck 135">
            <a:extLst>
              <a:ext uri="{FF2B5EF4-FFF2-40B4-BE49-F238E27FC236}">
                <a16:creationId xmlns:a16="http://schemas.microsoft.com/office/drawing/2014/main" id="{00000000-0008-0000-0700-0000C4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53" name="Gerade Verbindung 136">
            <a:extLst>
              <a:ext uri="{FF2B5EF4-FFF2-40B4-BE49-F238E27FC236}">
                <a16:creationId xmlns:a16="http://schemas.microsoft.com/office/drawing/2014/main" id="{00000000-0008-0000-0700-0000C5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5292</xdr:colOff>
      <xdr:row>50</xdr:row>
      <xdr:rowOff>148168</xdr:rowOff>
    </xdr:from>
    <xdr:to>
      <xdr:col>0</xdr:col>
      <xdr:colOff>131308</xdr:colOff>
      <xdr:row>52</xdr:row>
      <xdr:rowOff>23688</xdr:rowOff>
    </xdr:to>
    <xdr:grpSp>
      <xdr:nvGrpSpPr>
        <xdr:cNvPr id="454" name="Gruppieren 453">
          <a:extLst>
            <a:ext uri="{FF2B5EF4-FFF2-40B4-BE49-F238E27FC236}">
              <a16:creationId xmlns:a16="http://schemas.microsoft.com/office/drawing/2014/main" id="{00000000-0008-0000-0700-0000C6010000}"/>
            </a:ext>
          </a:extLst>
        </xdr:cNvPr>
        <xdr:cNvGrpSpPr/>
      </xdr:nvGrpSpPr>
      <xdr:grpSpPr>
        <a:xfrm flipH="1">
          <a:off x="5292" y="8854018"/>
          <a:ext cx="126016" cy="199370"/>
          <a:chOff x="6665123" y="2144244"/>
          <a:chExt cx="126016" cy="200859"/>
        </a:xfrm>
      </xdr:grpSpPr>
      <xdr:sp macro="" textlink="">
        <xdr:nvSpPr>
          <xdr:cNvPr id="455" name="Rechtwinkliges Dreieck 133">
            <a:extLst>
              <a:ext uri="{FF2B5EF4-FFF2-40B4-BE49-F238E27FC236}">
                <a16:creationId xmlns:a16="http://schemas.microsoft.com/office/drawing/2014/main" id="{00000000-0008-0000-0700-0000C701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56" name="Gerade Verbindung 134">
            <a:extLst>
              <a:ext uri="{FF2B5EF4-FFF2-40B4-BE49-F238E27FC236}">
                <a16:creationId xmlns:a16="http://schemas.microsoft.com/office/drawing/2014/main" id="{00000000-0008-0000-0700-0000C8010000}"/>
              </a:ext>
            </a:extLst>
          </xdr:cNvPr>
          <xdr:cNvCxnSpPr>
            <a:stCxn id="455" idx="4"/>
            <a:endCxn id="45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57" name="Rechtwinkliges Dreieck 135">
            <a:extLst>
              <a:ext uri="{FF2B5EF4-FFF2-40B4-BE49-F238E27FC236}">
                <a16:creationId xmlns:a16="http://schemas.microsoft.com/office/drawing/2014/main" id="{00000000-0008-0000-0700-0000C9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58" name="Gerade Verbindung 136">
            <a:extLst>
              <a:ext uri="{FF2B5EF4-FFF2-40B4-BE49-F238E27FC236}">
                <a16:creationId xmlns:a16="http://schemas.microsoft.com/office/drawing/2014/main" id="{00000000-0008-0000-0700-0000CA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14392</xdr:colOff>
      <xdr:row>51</xdr:row>
      <xdr:rowOff>148168</xdr:rowOff>
    </xdr:from>
    <xdr:to>
      <xdr:col>10</xdr:col>
      <xdr:colOff>140408</xdr:colOff>
      <xdr:row>53</xdr:row>
      <xdr:rowOff>23687</xdr:rowOff>
    </xdr:to>
    <xdr:grpSp>
      <xdr:nvGrpSpPr>
        <xdr:cNvPr id="469" name="Gruppieren 468">
          <a:extLst>
            <a:ext uri="{FF2B5EF4-FFF2-40B4-BE49-F238E27FC236}">
              <a16:creationId xmlns:a16="http://schemas.microsoft.com/office/drawing/2014/main" id="{00000000-0008-0000-0700-0000D5010000}"/>
            </a:ext>
          </a:extLst>
        </xdr:cNvPr>
        <xdr:cNvGrpSpPr/>
      </xdr:nvGrpSpPr>
      <xdr:grpSpPr>
        <a:xfrm flipH="1">
          <a:off x="4548292" y="9015943"/>
          <a:ext cx="126016" cy="199369"/>
          <a:chOff x="6665123" y="2144244"/>
          <a:chExt cx="126016" cy="200859"/>
        </a:xfrm>
      </xdr:grpSpPr>
      <xdr:sp macro="" textlink="">
        <xdr:nvSpPr>
          <xdr:cNvPr id="470" name="Rechtwinkliges Dreieck 133">
            <a:extLst>
              <a:ext uri="{FF2B5EF4-FFF2-40B4-BE49-F238E27FC236}">
                <a16:creationId xmlns:a16="http://schemas.microsoft.com/office/drawing/2014/main" id="{00000000-0008-0000-0700-0000D6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71" name="Gerade Verbindung 134">
            <a:extLst>
              <a:ext uri="{FF2B5EF4-FFF2-40B4-BE49-F238E27FC236}">
                <a16:creationId xmlns:a16="http://schemas.microsoft.com/office/drawing/2014/main" id="{00000000-0008-0000-0700-0000D7010000}"/>
              </a:ext>
            </a:extLst>
          </xdr:cNvPr>
          <xdr:cNvCxnSpPr>
            <a:stCxn id="470" idx="4"/>
            <a:endCxn id="47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72" name="Rechtwinkliges Dreieck 135">
            <a:extLst>
              <a:ext uri="{FF2B5EF4-FFF2-40B4-BE49-F238E27FC236}">
                <a16:creationId xmlns:a16="http://schemas.microsoft.com/office/drawing/2014/main" id="{00000000-0008-0000-0700-0000D8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73" name="Gerade Verbindung 136">
            <a:extLst>
              <a:ext uri="{FF2B5EF4-FFF2-40B4-BE49-F238E27FC236}">
                <a16:creationId xmlns:a16="http://schemas.microsoft.com/office/drawing/2014/main" id="{00000000-0008-0000-0700-0000D9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57</xdr:row>
      <xdr:rowOff>142319</xdr:rowOff>
    </xdr:from>
    <xdr:to>
      <xdr:col>14</xdr:col>
      <xdr:colOff>1844</xdr:colOff>
      <xdr:row>59</xdr:row>
      <xdr:rowOff>27084</xdr:rowOff>
    </xdr:to>
    <xdr:grpSp>
      <xdr:nvGrpSpPr>
        <xdr:cNvPr id="474" name="Gruppieren 473">
          <a:extLst>
            <a:ext uri="{FF2B5EF4-FFF2-40B4-BE49-F238E27FC236}">
              <a16:creationId xmlns:a16="http://schemas.microsoft.com/office/drawing/2014/main" id="{00000000-0008-0000-0700-0000DA010000}"/>
            </a:ext>
          </a:extLst>
        </xdr:cNvPr>
        <xdr:cNvGrpSpPr/>
      </xdr:nvGrpSpPr>
      <xdr:grpSpPr>
        <a:xfrm>
          <a:off x="5912787" y="9895919"/>
          <a:ext cx="127907" cy="208615"/>
          <a:chOff x="6665123" y="2144244"/>
          <a:chExt cx="126016" cy="200859"/>
        </a:xfrm>
      </xdr:grpSpPr>
      <xdr:sp macro="" textlink="">
        <xdr:nvSpPr>
          <xdr:cNvPr id="475" name="Rechtwinkliges Dreieck 133">
            <a:extLst>
              <a:ext uri="{FF2B5EF4-FFF2-40B4-BE49-F238E27FC236}">
                <a16:creationId xmlns:a16="http://schemas.microsoft.com/office/drawing/2014/main" id="{00000000-0008-0000-0700-0000DB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76" name="Gerade Verbindung 134">
            <a:extLst>
              <a:ext uri="{FF2B5EF4-FFF2-40B4-BE49-F238E27FC236}">
                <a16:creationId xmlns:a16="http://schemas.microsoft.com/office/drawing/2014/main" id="{00000000-0008-0000-0700-0000DC010000}"/>
              </a:ext>
            </a:extLst>
          </xdr:cNvPr>
          <xdr:cNvCxnSpPr>
            <a:stCxn id="475" idx="4"/>
            <a:endCxn id="47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77" name="Rechtwinkliges Dreieck 135">
            <a:extLst>
              <a:ext uri="{FF2B5EF4-FFF2-40B4-BE49-F238E27FC236}">
                <a16:creationId xmlns:a16="http://schemas.microsoft.com/office/drawing/2014/main" id="{00000000-0008-0000-0700-0000DD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78" name="Gerade Verbindung 136">
            <a:extLst>
              <a:ext uri="{FF2B5EF4-FFF2-40B4-BE49-F238E27FC236}">
                <a16:creationId xmlns:a16="http://schemas.microsoft.com/office/drawing/2014/main" id="{00000000-0008-0000-0700-0000DE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59</xdr:row>
      <xdr:rowOff>137026</xdr:rowOff>
    </xdr:from>
    <xdr:to>
      <xdr:col>14</xdr:col>
      <xdr:colOff>1844</xdr:colOff>
      <xdr:row>61</xdr:row>
      <xdr:rowOff>21792</xdr:rowOff>
    </xdr:to>
    <xdr:grpSp>
      <xdr:nvGrpSpPr>
        <xdr:cNvPr id="479" name="Gruppieren 478">
          <a:extLst>
            <a:ext uri="{FF2B5EF4-FFF2-40B4-BE49-F238E27FC236}">
              <a16:creationId xmlns:a16="http://schemas.microsoft.com/office/drawing/2014/main" id="{00000000-0008-0000-0700-0000DF010000}"/>
            </a:ext>
          </a:extLst>
        </xdr:cNvPr>
        <xdr:cNvGrpSpPr/>
      </xdr:nvGrpSpPr>
      <xdr:grpSpPr>
        <a:xfrm>
          <a:off x="5912787" y="10214476"/>
          <a:ext cx="127907" cy="208616"/>
          <a:chOff x="6665123" y="2144244"/>
          <a:chExt cx="126016" cy="200859"/>
        </a:xfrm>
      </xdr:grpSpPr>
      <xdr:sp macro="" textlink="">
        <xdr:nvSpPr>
          <xdr:cNvPr id="480" name="Rechtwinkliges Dreieck 133">
            <a:extLst>
              <a:ext uri="{FF2B5EF4-FFF2-40B4-BE49-F238E27FC236}">
                <a16:creationId xmlns:a16="http://schemas.microsoft.com/office/drawing/2014/main" id="{00000000-0008-0000-0700-0000E0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81" name="Gerade Verbindung 134">
            <a:extLst>
              <a:ext uri="{FF2B5EF4-FFF2-40B4-BE49-F238E27FC236}">
                <a16:creationId xmlns:a16="http://schemas.microsoft.com/office/drawing/2014/main" id="{00000000-0008-0000-0700-0000E1010000}"/>
              </a:ext>
            </a:extLst>
          </xdr:cNvPr>
          <xdr:cNvCxnSpPr>
            <a:stCxn id="480" idx="4"/>
            <a:endCxn id="48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82" name="Rechtwinkliges Dreieck 135">
            <a:extLst>
              <a:ext uri="{FF2B5EF4-FFF2-40B4-BE49-F238E27FC236}">
                <a16:creationId xmlns:a16="http://schemas.microsoft.com/office/drawing/2014/main" id="{00000000-0008-0000-0700-0000E2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83" name="Gerade Verbindung 136">
            <a:extLst>
              <a:ext uri="{FF2B5EF4-FFF2-40B4-BE49-F238E27FC236}">
                <a16:creationId xmlns:a16="http://schemas.microsoft.com/office/drawing/2014/main" id="{00000000-0008-0000-0700-0000E3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15</xdr:col>
      <xdr:colOff>14392</xdr:colOff>
      <xdr:row>57</xdr:row>
      <xdr:rowOff>148166</xdr:rowOff>
    </xdr:from>
    <xdr:to>
      <xdr:col>15</xdr:col>
      <xdr:colOff>140408</xdr:colOff>
      <xdr:row>59</xdr:row>
      <xdr:rowOff>23685</xdr:rowOff>
    </xdr:to>
    <xdr:grpSp>
      <xdr:nvGrpSpPr>
        <xdr:cNvPr id="484" name="Gruppieren 483">
          <a:extLst>
            <a:ext uri="{FF2B5EF4-FFF2-40B4-BE49-F238E27FC236}">
              <a16:creationId xmlns:a16="http://schemas.microsoft.com/office/drawing/2014/main" id="{00000000-0008-0000-0700-0000E4010000}"/>
            </a:ext>
          </a:extLst>
        </xdr:cNvPr>
        <xdr:cNvGrpSpPr/>
      </xdr:nvGrpSpPr>
      <xdr:grpSpPr>
        <a:xfrm flipH="1">
          <a:off x="6224692" y="9901766"/>
          <a:ext cx="126016" cy="199369"/>
          <a:chOff x="6665123" y="2144244"/>
          <a:chExt cx="126016" cy="200859"/>
        </a:xfrm>
      </xdr:grpSpPr>
      <xdr:sp macro="" textlink="">
        <xdr:nvSpPr>
          <xdr:cNvPr id="485" name="Rechtwinkliges Dreieck 133">
            <a:extLst>
              <a:ext uri="{FF2B5EF4-FFF2-40B4-BE49-F238E27FC236}">
                <a16:creationId xmlns:a16="http://schemas.microsoft.com/office/drawing/2014/main" id="{00000000-0008-0000-0700-0000E5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86" name="Gerade Verbindung 134">
            <a:extLst>
              <a:ext uri="{FF2B5EF4-FFF2-40B4-BE49-F238E27FC236}">
                <a16:creationId xmlns:a16="http://schemas.microsoft.com/office/drawing/2014/main" id="{00000000-0008-0000-0700-0000E6010000}"/>
              </a:ext>
            </a:extLst>
          </xdr:cNvPr>
          <xdr:cNvCxnSpPr>
            <a:stCxn id="485" idx="4"/>
            <a:endCxn id="48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87" name="Rechtwinkliges Dreieck 135">
            <a:extLst>
              <a:ext uri="{FF2B5EF4-FFF2-40B4-BE49-F238E27FC236}">
                <a16:creationId xmlns:a16="http://schemas.microsoft.com/office/drawing/2014/main" id="{00000000-0008-0000-0700-0000E7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88" name="Gerade Verbindung 136">
            <a:extLst>
              <a:ext uri="{FF2B5EF4-FFF2-40B4-BE49-F238E27FC236}">
                <a16:creationId xmlns:a16="http://schemas.microsoft.com/office/drawing/2014/main" id="{00000000-0008-0000-0700-0000E8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14394</xdr:colOff>
      <xdr:row>64</xdr:row>
      <xdr:rowOff>146461</xdr:rowOff>
    </xdr:from>
    <xdr:to>
      <xdr:col>10</xdr:col>
      <xdr:colOff>140410</xdr:colOff>
      <xdr:row>66</xdr:row>
      <xdr:rowOff>24211</xdr:rowOff>
    </xdr:to>
    <xdr:grpSp>
      <xdr:nvGrpSpPr>
        <xdr:cNvPr id="489" name="Gruppieren 488">
          <a:extLst>
            <a:ext uri="{FF2B5EF4-FFF2-40B4-BE49-F238E27FC236}">
              <a16:creationId xmlns:a16="http://schemas.microsoft.com/office/drawing/2014/main" id="{00000000-0008-0000-0700-0000E9010000}"/>
            </a:ext>
          </a:extLst>
        </xdr:cNvPr>
        <xdr:cNvGrpSpPr/>
      </xdr:nvGrpSpPr>
      <xdr:grpSpPr>
        <a:xfrm flipH="1">
          <a:off x="4548294" y="11033536"/>
          <a:ext cx="126016" cy="201600"/>
          <a:chOff x="6665123" y="2144244"/>
          <a:chExt cx="126016" cy="200859"/>
        </a:xfrm>
      </xdr:grpSpPr>
      <xdr:sp macro="" textlink="">
        <xdr:nvSpPr>
          <xdr:cNvPr id="490" name="Rechtwinkliges Dreieck 133">
            <a:extLst>
              <a:ext uri="{FF2B5EF4-FFF2-40B4-BE49-F238E27FC236}">
                <a16:creationId xmlns:a16="http://schemas.microsoft.com/office/drawing/2014/main" id="{00000000-0008-0000-0700-0000EA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91" name="Gerade Verbindung 134">
            <a:extLst>
              <a:ext uri="{FF2B5EF4-FFF2-40B4-BE49-F238E27FC236}">
                <a16:creationId xmlns:a16="http://schemas.microsoft.com/office/drawing/2014/main" id="{00000000-0008-0000-0700-0000EB010000}"/>
              </a:ext>
            </a:extLst>
          </xdr:cNvPr>
          <xdr:cNvCxnSpPr>
            <a:stCxn id="490" idx="4"/>
            <a:endCxn id="49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92" name="Rechtwinkliges Dreieck 135">
            <a:extLst>
              <a:ext uri="{FF2B5EF4-FFF2-40B4-BE49-F238E27FC236}">
                <a16:creationId xmlns:a16="http://schemas.microsoft.com/office/drawing/2014/main" id="{00000000-0008-0000-0700-0000EC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93" name="Gerade Verbindung 136">
            <a:extLst>
              <a:ext uri="{FF2B5EF4-FFF2-40B4-BE49-F238E27FC236}">
                <a16:creationId xmlns:a16="http://schemas.microsoft.com/office/drawing/2014/main" id="{00000000-0008-0000-0700-0000ED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66</xdr:row>
      <xdr:rowOff>142318</xdr:rowOff>
    </xdr:from>
    <xdr:to>
      <xdr:col>14</xdr:col>
      <xdr:colOff>1844</xdr:colOff>
      <xdr:row>68</xdr:row>
      <xdr:rowOff>27084</xdr:rowOff>
    </xdr:to>
    <xdr:grpSp>
      <xdr:nvGrpSpPr>
        <xdr:cNvPr id="494" name="Gruppieren 493">
          <a:extLst>
            <a:ext uri="{FF2B5EF4-FFF2-40B4-BE49-F238E27FC236}">
              <a16:creationId xmlns:a16="http://schemas.microsoft.com/office/drawing/2014/main" id="{00000000-0008-0000-0700-0000EE010000}"/>
            </a:ext>
          </a:extLst>
        </xdr:cNvPr>
        <xdr:cNvGrpSpPr/>
      </xdr:nvGrpSpPr>
      <xdr:grpSpPr>
        <a:xfrm>
          <a:off x="5912787" y="11353243"/>
          <a:ext cx="127907" cy="208616"/>
          <a:chOff x="6665123" y="2144244"/>
          <a:chExt cx="126016" cy="200859"/>
        </a:xfrm>
      </xdr:grpSpPr>
      <xdr:sp macro="" textlink="">
        <xdr:nvSpPr>
          <xdr:cNvPr id="495" name="Rechtwinkliges Dreieck 133">
            <a:extLst>
              <a:ext uri="{FF2B5EF4-FFF2-40B4-BE49-F238E27FC236}">
                <a16:creationId xmlns:a16="http://schemas.microsoft.com/office/drawing/2014/main" id="{00000000-0008-0000-0700-0000EF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96" name="Gerade Verbindung 134">
            <a:extLst>
              <a:ext uri="{FF2B5EF4-FFF2-40B4-BE49-F238E27FC236}">
                <a16:creationId xmlns:a16="http://schemas.microsoft.com/office/drawing/2014/main" id="{00000000-0008-0000-0700-0000F0010000}"/>
              </a:ext>
            </a:extLst>
          </xdr:cNvPr>
          <xdr:cNvCxnSpPr>
            <a:stCxn id="495" idx="4"/>
            <a:endCxn id="49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97" name="Rechtwinkliges Dreieck 135">
            <a:extLst>
              <a:ext uri="{FF2B5EF4-FFF2-40B4-BE49-F238E27FC236}">
                <a16:creationId xmlns:a16="http://schemas.microsoft.com/office/drawing/2014/main" id="{00000000-0008-0000-0700-0000F1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98" name="Gerade Verbindung 136">
            <a:extLst>
              <a:ext uri="{FF2B5EF4-FFF2-40B4-BE49-F238E27FC236}">
                <a16:creationId xmlns:a16="http://schemas.microsoft.com/office/drawing/2014/main" id="{00000000-0008-0000-0700-0000F2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377283</xdr:colOff>
      <xdr:row>69</xdr:row>
      <xdr:rowOff>137027</xdr:rowOff>
    </xdr:from>
    <xdr:to>
      <xdr:col>17</xdr:col>
      <xdr:colOff>504132</xdr:colOff>
      <xdr:row>71</xdr:row>
      <xdr:rowOff>21793</xdr:rowOff>
    </xdr:to>
    <xdr:grpSp>
      <xdr:nvGrpSpPr>
        <xdr:cNvPr id="499" name="Gruppieren 498">
          <a:extLst>
            <a:ext uri="{FF2B5EF4-FFF2-40B4-BE49-F238E27FC236}">
              <a16:creationId xmlns:a16="http://schemas.microsoft.com/office/drawing/2014/main" id="{00000000-0008-0000-0700-0000F3010000}"/>
            </a:ext>
          </a:extLst>
        </xdr:cNvPr>
        <xdr:cNvGrpSpPr/>
      </xdr:nvGrpSpPr>
      <xdr:grpSpPr>
        <a:xfrm>
          <a:off x="7006683" y="11833727"/>
          <a:ext cx="126849" cy="208616"/>
          <a:chOff x="6665123" y="2144244"/>
          <a:chExt cx="126016" cy="200859"/>
        </a:xfrm>
      </xdr:grpSpPr>
      <xdr:sp macro="" textlink="">
        <xdr:nvSpPr>
          <xdr:cNvPr id="500" name="Rechtwinkliges Dreieck 133">
            <a:extLst>
              <a:ext uri="{FF2B5EF4-FFF2-40B4-BE49-F238E27FC236}">
                <a16:creationId xmlns:a16="http://schemas.microsoft.com/office/drawing/2014/main" id="{00000000-0008-0000-0700-0000F4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01" name="Gerade Verbindung 134">
            <a:extLst>
              <a:ext uri="{FF2B5EF4-FFF2-40B4-BE49-F238E27FC236}">
                <a16:creationId xmlns:a16="http://schemas.microsoft.com/office/drawing/2014/main" id="{00000000-0008-0000-0700-0000F5010000}"/>
              </a:ext>
            </a:extLst>
          </xdr:cNvPr>
          <xdr:cNvCxnSpPr>
            <a:stCxn id="500" idx="4"/>
            <a:endCxn id="50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502" name="Rechtwinkliges Dreieck 135">
            <a:extLst>
              <a:ext uri="{FF2B5EF4-FFF2-40B4-BE49-F238E27FC236}">
                <a16:creationId xmlns:a16="http://schemas.microsoft.com/office/drawing/2014/main" id="{00000000-0008-0000-0700-0000F6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03" name="Gerade Verbindung 136">
            <a:extLst>
              <a:ext uri="{FF2B5EF4-FFF2-40B4-BE49-F238E27FC236}">
                <a16:creationId xmlns:a16="http://schemas.microsoft.com/office/drawing/2014/main" id="{00000000-0008-0000-0700-0000F7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381499</xdr:colOff>
      <xdr:row>69</xdr:row>
      <xdr:rowOff>148167</xdr:rowOff>
    </xdr:from>
    <xdr:to>
      <xdr:col>5</xdr:col>
      <xdr:colOff>507234</xdr:colOff>
      <xdr:row>71</xdr:row>
      <xdr:rowOff>22629</xdr:rowOff>
    </xdr:to>
    <xdr:grpSp>
      <xdr:nvGrpSpPr>
        <xdr:cNvPr id="504" name="Gruppieren 503">
          <a:extLst>
            <a:ext uri="{FF2B5EF4-FFF2-40B4-BE49-F238E27FC236}">
              <a16:creationId xmlns:a16="http://schemas.microsoft.com/office/drawing/2014/main" id="{00000000-0008-0000-0700-0000F8010000}"/>
            </a:ext>
          </a:extLst>
        </xdr:cNvPr>
        <xdr:cNvGrpSpPr/>
      </xdr:nvGrpSpPr>
      <xdr:grpSpPr>
        <a:xfrm>
          <a:off x="2400799" y="11844867"/>
          <a:ext cx="125735" cy="198312"/>
          <a:chOff x="6665123" y="2144244"/>
          <a:chExt cx="126016" cy="200859"/>
        </a:xfrm>
      </xdr:grpSpPr>
      <xdr:sp macro="" textlink="">
        <xdr:nvSpPr>
          <xdr:cNvPr id="505" name="Rechtwinkliges Dreieck 133">
            <a:extLst>
              <a:ext uri="{FF2B5EF4-FFF2-40B4-BE49-F238E27FC236}">
                <a16:creationId xmlns:a16="http://schemas.microsoft.com/office/drawing/2014/main" id="{00000000-0008-0000-0700-0000F9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06" name="Gerade Verbindung 134">
            <a:extLst>
              <a:ext uri="{FF2B5EF4-FFF2-40B4-BE49-F238E27FC236}">
                <a16:creationId xmlns:a16="http://schemas.microsoft.com/office/drawing/2014/main" id="{00000000-0008-0000-0700-0000FA010000}"/>
              </a:ext>
            </a:extLst>
          </xdr:cNvPr>
          <xdr:cNvCxnSpPr>
            <a:stCxn id="505" idx="4"/>
            <a:endCxn id="50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507" name="Rechtwinkliges Dreieck 135">
            <a:extLst>
              <a:ext uri="{FF2B5EF4-FFF2-40B4-BE49-F238E27FC236}">
                <a16:creationId xmlns:a16="http://schemas.microsoft.com/office/drawing/2014/main" id="{00000000-0008-0000-0700-0000FB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08" name="Gerade Verbindung 136">
            <a:extLst>
              <a:ext uri="{FF2B5EF4-FFF2-40B4-BE49-F238E27FC236}">
                <a16:creationId xmlns:a16="http://schemas.microsoft.com/office/drawing/2014/main" id="{00000000-0008-0000-0700-0000FC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69</xdr:row>
      <xdr:rowOff>142317</xdr:rowOff>
    </xdr:from>
    <xdr:to>
      <xdr:col>14</xdr:col>
      <xdr:colOff>1844</xdr:colOff>
      <xdr:row>71</xdr:row>
      <xdr:rowOff>27083</xdr:rowOff>
    </xdr:to>
    <xdr:grpSp>
      <xdr:nvGrpSpPr>
        <xdr:cNvPr id="509" name="Gruppieren 508">
          <a:extLst>
            <a:ext uri="{FF2B5EF4-FFF2-40B4-BE49-F238E27FC236}">
              <a16:creationId xmlns:a16="http://schemas.microsoft.com/office/drawing/2014/main" id="{00000000-0008-0000-0700-0000FD010000}"/>
            </a:ext>
          </a:extLst>
        </xdr:cNvPr>
        <xdr:cNvGrpSpPr/>
      </xdr:nvGrpSpPr>
      <xdr:grpSpPr>
        <a:xfrm>
          <a:off x="5912787" y="11839017"/>
          <a:ext cx="127907" cy="208616"/>
          <a:chOff x="6665123" y="2144244"/>
          <a:chExt cx="126016" cy="200859"/>
        </a:xfrm>
      </xdr:grpSpPr>
      <xdr:sp macro="" textlink="">
        <xdr:nvSpPr>
          <xdr:cNvPr id="510" name="Rechtwinkliges Dreieck 133">
            <a:extLst>
              <a:ext uri="{FF2B5EF4-FFF2-40B4-BE49-F238E27FC236}">
                <a16:creationId xmlns:a16="http://schemas.microsoft.com/office/drawing/2014/main" id="{00000000-0008-0000-0700-0000FE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11" name="Gerade Verbindung 134">
            <a:extLst>
              <a:ext uri="{FF2B5EF4-FFF2-40B4-BE49-F238E27FC236}">
                <a16:creationId xmlns:a16="http://schemas.microsoft.com/office/drawing/2014/main" id="{00000000-0008-0000-0700-0000FF010000}"/>
              </a:ext>
            </a:extLst>
          </xdr:cNvPr>
          <xdr:cNvCxnSpPr>
            <a:stCxn id="510" idx="4"/>
            <a:endCxn id="51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512" name="Rechtwinkliges Dreieck 135">
            <a:extLst>
              <a:ext uri="{FF2B5EF4-FFF2-40B4-BE49-F238E27FC236}">
                <a16:creationId xmlns:a16="http://schemas.microsoft.com/office/drawing/2014/main" id="{00000000-0008-0000-0700-00000002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13" name="Gerade Verbindung 136">
            <a:extLst>
              <a:ext uri="{FF2B5EF4-FFF2-40B4-BE49-F238E27FC236}">
                <a16:creationId xmlns:a16="http://schemas.microsoft.com/office/drawing/2014/main" id="{00000000-0008-0000-0700-00000102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5291</xdr:colOff>
      <xdr:row>72</xdr:row>
      <xdr:rowOff>148166</xdr:rowOff>
    </xdr:from>
    <xdr:to>
      <xdr:col>0</xdr:col>
      <xdr:colOff>131307</xdr:colOff>
      <xdr:row>74</xdr:row>
      <xdr:rowOff>23686</xdr:rowOff>
    </xdr:to>
    <xdr:grpSp>
      <xdr:nvGrpSpPr>
        <xdr:cNvPr id="514" name="Gruppieren 513">
          <a:extLst>
            <a:ext uri="{FF2B5EF4-FFF2-40B4-BE49-F238E27FC236}">
              <a16:creationId xmlns:a16="http://schemas.microsoft.com/office/drawing/2014/main" id="{00000000-0008-0000-0700-000002020000}"/>
            </a:ext>
          </a:extLst>
        </xdr:cNvPr>
        <xdr:cNvGrpSpPr/>
      </xdr:nvGrpSpPr>
      <xdr:grpSpPr>
        <a:xfrm flipH="1">
          <a:off x="5291" y="12330641"/>
          <a:ext cx="126016" cy="199370"/>
          <a:chOff x="6665123" y="2144244"/>
          <a:chExt cx="126016" cy="200859"/>
        </a:xfrm>
      </xdr:grpSpPr>
      <xdr:sp macro="" textlink="">
        <xdr:nvSpPr>
          <xdr:cNvPr id="515" name="Rechtwinkliges Dreieck 133">
            <a:extLst>
              <a:ext uri="{FF2B5EF4-FFF2-40B4-BE49-F238E27FC236}">
                <a16:creationId xmlns:a16="http://schemas.microsoft.com/office/drawing/2014/main" id="{00000000-0008-0000-0700-00000302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16" name="Gerade Verbindung 134">
            <a:extLst>
              <a:ext uri="{FF2B5EF4-FFF2-40B4-BE49-F238E27FC236}">
                <a16:creationId xmlns:a16="http://schemas.microsoft.com/office/drawing/2014/main" id="{00000000-0008-0000-0700-000004020000}"/>
              </a:ext>
            </a:extLst>
          </xdr:cNvPr>
          <xdr:cNvCxnSpPr>
            <a:stCxn id="515" idx="4"/>
            <a:endCxn id="51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517" name="Rechtwinkliges Dreieck 135">
            <a:extLst>
              <a:ext uri="{FF2B5EF4-FFF2-40B4-BE49-F238E27FC236}">
                <a16:creationId xmlns:a16="http://schemas.microsoft.com/office/drawing/2014/main" id="{00000000-0008-0000-0700-00000502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18" name="Gerade Verbindung 136">
            <a:extLst>
              <a:ext uri="{FF2B5EF4-FFF2-40B4-BE49-F238E27FC236}">
                <a16:creationId xmlns:a16="http://schemas.microsoft.com/office/drawing/2014/main" id="{00000000-0008-0000-0700-00000602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390044</xdr:colOff>
      <xdr:row>11</xdr:row>
      <xdr:rowOff>141817</xdr:rowOff>
    </xdr:from>
    <xdr:to>
      <xdr:col>14</xdr:col>
      <xdr:colOff>1540</xdr:colOff>
      <xdr:row>13</xdr:row>
      <xdr:rowOff>21570</xdr:rowOff>
    </xdr:to>
    <xdr:grpSp>
      <xdr:nvGrpSpPr>
        <xdr:cNvPr id="232" name="Gruppieren 231">
          <a:extLst>
            <a:ext uri="{FF2B5EF4-FFF2-40B4-BE49-F238E27FC236}">
              <a16:creationId xmlns:a16="http://schemas.microsoft.com/office/drawing/2014/main" id="{00000000-0008-0000-0700-0000E8000000}"/>
            </a:ext>
          </a:extLst>
        </xdr:cNvPr>
        <xdr:cNvGrpSpPr/>
      </xdr:nvGrpSpPr>
      <xdr:grpSpPr>
        <a:xfrm>
          <a:off x="5914544" y="2532592"/>
          <a:ext cx="125846" cy="203603"/>
          <a:chOff x="6665123" y="2144244"/>
          <a:chExt cx="126016" cy="200859"/>
        </a:xfrm>
      </xdr:grpSpPr>
      <xdr:sp macro="" textlink="">
        <xdr:nvSpPr>
          <xdr:cNvPr id="233" name="Rechtwinkliges Dreieck 133">
            <a:extLst>
              <a:ext uri="{FF2B5EF4-FFF2-40B4-BE49-F238E27FC236}">
                <a16:creationId xmlns:a16="http://schemas.microsoft.com/office/drawing/2014/main" id="{00000000-0008-0000-0700-0000E900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34" name="Gerade Verbindung 134">
            <a:extLst>
              <a:ext uri="{FF2B5EF4-FFF2-40B4-BE49-F238E27FC236}">
                <a16:creationId xmlns:a16="http://schemas.microsoft.com/office/drawing/2014/main" id="{00000000-0008-0000-0700-0000EA000000}"/>
              </a:ext>
            </a:extLst>
          </xdr:cNvPr>
          <xdr:cNvCxnSpPr>
            <a:stCxn id="233" idx="4"/>
            <a:endCxn id="233"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35" name="Rechtwinkliges Dreieck 135">
            <a:extLst>
              <a:ext uri="{FF2B5EF4-FFF2-40B4-BE49-F238E27FC236}">
                <a16:creationId xmlns:a16="http://schemas.microsoft.com/office/drawing/2014/main" id="{00000000-0008-0000-0700-0000EB00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36" name="Gerade Verbindung 136">
            <a:extLst>
              <a:ext uri="{FF2B5EF4-FFF2-40B4-BE49-F238E27FC236}">
                <a16:creationId xmlns:a16="http://schemas.microsoft.com/office/drawing/2014/main" id="{00000000-0008-0000-0700-0000EC00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3223</xdr:colOff>
      <xdr:row>54</xdr:row>
      <xdr:rowOff>141779</xdr:rowOff>
    </xdr:from>
    <xdr:to>
      <xdr:col>0</xdr:col>
      <xdr:colOff>129239</xdr:colOff>
      <xdr:row>56</xdr:row>
      <xdr:rowOff>19529</xdr:rowOff>
    </xdr:to>
    <xdr:grpSp>
      <xdr:nvGrpSpPr>
        <xdr:cNvPr id="242" name="Gruppieren 241">
          <a:extLst>
            <a:ext uri="{FF2B5EF4-FFF2-40B4-BE49-F238E27FC236}">
              <a16:creationId xmlns:a16="http://schemas.microsoft.com/office/drawing/2014/main" id="{00000000-0008-0000-0700-0000F2000000}"/>
            </a:ext>
          </a:extLst>
        </xdr:cNvPr>
        <xdr:cNvGrpSpPr/>
      </xdr:nvGrpSpPr>
      <xdr:grpSpPr>
        <a:xfrm flipH="1">
          <a:off x="3223" y="9495329"/>
          <a:ext cx="126016" cy="201600"/>
          <a:chOff x="6665123" y="2144244"/>
          <a:chExt cx="126016" cy="200859"/>
        </a:xfrm>
      </xdr:grpSpPr>
      <xdr:sp macro="" textlink="">
        <xdr:nvSpPr>
          <xdr:cNvPr id="243" name="Rechtwinkliges Dreieck 133">
            <a:extLst>
              <a:ext uri="{FF2B5EF4-FFF2-40B4-BE49-F238E27FC236}">
                <a16:creationId xmlns:a16="http://schemas.microsoft.com/office/drawing/2014/main" id="{00000000-0008-0000-0700-0000F300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44" name="Gerade Verbindung 134">
            <a:extLst>
              <a:ext uri="{FF2B5EF4-FFF2-40B4-BE49-F238E27FC236}">
                <a16:creationId xmlns:a16="http://schemas.microsoft.com/office/drawing/2014/main" id="{00000000-0008-0000-0700-0000F4000000}"/>
              </a:ext>
            </a:extLst>
          </xdr:cNvPr>
          <xdr:cNvCxnSpPr>
            <a:stCxn id="243" idx="4"/>
            <a:endCxn id="243"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45" name="Rechtwinkliges Dreieck 135">
            <a:extLst>
              <a:ext uri="{FF2B5EF4-FFF2-40B4-BE49-F238E27FC236}">
                <a16:creationId xmlns:a16="http://schemas.microsoft.com/office/drawing/2014/main" id="{00000000-0008-0000-0700-0000F500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46" name="Gerade Verbindung 136">
            <a:extLst>
              <a:ext uri="{FF2B5EF4-FFF2-40B4-BE49-F238E27FC236}">
                <a16:creationId xmlns:a16="http://schemas.microsoft.com/office/drawing/2014/main" id="{00000000-0008-0000-0700-0000F600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381368</xdr:colOff>
      <xdr:row>52</xdr:row>
      <xdr:rowOff>132792</xdr:rowOff>
    </xdr:from>
    <xdr:to>
      <xdr:col>5</xdr:col>
      <xdr:colOff>508217</xdr:colOff>
      <xdr:row>54</xdr:row>
      <xdr:rowOff>17558</xdr:rowOff>
    </xdr:to>
    <xdr:grpSp>
      <xdr:nvGrpSpPr>
        <xdr:cNvPr id="247" name="Gruppieren 246">
          <a:extLst>
            <a:ext uri="{FF2B5EF4-FFF2-40B4-BE49-F238E27FC236}">
              <a16:creationId xmlns:a16="http://schemas.microsoft.com/office/drawing/2014/main" id="{00000000-0008-0000-0700-0000F7000000}"/>
            </a:ext>
          </a:extLst>
        </xdr:cNvPr>
        <xdr:cNvGrpSpPr/>
      </xdr:nvGrpSpPr>
      <xdr:grpSpPr>
        <a:xfrm>
          <a:off x="2400668" y="9162492"/>
          <a:ext cx="126849" cy="208616"/>
          <a:chOff x="6665123" y="2144244"/>
          <a:chExt cx="126016" cy="200859"/>
        </a:xfrm>
      </xdr:grpSpPr>
      <xdr:sp macro="" textlink="">
        <xdr:nvSpPr>
          <xdr:cNvPr id="248" name="Rechtwinkliges Dreieck 133">
            <a:extLst>
              <a:ext uri="{FF2B5EF4-FFF2-40B4-BE49-F238E27FC236}">
                <a16:creationId xmlns:a16="http://schemas.microsoft.com/office/drawing/2014/main" id="{00000000-0008-0000-0700-0000F800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49" name="Gerade Verbindung 134">
            <a:extLst>
              <a:ext uri="{FF2B5EF4-FFF2-40B4-BE49-F238E27FC236}">
                <a16:creationId xmlns:a16="http://schemas.microsoft.com/office/drawing/2014/main" id="{00000000-0008-0000-0700-0000F9000000}"/>
              </a:ext>
            </a:extLst>
          </xdr:cNvPr>
          <xdr:cNvCxnSpPr>
            <a:stCxn id="248" idx="4"/>
            <a:endCxn id="248"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50" name="Rechtwinkliges Dreieck 135">
            <a:extLst>
              <a:ext uri="{FF2B5EF4-FFF2-40B4-BE49-F238E27FC236}">
                <a16:creationId xmlns:a16="http://schemas.microsoft.com/office/drawing/2014/main" id="{00000000-0008-0000-0700-0000FA00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51" name="Gerade Verbindung 136">
            <a:extLst>
              <a:ext uri="{FF2B5EF4-FFF2-40B4-BE49-F238E27FC236}">
                <a16:creationId xmlns:a16="http://schemas.microsoft.com/office/drawing/2014/main" id="{00000000-0008-0000-0700-0000FB00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17</xdr:col>
      <xdr:colOff>104775</xdr:colOff>
      <xdr:row>0</xdr:row>
      <xdr:rowOff>0</xdr:rowOff>
    </xdr:from>
    <xdr:ext cx="1476375" cy="752129"/>
    <xdr:sp macro="" textlink="">
      <xdr:nvSpPr>
        <xdr:cNvPr id="258" name="Textfeld 257">
          <a:extLst>
            <a:ext uri="{FF2B5EF4-FFF2-40B4-BE49-F238E27FC236}">
              <a16:creationId xmlns:a16="http://schemas.microsoft.com/office/drawing/2014/main" id="{00000000-0008-0000-0700-000002010000}"/>
            </a:ext>
          </a:extLst>
        </xdr:cNvPr>
        <xdr:cNvSpPr txBox="1"/>
      </xdr:nvSpPr>
      <xdr:spPr>
        <a:xfrm>
          <a:off x="6734175" y="0"/>
          <a:ext cx="1476375" cy="752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Lindenhofstrasse 21</a:t>
          </a:r>
        </a:p>
        <a:p>
          <a:r>
            <a:rPr lang="de-CH" sz="850">
              <a:latin typeface="Arial" pitchFamily="34" charset="0"/>
              <a:cs typeface="Arial" pitchFamily="34" charset="0"/>
            </a:rPr>
            <a:t>Postfach, 8021 Zürich</a:t>
          </a:r>
        </a:p>
        <a:p>
          <a:r>
            <a:rPr lang="de-CH" sz="850">
              <a:latin typeface="Arial" pitchFamily="34" charset="0"/>
              <a:cs typeface="Arial" pitchFamily="34" charset="0"/>
            </a:rPr>
            <a:t>+41 44 412 11 11</a:t>
          </a:r>
        </a:p>
        <a:p>
          <a:r>
            <a:rPr lang="de-CH" sz="850">
              <a:latin typeface="Arial" pitchFamily="34" charset="0"/>
              <a:cs typeface="Arial" pitchFamily="34" charset="0"/>
            </a:rPr>
            <a:t>www.stadt-zuerich.ch/hochbau</a:t>
          </a:r>
        </a:p>
      </xdr:txBody>
    </xdr:sp>
    <xdr:clientData/>
  </xdr:oneCellAnchor>
  <xdr:twoCellAnchor editAs="oneCell">
    <xdr:from>
      <xdr:col>0</xdr:col>
      <xdr:colOff>9518</xdr:colOff>
      <xdr:row>0</xdr:row>
      <xdr:rowOff>9525</xdr:rowOff>
    </xdr:from>
    <xdr:to>
      <xdr:col>4</xdr:col>
      <xdr:colOff>618009</xdr:colOff>
      <xdr:row>0</xdr:row>
      <xdr:rowOff>338709</xdr:rowOff>
    </xdr:to>
    <xdr:pic>
      <xdr:nvPicPr>
        <xdr:cNvPr id="259" name="Grafik 258">
          <a:extLst>
            <a:ext uri="{FF2B5EF4-FFF2-40B4-BE49-F238E27FC236}">
              <a16:creationId xmlns:a16="http://schemas.microsoft.com/office/drawing/2014/main" id="{00000000-0008-0000-0700-000003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18" y="9525"/>
          <a:ext cx="1980091" cy="329184"/>
        </a:xfrm>
        <a:prstGeom prst="rect">
          <a:avLst/>
        </a:prstGeom>
      </xdr:spPr>
    </xdr:pic>
    <xdr:clientData/>
  </xdr:twoCellAnchor>
  <xdr:twoCellAnchor>
    <xdr:from>
      <xdr:col>5</xdr:col>
      <xdr:colOff>380750</xdr:colOff>
      <xdr:row>18</xdr:row>
      <xdr:rowOff>147418</xdr:rowOff>
    </xdr:from>
    <xdr:to>
      <xdr:col>5</xdr:col>
      <xdr:colOff>506766</xdr:colOff>
      <xdr:row>20</xdr:row>
      <xdr:rowOff>21750</xdr:rowOff>
    </xdr:to>
    <xdr:grpSp>
      <xdr:nvGrpSpPr>
        <xdr:cNvPr id="252" name="Gruppieren 251">
          <a:extLst>
            <a:ext uri="{FF2B5EF4-FFF2-40B4-BE49-F238E27FC236}">
              <a16:creationId xmlns:a16="http://schemas.microsoft.com/office/drawing/2014/main" id="{00000000-0008-0000-0700-0000FC000000}"/>
            </a:ext>
          </a:extLst>
        </xdr:cNvPr>
        <xdr:cNvGrpSpPr/>
      </xdr:nvGrpSpPr>
      <xdr:grpSpPr>
        <a:xfrm>
          <a:off x="2400050" y="3671668"/>
          <a:ext cx="126016" cy="198182"/>
          <a:chOff x="6665123" y="2144244"/>
          <a:chExt cx="126016" cy="200859"/>
        </a:xfrm>
      </xdr:grpSpPr>
      <xdr:sp macro="" textlink="">
        <xdr:nvSpPr>
          <xdr:cNvPr id="253" name="Rechtwinkliges Dreieck 133">
            <a:extLst>
              <a:ext uri="{FF2B5EF4-FFF2-40B4-BE49-F238E27FC236}">
                <a16:creationId xmlns:a16="http://schemas.microsoft.com/office/drawing/2014/main" id="{00000000-0008-0000-0700-0000FD00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54" name="Gerade Verbindung 134">
            <a:extLst>
              <a:ext uri="{FF2B5EF4-FFF2-40B4-BE49-F238E27FC236}">
                <a16:creationId xmlns:a16="http://schemas.microsoft.com/office/drawing/2014/main" id="{00000000-0008-0000-0700-0000FE000000}"/>
              </a:ext>
            </a:extLst>
          </xdr:cNvPr>
          <xdr:cNvCxnSpPr>
            <a:stCxn id="253" idx="4"/>
            <a:endCxn id="253"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55" name="Rechtwinkliges Dreieck 135">
            <a:extLst>
              <a:ext uri="{FF2B5EF4-FFF2-40B4-BE49-F238E27FC236}">
                <a16:creationId xmlns:a16="http://schemas.microsoft.com/office/drawing/2014/main" id="{00000000-0008-0000-0700-0000FF00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56" name="Gerade Verbindung 136">
            <a:extLst>
              <a:ext uri="{FF2B5EF4-FFF2-40B4-BE49-F238E27FC236}">
                <a16:creationId xmlns:a16="http://schemas.microsoft.com/office/drawing/2014/main" id="{00000000-0008-0000-0700-000000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22</xdr:row>
      <xdr:rowOff>147441</xdr:rowOff>
    </xdr:from>
    <xdr:to>
      <xdr:col>5</xdr:col>
      <xdr:colOff>506766</xdr:colOff>
      <xdr:row>24</xdr:row>
      <xdr:rowOff>21774</xdr:rowOff>
    </xdr:to>
    <xdr:grpSp>
      <xdr:nvGrpSpPr>
        <xdr:cNvPr id="257" name="Gruppieren 256">
          <a:extLst>
            <a:ext uri="{FF2B5EF4-FFF2-40B4-BE49-F238E27FC236}">
              <a16:creationId xmlns:a16="http://schemas.microsoft.com/office/drawing/2014/main" id="{00000000-0008-0000-0700-000001010000}"/>
            </a:ext>
          </a:extLst>
        </xdr:cNvPr>
        <xdr:cNvGrpSpPr/>
      </xdr:nvGrpSpPr>
      <xdr:grpSpPr>
        <a:xfrm>
          <a:off x="2400050" y="4319391"/>
          <a:ext cx="126016" cy="198183"/>
          <a:chOff x="6665123" y="2144244"/>
          <a:chExt cx="126016" cy="200859"/>
        </a:xfrm>
      </xdr:grpSpPr>
      <xdr:sp macro="" textlink="">
        <xdr:nvSpPr>
          <xdr:cNvPr id="260" name="Rechtwinkliges Dreieck 133">
            <a:extLst>
              <a:ext uri="{FF2B5EF4-FFF2-40B4-BE49-F238E27FC236}">
                <a16:creationId xmlns:a16="http://schemas.microsoft.com/office/drawing/2014/main" id="{00000000-0008-0000-0700-000004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61" name="Gerade Verbindung 134">
            <a:extLst>
              <a:ext uri="{FF2B5EF4-FFF2-40B4-BE49-F238E27FC236}">
                <a16:creationId xmlns:a16="http://schemas.microsoft.com/office/drawing/2014/main" id="{00000000-0008-0000-0700-000005010000}"/>
              </a:ext>
            </a:extLst>
          </xdr:cNvPr>
          <xdr:cNvCxnSpPr>
            <a:stCxn id="260" idx="4"/>
            <a:endCxn id="26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62" name="Rechtwinkliges Dreieck 135">
            <a:extLst>
              <a:ext uri="{FF2B5EF4-FFF2-40B4-BE49-F238E27FC236}">
                <a16:creationId xmlns:a16="http://schemas.microsoft.com/office/drawing/2014/main" id="{00000000-0008-0000-0700-000006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63" name="Gerade Verbindung 136">
            <a:extLst>
              <a:ext uri="{FF2B5EF4-FFF2-40B4-BE49-F238E27FC236}">
                <a16:creationId xmlns:a16="http://schemas.microsoft.com/office/drawing/2014/main" id="{00000000-0008-0000-0700-000007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25</xdr:row>
      <xdr:rowOff>147441</xdr:rowOff>
    </xdr:from>
    <xdr:to>
      <xdr:col>5</xdr:col>
      <xdr:colOff>506766</xdr:colOff>
      <xdr:row>27</xdr:row>
      <xdr:rowOff>21774</xdr:rowOff>
    </xdr:to>
    <xdr:grpSp>
      <xdr:nvGrpSpPr>
        <xdr:cNvPr id="264" name="Gruppieren 263">
          <a:extLst>
            <a:ext uri="{FF2B5EF4-FFF2-40B4-BE49-F238E27FC236}">
              <a16:creationId xmlns:a16="http://schemas.microsoft.com/office/drawing/2014/main" id="{00000000-0008-0000-0700-000008010000}"/>
            </a:ext>
          </a:extLst>
        </xdr:cNvPr>
        <xdr:cNvGrpSpPr/>
      </xdr:nvGrpSpPr>
      <xdr:grpSpPr>
        <a:xfrm>
          <a:off x="2400050" y="4805166"/>
          <a:ext cx="126016" cy="198183"/>
          <a:chOff x="6665123" y="2144244"/>
          <a:chExt cx="126016" cy="200859"/>
        </a:xfrm>
      </xdr:grpSpPr>
      <xdr:sp macro="" textlink="">
        <xdr:nvSpPr>
          <xdr:cNvPr id="265" name="Rechtwinkliges Dreieck 133">
            <a:extLst>
              <a:ext uri="{FF2B5EF4-FFF2-40B4-BE49-F238E27FC236}">
                <a16:creationId xmlns:a16="http://schemas.microsoft.com/office/drawing/2014/main" id="{00000000-0008-0000-0700-000009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66" name="Gerade Verbindung 134">
            <a:extLst>
              <a:ext uri="{FF2B5EF4-FFF2-40B4-BE49-F238E27FC236}">
                <a16:creationId xmlns:a16="http://schemas.microsoft.com/office/drawing/2014/main" id="{00000000-0008-0000-0700-00000A010000}"/>
              </a:ext>
            </a:extLst>
          </xdr:cNvPr>
          <xdr:cNvCxnSpPr>
            <a:stCxn id="265" idx="4"/>
            <a:endCxn id="26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67" name="Rechtwinkliges Dreieck 135">
            <a:extLst>
              <a:ext uri="{FF2B5EF4-FFF2-40B4-BE49-F238E27FC236}">
                <a16:creationId xmlns:a16="http://schemas.microsoft.com/office/drawing/2014/main" id="{00000000-0008-0000-0700-00000B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68" name="Gerade Verbindung 136">
            <a:extLst>
              <a:ext uri="{FF2B5EF4-FFF2-40B4-BE49-F238E27FC236}">
                <a16:creationId xmlns:a16="http://schemas.microsoft.com/office/drawing/2014/main" id="{00000000-0008-0000-0700-00000C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27</xdr:row>
      <xdr:rowOff>147441</xdr:rowOff>
    </xdr:from>
    <xdr:to>
      <xdr:col>5</xdr:col>
      <xdr:colOff>506766</xdr:colOff>
      <xdr:row>29</xdr:row>
      <xdr:rowOff>21773</xdr:rowOff>
    </xdr:to>
    <xdr:grpSp>
      <xdr:nvGrpSpPr>
        <xdr:cNvPr id="269" name="Gruppieren 268">
          <a:extLst>
            <a:ext uri="{FF2B5EF4-FFF2-40B4-BE49-F238E27FC236}">
              <a16:creationId xmlns:a16="http://schemas.microsoft.com/office/drawing/2014/main" id="{00000000-0008-0000-0700-00000D010000}"/>
            </a:ext>
          </a:extLst>
        </xdr:cNvPr>
        <xdr:cNvGrpSpPr/>
      </xdr:nvGrpSpPr>
      <xdr:grpSpPr>
        <a:xfrm>
          <a:off x="2400050" y="5129016"/>
          <a:ext cx="126016" cy="198182"/>
          <a:chOff x="6665123" y="2144244"/>
          <a:chExt cx="126016" cy="200859"/>
        </a:xfrm>
      </xdr:grpSpPr>
      <xdr:sp macro="" textlink="">
        <xdr:nvSpPr>
          <xdr:cNvPr id="270" name="Rechtwinkliges Dreieck 133">
            <a:extLst>
              <a:ext uri="{FF2B5EF4-FFF2-40B4-BE49-F238E27FC236}">
                <a16:creationId xmlns:a16="http://schemas.microsoft.com/office/drawing/2014/main" id="{00000000-0008-0000-0700-00000E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71" name="Gerade Verbindung 134">
            <a:extLst>
              <a:ext uri="{FF2B5EF4-FFF2-40B4-BE49-F238E27FC236}">
                <a16:creationId xmlns:a16="http://schemas.microsoft.com/office/drawing/2014/main" id="{00000000-0008-0000-0700-00000F010000}"/>
              </a:ext>
            </a:extLst>
          </xdr:cNvPr>
          <xdr:cNvCxnSpPr>
            <a:stCxn id="270" idx="4"/>
            <a:endCxn id="27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72" name="Rechtwinkliges Dreieck 135">
            <a:extLst>
              <a:ext uri="{FF2B5EF4-FFF2-40B4-BE49-F238E27FC236}">
                <a16:creationId xmlns:a16="http://schemas.microsoft.com/office/drawing/2014/main" id="{00000000-0008-0000-0700-000010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73" name="Gerade Verbindung 136">
            <a:extLst>
              <a:ext uri="{FF2B5EF4-FFF2-40B4-BE49-F238E27FC236}">
                <a16:creationId xmlns:a16="http://schemas.microsoft.com/office/drawing/2014/main" id="{00000000-0008-0000-0700-000011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58</xdr:row>
      <xdr:rowOff>147442</xdr:rowOff>
    </xdr:from>
    <xdr:to>
      <xdr:col>5</xdr:col>
      <xdr:colOff>506766</xdr:colOff>
      <xdr:row>60</xdr:row>
      <xdr:rowOff>21775</xdr:rowOff>
    </xdr:to>
    <xdr:grpSp>
      <xdr:nvGrpSpPr>
        <xdr:cNvPr id="274" name="Gruppieren 273">
          <a:extLst>
            <a:ext uri="{FF2B5EF4-FFF2-40B4-BE49-F238E27FC236}">
              <a16:creationId xmlns:a16="http://schemas.microsoft.com/office/drawing/2014/main" id="{00000000-0008-0000-0700-000012010000}"/>
            </a:ext>
          </a:extLst>
        </xdr:cNvPr>
        <xdr:cNvGrpSpPr/>
      </xdr:nvGrpSpPr>
      <xdr:grpSpPr>
        <a:xfrm>
          <a:off x="2400050" y="10062967"/>
          <a:ext cx="126016" cy="198183"/>
          <a:chOff x="6665123" y="2144244"/>
          <a:chExt cx="126016" cy="200859"/>
        </a:xfrm>
      </xdr:grpSpPr>
      <xdr:sp macro="" textlink="">
        <xdr:nvSpPr>
          <xdr:cNvPr id="275" name="Rechtwinkliges Dreieck 133">
            <a:extLst>
              <a:ext uri="{FF2B5EF4-FFF2-40B4-BE49-F238E27FC236}">
                <a16:creationId xmlns:a16="http://schemas.microsoft.com/office/drawing/2014/main" id="{00000000-0008-0000-0700-000013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76" name="Gerade Verbindung 134">
            <a:extLst>
              <a:ext uri="{FF2B5EF4-FFF2-40B4-BE49-F238E27FC236}">
                <a16:creationId xmlns:a16="http://schemas.microsoft.com/office/drawing/2014/main" id="{00000000-0008-0000-0700-000014010000}"/>
              </a:ext>
            </a:extLst>
          </xdr:cNvPr>
          <xdr:cNvCxnSpPr>
            <a:stCxn id="275" idx="4"/>
            <a:endCxn id="27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77" name="Rechtwinkliges Dreieck 135">
            <a:extLst>
              <a:ext uri="{FF2B5EF4-FFF2-40B4-BE49-F238E27FC236}">
                <a16:creationId xmlns:a16="http://schemas.microsoft.com/office/drawing/2014/main" id="{00000000-0008-0000-0700-000015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78" name="Gerade Verbindung 136">
            <a:extLst>
              <a:ext uri="{FF2B5EF4-FFF2-40B4-BE49-F238E27FC236}">
                <a16:creationId xmlns:a16="http://schemas.microsoft.com/office/drawing/2014/main" id="{00000000-0008-0000-0700-000016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8.xml><?xml version="1.0" encoding="utf-8"?>
<xdr:wsDr xmlns:xdr="http://schemas.openxmlformats.org/drawingml/2006/spreadsheetDrawing" xmlns:a="http://schemas.openxmlformats.org/drawingml/2006/main">
  <xdr:twoCellAnchor>
    <xdr:from>
      <xdr:col>15</xdr:col>
      <xdr:colOff>19050</xdr:colOff>
      <xdr:row>14</xdr:row>
      <xdr:rowOff>0</xdr:rowOff>
    </xdr:from>
    <xdr:to>
      <xdr:col>15</xdr:col>
      <xdr:colOff>190499</xdr:colOff>
      <xdr:row>37</xdr:row>
      <xdr:rowOff>123825</xdr:rowOff>
    </xdr:to>
    <xdr:sp macro="" textlink="">
      <xdr:nvSpPr>
        <xdr:cNvPr id="4" name="Geschweifte Klammer rechts 3">
          <a:extLst>
            <a:ext uri="{FF2B5EF4-FFF2-40B4-BE49-F238E27FC236}">
              <a16:creationId xmlns:a16="http://schemas.microsoft.com/office/drawing/2014/main" id="{00000000-0008-0000-0800-000004000000}"/>
            </a:ext>
          </a:extLst>
        </xdr:cNvPr>
        <xdr:cNvSpPr/>
      </xdr:nvSpPr>
      <xdr:spPr>
        <a:xfrm>
          <a:off x="7477125" y="2676525"/>
          <a:ext cx="171449" cy="3409950"/>
        </a:xfrm>
        <a:prstGeom prst="rightBrace">
          <a:avLst>
            <a:gd name="adj1" fmla="val 42619"/>
            <a:gd name="adj2" fmla="val 50000"/>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de-CH" sz="1100"/>
        </a:p>
      </xdr:txBody>
    </xdr:sp>
    <xdr:clientData/>
  </xdr:twoCellAnchor>
  <xdr:oneCellAnchor>
    <xdr:from>
      <xdr:col>10</xdr:col>
      <xdr:colOff>57150</xdr:colOff>
      <xdr:row>0</xdr:row>
      <xdr:rowOff>0</xdr:rowOff>
    </xdr:from>
    <xdr:ext cx="1476375" cy="752129"/>
    <xdr:sp macro="" textlink="">
      <xdr:nvSpPr>
        <xdr:cNvPr id="12" name="Textfeld 11">
          <a:extLst>
            <a:ext uri="{FF2B5EF4-FFF2-40B4-BE49-F238E27FC236}">
              <a16:creationId xmlns:a16="http://schemas.microsoft.com/office/drawing/2014/main" id="{00000000-0008-0000-0800-00000C000000}"/>
            </a:ext>
          </a:extLst>
        </xdr:cNvPr>
        <xdr:cNvSpPr txBox="1"/>
      </xdr:nvSpPr>
      <xdr:spPr>
        <a:xfrm>
          <a:off x="5800725" y="0"/>
          <a:ext cx="1476375" cy="752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Lindenhofstrasse 21</a:t>
          </a:r>
        </a:p>
        <a:p>
          <a:r>
            <a:rPr lang="de-CH" sz="850">
              <a:latin typeface="Arial" pitchFamily="34" charset="0"/>
              <a:cs typeface="Arial" pitchFamily="34" charset="0"/>
            </a:rPr>
            <a:t>Postfach, 8021 Zürich</a:t>
          </a:r>
        </a:p>
        <a:p>
          <a:r>
            <a:rPr lang="de-CH" sz="850">
              <a:latin typeface="Arial" pitchFamily="34" charset="0"/>
              <a:cs typeface="Arial" pitchFamily="34" charset="0"/>
            </a:rPr>
            <a:t>+41 44 412 11 11</a:t>
          </a:r>
        </a:p>
        <a:p>
          <a:r>
            <a:rPr lang="de-CH" sz="850">
              <a:latin typeface="Arial" pitchFamily="34" charset="0"/>
              <a:cs typeface="Arial" pitchFamily="34" charset="0"/>
            </a:rPr>
            <a:t>www.stadt-zuerich.ch/hochbau</a:t>
          </a:r>
        </a:p>
      </xdr:txBody>
    </xdr:sp>
    <xdr:clientData/>
  </xdr:oneCellAnchor>
  <xdr:twoCellAnchor editAs="oneCell">
    <xdr:from>
      <xdr:col>0</xdr:col>
      <xdr:colOff>9518</xdr:colOff>
      <xdr:row>0</xdr:row>
      <xdr:rowOff>9525</xdr:rowOff>
    </xdr:from>
    <xdr:to>
      <xdr:col>2</xdr:col>
      <xdr:colOff>46509</xdr:colOff>
      <xdr:row>0</xdr:row>
      <xdr:rowOff>338709</xdr:rowOff>
    </xdr:to>
    <xdr:pic>
      <xdr:nvPicPr>
        <xdr:cNvPr id="13" name="Grafik 12">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18" y="9525"/>
          <a:ext cx="1980091" cy="32918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9</xdr:col>
      <xdr:colOff>266700</xdr:colOff>
      <xdr:row>0</xdr:row>
      <xdr:rowOff>0</xdr:rowOff>
    </xdr:from>
    <xdr:ext cx="1476375" cy="752129"/>
    <xdr:sp macro="" textlink="">
      <xdr:nvSpPr>
        <xdr:cNvPr id="8" name="Textfeld 7">
          <a:extLst>
            <a:ext uri="{FF2B5EF4-FFF2-40B4-BE49-F238E27FC236}">
              <a16:creationId xmlns:a16="http://schemas.microsoft.com/office/drawing/2014/main" id="{00000000-0008-0000-0900-000008000000}"/>
            </a:ext>
          </a:extLst>
        </xdr:cNvPr>
        <xdr:cNvSpPr txBox="1"/>
      </xdr:nvSpPr>
      <xdr:spPr>
        <a:xfrm>
          <a:off x="5686425" y="0"/>
          <a:ext cx="1476375" cy="752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Lindenhofstrasse 21</a:t>
          </a:r>
        </a:p>
        <a:p>
          <a:r>
            <a:rPr lang="de-CH" sz="850">
              <a:latin typeface="Arial" pitchFamily="34" charset="0"/>
              <a:cs typeface="Arial" pitchFamily="34" charset="0"/>
            </a:rPr>
            <a:t>Postfach, 8021 Zürich</a:t>
          </a:r>
        </a:p>
        <a:p>
          <a:r>
            <a:rPr lang="de-CH" sz="850">
              <a:latin typeface="Arial" pitchFamily="34" charset="0"/>
              <a:cs typeface="Arial" pitchFamily="34" charset="0"/>
            </a:rPr>
            <a:t>+41 44 412 11 11</a:t>
          </a:r>
        </a:p>
        <a:p>
          <a:r>
            <a:rPr lang="de-CH" sz="850">
              <a:latin typeface="Arial" pitchFamily="34" charset="0"/>
              <a:cs typeface="Arial" pitchFamily="34" charset="0"/>
            </a:rPr>
            <a:t>www.stadt-zuerich.ch/hochbau</a:t>
          </a:r>
        </a:p>
      </xdr:txBody>
    </xdr:sp>
    <xdr:clientData/>
  </xdr:oneCellAnchor>
  <xdr:twoCellAnchor editAs="oneCell">
    <xdr:from>
      <xdr:col>0</xdr:col>
      <xdr:colOff>9518</xdr:colOff>
      <xdr:row>0</xdr:row>
      <xdr:rowOff>9525</xdr:rowOff>
    </xdr:from>
    <xdr:to>
      <xdr:col>1</xdr:col>
      <xdr:colOff>294159</xdr:colOff>
      <xdr:row>0</xdr:row>
      <xdr:rowOff>338709</xdr:rowOff>
    </xdr:to>
    <xdr:pic>
      <xdr:nvPicPr>
        <xdr:cNvPr id="9" name="Grafik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18" y="9525"/>
          <a:ext cx="1980091" cy="329184"/>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8" Type="http://schemas.openxmlformats.org/officeDocument/2006/relationships/hyperlink" Target="https://www.ewz.ch/dam/ewz/Privatkunden/Strom/Tarife/Dokumente/Uebersicht_Tarife_ewz_2023.pdf" TargetMode="External"/><Relationship Id="rId13" Type="http://schemas.openxmlformats.org/officeDocument/2006/relationships/hyperlink" Target="http://www.stadt-zuerich.ch/%20&#8594;%20Suche%20&#8594;%20Richtlinie%20Energiepreise%20Geb&#228;udebereich%202023" TargetMode="External"/><Relationship Id="rId18" Type="http://schemas.openxmlformats.org/officeDocument/2006/relationships/hyperlink" Target="http://www.stadt-zuerich.ch/%20&#8594;%20Suche%20&#8594;%20Richtlinie%20Energiepreise%20Geb&#228;udebereich%202023" TargetMode="External"/><Relationship Id="rId3" Type="http://schemas.openxmlformats.org/officeDocument/2006/relationships/hyperlink" Target="http://www.erz.ch/zuerichwaerme" TargetMode="External"/><Relationship Id="rId21" Type="http://schemas.openxmlformats.org/officeDocument/2006/relationships/printerSettings" Target="../printerSettings/printerSettings4.bin"/><Relationship Id="rId7" Type="http://schemas.openxmlformats.org/officeDocument/2006/relationships/hyperlink" Target="https://www.stadt-zuerich.ch/ted/de/index/entsorgung_recycling/wissen/waermeproduktion/fakten-fw.html" TargetMode="External"/><Relationship Id="rId12" Type="http://schemas.openxmlformats.org/officeDocument/2006/relationships/hyperlink" Target="https://www.stadt-zuerich.ch/content/dam/stzh/dib/Deutsch/Energieversorgung/Publikationen%20und%20Broschueren/Richtlinie%20zur%20Berechnung%20der%20Wirtschaftlichkeit%20energetischer%20Massnahmen_2023.pdf" TargetMode="External"/><Relationship Id="rId17" Type="http://schemas.openxmlformats.org/officeDocument/2006/relationships/hyperlink" Target="https://www.kbob.admin.ch/kbob/de/home/themen-leistungen/nachhaltiges-bauen/oekobilanzdaten_baubereich.html" TargetMode="External"/><Relationship Id="rId2" Type="http://schemas.openxmlformats.org/officeDocument/2006/relationships/hyperlink" Target="https://www.minergie.ch/media/211130_produktreglement_minergie_p_a_v2022.1_de.pdf" TargetMode="External"/><Relationship Id="rId16" Type="http://schemas.openxmlformats.org/officeDocument/2006/relationships/hyperlink" Target="https://www.stadt-zuerich.ch/dib/de/index/energieversorgung/energiebeauftragter/publikationen/wirtschaftlichkeit-gebauede.html" TargetMode="External"/><Relationship Id="rId20" Type="http://schemas.openxmlformats.org/officeDocument/2006/relationships/hyperlink" Target="https://www.kbob.admin.ch/kbob/de/home/themen-leistungen/nachhaltiges-bauen/oekobilanzdaten_baubereich.html" TargetMode="External"/><Relationship Id="rId1" Type="http://schemas.openxmlformats.org/officeDocument/2006/relationships/hyperlink" Target="http://www.minergie.ch/de/zertifizieren/minergie" TargetMode="External"/><Relationship Id="rId6" Type="http://schemas.openxmlformats.org/officeDocument/2006/relationships/hyperlink" Target="https://www.kbob.admin.ch/dam/kbob/de/dokumente/Themen%20und%20Trends/Oekobilanzen/%C3%96kobilanzdaten%20im%20Baubereich_Donn%C3%A9es%20des%20%C3%A9cobilans%20dans%20la%20construction%202009-1-2022.zip.download.zip/%C3%96kobilanzdaten%20im%20Baubereich_Do" TargetMode="External"/><Relationship Id="rId11" Type="http://schemas.openxmlformats.org/officeDocument/2006/relationships/hyperlink" Target="http://www.stadt-zuerich.ch/%20&#8594;%20Suche%20&#8594;%20Richtlinie%20Energiepreise%20Geb&#228;udebereich%202023" TargetMode="External"/><Relationship Id="rId24" Type="http://schemas.openxmlformats.org/officeDocument/2006/relationships/comments" Target="../comments4.xml"/><Relationship Id="rId5" Type="http://schemas.openxmlformats.org/officeDocument/2006/relationships/hyperlink" Target="https://www.minergie.ch/media/211130_produktreglement_minergie_p_a_v2022.1_de.pdf" TargetMode="External"/><Relationship Id="rId15" Type="http://schemas.openxmlformats.org/officeDocument/2006/relationships/hyperlink" Target="http://www.stadt-zuerich.ch/%20&#8594;%20Suche%20&#8594;%20Richtlinie%20Energiepreise%20Geb&#228;udebereich%202024" TargetMode="External"/><Relationship Id="rId23" Type="http://schemas.openxmlformats.org/officeDocument/2006/relationships/vmlDrawing" Target="../drawings/vmlDrawing5.vml"/><Relationship Id="rId10" Type="http://schemas.openxmlformats.org/officeDocument/2006/relationships/hyperlink" Target="https://www.stadt-zuerich.ch/content/dam/stzh/portal/Deutsch/AmtlicheSammlung/Erlasse/732/310/732.310_Verg%C3%BCtung%20Tarif%20EEA%20V1.pdf" TargetMode="External"/><Relationship Id="rId19" Type="http://schemas.openxmlformats.org/officeDocument/2006/relationships/hyperlink" Target="https://www.stadt-zuerich.ch/content/dam/stzh/dib/Deutsch/Energieversorgung/Publikationen%20und%20Broschueren/2024%20Richtlinie%20zur%20Berechnung%20der%20Wirtschaftlichkeit%20energetischer%20Massnahmen.pdf" TargetMode="External"/><Relationship Id="rId4" Type="http://schemas.openxmlformats.org/officeDocument/2006/relationships/hyperlink" Target="http://www.minergie.ch/de/zertifizieren/minergie" TargetMode="External"/><Relationship Id="rId9" Type="http://schemas.openxmlformats.org/officeDocument/2006/relationships/hyperlink" Target="https://www.ewz.ch/content/dam/ewz/Privatkunden/Solaranlagen/Solarstrom_fuer_Eigentuemer/verguetung_stromruecklieferung_zh_2016-21.pdf" TargetMode="External"/><Relationship Id="rId14" Type="http://schemas.openxmlformats.org/officeDocument/2006/relationships/hyperlink" Target="https://www.stadt-zuerich.ch/content/dam/stzh/dib/Deutsch/Energieversorgung/Publikationen%20und%20Broschueren/2024%20Richtlinie%20zur%20Berechnung%20der%20Wirtschaftlichkeit%20energetischer%20Massnahmen.pdf" TargetMode="External"/><Relationship Id="rId22"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2060"/>
    <pageSetUpPr fitToPage="1"/>
  </sheetPr>
  <dimension ref="A1:E20"/>
  <sheetViews>
    <sheetView zoomScaleNormal="100" zoomScaleSheetLayoutView="100" workbookViewId="0">
      <pane ySplit="3" topLeftCell="A4" activePane="bottomLeft" state="frozen"/>
      <selection activeCell="A8" sqref="A8:J8"/>
      <selection pane="bottomLeft" activeCell="C5" sqref="C5"/>
    </sheetView>
  </sheetViews>
  <sheetFormatPr baseColWidth="10" defaultColWidth="9.28515625" defaultRowHeight="12.75" x14ac:dyDescent="0.2"/>
  <cols>
    <col min="1" max="1" width="7.28515625" style="623" customWidth="1"/>
    <col min="2" max="2" width="8.5703125" style="623" customWidth="1"/>
    <col min="3" max="3" width="11.5703125" style="623" customWidth="1"/>
    <col min="4" max="4" width="15.7109375" style="623" customWidth="1"/>
    <col min="5" max="5" width="85.140625" style="623" customWidth="1"/>
    <col min="6" max="11" width="9.28515625" style="623"/>
    <col min="12" max="14" width="14.7109375" style="623" customWidth="1"/>
    <col min="15" max="15" width="15" style="623" customWidth="1"/>
    <col min="16" max="16384" width="9.28515625" style="623"/>
  </cols>
  <sheetData>
    <row r="1" spans="1:5" ht="15.75" x14ac:dyDescent="0.25">
      <c r="A1" s="69" t="s">
        <v>150</v>
      </c>
    </row>
    <row r="3" spans="1:5" s="1" customFormat="1" ht="15" customHeight="1" x14ac:dyDescent="0.2">
      <c r="B3" s="75" t="s">
        <v>151</v>
      </c>
      <c r="C3" s="76" t="s">
        <v>99</v>
      </c>
      <c r="D3" s="72" t="s">
        <v>152</v>
      </c>
      <c r="E3" s="73" t="s">
        <v>153</v>
      </c>
    </row>
    <row r="4" spans="1:5" s="54" customFormat="1" ht="134.25" customHeight="1" x14ac:dyDescent="0.2">
      <c r="A4" s="74" t="s">
        <v>154</v>
      </c>
      <c r="B4" s="170" t="s">
        <v>780</v>
      </c>
      <c r="C4" s="111">
        <v>43490</v>
      </c>
      <c r="D4" s="495" t="s">
        <v>155</v>
      </c>
      <c r="E4" s="614" t="s">
        <v>801</v>
      </c>
    </row>
    <row r="5" spans="1:5" s="54" customFormat="1" ht="91.5" customHeight="1" x14ac:dyDescent="0.2">
      <c r="A5" s="613"/>
      <c r="B5" s="403" t="s">
        <v>685</v>
      </c>
      <c r="C5" s="404">
        <v>42447</v>
      </c>
      <c r="D5" s="580" t="s">
        <v>155</v>
      </c>
      <c r="E5" s="581" t="s">
        <v>694</v>
      </c>
    </row>
    <row r="6" spans="1:5" s="54" customFormat="1" ht="67.5" customHeight="1" x14ac:dyDescent="0.2">
      <c r="A6" s="613"/>
      <c r="B6" s="403" t="s">
        <v>668</v>
      </c>
      <c r="C6" s="404">
        <v>42034</v>
      </c>
      <c r="D6" s="580" t="s">
        <v>155</v>
      </c>
      <c r="E6" s="581" t="s">
        <v>667</v>
      </c>
    </row>
    <row r="7" spans="1:5" s="54" customFormat="1" ht="117.75" customHeight="1" x14ac:dyDescent="0.2">
      <c r="A7" s="613"/>
      <c r="B7" s="403" t="s">
        <v>584</v>
      </c>
      <c r="C7" s="404">
        <v>41865</v>
      </c>
      <c r="D7" s="580" t="s">
        <v>155</v>
      </c>
      <c r="E7" s="581" t="s">
        <v>621</v>
      </c>
    </row>
    <row r="8" spans="1:5" s="54" customFormat="1" ht="104.25" customHeight="1" x14ac:dyDescent="0.2">
      <c r="A8" s="613"/>
      <c r="B8" s="403" t="s">
        <v>535</v>
      </c>
      <c r="C8" s="404">
        <v>41744</v>
      </c>
      <c r="D8" s="580" t="s">
        <v>155</v>
      </c>
      <c r="E8" s="581" t="s">
        <v>551</v>
      </c>
    </row>
    <row r="9" spans="1:5" s="54" customFormat="1" ht="40.5" customHeight="1" x14ac:dyDescent="0.2">
      <c r="A9" s="613"/>
      <c r="B9" s="403" t="s">
        <v>533</v>
      </c>
      <c r="C9" s="404">
        <v>41724</v>
      </c>
      <c r="D9" s="580" t="s">
        <v>506</v>
      </c>
      <c r="E9" s="581" t="s">
        <v>534</v>
      </c>
    </row>
    <row r="10" spans="1:5" s="54" customFormat="1" ht="81.75" customHeight="1" x14ac:dyDescent="0.2">
      <c r="A10" s="613"/>
      <c r="B10" s="403" t="s">
        <v>531</v>
      </c>
      <c r="C10" s="404">
        <v>41714</v>
      </c>
      <c r="D10" s="580" t="s">
        <v>506</v>
      </c>
      <c r="E10" s="581" t="s">
        <v>532</v>
      </c>
    </row>
    <row r="11" spans="1:5" s="54" customFormat="1" ht="43.5" customHeight="1" x14ac:dyDescent="0.2">
      <c r="A11" s="613"/>
      <c r="B11" s="403" t="s">
        <v>511</v>
      </c>
      <c r="C11" s="404">
        <v>41698</v>
      </c>
      <c r="D11" s="580" t="s">
        <v>155</v>
      </c>
      <c r="E11" s="406" t="s">
        <v>524</v>
      </c>
    </row>
    <row r="12" spans="1:5" s="54" customFormat="1" ht="40.5" customHeight="1" x14ac:dyDescent="0.2">
      <c r="B12" s="403" t="s">
        <v>510</v>
      </c>
      <c r="C12" s="404">
        <v>41695</v>
      </c>
      <c r="D12" s="580" t="s">
        <v>506</v>
      </c>
      <c r="E12" s="406" t="s">
        <v>512</v>
      </c>
    </row>
    <row r="13" spans="1:5" s="54" customFormat="1" ht="41.25" customHeight="1" x14ac:dyDescent="0.2">
      <c r="B13" s="403" t="s">
        <v>487</v>
      </c>
      <c r="C13" s="404">
        <v>41677</v>
      </c>
      <c r="D13" s="580" t="s">
        <v>155</v>
      </c>
      <c r="E13" s="406" t="s">
        <v>513</v>
      </c>
    </row>
    <row r="14" spans="1:5" s="1" customFormat="1" ht="105" customHeight="1" x14ac:dyDescent="0.2">
      <c r="B14" s="403" t="s">
        <v>577</v>
      </c>
      <c r="C14" s="404">
        <v>41667</v>
      </c>
      <c r="D14" s="580" t="s">
        <v>486</v>
      </c>
      <c r="E14" s="581" t="s">
        <v>514</v>
      </c>
    </row>
    <row r="15" spans="1:5" s="1" customFormat="1" ht="39.75" customHeight="1" x14ac:dyDescent="0.2">
      <c r="B15" s="403" t="s">
        <v>241</v>
      </c>
      <c r="C15" s="404">
        <v>41240</v>
      </c>
      <c r="D15" s="405" t="s">
        <v>155</v>
      </c>
      <c r="E15" s="406" t="s">
        <v>242</v>
      </c>
    </row>
    <row r="16" spans="1:5" s="1" customFormat="1" ht="27" customHeight="1" x14ac:dyDescent="0.2">
      <c r="B16" s="168" t="s">
        <v>239</v>
      </c>
      <c r="C16" s="84">
        <v>40788</v>
      </c>
      <c r="D16" s="70" t="s">
        <v>155</v>
      </c>
      <c r="E16" s="171" t="s">
        <v>240</v>
      </c>
    </row>
    <row r="17" spans="2:5" s="1" customFormat="1" ht="15.75" customHeight="1" x14ac:dyDescent="0.2">
      <c r="B17" s="168" t="s">
        <v>237</v>
      </c>
      <c r="C17" s="84">
        <v>40739</v>
      </c>
      <c r="D17" s="70" t="s">
        <v>155</v>
      </c>
      <c r="E17" s="171" t="s">
        <v>236</v>
      </c>
    </row>
    <row r="18" spans="2:5" s="1" customFormat="1" ht="15.75" customHeight="1" x14ac:dyDescent="0.2">
      <c r="B18" s="168">
        <v>0.3</v>
      </c>
      <c r="C18" s="84">
        <v>40695</v>
      </c>
      <c r="D18" s="70" t="s">
        <v>155</v>
      </c>
      <c r="E18" s="171" t="s">
        <v>197</v>
      </c>
    </row>
    <row r="19" spans="2:5" s="1" customFormat="1" ht="15.75" customHeight="1" x14ac:dyDescent="0.2">
      <c r="B19" s="168">
        <v>0.2</v>
      </c>
      <c r="C19" s="84">
        <v>40584</v>
      </c>
      <c r="D19" s="70" t="s">
        <v>155</v>
      </c>
      <c r="E19" s="171" t="s">
        <v>195</v>
      </c>
    </row>
    <row r="20" spans="2:5" s="1" customFormat="1" ht="15.75" customHeight="1" x14ac:dyDescent="0.2">
      <c r="B20" s="169">
        <v>0.1</v>
      </c>
      <c r="C20" s="85">
        <v>40508</v>
      </c>
      <c r="D20" s="71" t="s">
        <v>155</v>
      </c>
      <c r="E20" s="172"/>
    </row>
  </sheetData>
  <sheetProtection algorithmName="SHA-512" hashValue="KbQoPeNkjjn5qqxqBl2hub01f/uoFA7vjrrKQmSg9kkjz0vxzcQVkkrG8c923HhUtU2Xxw63mzSJiYA1MdVYUA==" saltValue="fSmaMmxWzHmZOZyaC8fXgA==" spinCount="100000" sheet="1" objects="1" scenarios="1" selectLockedCells="1"/>
  <pageMargins left="0.70866141732283472" right="0.70866141732283472" top="0.39370078740157483" bottom="0.98425196850393704" header="0.39370078740157483" footer="0.39370078740157483"/>
  <pageSetup paperSize="9" scale="69" orientation="portrait" r:id="rId1"/>
  <headerFooter scaleWithDoc="0">
    <oddFooter>&amp;L&amp;8&amp;G&amp;C&amp;9Seite &amp;P/&amp;N&amp;6
                                                          &amp;D/&amp;F&amp;R&amp;7&amp;G</oddFooter>
  </headerFooter>
  <legacyDrawing r:id="rId2"/>
  <legacyDrawingHF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9" tint="-0.499984740745262"/>
    <outlinePr summaryBelow="0"/>
    <pageSetUpPr fitToPage="1"/>
  </sheetPr>
  <dimension ref="A1:BU426"/>
  <sheetViews>
    <sheetView showGridLines="0" showZeros="0" zoomScaleNormal="100" zoomScaleSheetLayoutView="100" workbookViewId="0">
      <pane ySplit="13" topLeftCell="A14" activePane="bottomLeft" state="frozen"/>
      <selection activeCell="A8" sqref="A8:N8"/>
      <selection pane="bottomLeft" activeCell="B40" sqref="B40:D40"/>
    </sheetView>
  </sheetViews>
  <sheetFormatPr baseColWidth="10" defaultColWidth="11.42578125" defaultRowHeight="12.95" customHeight="1" x14ac:dyDescent="0.2"/>
  <cols>
    <col min="1" max="1" width="25.42578125" style="34" customWidth="1"/>
    <col min="2" max="2" width="12.42578125" style="33" customWidth="1"/>
    <col min="3" max="4" width="5.7109375" style="33" customWidth="1"/>
    <col min="5" max="5" width="6.85546875" style="33" customWidth="1"/>
    <col min="6" max="6" width="7.7109375" style="33" customWidth="1"/>
    <col min="7" max="8" width="4.85546875" style="32" customWidth="1"/>
    <col min="9" max="9" width="7.7109375" style="32" customWidth="1"/>
    <col min="10" max="10" width="9.7109375" style="34" customWidth="1"/>
    <col min="11" max="12" width="3.42578125" style="34" customWidth="1"/>
    <col min="13" max="13" width="9.7109375" style="34" customWidth="1"/>
    <col min="14" max="15" width="11.7109375" style="34" customWidth="1"/>
    <col min="16" max="16" width="7.42578125" style="123" customWidth="1"/>
    <col min="17" max="17" width="7.28515625" style="123" customWidth="1"/>
    <col min="18" max="18" width="8.28515625" style="123" customWidth="1"/>
    <col min="19" max="19" width="12.140625" style="127" customWidth="1"/>
    <col min="20" max="20" width="11.5703125" style="123" customWidth="1"/>
    <col min="21" max="21" width="10.140625" style="123" customWidth="1"/>
    <col min="22" max="22" width="11.5703125" style="123" customWidth="1"/>
    <col min="23" max="23" width="11" style="123" customWidth="1"/>
    <col min="24" max="24" width="10.140625" style="123" customWidth="1"/>
    <col min="25" max="25" width="8.5703125" style="123" customWidth="1"/>
    <col min="26" max="26" width="10.140625" style="123" customWidth="1"/>
    <col min="27" max="32" width="8.5703125" style="123" customWidth="1"/>
    <col min="33" max="35" width="8.5703125" style="174" customWidth="1"/>
    <col min="36" max="68" width="8.5703125" style="175" customWidth="1"/>
    <col min="69" max="69" width="5" style="32" customWidth="1"/>
    <col min="70" max="16384" width="11.42578125" style="32"/>
  </cols>
  <sheetData>
    <row r="1" spans="1:68" s="1571" customFormat="1" ht="54" customHeight="1" x14ac:dyDescent="0.2">
      <c r="D1" s="1556"/>
      <c r="E1" s="1556"/>
      <c r="F1" s="1556"/>
      <c r="G1" s="67"/>
      <c r="H1" s="67"/>
      <c r="I1" s="67"/>
    </row>
    <row r="2" spans="1:68" s="1571" customFormat="1" ht="15" customHeight="1" x14ac:dyDescent="0.25">
      <c r="A2" s="1565" t="str">
        <f>CONCATENATE("Variantenvergleich Energiesysteme - Version ",Versionsinfo!$B$4)</f>
        <v>Variantenvergleich Energiesysteme - Version 3.0</v>
      </c>
      <c r="B2" s="716"/>
      <c r="C2" s="716"/>
      <c r="D2" s="717"/>
      <c r="E2" s="651"/>
      <c r="F2" s="652" t="s">
        <v>586</v>
      </c>
      <c r="I2" s="67"/>
      <c r="L2" s="1376"/>
    </row>
    <row r="3" spans="1:68" s="425" customFormat="1" ht="12.75" customHeight="1" x14ac:dyDescent="0.2">
      <c r="A3" s="1557" t="s">
        <v>781</v>
      </c>
      <c r="D3" s="427"/>
      <c r="E3" s="427"/>
      <c r="F3" s="427"/>
      <c r="H3" s="903">
        <f>Projektdaten!$C$8</f>
        <v>0</v>
      </c>
      <c r="I3" s="903"/>
      <c r="J3" s="903"/>
      <c r="K3" s="903"/>
      <c r="L3" s="903"/>
      <c r="M3" s="903"/>
      <c r="N3" s="428"/>
    </row>
    <row r="4" spans="1:68" s="425" customFormat="1" ht="16.5" customHeight="1" x14ac:dyDescent="0.2">
      <c r="A4" s="430"/>
      <c r="H4" s="903">
        <f>Projektdaten!$J$8</f>
        <v>0</v>
      </c>
      <c r="I4" s="903"/>
      <c r="J4" s="904"/>
      <c r="K4" s="905"/>
      <c r="L4" s="905"/>
      <c r="M4" s="905"/>
    </row>
    <row r="5" spans="1:68" s="50" customFormat="1" ht="16.5" customHeight="1" x14ac:dyDescent="0.25">
      <c r="A5" s="1581" t="s">
        <v>716</v>
      </c>
      <c r="B5" s="601"/>
      <c r="H5" s="1435" t="str">
        <f>CONCATENATE("Version: ",Projektdaten!$F$13)</f>
        <v>Version: 1</v>
      </c>
      <c r="I5" s="1435"/>
      <c r="J5" s="1435"/>
      <c r="K5" s="1435"/>
      <c r="L5" s="2199">
        <f ca="1">Projektdaten!$F$15</f>
        <v>45372</v>
      </c>
      <c r="M5" s="2199"/>
      <c r="N5" s="901"/>
      <c r="O5" s="145"/>
      <c r="P5" s="123"/>
      <c r="Q5" s="126"/>
      <c r="R5" s="1376"/>
      <c r="S5" s="127"/>
      <c r="T5" s="123"/>
      <c r="U5" s="123"/>
      <c r="V5" s="123"/>
      <c r="W5" s="123"/>
      <c r="X5" s="123"/>
      <c r="Y5" s="123"/>
      <c r="Z5" s="123"/>
      <c r="AA5" s="123"/>
      <c r="AB5" s="123"/>
      <c r="AC5" s="123"/>
      <c r="AD5" s="123"/>
      <c r="AE5" s="123"/>
      <c r="AF5" s="123"/>
      <c r="AG5" s="174"/>
      <c r="AH5" s="174"/>
      <c r="AI5" s="174"/>
      <c r="AJ5" s="175"/>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c r="BN5" s="175"/>
      <c r="BO5" s="175"/>
      <c r="BP5" s="175"/>
    </row>
    <row r="6" spans="1:68" ht="13.5" customHeight="1" x14ac:dyDescent="0.2">
      <c r="B6" s="34"/>
    </row>
    <row r="7" spans="1:68" s="48" customFormat="1" ht="15" customHeight="1" x14ac:dyDescent="0.25">
      <c r="A7" s="280" t="s">
        <v>16</v>
      </c>
      <c r="B7" s="696">
        <f>EV_Var1!$C$7</f>
        <v>0</v>
      </c>
      <c r="C7" s="696"/>
      <c r="D7" s="167"/>
      <c r="E7" s="167"/>
      <c r="F7" s="1582">
        <f>EV_Var1!$J$7</f>
        <v>0</v>
      </c>
      <c r="G7" s="1582"/>
      <c r="H7" s="517"/>
      <c r="I7" s="517"/>
      <c r="J7" s="518"/>
      <c r="K7" s="518"/>
      <c r="L7" s="518"/>
      <c r="M7" s="518"/>
      <c r="O7" s="146"/>
      <c r="P7" s="144"/>
      <c r="Q7" s="128"/>
      <c r="R7" s="216"/>
      <c r="S7" s="125"/>
      <c r="T7" s="217"/>
      <c r="U7" s="183"/>
      <c r="V7" s="217"/>
      <c r="W7" s="217"/>
      <c r="X7" s="217"/>
      <c r="Y7" s="217"/>
      <c r="Z7" s="217"/>
      <c r="AA7" s="218"/>
      <c r="AB7" s="218"/>
      <c r="AC7" s="218"/>
      <c r="AD7" s="218"/>
      <c r="AE7" s="218"/>
      <c r="AF7" s="218"/>
      <c r="AG7" s="219"/>
      <c r="AH7" s="219"/>
      <c r="AI7" s="219"/>
      <c r="AJ7" s="220"/>
      <c r="AK7" s="220"/>
      <c r="AL7" s="221"/>
      <c r="AM7" s="221"/>
      <c r="AN7" s="221"/>
      <c r="AO7" s="221"/>
      <c r="AP7" s="221"/>
      <c r="AQ7" s="221"/>
      <c r="AR7" s="221"/>
      <c r="AS7" s="221"/>
      <c r="AT7" s="221"/>
      <c r="AU7" s="221"/>
      <c r="AV7" s="221"/>
      <c r="AW7" s="221"/>
      <c r="AX7" s="221"/>
      <c r="AY7" s="221"/>
      <c r="AZ7" s="221"/>
      <c r="BA7" s="221"/>
      <c r="BB7" s="221"/>
      <c r="BC7" s="221"/>
      <c r="BD7" s="221"/>
      <c r="BE7" s="221"/>
      <c r="BF7" s="221"/>
      <c r="BG7" s="221"/>
      <c r="BH7" s="221"/>
      <c r="BI7" s="221"/>
      <c r="BJ7" s="221"/>
      <c r="BK7" s="221"/>
      <c r="BL7" s="221"/>
      <c r="BM7" s="221"/>
      <c r="BN7" s="221"/>
      <c r="BO7" s="221"/>
      <c r="BP7" s="221"/>
    </row>
    <row r="8" spans="1:68" s="46" customFormat="1" ht="6" customHeight="1" x14ac:dyDescent="0.25">
      <c r="A8" s="47"/>
      <c r="G8" s="23" t="s">
        <v>11</v>
      </c>
      <c r="H8" s="23"/>
      <c r="I8" s="33"/>
      <c r="J8" s="33"/>
      <c r="K8" s="33"/>
      <c r="L8" s="33"/>
      <c r="M8" s="33"/>
      <c r="N8" s="33"/>
      <c r="O8" s="33"/>
      <c r="P8" s="123"/>
      <c r="Q8" s="129"/>
      <c r="R8" s="130"/>
      <c r="S8" s="125"/>
      <c r="T8" s="124"/>
      <c r="U8" s="124"/>
      <c r="V8" s="124"/>
      <c r="W8" s="124"/>
      <c r="X8" s="124"/>
      <c r="Y8" s="124"/>
      <c r="Z8" s="124"/>
      <c r="AA8" s="123"/>
      <c r="AB8" s="123"/>
      <c r="AC8" s="123"/>
      <c r="AD8" s="123"/>
      <c r="AE8" s="123"/>
      <c r="AF8" s="123"/>
      <c r="AG8" s="174"/>
      <c r="AH8" s="174"/>
      <c r="AI8" s="174"/>
      <c r="AJ8" s="175"/>
      <c r="AK8" s="175"/>
      <c r="AL8" s="175"/>
      <c r="AM8" s="175"/>
      <c r="AN8" s="175"/>
      <c r="AO8" s="175"/>
      <c r="AP8" s="175"/>
      <c r="AQ8" s="175"/>
      <c r="AR8" s="175"/>
      <c r="AS8" s="175"/>
      <c r="AT8" s="175"/>
      <c r="AU8" s="175"/>
      <c r="AV8" s="175"/>
      <c r="AW8" s="175"/>
      <c r="AX8" s="175"/>
      <c r="AY8" s="175"/>
      <c r="AZ8" s="175"/>
      <c r="BA8" s="175"/>
      <c r="BB8" s="175"/>
      <c r="BC8" s="175"/>
      <c r="BD8" s="175"/>
      <c r="BE8" s="175"/>
      <c r="BF8" s="175"/>
      <c r="BG8" s="175"/>
      <c r="BH8" s="175"/>
      <c r="BI8" s="175"/>
      <c r="BJ8" s="175"/>
      <c r="BK8" s="175"/>
      <c r="BL8" s="175"/>
      <c r="BM8" s="175"/>
      <c r="BN8" s="175"/>
      <c r="BO8" s="175"/>
      <c r="BP8" s="175"/>
    </row>
    <row r="9" spans="1:68" ht="17.25" customHeight="1" x14ac:dyDescent="0.25">
      <c r="A9" s="504" t="s">
        <v>629</v>
      </c>
      <c r="H9" s="148" t="s">
        <v>651</v>
      </c>
      <c r="I9" s="149">
        <f>IF(ISBLANK(Grunddaten!$O$8),Grunddaten!$N$8,Grunddaten!$O$8)</f>
        <v>2.2499999999999999E-2</v>
      </c>
      <c r="J9" s="510" t="s">
        <v>494</v>
      </c>
      <c r="K9" s="45"/>
      <c r="L9" s="45"/>
      <c r="M9" s="45"/>
      <c r="N9" s="45"/>
      <c r="O9" s="45"/>
      <c r="P9" s="131"/>
      <c r="Q9" s="124"/>
      <c r="R9" s="132"/>
      <c r="S9" s="125"/>
      <c r="T9" s="124"/>
      <c r="U9" s="124"/>
      <c r="V9" s="124"/>
      <c r="W9" s="124"/>
      <c r="X9" s="124"/>
      <c r="Y9" s="124"/>
      <c r="Z9" s="124"/>
    </row>
    <row r="10" spans="1:68" ht="2.25" customHeight="1" x14ac:dyDescent="0.2">
      <c r="N10" s="596"/>
      <c r="O10"/>
      <c r="P10"/>
      <c r="Q10" s="124"/>
      <c r="R10" s="124"/>
      <c r="S10" s="125"/>
      <c r="T10" s="124"/>
      <c r="U10" s="124"/>
      <c r="V10" s="124"/>
      <c r="W10" s="124"/>
      <c r="X10" s="124"/>
      <c r="Y10" s="124"/>
      <c r="Z10" s="124"/>
    </row>
    <row r="11" spans="1:68" s="176" customFormat="1" ht="11.25" customHeight="1" x14ac:dyDescent="0.2">
      <c r="A11" s="1049" t="s">
        <v>258</v>
      </c>
      <c r="B11" s="1108" t="s">
        <v>259</v>
      </c>
      <c r="C11" s="1100"/>
      <c r="D11" s="1109"/>
      <c r="E11" s="2378" t="s">
        <v>563</v>
      </c>
      <c r="F11" s="2379"/>
      <c r="G11" s="2378" t="s">
        <v>565</v>
      </c>
      <c r="H11" s="2379"/>
      <c r="I11" s="2376" t="s">
        <v>566</v>
      </c>
      <c r="J11" s="2376" t="s">
        <v>630</v>
      </c>
      <c r="K11" s="2697" t="s">
        <v>641</v>
      </c>
      <c r="L11" s="2698"/>
      <c r="M11" s="2699"/>
      <c r="N11" s="596"/>
      <c r="O11"/>
      <c r="P11"/>
      <c r="Q11" s="134"/>
      <c r="R11" s="134"/>
      <c r="S11" s="129"/>
      <c r="T11" s="124"/>
      <c r="U11" s="124"/>
      <c r="V11" s="124"/>
      <c r="W11" s="124"/>
      <c r="X11" s="124"/>
      <c r="Y11" s="124"/>
      <c r="Z11" s="123"/>
      <c r="AA11" s="123"/>
      <c r="AB11" s="123"/>
      <c r="AC11" s="123"/>
      <c r="AD11" s="123"/>
      <c r="AE11" s="123"/>
      <c r="AF11" s="174"/>
      <c r="AG11" s="174"/>
      <c r="AH11" s="174"/>
      <c r="AI11" s="175"/>
      <c r="AJ11" s="175"/>
    </row>
    <row r="12" spans="1:68" s="176" customFormat="1" ht="11.25" customHeight="1" x14ac:dyDescent="0.2">
      <c r="A12" s="1050"/>
      <c r="B12" s="1110"/>
      <c r="C12" s="1101"/>
      <c r="D12" s="1111"/>
      <c r="E12" s="2380"/>
      <c r="F12" s="2381"/>
      <c r="G12" s="2380"/>
      <c r="H12" s="2381"/>
      <c r="I12" s="2377"/>
      <c r="J12" s="2377"/>
      <c r="K12" s="2700"/>
      <c r="L12" s="2701"/>
      <c r="M12" s="2702"/>
      <c r="N12" s="596"/>
      <c r="O12"/>
      <c r="P12"/>
      <c r="Q12" s="134"/>
      <c r="R12" s="134"/>
      <c r="S12" s="129"/>
      <c r="T12" s="124"/>
      <c r="U12" s="124"/>
      <c r="V12" s="124"/>
      <c r="W12" s="124"/>
      <c r="X12" s="124"/>
      <c r="Y12" s="124"/>
      <c r="Z12" s="123"/>
      <c r="AA12" s="123"/>
      <c r="AB12" s="123"/>
      <c r="AC12" s="123"/>
      <c r="AD12" s="123"/>
      <c r="AE12" s="123"/>
      <c r="AF12" s="174"/>
      <c r="AG12" s="174"/>
      <c r="AH12" s="174"/>
      <c r="AI12" s="175"/>
      <c r="AJ12" s="175"/>
    </row>
    <row r="13" spans="1:68" s="176" customFormat="1" ht="11.25" customHeight="1" x14ac:dyDescent="0.2">
      <c r="A13" s="1053"/>
      <c r="B13" s="1112"/>
      <c r="C13" s="1054"/>
      <c r="D13" s="1113"/>
      <c r="E13" s="2483" t="s">
        <v>564</v>
      </c>
      <c r="F13" s="2484"/>
      <c r="G13" s="2483" t="s">
        <v>20</v>
      </c>
      <c r="H13" s="2484"/>
      <c r="I13" s="2696"/>
      <c r="J13" s="1114" t="s">
        <v>567</v>
      </c>
      <c r="K13" s="2483" t="s">
        <v>580</v>
      </c>
      <c r="L13" s="2349"/>
      <c r="M13" s="1102" t="s">
        <v>567</v>
      </c>
      <c r="N13" s="596"/>
      <c r="O13"/>
      <c r="P13"/>
      <c r="Q13" s="134"/>
      <c r="R13" s="134"/>
      <c r="S13" s="129"/>
      <c r="T13" s="124"/>
      <c r="U13" s="124"/>
      <c r="V13" s="124"/>
      <c r="W13" s="124"/>
      <c r="X13" s="124"/>
      <c r="Y13" s="124"/>
      <c r="Z13" s="123"/>
      <c r="AA13" s="123"/>
      <c r="AB13" s="123"/>
      <c r="AC13" s="123"/>
      <c r="AD13" s="123"/>
      <c r="AE13" s="123"/>
      <c r="AF13" s="174"/>
      <c r="AG13" s="174"/>
      <c r="AH13" s="174"/>
      <c r="AI13" s="175"/>
      <c r="AJ13" s="175"/>
    </row>
    <row r="14" spans="1:68" s="176" customFormat="1" ht="0.75" customHeight="1" x14ac:dyDescent="0.2">
      <c r="A14" s="1051"/>
      <c r="B14" s="1192"/>
      <c r="C14" s="1192"/>
      <c r="D14" s="1192"/>
      <c r="E14" s="1193"/>
      <c r="F14" s="1193"/>
      <c r="G14" s="1193"/>
      <c r="H14" s="1193"/>
      <c r="I14" s="1194"/>
      <c r="J14" s="1193"/>
      <c r="K14" s="1193"/>
      <c r="L14" s="1193"/>
      <c r="M14" s="1195"/>
      <c r="N14" s="852"/>
      <c r="O14" s="722"/>
      <c r="P14" s="722"/>
      <c r="Q14" s="134"/>
      <c r="R14" s="134"/>
      <c r="S14" s="129"/>
      <c r="T14" s="124"/>
      <c r="U14" s="124"/>
      <c r="V14" s="124"/>
      <c r="W14" s="124"/>
      <c r="X14" s="124"/>
      <c r="Y14" s="124"/>
      <c r="Z14" s="123"/>
      <c r="AA14" s="123"/>
      <c r="AB14" s="123"/>
      <c r="AC14" s="123"/>
      <c r="AD14" s="123"/>
      <c r="AE14" s="123"/>
      <c r="AF14" s="174"/>
      <c r="AG14" s="174"/>
      <c r="AH14" s="174"/>
      <c r="AI14" s="175"/>
      <c r="AJ14" s="175"/>
    </row>
    <row r="15" spans="1:68" s="176" customFormat="1" ht="13.5" customHeight="1" x14ac:dyDescent="0.2">
      <c r="A15" s="2680" t="s">
        <v>554</v>
      </c>
      <c r="B15" s="2681"/>
      <c r="C15" s="2681"/>
      <c r="D15" s="2681"/>
      <c r="E15" s="2681"/>
      <c r="F15" s="2681"/>
      <c r="G15" s="2681"/>
      <c r="H15" s="2681"/>
      <c r="I15" s="2681"/>
      <c r="J15" s="2681"/>
      <c r="K15" s="2681"/>
      <c r="L15" s="2681"/>
      <c r="M15" s="2682"/>
      <c r="N15" s="624"/>
      <c r="O15" s="623"/>
      <c r="P15" s="623"/>
      <c r="Q15" s="134"/>
      <c r="R15" s="134"/>
      <c r="S15" s="129"/>
      <c r="T15" s="124"/>
      <c r="U15" s="124"/>
      <c r="V15" s="124"/>
      <c r="W15" s="124"/>
      <c r="X15" s="124"/>
      <c r="Y15" s="124"/>
      <c r="Z15" s="123"/>
      <c r="AA15" s="123"/>
      <c r="AB15" s="123"/>
      <c r="AC15" s="123"/>
      <c r="AD15" s="123"/>
      <c r="AE15" s="123"/>
      <c r="AF15" s="174"/>
      <c r="AG15" s="174"/>
      <c r="AH15" s="174"/>
      <c r="AI15" s="175"/>
      <c r="AJ15" s="175"/>
    </row>
    <row r="16" spans="1:68" s="36" customFormat="1" ht="12" customHeight="1" x14ac:dyDescent="0.2">
      <c r="A16" s="1042" t="str">
        <f>A40</f>
        <v>1. Wärmequelle Baumeister</v>
      </c>
      <c r="B16" s="2693">
        <f>B40</f>
        <v>0</v>
      </c>
      <c r="C16" s="2694"/>
      <c r="D16" s="2695"/>
      <c r="E16" s="2627">
        <f>E40</f>
        <v>0</v>
      </c>
      <c r="F16" s="2628"/>
      <c r="G16" s="1067"/>
      <c r="H16" s="1068"/>
      <c r="I16" s="1069"/>
      <c r="J16" s="982">
        <f>J40</f>
        <v>0</v>
      </c>
      <c r="K16" s="2705" t="str">
        <f t="shared" ref="K16:K37" si="0">IF(E16=0,"",M16/E16*100)</f>
        <v/>
      </c>
      <c r="L16" s="2706"/>
      <c r="M16" s="1064">
        <f>M40</f>
        <v>0</v>
      </c>
      <c r="N16" s="596"/>
      <c r="O16"/>
      <c r="P16"/>
      <c r="Q16"/>
      <c r="R16" s="136"/>
      <c r="S16" s="129"/>
      <c r="T16" s="129"/>
      <c r="U16" s="129"/>
      <c r="V16" s="129"/>
      <c r="W16" s="129"/>
      <c r="X16" s="129"/>
      <c r="Y16" s="129"/>
      <c r="Z16" s="133"/>
      <c r="AA16" s="133"/>
      <c r="AB16" s="133"/>
      <c r="AC16" s="133"/>
      <c r="AD16" s="133"/>
      <c r="AE16" s="133"/>
      <c r="AF16" s="222"/>
      <c r="AG16" s="222"/>
      <c r="AH16" s="222"/>
      <c r="AI16" s="176"/>
      <c r="AJ16" s="176"/>
      <c r="AK16" s="176"/>
      <c r="AL16" s="176"/>
      <c r="AM16" s="176"/>
      <c r="AN16" s="176"/>
      <c r="AO16" s="176"/>
      <c r="AP16" s="176"/>
      <c r="AQ16" s="176"/>
      <c r="AR16" s="176"/>
      <c r="AS16" s="176"/>
      <c r="AT16" s="176"/>
      <c r="AU16" s="176"/>
      <c r="AV16" s="176"/>
      <c r="AW16" s="176"/>
      <c r="AX16" s="176"/>
      <c r="AY16" s="176"/>
      <c r="AZ16" s="176"/>
      <c r="BA16" s="176"/>
      <c r="BB16" s="176"/>
      <c r="BC16" s="176"/>
      <c r="BD16" s="176"/>
      <c r="BE16" s="176"/>
      <c r="BF16" s="176"/>
      <c r="BG16" s="176"/>
      <c r="BH16" s="176"/>
      <c r="BI16" s="176"/>
      <c r="BJ16" s="176"/>
      <c r="BK16" s="176"/>
      <c r="BL16" s="176"/>
      <c r="BM16" s="176"/>
      <c r="BN16" s="176"/>
      <c r="BO16" s="176"/>
    </row>
    <row r="17" spans="1:67" s="36" customFormat="1" ht="12" customHeight="1" x14ac:dyDescent="0.2">
      <c r="A17" s="1043" t="str">
        <f>A55</f>
        <v>2. Wärmequelle Technisch</v>
      </c>
      <c r="B17" s="2638">
        <f>B55</f>
        <v>0</v>
      </c>
      <c r="C17" s="2639"/>
      <c r="D17" s="2640"/>
      <c r="E17" s="2599">
        <f>E55</f>
        <v>0</v>
      </c>
      <c r="F17" s="2600"/>
      <c r="G17" s="1070"/>
      <c r="H17" s="1071"/>
      <c r="I17" s="1072"/>
      <c r="J17" s="989">
        <f>J55</f>
        <v>0</v>
      </c>
      <c r="K17" s="2703" t="str">
        <f t="shared" si="0"/>
        <v/>
      </c>
      <c r="L17" s="2704"/>
      <c r="M17" s="1065">
        <f>M55</f>
        <v>0</v>
      </c>
      <c r="N17" s="596"/>
      <c r="O17"/>
      <c r="P17"/>
      <c r="Q17"/>
      <c r="R17" s="136"/>
      <c r="S17" s="129"/>
      <c r="T17" s="129"/>
      <c r="U17" s="129"/>
      <c r="V17" s="129"/>
      <c r="W17" s="129"/>
      <c r="X17" s="129"/>
      <c r="Y17" s="129"/>
      <c r="Z17" s="133"/>
      <c r="AA17" s="133"/>
      <c r="AB17" s="133"/>
      <c r="AC17" s="133"/>
      <c r="AD17" s="133"/>
      <c r="AE17" s="133"/>
      <c r="AF17" s="222"/>
      <c r="AG17" s="222"/>
      <c r="AH17" s="222"/>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36" customFormat="1" ht="12" customHeight="1" x14ac:dyDescent="0.2">
      <c r="A18" s="1043" t="str">
        <f>A70</f>
        <v>3. Energiezulieferung</v>
      </c>
      <c r="B18" s="2638">
        <f>B70</f>
        <v>0</v>
      </c>
      <c r="C18" s="2639"/>
      <c r="D18" s="2640"/>
      <c r="E18" s="2599">
        <f>E70</f>
        <v>0</v>
      </c>
      <c r="F18" s="2600"/>
      <c r="G18" s="1070"/>
      <c r="H18" s="1071"/>
      <c r="I18" s="1072"/>
      <c r="J18" s="989">
        <f>J70</f>
        <v>0</v>
      </c>
      <c r="K18" s="2703" t="str">
        <f t="shared" si="0"/>
        <v/>
      </c>
      <c r="L18" s="2704"/>
      <c r="M18" s="1065">
        <f>M70</f>
        <v>0</v>
      </c>
      <c r="N18" s="596"/>
      <c r="O18"/>
      <c r="P18"/>
      <c r="Q18"/>
      <c r="R18" s="136"/>
      <c r="S18" s="129"/>
      <c r="T18" s="129"/>
      <c r="U18" s="129"/>
      <c r="V18" s="129"/>
      <c r="W18" s="129"/>
      <c r="X18" s="129"/>
      <c r="Y18" s="129"/>
      <c r="Z18" s="133"/>
      <c r="AA18" s="133"/>
      <c r="AB18" s="133"/>
      <c r="AC18" s="133"/>
      <c r="AD18" s="133"/>
      <c r="AE18" s="133"/>
      <c r="AF18" s="222"/>
      <c r="AG18" s="222"/>
      <c r="AH18" s="222"/>
      <c r="AI18" s="176"/>
      <c r="AJ18" s="176"/>
      <c r="AK18" s="176"/>
      <c r="AL18" s="176"/>
      <c r="AM18" s="176"/>
      <c r="AN18" s="176"/>
      <c r="AO18" s="176"/>
      <c r="AP18" s="176"/>
      <c r="AQ18" s="176"/>
      <c r="AR18" s="176"/>
      <c r="AS18" s="176"/>
      <c r="AT18" s="176"/>
      <c r="AU18" s="176"/>
      <c r="AV18" s="176"/>
      <c r="AW18" s="176"/>
      <c r="AX18" s="176"/>
      <c r="AY18" s="176"/>
      <c r="AZ18" s="176"/>
      <c r="BA18" s="176"/>
      <c r="BB18" s="176"/>
      <c r="BC18" s="176"/>
      <c r="BD18" s="176"/>
      <c r="BE18" s="176"/>
      <c r="BF18" s="176"/>
      <c r="BG18" s="176"/>
      <c r="BH18" s="176"/>
      <c r="BI18" s="176"/>
      <c r="BJ18" s="176"/>
      <c r="BK18" s="176"/>
      <c r="BL18" s="176"/>
      <c r="BM18" s="176"/>
      <c r="BN18" s="176"/>
      <c r="BO18" s="176"/>
    </row>
    <row r="19" spans="1:67" s="36" customFormat="1" ht="12" customHeight="1" x14ac:dyDescent="0.2">
      <c r="A19" s="1043" t="str">
        <f>A85</f>
        <v>4. Wärme- / Kälteerzeugung</v>
      </c>
      <c r="B19" s="2638">
        <f>B85</f>
        <v>0</v>
      </c>
      <c r="C19" s="2639"/>
      <c r="D19" s="2640"/>
      <c r="E19" s="2599">
        <f>E85</f>
        <v>0</v>
      </c>
      <c r="F19" s="2600"/>
      <c r="G19" s="1070"/>
      <c r="H19" s="1071"/>
      <c r="I19" s="1072"/>
      <c r="J19" s="989">
        <f>J85</f>
        <v>0</v>
      </c>
      <c r="K19" s="2703" t="str">
        <f t="shared" si="0"/>
        <v/>
      </c>
      <c r="L19" s="2704"/>
      <c r="M19" s="1065">
        <f>M85</f>
        <v>0</v>
      </c>
      <c r="N19" s="596"/>
      <c r="O19"/>
      <c r="P19"/>
      <c r="Q19"/>
      <c r="R19" s="136"/>
      <c r="S19" s="129"/>
      <c r="T19" s="129"/>
      <c r="U19" s="129"/>
      <c r="V19" s="129"/>
      <c r="W19" s="129"/>
      <c r="X19" s="129"/>
      <c r="Y19" s="129"/>
      <c r="Z19" s="133"/>
      <c r="AA19" s="133"/>
      <c r="AB19" s="133"/>
      <c r="AC19" s="133"/>
      <c r="AD19" s="133"/>
      <c r="AE19" s="133"/>
      <c r="AF19" s="222"/>
      <c r="AG19" s="222"/>
      <c r="AH19" s="222"/>
      <c r="AI19" s="176"/>
      <c r="AJ19" s="176"/>
      <c r="AK19" s="176"/>
      <c r="AL19" s="176"/>
      <c r="AM19" s="176"/>
      <c r="AN19" s="176"/>
      <c r="AO19" s="176"/>
      <c r="AP19" s="176"/>
      <c r="AQ19" s="176"/>
      <c r="AR19" s="176"/>
      <c r="AS19" s="176"/>
      <c r="AT19" s="176"/>
      <c r="AU19" s="176"/>
      <c r="AV19" s="176"/>
      <c r="AW19" s="176"/>
      <c r="AX19" s="176"/>
      <c r="AY19" s="176"/>
      <c r="AZ19" s="176"/>
      <c r="BA19" s="176"/>
      <c r="BB19" s="176"/>
      <c r="BC19" s="176"/>
      <c r="BD19" s="176"/>
      <c r="BE19" s="176"/>
      <c r="BF19" s="176"/>
      <c r="BG19" s="176"/>
      <c r="BH19" s="176"/>
      <c r="BI19" s="176"/>
      <c r="BJ19" s="176"/>
      <c r="BK19" s="176"/>
      <c r="BL19" s="176"/>
      <c r="BM19" s="176"/>
      <c r="BN19" s="176"/>
      <c r="BO19" s="176"/>
    </row>
    <row r="20" spans="1:67" s="36" customFormat="1" ht="12" customHeight="1" x14ac:dyDescent="0.2">
      <c r="A20" s="1043" t="str">
        <f>A102</f>
        <v>5. Kaminanlage</v>
      </c>
      <c r="B20" s="2638">
        <f>B102</f>
        <v>0</v>
      </c>
      <c r="C20" s="2639"/>
      <c r="D20" s="2640"/>
      <c r="E20" s="2599">
        <f>E102</f>
        <v>0</v>
      </c>
      <c r="F20" s="2600"/>
      <c r="G20" s="1070"/>
      <c r="H20" s="1071"/>
      <c r="I20" s="1072"/>
      <c r="J20" s="989">
        <f>J102</f>
        <v>0</v>
      </c>
      <c r="K20" s="2703" t="str">
        <f t="shared" si="0"/>
        <v/>
      </c>
      <c r="L20" s="2704"/>
      <c r="M20" s="1065">
        <f>M102</f>
        <v>0</v>
      </c>
      <c r="N20" s="596"/>
      <c r="O20"/>
      <c r="P20"/>
      <c r="Q20"/>
      <c r="R20" s="136"/>
      <c r="S20" s="129"/>
      <c r="T20" s="129"/>
      <c r="U20" s="129"/>
      <c r="V20" s="129"/>
      <c r="W20" s="129"/>
      <c r="X20" s="129"/>
      <c r="Y20" s="129"/>
      <c r="Z20" s="133"/>
      <c r="AA20" s="133"/>
      <c r="AB20" s="133"/>
      <c r="AC20" s="133"/>
      <c r="AD20" s="133"/>
      <c r="AE20" s="133"/>
      <c r="AF20" s="222"/>
      <c r="AG20" s="222"/>
      <c r="AH20" s="222"/>
      <c r="AI20" s="176"/>
      <c r="AJ20" s="176"/>
      <c r="AK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BG20" s="176"/>
      <c r="BH20" s="176"/>
      <c r="BI20" s="176"/>
      <c r="BJ20" s="176"/>
      <c r="BK20" s="176"/>
      <c r="BL20" s="176"/>
      <c r="BM20" s="176"/>
      <c r="BN20" s="176"/>
      <c r="BO20" s="176"/>
    </row>
    <row r="21" spans="1:67" s="36" customFormat="1" ht="12" customHeight="1" x14ac:dyDescent="0.2">
      <c r="A21" s="1043" t="str">
        <f>A117</f>
        <v>6. Wärmeverteilung</v>
      </c>
      <c r="B21" s="2638">
        <f>B117</f>
        <v>0</v>
      </c>
      <c r="C21" s="2639"/>
      <c r="D21" s="2640"/>
      <c r="E21" s="2599">
        <f>E117</f>
        <v>0</v>
      </c>
      <c r="F21" s="2600"/>
      <c r="G21" s="1070"/>
      <c r="H21" s="1071"/>
      <c r="I21" s="1072"/>
      <c r="J21" s="989">
        <f>J117</f>
        <v>0</v>
      </c>
      <c r="K21" s="2703" t="str">
        <f t="shared" si="0"/>
        <v/>
      </c>
      <c r="L21" s="2704"/>
      <c r="M21" s="1065">
        <f>M117</f>
        <v>0</v>
      </c>
      <c r="N21" s="596"/>
      <c r="O21"/>
      <c r="P21"/>
      <c r="Q21"/>
      <c r="R21" s="136"/>
      <c r="S21" s="129"/>
      <c r="T21" s="129"/>
      <c r="U21" s="129"/>
      <c r="V21" s="129"/>
      <c r="W21" s="129"/>
      <c r="X21" s="129"/>
      <c r="Y21" s="129"/>
      <c r="Z21" s="133"/>
      <c r="AA21" s="133"/>
      <c r="AB21" s="133"/>
      <c r="AC21" s="133"/>
      <c r="AD21" s="133"/>
      <c r="AE21" s="133"/>
      <c r="AF21" s="222"/>
      <c r="AG21" s="222"/>
      <c r="AH21" s="222"/>
      <c r="AI21" s="176"/>
      <c r="AJ21" s="176"/>
      <c r="AK21" s="176"/>
      <c r="AL21" s="176"/>
      <c r="AM21" s="176"/>
      <c r="AN21" s="176"/>
      <c r="AO21" s="176"/>
      <c r="AP21" s="176"/>
      <c r="AQ21" s="176"/>
      <c r="AR21" s="176"/>
      <c r="AS21" s="176"/>
      <c r="AT21" s="176"/>
      <c r="AU21" s="176"/>
      <c r="AV21" s="176"/>
      <c r="AW21" s="176"/>
      <c r="AX21" s="176"/>
      <c r="AY21" s="176"/>
      <c r="AZ21" s="176"/>
      <c r="BA21" s="176"/>
      <c r="BB21" s="176"/>
      <c r="BC21" s="176"/>
      <c r="BD21" s="176"/>
      <c r="BE21" s="176"/>
      <c r="BF21" s="176"/>
      <c r="BG21" s="176"/>
      <c r="BH21" s="176"/>
      <c r="BI21" s="176"/>
      <c r="BJ21" s="176"/>
      <c r="BK21" s="176"/>
      <c r="BL21" s="176"/>
      <c r="BM21" s="176"/>
      <c r="BN21" s="176"/>
      <c r="BO21" s="176"/>
    </row>
    <row r="22" spans="1:67" s="36" customFormat="1" ht="12" customHeight="1" x14ac:dyDescent="0.2">
      <c r="A22" s="1043" t="str">
        <f>A132</f>
        <v>7. Wärme- / Kälteabgabe</v>
      </c>
      <c r="B22" s="2638">
        <f>B132</f>
        <v>0</v>
      </c>
      <c r="C22" s="2639"/>
      <c r="D22" s="2640"/>
      <c r="E22" s="2599">
        <f>E132</f>
        <v>0</v>
      </c>
      <c r="F22" s="2600"/>
      <c r="G22" s="1070"/>
      <c r="H22" s="1071"/>
      <c r="I22" s="1072"/>
      <c r="J22" s="989">
        <f>J132</f>
        <v>0</v>
      </c>
      <c r="K22" s="2703" t="str">
        <f t="shared" si="0"/>
        <v/>
      </c>
      <c r="L22" s="2704"/>
      <c r="M22" s="1065">
        <f>M132</f>
        <v>0</v>
      </c>
      <c r="N22" s="596"/>
      <c r="O22"/>
      <c r="P22"/>
      <c r="Q22"/>
      <c r="R22" s="136"/>
      <c r="S22" s="129"/>
      <c r="T22" s="129"/>
      <c r="U22" s="129"/>
      <c r="V22" s="129"/>
      <c r="W22" s="129"/>
      <c r="X22" s="129"/>
      <c r="Y22" s="129"/>
      <c r="Z22" s="133"/>
      <c r="AA22" s="133"/>
      <c r="AB22" s="133"/>
      <c r="AC22" s="133"/>
      <c r="AD22" s="133"/>
      <c r="AE22" s="133"/>
      <c r="AF22" s="222"/>
      <c r="AG22" s="222"/>
      <c r="AH22" s="222"/>
      <c r="AI22" s="176"/>
      <c r="AJ22" s="176"/>
      <c r="AK22" s="176"/>
      <c r="AL22" s="176"/>
      <c r="AM22" s="176"/>
      <c r="AN22" s="176"/>
      <c r="AO22" s="176"/>
      <c r="AP22" s="176"/>
      <c r="AQ22" s="176"/>
      <c r="AR22" s="176"/>
      <c r="AS22" s="176"/>
      <c r="AT22" s="176"/>
      <c r="AU22" s="176"/>
      <c r="AV22" s="176"/>
      <c r="AW22" s="176"/>
      <c r="AX22" s="176"/>
      <c r="AY22" s="176"/>
      <c r="AZ22" s="176"/>
      <c r="BA22" s="176"/>
      <c r="BB22" s="176"/>
      <c r="BC22" s="176"/>
      <c r="BD22" s="176"/>
      <c r="BE22" s="176"/>
      <c r="BF22" s="176"/>
      <c r="BG22" s="176"/>
      <c r="BH22" s="176"/>
      <c r="BI22" s="176"/>
      <c r="BJ22" s="176"/>
      <c r="BK22" s="176"/>
      <c r="BL22" s="176"/>
      <c r="BM22" s="176"/>
      <c r="BN22" s="176"/>
      <c r="BO22" s="176"/>
    </row>
    <row r="23" spans="1:67" s="36" customFormat="1" ht="12" customHeight="1" x14ac:dyDescent="0.2">
      <c r="A23" s="1043" t="str">
        <f>A147</f>
        <v>8. Sicherheit</v>
      </c>
      <c r="B23" s="2638">
        <f>B147</f>
        <v>0</v>
      </c>
      <c r="C23" s="2639"/>
      <c r="D23" s="2640"/>
      <c r="E23" s="2599">
        <f>E147</f>
        <v>0</v>
      </c>
      <c r="F23" s="2600"/>
      <c r="G23" s="1070"/>
      <c r="H23" s="1071"/>
      <c r="I23" s="1072"/>
      <c r="J23" s="989">
        <f>J147</f>
        <v>0</v>
      </c>
      <c r="K23" s="2703" t="str">
        <f t="shared" si="0"/>
        <v/>
      </c>
      <c r="L23" s="2704"/>
      <c r="M23" s="1065">
        <f>M147</f>
        <v>0</v>
      </c>
      <c r="N23" s="596"/>
      <c r="O23" s="595"/>
      <c r="P23" s="595"/>
      <c r="Q23" s="595"/>
      <c r="R23" s="136"/>
      <c r="S23" s="129"/>
      <c r="T23" s="129"/>
      <c r="U23" s="129"/>
      <c r="V23" s="129"/>
      <c r="W23" s="129"/>
      <c r="X23" s="129"/>
      <c r="Y23" s="129"/>
      <c r="Z23" s="133"/>
      <c r="AA23" s="133"/>
      <c r="AB23" s="133"/>
      <c r="AC23" s="133"/>
      <c r="AD23" s="133"/>
      <c r="AE23" s="133"/>
      <c r="AF23" s="222"/>
      <c r="AG23" s="222"/>
      <c r="AH23" s="222"/>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row>
    <row r="24" spans="1:67" s="36" customFormat="1" ht="12" customHeight="1" x14ac:dyDescent="0.2">
      <c r="A24" s="1043" t="str">
        <f>A162</f>
        <v>9. Sanitär</v>
      </c>
      <c r="B24" s="2638">
        <f>B162</f>
        <v>0</v>
      </c>
      <c r="C24" s="2639"/>
      <c r="D24" s="2640"/>
      <c r="E24" s="2599">
        <f>E162</f>
        <v>0</v>
      </c>
      <c r="F24" s="2600"/>
      <c r="G24" s="1070"/>
      <c r="H24" s="1071"/>
      <c r="I24" s="1072"/>
      <c r="J24" s="989">
        <f>J162</f>
        <v>0</v>
      </c>
      <c r="K24" s="2703" t="str">
        <f t="shared" si="0"/>
        <v/>
      </c>
      <c r="L24" s="2704"/>
      <c r="M24" s="1065">
        <f>M162</f>
        <v>0</v>
      </c>
      <c r="N24" s="596"/>
      <c r="O24" s="595"/>
      <c r="P24" s="595"/>
      <c r="Q24" s="595"/>
      <c r="R24" s="136"/>
      <c r="S24" s="129"/>
      <c r="T24" s="129"/>
      <c r="U24" s="129"/>
      <c r="V24" s="129"/>
      <c r="W24" s="129"/>
      <c r="X24" s="129"/>
      <c r="Y24" s="129"/>
      <c r="Z24" s="133"/>
      <c r="AA24" s="133"/>
      <c r="AB24" s="133"/>
      <c r="AC24" s="133"/>
      <c r="AD24" s="133"/>
      <c r="AE24" s="133"/>
      <c r="AF24" s="222"/>
      <c r="AG24" s="222"/>
      <c r="AH24" s="222"/>
      <c r="AI24" s="176"/>
      <c r="AJ24" s="176"/>
      <c r="AK24" s="176"/>
      <c r="AL24" s="176"/>
      <c r="AM24" s="176"/>
      <c r="AN24" s="176"/>
      <c r="AO24" s="176"/>
      <c r="AP24" s="176"/>
      <c r="AQ24" s="176"/>
      <c r="AR24" s="176"/>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row>
    <row r="25" spans="1:67" s="36" customFormat="1" ht="12" customHeight="1" x14ac:dyDescent="0.2">
      <c r="A25" s="1043" t="str">
        <f>A177</f>
        <v>10. Lüftung</v>
      </c>
      <c r="B25" s="2638">
        <f>B177</f>
        <v>0</v>
      </c>
      <c r="C25" s="2639"/>
      <c r="D25" s="2640"/>
      <c r="E25" s="2599">
        <f>E177</f>
        <v>0</v>
      </c>
      <c r="F25" s="2600"/>
      <c r="G25" s="1070"/>
      <c r="H25" s="1071"/>
      <c r="I25" s="1072"/>
      <c r="J25" s="989">
        <f>J177</f>
        <v>0</v>
      </c>
      <c r="K25" s="2703" t="str">
        <f t="shared" si="0"/>
        <v/>
      </c>
      <c r="L25" s="2704"/>
      <c r="M25" s="1065">
        <f>M177</f>
        <v>0</v>
      </c>
      <c r="N25" s="596"/>
      <c r="O25" s="595"/>
      <c r="P25" s="595"/>
      <c r="Q25" s="595"/>
      <c r="R25" s="136"/>
      <c r="S25" s="129"/>
      <c r="T25" s="129"/>
      <c r="U25" s="129"/>
      <c r="V25" s="129"/>
      <c r="W25" s="129"/>
      <c r="X25" s="129"/>
      <c r="Y25" s="129"/>
      <c r="Z25" s="133"/>
      <c r="AA25" s="133"/>
      <c r="AB25" s="133"/>
      <c r="AC25" s="133"/>
      <c r="AD25" s="133"/>
      <c r="AE25" s="133"/>
      <c r="AF25" s="222"/>
      <c r="AG25" s="222"/>
      <c r="AH25" s="222"/>
      <c r="AI25" s="176"/>
      <c r="AJ25" s="176"/>
      <c r="AK25" s="176"/>
      <c r="AL25" s="176"/>
      <c r="AM25" s="176"/>
      <c r="AN25" s="176"/>
      <c r="AO25" s="176"/>
      <c r="AP25" s="176"/>
      <c r="AQ25" s="176"/>
      <c r="AR25" s="176"/>
      <c r="AS25" s="176"/>
      <c r="AT25" s="176"/>
      <c r="AU25" s="176"/>
      <c r="AV25" s="176"/>
      <c r="AW25" s="176"/>
      <c r="AX25" s="176"/>
      <c r="AY25" s="176"/>
      <c r="AZ25" s="176"/>
      <c r="BA25" s="176"/>
      <c r="BB25" s="176"/>
      <c r="BC25" s="176"/>
      <c r="BD25" s="176"/>
      <c r="BE25" s="176"/>
      <c r="BF25" s="176"/>
      <c r="BG25" s="176"/>
      <c r="BH25" s="176"/>
      <c r="BI25" s="176"/>
      <c r="BJ25" s="176"/>
      <c r="BK25" s="176"/>
      <c r="BL25" s="176"/>
      <c r="BM25" s="176"/>
      <c r="BN25" s="176"/>
      <c r="BO25" s="176"/>
    </row>
    <row r="26" spans="1:67" s="36" customFormat="1" ht="12" customHeight="1" x14ac:dyDescent="0.2">
      <c r="A26" s="1043" t="str">
        <f>A192</f>
        <v>11. Metallbauarbeiten</v>
      </c>
      <c r="B26" s="2638">
        <f>B192</f>
        <v>0</v>
      </c>
      <c r="C26" s="2639"/>
      <c r="D26" s="2640"/>
      <c r="E26" s="2599">
        <f>E192</f>
        <v>0</v>
      </c>
      <c r="F26" s="2600"/>
      <c r="G26" s="1070"/>
      <c r="H26" s="1071"/>
      <c r="I26" s="1072"/>
      <c r="J26" s="989">
        <f>J192</f>
        <v>0</v>
      </c>
      <c r="K26" s="2703" t="str">
        <f t="shared" si="0"/>
        <v/>
      </c>
      <c r="L26" s="2704"/>
      <c r="M26" s="1065">
        <f>M192</f>
        <v>0</v>
      </c>
      <c r="N26" s="596"/>
      <c r="O26" s="595"/>
      <c r="P26" s="595"/>
      <c r="Q26" s="595"/>
      <c r="R26" s="136"/>
      <c r="S26" s="129"/>
      <c r="T26" s="129"/>
      <c r="U26" s="129"/>
      <c r="V26" s="129"/>
      <c r="W26" s="129"/>
      <c r="X26" s="129"/>
      <c r="Y26" s="129"/>
      <c r="Z26" s="133"/>
      <c r="AA26" s="133"/>
      <c r="AB26" s="133"/>
      <c r="AC26" s="133"/>
      <c r="AD26" s="133"/>
      <c r="AE26" s="133"/>
      <c r="AF26" s="222"/>
      <c r="AG26" s="222"/>
      <c r="AH26" s="222"/>
      <c r="AI26" s="176"/>
      <c r="AJ26" s="176"/>
      <c r="AK26" s="176"/>
      <c r="AL26" s="176"/>
      <c r="AM26" s="176"/>
      <c r="AN26" s="176"/>
      <c r="AO26" s="176"/>
      <c r="AP26" s="176"/>
      <c r="AQ26" s="176"/>
      <c r="AR26" s="176"/>
      <c r="AS26" s="176"/>
      <c r="AT26" s="176"/>
      <c r="AU26" s="176"/>
      <c r="AV26" s="176"/>
      <c r="AW26" s="176"/>
      <c r="AX26" s="176"/>
      <c r="AY26" s="176"/>
      <c r="AZ26" s="176"/>
      <c r="BA26" s="176"/>
      <c r="BB26" s="176"/>
      <c r="BC26" s="176"/>
      <c r="BD26" s="176"/>
      <c r="BE26" s="176"/>
      <c r="BF26" s="176"/>
      <c r="BG26" s="176"/>
      <c r="BH26" s="176"/>
      <c r="BI26" s="176"/>
      <c r="BJ26" s="176"/>
      <c r="BK26" s="176"/>
      <c r="BL26" s="176"/>
      <c r="BM26" s="176"/>
      <c r="BN26" s="176"/>
      <c r="BO26" s="176"/>
    </row>
    <row r="27" spans="1:67" s="36" customFormat="1" ht="12" customHeight="1" x14ac:dyDescent="0.2">
      <c r="A27" s="1043" t="str">
        <f>A207</f>
        <v>12. Bauliches Zentrale</v>
      </c>
      <c r="B27" s="2638">
        <f>B207</f>
        <v>0</v>
      </c>
      <c r="C27" s="2639"/>
      <c r="D27" s="2640"/>
      <c r="E27" s="2599">
        <f>E207</f>
        <v>0</v>
      </c>
      <c r="F27" s="2600"/>
      <c r="G27" s="1070"/>
      <c r="H27" s="1071"/>
      <c r="I27" s="1072"/>
      <c r="J27" s="989">
        <f>J207</f>
        <v>0</v>
      </c>
      <c r="K27" s="2703" t="str">
        <f t="shared" si="0"/>
        <v/>
      </c>
      <c r="L27" s="2704"/>
      <c r="M27" s="1065">
        <f>M207</f>
        <v>0</v>
      </c>
      <c r="N27" s="596"/>
      <c r="O27" s="595"/>
      <c r="P27" s="595"/>
      <c r="Q27" s="595"/>
      <c r="R27" s="136"/>
      <c r="S27" s="129"/>
      <c r="T27" s="129"/>
      <c r="U27" s="129"/>
      <c r="V27" s="129"/>
      <c r="W27" s="129"/>
      <c r="X27" s="129"/>
      <c r="Y27" s="129"/>
      <c r="Z27" s="133"/>
      <c r="AA27" s="133"/>
      <c r="AB27" s="133"/>
      <c r="AC27" s="133"/>
      <c r="AD27" s="133"/>
      <c r="AE27" s="133"/>
      <c r="AF27" s="222"/>
      <c r="AG27" s="222"/>
      <c r="AH27" s="222"/>
      <c r="AI27" s="176"/>
      <c r="AJ27" s="176"/>
      <c r="AK27" s="176"/>
      <c r="AL27" s="176"/>
      <c r="AM27" s="176"/>
      <c r="AN27" s="176"/>
      <c r="AO27" s="176"/>
      <c r="AP27" s="176"/>
      <c r="AQ27" s="176"/>
      <c r="AR27" s="176"/>
      <c r="AS27" s="176"/>
      <c r="AT27" s="176"/>
      <c r="AU27" s="176"/>
      <c r="AV27" s="176"/>
      <c r="AW27" s="176"/>
      <c r="AX27" s="176"/>
      <c r="AY27" s="176"/>
      <c r="AZ27" s="176"/>
      <c r="BA27" s="176"/>
      <c r="BB27" s="176"/>
      <c r="BC27" s="176"/>
      <c r="BD27" s="176"/>
      <c r="BE27" s="176"/>
      <c r="BF27" s="176"/>
      <c r="BG27" s="176"/>
      <c r="BH27" s="176"/>
      <c r="BI27" s="176"/>
      <c r="BJ27" s="176"/>
      <c r="BK27" s="176"/>
      <c r="BL27" s="176"/>
      <c r="BM27" s="176"/>
      <c r="BN27" s="176"/>
      <c r="BO27" s="176"/>
    </row>
    <row r="28" spans="1:67" s="36" customFormat="1" ht="12" customHeight="1" x14ac:dyDescent="0.2">
      <c r="A28" s="1043" t="str">
        <f>A222</f>
        <v>13. Wärmeverbund Baumeister</v>
      </c>
      <c r="B28" s="2638">
        <f>B222</f>
        <v>0</v>
      </c>
      <c r="C28" s="2639"/>
      <c r="D28" s="2640"/>
      <c r="E28" s="2599">
        <f>E222</f>
        <v>0</v>
      </c>
      <c r="F28" s="2600"/>
      <c r="G28" s="1070"/>
      <c r="H28" s="1071"/>
      <c r="I28" s="1072"/>
      <c r="J28" s="989">
        <f>J222</f>
        <v>0</v>
      </c>
      <c r="K28" s="2703" t="str">
        <f t="shared" si="0"/>
        <v/>
      </c>
      <c r="L28" s="2704"/>
      <c r="M28" s="1065">
        <f>M222</f>
        <v>0</v>
      </c>
      <c r="N28" s="596"/>
      <c r="O28" s="595"/>
      <c r="P28" s="595"/>
      <c r="Q28" s="595"/>
      <c r="R28" s="136"/>
      <c r="S28" s="129"/>
      <c r="T28" s="129"/>
      <c r="U28" s="129"/>
      <c r="V28" s="129"/>
      <c r="W28" s="129"/>
      <c r="X28" s="129"/>
      <c r="Y28" s="129"/>
      <c r="Z28" s="133"/>
      <c r="AA28" s="133"/>
      <c r="AB28" s="133"/>
      <c r="AC28" s="133"/>
      <c r="AD28" s="133"/>
      <c r="AE28" s="133"/>
      <c r="AF28" s="222"/>
      <c r="AG28" s="222"/>
      <c r="AH28" s="222"/>
      <c r="AI28" s="176"/>
      <c r="AJ28" s="176"/>
      <c r="AK28" s="176"/>
      <c r="AL28" s="176"/>
      <c r="AM28" s="176"/>
      <c r="AN28" s="176"/>
      <c r="AO28" s="176"/>
      <c r="AP28" s="176"/>
      <c r="AQ28" s="176"/>
      <c r="AR28" s="176"/>
      <c r="AS28" s="176"/>
      <c r="AT28" s="176"/>
      <c r="AU28" s="176"/>
      <c r="AV28" s="176"/>
      <c r="AW28" s="176"/>
      <c r="AX28" s="176"/>
      <c r="AY28" s="176"/>
      <c r="AZ28" s="176"/>
      <c r="BA28" s="176"/>
      <c r="BB28" s="176"/>
      <c r="BC28" s="176"/>
      <c r="BD28" s="176"/>
      <c r="BE28" s="176"/>
      <c r="BF28" s="176"/>
      <c r="BG28" s="176"/>
      <c r="BH28" s="176"/>
      <c r="BI28" s="176"/>
      <c r="BJ28" s="176"/>
      <c r="BK28" s="176"/>
      <c r="BL28" s="176"/>
      <c r="BM28" s="176"/>
      <c r="BN28" s="176"/>
      <c r="BO28" s="176"/>
    </row>
    <row r="29" spans="1:67" s="36" customFormat="1" ht="12" customHeight="1" x14ac:dyDescent="0.2">
      <c r="A29" s="1043" t="str">
        <f>A237</f>
        <v>14. Wärmeverbund Leitungen</v>
      </c>
      <c r="B29" s="2638">
        <f>B237</f>
        <v>0</v>
      </c>
      <c r="C29" s="2639"/>
      <c r="D29" s="2640"/>
      <c r="E29" s="2599">
        <f>E237</f>
        <v>0</v>
      </c>
      <c r="F29" s="2600"/>
      <c r="G29" s="1070"/>
      <c r="H29" s="1071"/>
      <c r="I29" s="1072"/>
      <c r="J29" s="989">
        <f>J237</f>
        <v>0</v>
      </c>
      <c r="K29" s="2703" t="str">
        <f t="shared" si="0"/>
        <v/>
      </c>
      <c r="L29" s="2704"/>
      <c r="M29" s="1065">
        <f>M237</f>
        <v>0</v>
      </c>
      <c r="N29" s="596"/>
      <c r="O29"/>
      <c r="P29"/>
      <c r="Q29"/>
      <c r="R29" s="136"/>
      <c r="S29" s="129"/>
      <c r="T29" s="129"/>
      <c r="U29" s="129"/>
      <c r="V29" s="129"/>
      <c r="W29" s="129"/>
      <c r="X29" s="129"/>
      <c r="Y29" s="129"/>
      <c r="Z29" s="133"/>
      <c r="AA29" s="133"/>
      <c r="AB29" s="133"/>
      <c r="AC29" s="133"/>
      <c r="AD29" s="133"/>
      <c r="AE29" s="133"/>
      <c r="AF29" s="222"/>
      <c r="AG29" s="222"/>
      <c r="AH29" s="222"/>
      <c r="AI29" s="176"/>
      <c r="AJ29" s="176"/>
      <c r="AK29" s="176"/>
      <c r="AL29" s="176"/>
      <c r="AM29" s="176"/>
      <c r="AN29" s="176"/>
      <c r="AO29" s="176"/>
      <c r="AP29" s="176"/>
      <c r="AQ29" s="176"/>
      <c r="AR29" s="176"/>
      <c r="AS29" s="176"/>
      <c r="AT29" s="176"/>
      <c r="AU29" s="176"/>
      <c r="AV29" s="176"/>
      <c r="AW29" s="176"/>
      <c r="AX29" s="176"/>
      <c r="AY29" s="176"/>
      <c r="AZ29" s="176"/>
      <c r="BA29" s="176"/>
      <c r="BB29" s="176"/>
      <c r="BC29" s="176"/>
      <c r="BD29" s="176"/>
      <c r="BE29" s="176"/>
      <c r="BF29" s="176"/>
      <c r="BG29" s="176"/>
      <c r="BH29" s="176"/>
      <c r="BI29" s="176"/>
      <c r="BJ29" s="176"/>
      <c r="BK29" s="176"/>
      <c r="BL29" s="176"/>
      <c r="BM29" s="176"/>
      <c r="BN29" s="176"/>
      <c r="BO29" s="176"/>
    </row>
    <row r="30" spans="1:67" s="36" customFormat="1" ht="12" customHeight="1" x14ac:dyDescent="0.2">
      <c r="A30" s="1043" t="str">
        <f>A252</f>
        <v>15. MSRL</v>
      </c>
      <c r="B30" s="2638">
        <f>B252</f>
        <v>0</v>
      </c>
      <c r="C30" s="2639"/>
      <c r="D30" s="2640"/>
      <c r="E30" s="2599">
        <f>E252</f>
        <v>0</v>
      </c>
      <c r="F30" s="2600"/>
      <c r="G30" s="1070"/>
      <c r="H30" s="1071"/>
      <c r="I30" s="1072"/>
      <c r="J30" s="989">
        <f>J252</f>
        <v>0</v>
      </c>
      <c r="K30" s="2703" t="str">
        <f t="shared" si="0"/>
        <v/>
      </c>
      <c r="L30" s="2704"/>
      <c r="M30" s="1065">
        <f>M252</f>
        <v>0</v>
      </c>
      <c r="N30" s="596"/>
      <c r="O30"/>
      <c r="P30"/>
      <c r="Q30"/>
      <c r="R30" s="136"/>
      <c r="S30" s="129"/>
      <c r="T30" s="129"/>
      <c r="U30" s="129"/>
      <c r="V30" s="129"/>
      <c r="W30" s="129"/>
      <c r="X30" s="129"/>
      <c r="Y30" s="129"/>
      <c r="Z30" s="133"/>
      <c r="AA30" s="133"/>
      <c r="AB30" s="133"/>
      <c r="AC30" s="133"/>
      <c r="AD30" s="133"/>
      <c r="AE30" s="133"/>
      <c r="AF30" s="222"/>
      <c r="AG30" s="222"/>
      <c r="AH30" s="222"/>
      <c r="AI30" s="176"/>
      <c r="AJ30" s="176"/>
      <c r="AK30" s="176"/>
      <c r="AL30" s="176"/>
      <c r="AM30" s="176"/>
      <c r="AN30" s="176"/>
      <c r="AO30" s="176"/>
      <c r="AP30" s="176"/>
      <c r="AQ30" s="176"/>
      <c r="AR30" s="176"/>
      <c r="AS30" s="176"/>
      <c r="AT30" s="176"/>
      <c r="AU30" s="176"/>
      <c r="AV30" s="176"/>
      <c r="AW30" s="176"/>
      <c r="AX30" s="176"/>
      <c r="AY30" s="176"/>
      <c r="AZ30" s="176"/>
      <c r="BA30" s="176"/>
      <c r="BB30" s="176"/>
      <c r="BC30" s="176"/>
      <c r="BD30" s="176"/>
      <c r="BE30" s="176"/>
      <c r="BF30" s="176"/>
      <c r="BG30" s="176"/>
      <c r="BH30" s="176"/>
      <c r="BI30" s="176"/>
      <c r="BJ30" s="176"/>
      <c r="BK30" s="176"/>
      <c r="BL30" s="176"/>
      <c r="BM30" s="176"/>
      <c r="BN30" s="176"/>
      <c r="BO30" s="176"/>
    </row>
    <row r="31" spans="1:67" s="36" customFormat="1" ht="12" customHeight="1" x14ac:dyDescent="0.2">
      <c r="A31" s="1043" t="str">
        <f>A267</f>
        <v>16. Elektro</v>
      </c>
      <c r="B31" s="2638">
        <f>B267</f>
        <v>0</v>
      </c>
      <c r="C31" s="2639"/>
      <c r="D31" s="2640"/>
      <c r="E31" s="2599">
        <f>E267</f>
        <v>0</v>
      </c>
      <c r="F31" s="2600"/>
      <c r="G31" s="1070"/>
      <c r="H31" s="1071"/>
      <c r="I31" s="1072"/>
      <c r="J31" s="989">
        <f>J267</f>
        <v>0</v>
      </c>
      <c r="K31" s="2703" t="str">
        <f t="shared" si="0"/>
        <v/>
      </c>
      <c r="L31" s="2704"/>
      <c r="M31" s="1065">
        <f>M267</f>
        <v>0</v>
      </c>
      <c r="N31" s="596"/>
      <c r="O31"/>
      <c r="P31"/>
      <c r="Q31"/>
      <c r="R31" s="136"/>
      <c r="S31" s="129"/>
      <c r="T31" s="129"/>
      <c r="U31" s="129"/>
      <c r="V31" s="129"/>
      <c r="W31" s="129"/>
      <c r="X31" s="129"/>
      <c r="Y31" s="129"/>
      <c r="Z31" s="133"/>
      <c r="AA31" s="133"/>
      <c r="AB31" s="133"/>
      <c r="AC31" s="133"/>
      <c r="AD31" s="133"/>
      <c r="AE31" s="133"/>
      <c r="AF31" s="222"/>
      <c r="AG31" s="222"/>
      <c r="AH31" s="222"/>
      <c r="AI31" s="176"/>
      <c r="AJ31" s="176"/>
      <c r="AK31" s="176"/>
      <c r="AL31" s="176"/>
      <c r="AM31" s="176"/>
      <c r="AN31" s="176"/>
      <c r="AO31" s="176"/>
      <c r="AP31" s="176"/>
      <c r="AQ31" s="176"/>
      <c r="AR31" s="176"/>
      <c r="AS31" s="176"/>
      <c r="AT31" s="176"/>
      <c r="AU31" s="176"/>
      <c r="AV31" s="176"/>
      <c r="AW31" s="176"/>
      <c r="AX31" s="176"/>
      <c r="AY31" s="176"/>
      <c r="AZ31" s="176"/>
      <c r="BA31" s="176"/>
      <c r="BB31" s="176"/>
      <c r="BC31" s="176"/>
      <c r="BD31" s="176"/>
      <c r="BE31" s="176"/>
      <c r="BF31" s="176"/>
      <c r="BG31" s="176"/>
      <c r="BH31" s="176"/>
      <c r="BI31" s="176"/>
      <c r="BJ31" s="176"/>
      <c r="BK31" s="176"/>
      <c r="BL31" s="176"/>
      <c r="BM31" s="176"/>
      <c r="BN31" s="176"/>
      <c r="BO31" s="176"/>
    </row>
    <row r="32" spans="1:67" s="36" customFormat="1" ht="12" customHeight="1" x14ac:dyDescent="0.2">
      <c r="A32" s="1043" t="str">
        <f>A282</f>
        <v>17. Baumeister</v>
      </c>
      <c r="B32" s="2683">
        <f>B282</f>
        <v>0</v>
      </c>
      <c r="C32" s="2684"/>
      <c r="D32" s="2685"/>
      <c r="E32" s="2599">
        <f>E282</f>
        <v>0</v>
      </c>
      <c r="F32" s="2600"/>
      <c r="G32" s="1070"/>
      <c r="H32" s="1071"/>
      <c r="I32" s="1072"/>
      <c r="J32" s="989">
        <f>J282</f>
        <v>0</v>
      </c>
      <c r="K32" s="2703" t="str">
        <f t="shared" si="0"/>
        <v/>
      </c>
      <c r="L32" s="2704"/>
      <c r="M32" s="1065">
        <f>M282</f>
        <v>0</v>
      </c>
      <c r="N32" s="596"/>
      <c r="O32"/>
      <c r="P32"/>
      <c r="Q32"/>
      <c r="R32" s="136"/>
      <c r="S32" s="129"/>
      <c r="T32" s="129"/>
      <c r="U32" s="129"/>
      <c r="V32" s="129"/>
      <c r="W32" s="129"/>
      <c r="X32" s="129"/>
      <c r="Y32" s="129"/>
      <c r="Z32" s="133"/>
      <c r="AA32" s="133"/>
      <c r="AB32" s="133"/>
      <c r="AC32" s="133"/>
      <c r="AD32" s="133"/>
      <c r="AE32" s="133"/>
      <c r="AF32" s="222"/>
      <c r="AG32" s="222"/>
      <c r="AH32" s="222"/>
      <c r="AI32" s="176"/>
      <c r="AJ32" s="176"/>
      <c r="AK32" s="176"/>
      <c r="AL32" s="176"/>
      <c r="AM32" s="176"/>
      <c r="AN32" s="176"/>
      <c r="AO32" s="176"/>
      <c r="AP32" s="176"/>
      <c r="AQ32" s="176"/>
      <c r="AR32" s="176"/>
      <c r="AS32" s="176"/>
      <c r="AT32" s="176"/>
      <c r="AU32" s="176"/>
      <c r="AV32" s="176"/>
      <c r="AW32" s="176"/>
      <c r="AX32" s="176"/>
      <c r="AY32" s="176"/>
      <c r="AZ32" s="176"/>
      <c r="BA32" s="176"/>
      <c r="BB32" s="176"/>
      <c r="BC32" s="176"/>
      <c r="BD32" s="176"/>
      <c r="BE32" s="176"/>
      <c r="BF32" s="176"/>
      <c r="BG32" s="176"/>
      <c r="BH32" s="176"/>
      <c r="BI32" s="176"/>
      <c r="BJ32" s="176"/>
      <c r="BK32" s="176"/>
      <c r="BL32" s="176"/>
      <c r="BM32" s="176"/>
      <c r="BN32" s="176"/>
      <c r="BO32" s="176"/>
    </row>
    <row r="33" spans="1:67" s="36" customFormat="1" ht="12" customHeight="1" x14ac:dyDescent="0.2">
      <c r="A33" s="1043" t="str">
        <f>A297</f>
        <v>18. Weiteres (ohne Baumeister)</v>
      </c>
      <c r="B33" s="2638">
        <f>B297</f>
        <v>0</v>
      </c>
      <c r="C33" s="2639"/>
      <c r="D33" s="2640"/>
      <c r="E33" s="2599">
        <f>E297</f>
        <v>0</v>
      </c>
      <c r="F33" s="2600"/>
      <c r="G33" s="1070"/>
      <c r="H33" s="1071"/>
      <c r="I33" s="1072"/>
      <c r="J33" s="989">
        <f>J297</f>
        <v>0</v>
      </c>
      <c r="K33" s="2703" t="str">
        <f t="shared" si="0"/>
        <v/>
      </c>
      <c r="L33" s="2704"/>
      <c r="M33" s="1065">
        <f>M297</f>
        <v>0</v>
      </c>
      <c r="N33" s="596"/>
      <c r="O33"/>
      <c r="P33"/>
      <c r="Q33"/>
      <c r="R33" s="136"/>
      <c r="S33" s="129"/>
      <c r="T33" s="129"/>
      <c r="U33" s="129"/>
      <c r="V33" s="129"/>
      <c r="W33" s="129"/>
      <c r="X33" s="129"/>
      <c r="Y33" s="129"/>
      <c r="Z33" s="133"/>
      <c r="AA33" s="133"/>
      <c r="AB33" s="133"/>
      <c r="AC33" s="133"/>
      <c r="AD33" s="133"/>
      <c r="AE33" s="133"/>
      <c r="AF33" s="222"/>
      <c r="AG33" s="222"/>
      <c r="AH33" s="222"/>
      <c r="AI33" s="176"/>
      <c r="AJ33" s="176"/>
      <c r="AK33" s="176"/>
      <c r="AL33" s="176"/>
      <c r="AM33" s="176"/>
      <c r="AN33" s="176"/>
      <c r="AO33" s="176"/>
      <c r="AP33" s="176"/>
      <c r="AQ33" s="176"/>
      <c r="AR33" s="176"/>
      <c r="AS33" s="176"/>
      <c r="AT33" s="176"/>
      <c r="AU33" s="176"/>
      <c r="AV33" s="176"/>
      <c r="AW33" s="176"/>
      <c r="AX33" s="176"/>
      <c r="AY33" s="176"/>
      <c r="AZ33" s="176"/>
      <c r="BA33" s="176"/>
      <c r="BB33" s="176"/>
      <c r="BC33" s="176"/>
      <c r="BD33" s="176"/>
      <c r="BE33" s="176"/>
      <c r="BF33" s="176"/>
      <c r="BG33" s="176"/>
      <c r="BH33" s="176"/>
      <c r="BI33" s="176"/>
      <c r="BJ33" s="176"/>
      <c r="BK33" s="176"/>
      <c r="BL33" s="176"/>
      <c r="BM33" s="176"/>
      <c r="BN33" s="176"/>
      <c r="BO33" s="176"/>
    </row>
    <row r="34" spans="1:67" s="36" customFormat="1" ht="12" customHeight="1" x14ac:dyDescent="0.2">
      <c r="A34" s="1043" t="str">
        <f>A312</f>
        <v>19. Baunebenkosten</v>
      </c>
      <c r="B34" s="2638">
        <f>B312</f>
        <v>0</v>
      </c>
      <c r="C34" s="2639"/>
      <c r="D34" s="2640"/>
      <c r="E34" s="2599">
        <f>E312</f>
        <v>0</v>
      </c>
      <c r="F34" s="2600"/>
      <c r="G34" s="1070"/>
      <c r="H34" s="1071"/>
      <c r="I34" s="1072"/>
      <c r="J34" s="989">
        <f>J312</f>
        <v>0</v>
      </c>
      <c r="K34" s="2703" t="str">
        <f t="shared" si="0"/>
        <v/>
      </c>
      <c r="L34" s="2704"/>
      <c r="M34" s="1065">
        <f>M312</f>
        <v>0</v>
      </c>
      <c r="N34" s="596"/>
      <c r="O34"/>
      <c r="P34"/>
      <c r="Q34"/>
      <c r="R34" s="136"/>
      <c r="S34" s="129"/>
      <c r="T34" s="129"/>
      <c r="U34" s="129"/>
      <c r="V34" s="129"/>
      <c r="W34" s="129"/>
      <c r="X34" s="129"/>
      <c r="Y34" s="129"/>
      <c r="Z34" s="133"/>
      <c r="AA34" s="133"/>
      <c r="AB34" s="133"/>
      <c r="AC34" s="133"/>
      <c r="AD34" s="133"/>
      <c r="AE34" s="133"/>
      <c r="AF34" s="222"/>
      <c r="AG34" s="222"/>
      <c r="AH34" s="222"/>
      <c r="AI34" s="176"/>
      <c r="AJ34" s="176"/>
      <c r="AK34" s="176"/>
      <c r="AL34" s="176"/>
      <c r="AM34" s="176"/>
      <c r="AN34" s="176"/>
      <c r="AO34" s="176"/>
      <c r="AP34" s="176"/>
      <c r="AQ34" s="176"/>
      <c r="AR34" s="176"/>
      <c r="AS34" s="176"/>
      <c r="AT34" s="176"/>
      <c r="AU34" s="176"/>
      <c r="AV34" s="176"/>
      <c r="AW34" s="176"/>
      <c r="AX34" s="176"/>
      <c r="AY34" s="176"/>
      <c r="AZ34" s="176"/>
      <c r="BA34" s="176"/>
      <c r="BB34" s="176"/>
      <c r="BC34" s="176"/>
      <c r="BD34" s="176"/>
      <c r="BE34" s="176"/>
      <c r="BF34" s="176"/>
      <c r="BG34" s="176"/>
      <c r="BH34" s="176"/>
      <c r="BI34" s="176"/>
      <c r="BJ34" s="176"/>
      <c r="BK34" s="176"/>
      <c r="BL34" s="176"/>
      <c r="BM34" s="176"/>
      <c r="BN34" s="176"/>
      <c r="BO34" s="176"/>
    </row>
    <row r="35" spans="1:67" s="36" customFormat="1" ht="12" customHeight="1" x14ac:dyDescent="0.2">
      <c r="A35" s="1043" t="str">
        <f>A327</f>
        <v>20. Unvorhergesehenes</v>
      </c>
      <c r="B35" s="2638">
        <f>B327</f>
        <v>0</v>
      </c>
      <c r="C35" s="2639"/>
      <c r="D35" s="2640"/>
      <c r="E35" s="2599">
        <f>E327</f>
        <v>0</v>
      </c>
      <c r="F35" s="2600"/>
      <c r="G35" s="1070"/>
      <c r="H35" s="1071"/>
      <c r="I35" s="1072"/>
      <c r="J35" s="989">
        <f>J327</f>
        <v>0</v>
      </c>
      <c r="K35" s="2703" t="str">
        <f t="shared" si="0"/>
        <v/>
      </c>
      <c r="L35" s="2704"/>
      <c r="M35" s="1065">
        <f>M327</f>
        <v>0</v>
      </c>
      <c r="N35" s="596"/>
      <c r="O35"/>
      <c r="P35"/>
      <c r="Q35"/>
      <c r="R35" s="136"/>
      <c r="S35" s="129"/>
      <c r="T35" s="129"/>
      <c r="U35" s="129"/>
      <c r="V35" s="129"/>
      <c r="W35" s="129"/>
      <c r="X35" s="129"/>
      <c r="Y35" s="129"/>
      <c r="Z35" s="133"/>
      <c r="AA35" s="133"/>
      <c r="AB35" s="133"/>
      <c r="AC35" s="133"/>
      <c r="AD35" s="133"/>
      <c r="AE35" s="133"/>
      <c r="AF35" s="222"/>
      <c r="AG35" s="222"/>
      <c r="AH35" s="222"/>
      <c r="AI35" s="176"/>
      <c r="AJ35" s="176"/>
      <c r="AK35" s="176"/>
      <c r="AL35" s="176"/>
      <c r="AM35" s="176"/>
      <c r="AN35" s="176"/>
      <c r="AO35" s="176"/>
      <c r="AP35" s="176"/>
      <c r="AQ35" s="176"/>
      <c r="AR35" s="176"/>
      <c r="AS35" s="176"/>
      <c r="AT35" s="176"/>
      <c r="AU35" s="176"/>
      <c r="AV35" s="176"/>
      <c r="AW35" s="176"/>
      <c r="AX35" s="176"/>
      <c r="AY35" s="176"/>
      <c r="AZ35" s="176"/>
      <c r="BA35" s="176"/>
      <c r="BB35" s="176"/>
      <c r="BC35" s="176"/>
      <c r="BD35" s="176"/>
      <c r="BE35" s="176"/>
      <c r="BF35" s="176"/>
      <c r="BG35" s="176"/>
      <c r="BH35" s="176"/>
      <c r="BI35" s="176"/>
      <c r="BJ35" s="176"/>
      <c r="BK35" s="176"/>
      <c r="BL35" s="176"/>
      <c r="BM35" s="176"/>
      <c r="BN35" s="176"/>
      <c r="BO35" s="176"/>
    </row>
    <row r="36" spans="1:67" s="36" customFormat="1" ht="12" customHeight="1" x14ac:dyDescent="0.2">
      <c r="A36" s="1043" t="str">
        <f>A341</f>
        <v>21. Honorare / Nebenkosten</v>
      </c>
      <c r="B36" s="2638">
        <f>B341</f>
        <v>0</v>
      </c>
      <c r="C36" s="2639"/>
      <c r="D36" s="2640"/>
      <c r="E36" s="2599">
        <f>E341</f>
        <v>0</v>
      </c>
      <c r="F36" s="2600"/>
      <c r="G36" s="1070"/>
      <c r="H36" s="1071"/>
      <c r="I36" s="1072"/>
      <c r="J36" s="989">
        <f>J341</f>
        <v>0</v>
      </c>
      <c r="K36" s="2703" t="str">
        <f t="shared" si="0"/>
        <v/>
      </c>
      <c r="L36" s="2704"/>
      <c r="M36" s="1065">
        <f>M341</f>
        <v>0</v>
      </c>
      <c r="N36" s="596"/>
      <c r="O36"/>
      <c r="P36"/>
      <c r="Q36"/>
      <c r="R36" s="136"/>
      <c r="S36" s="129"/>
      <c r="T36" s="129"/>
      <c r="U36" s="129"/>
      <c r="V36" s="129"/>
      <c r="W36" s="129"/>
      <c r="X36" s="129"/>
      <c r="Y36" s="129"/>
      <c r="Z36" s="133"/>
      <c r="AA36" s="133"/>
      <c r="AB36" s="133"/>
      <c r="AC36" s="133"/>
      <c r="AD36" s="133"/>
      <c r="AE36" s="133"/>
      <c r="AF36" s="222"/>
      <c r="AG36" s="222"/>
      <c r="AH36" s="222"/>
      <c r="AI36" s="176"/>
      <c r="AJ36" s="176"/>
      <c r="AK36" s="176"/>
      <c r="AL36" s="176"/>
      <c r="AM36" s="176"/>
      <c r="AN36" s="176"/>
      <c r="AO36" s="176"/>
      <c r="AP36" s="176"/>
      <c r="AQ36" s="176"/>
      <c r="AR36" s="176"/>
      <c r="AS36" s="176"/>
      <c r="AT36" s="176"/>
      <c r="AU36" s="176"/>
      <c r="AV36" s="176"/>
      <c r="AW36" s="176"/>
      <c r="AX36" s="176"/>
      <c r="AY36" s="176"/>
      <c r="AZ36" s="176"/>
      <c r="BA36" s="176"/>
      <c r="BB36" s="176"/>
      <c r="BC36" s="176"/>
      <c r="BD36" s="176"/>
      <c r="BE36" s="176"/>
      <c r="BF36" s="176"/>
      <c r="BG36" s="176"/>
      <c r="BH36" s="176"/>
      <c r="BI36" s="176"/>
      <c r="BJ36" s="176"/>
      <c r="BK36" s="176"/>
      <c r="BL36" s="176"/>
      <c r="BM36" s="176"/>
      <c r="BN36" s="176"/>
      <c r="BO36" s="176"/>
    </row>
    <row r="37" spans="1:67" s="36" customFormat="1" ht="12" customHeight="1" x14ac:dyDescent="0.2">
      <c r="A37" s="1044" t="str">
        <f>A398</f>
        <v>22. Betriebsführung</v>
      </c>
      <c r="B37" s="2608">
        <f>B398</f>
        <v>0</v>
      </c>
      <c r="C37" s="2609"/>
      <c r="D37" s="2610"/>
      <c r="E37" s="2601">
        <f>E398</f>
        <v>0</v>
      </c>
      <c r="F37" s="2602"/>
      <c r="G37" s="1073"/>
      <c r="H37" s="1074"/>
      <c r="I37" s="1075"/>
      <c r="J37" s="997">
        <f>J398</f>
        <v>0</v>
      </c>
      <c r="K37" s="2688" t="str">
        <f t="shared" si="0"/>
        <v/>
      </c>
      <c r="L37" s="2689"/>
      <c r="M37" s="1066">
        <f>M398</f>
        <v>0</v>
      </c>
      <c r="N37" s="596"/>
      <c r="O37"/>
      <c r="P37"/>
      <c r="Q37"/>
      <c r="R37" s="136"/>
      <c r="S37" s="129"/>
      <c r="T37" s="129"/>
      <c r="U37" s="129"/>
      <c r="V37" s="129"/>
      <c r="W37" s="129"/>
      <c r="X37" s="129"/>
      <c r="Y37" s="129"/>
      <c r="Z37" s="133"/>
      <c r="AA37" s="133"/>
      <c r="AB37" s="133"/>
      <c r="AC37" s="133"/>
      <c r="AD37" s="133"/>
      <c r="AE37" s="133"/>
      <c r="AF37" s="222"/>
      <c r="AG37" s="222"/>
      <c r="AH37" s="222"/>
      <c r="AI37" s="176"/>
      <c r="AJ37" s="176"/>
      <c r="AK37" s="176"/>
      <c r="AL37" s="176"/>
      <c r="AM37" s="176"/>
      <c r="AN37" s="176"/>
      <c r="AO37" s="176"/>
      <c r="AP37" s="176"/>
      <c r="AQ37" s="176"/>
      <c r="AR37" s="176"/>
      <c r="AS37" s="176"/>
      <c r="AT37" s="176"/>
      <c r="AU37" s="176"/>
      <c r="AV37" s="176"/>
      <c r="AW37" s="176"/>
      <c r="AX37" s="176"/>
      <c r="AY37" s="176"/>
      <c r="AZ37" s="176"/>
      <c r="BA37" s="176"/>
      <c r="BB37" s="176"/>
      <c r="BC37" s="176"/>
      <c r="BD37" s="176"/>
      <c r="BE37" s="176"/>
      <c r="BF37" s="176"/>
      <c r="BG37" s="176"/>
      <c r="BH37" s="176"/>
      <c r="BI37" s="176"/>
      <c r="BJ37" s="176"/>
      <c r="BK37" s="176"/>
      <c r="BL37" s="176"/>
      <c r="BM37" s="176"/>
      <c r="BN37" s="176"/>
      <c r="BO37" s="176"/>
    </row>
    <row r="38" spans="1:67" s="39" customFormat="1" ht="14.1" customHeight="1" x14ac:dyDescent="0.2">
      <c r="A38" s="1103" t="s">
        <v>525</v>
      </c>
      <c r="B38" s="1104"/>
      <c r="C38" s="1105"/>
      <c r="D38" s="1106"/>
      <c r="E38" s="2614">
        <f>E404</f>
        <v>0</v>
      </c>
      <c r="F38" s="2615"/>
      <c r="G38" s="1076"/>
      <c r="H38" s="1077"/>
      <c r="I38" s="1078"/>
      <c r="J38" s="1052">
        <f>J404</f>
        <v>0</v>
      </c>
      <c r="K38" s="2709" t="str">
        <f t="shared" ref="K38" si="1">IF(E38=0,"",M38/E38*100)</f>
        <v/>
      </c>
      <c r="L38" s="2710"/>
      <c r="M38" s="1107">
        <f>M404</f>
        <v>0</v>
      </c>
      <c r="N38" s="410"/>
      <c r="O38" s="68"/>
      <c r="P38" s="68"/>
      <c r="Q38" s="68"/>
      <c r="R38" s="602"/>
      <c r="S38" s="130"/>
      <c r="T38" s="130"/>
      <c r="U38" s="130"/>
      <c r="V38" s="130"/>
      <c r="W38" s="130"/>
      <c r="X38" s="130"/>
      <c r="Y38" s="130"/>
      <c r="Z38" s="603"/>
      <c r="AA38" s="603"/>
      <c r="AB38" s="603"/>
      <c r="AC38" s="603"/>
      <c r="AD38" s="603"/>
      <c r="AE38" s="603"/>
      <c r="AF38" s="604"/>
      <c r="AG38" s="604"/>
      <c r="AH38" s="604"/>
    </row>
    <row r="39" spans="1:67" s="36" customFormat="1" ht="10.5" customHeight="1" x14ac:dyDescent="0.2">
      <c r="A39" s="1348"/>
      <c r="B39" s="2690"/>
      <c r="C39" s="2691"/>
      <c r="D39" s="2692"/>
      <c r="E39" s="2601"/>
      <c r="F39" s="2602"/>
      <c r="G39" s="1088" t="s">
        <v>11</v>
      </c>
      <c r="H39" s="1089"/>
      <c r="I39" s="1083"/>
      <c r="J39" s="1084"/>
      <c r="K39" s="1087"/>
      <c r="L39" s="1307"/>
      <c r="M39" s="1317"/>
      <c r="N39" s="410"/>
      <c r="O39" s="68"/>
      <c r="P39" s="68"/>
      <c r="Q39" s="135"/>
      <c r="R39" s="136"/>
      <c r="S39" s="129"/>
      <c r="T39" s="129"/>
      <c r="U39" s="129"/>
      <c r="V39" s="129"/>
      <c r="W39" s="129"/>
      <c r="X39" s="129"/>
      <c r="Y39" s="129"/>
      <c r="Z39" s="133"/>
      <c r="AA39" s="133"/>
      <c r="AB39" s="133"/>
      <c r="AC39" s="133"/>
      <c r="AD39" s="133"/>
      <c r="AE39" s="133"/>
      <c r="AF39" s="222"/>
      <c r="AG39" s="222"/>
      <c r="AH39" s="222"/>
      <c r="AI39" s="176"/>
      <c r="AJ39" s="176"/>
      <c r="AK39" s="176"/>
      <c r="AL39" s="176"/>
      <c r="AM39" s="176"/>
      <c r="AN39" s="176"/>
      <c r="AO39" s="176"/>
      <c r="AP39" s="176"/>
      <c r="AQ39" s="176"/>
      <c r="AR39" s="176"/>
      <c r="AS39" s="176"/>
      <c r="AT39" s="176"/>
      <c r="AU39" s="176"/>
      <c r="AV39" s="176"/>
      <c r="AW39" s="176"/>
      <c r="AX39" s="176"/>
      <c r="AY39" s="176"/>
      <c r="AZ39" s="176"/>
      <c r="BA39" s="176"/>
      <c r="BB39" s="176"/>
      <c r="BC39" s="176"/>
      <c r="BD39" s="176"/>
      <c r="BE39" s="176"/>
      <c r="BF39" s="176"/>
      <c r="BG39" s="176"/>
      <c r="BH39" s="176"/>
      <c r="BI39" s="176"/>
      <c r="BJ39" s="176"/>
      <c r="BK39" s="176"/>
      <c r="BL39" s="176"/>
      <c r="BM39" s="176"/>
      <c r="BN39" s="176"/>
      <c r="BO39" s="176"/>
    </row>
    <row r="40" spans="1:67" s="36" customFormat="1" ht="10.5" customHeight="1" x14ac:dyDescent="0.2">
      <c r="A40" s="1115" t="s">
        <v>260</v>
      </c>
      <c r="B40" s="2611"/>
      <c r="C40" s="2612"/>
      <c r="D40" s="2613"/>
      <c r="E40" s="2676">
        <f>SUM(E41:E53)</f>
        <v>0</v>
      </c>
      <c r="F40" s="2677"/>
      <c r="G40" s="2678"/>
      <c r="H40" s="2679"/>
      <c r="I40" s="1116">
        <f>IF(E40=0,0,J40/E40)</f>
        <v>0</v>
      </c>
      <c r="J40" s="1117">
        <f>SUM(J41:J53)</f>
        <v>0</v>
      </c>
      <c r="K40" s="2686">
        <f>IF(E40=0,0,M40/E40*100)</f>
        <v>0</v>
      </c>
      <c r="L40" s="2687"/>
      <c r="M40" s="1118">
        <f>SUM(M41:M53)</f>
        <v>0</v>
      </c>
      <c r="N40" s="503"/>
      <c r="O40" s="177">
        <f t="shared" ref="O40:O54" si="2">IF(ISBLANK(H40),G40,H40)</f>
        <v>0</v>
      </c>
      <c r="P40" s="366"/>
      <c r="Q40" s="135"/>
      <c r="R40" s="136"/>
      <c r="S40" s="129"/>
      <c r="T40" s="129"/>
      <c r="U40" s="129"/>
      <c r="V40" s="129"/>
      <c r="W40" s="129"/>
      <c r="X40" s="129"/>
      <c r="Y40" s="129"/>
      <c r="Z40" s="133"/>
      <c r="AA40" s="133"/>
      <c r="AB40" s="133"/>
      <c r="AC40" s="133"/>
      <c r="AD40" s="133"/>
      <c r="AE40" s="133"/>
      <c r="AF40" s="222"/>
      <c r="AG40" s="222"/>
      <c r="AH40" s="222"/>
      <c r="AI40" s="176"/>
      <c r="AJ40" s="176"/>
      <c r="AK40" s="176"/>
      <c r="AL40" s="176"/>
      <c r="AM40" s="176"/>
      <c r="AN40" s="176"/>
      <c r="AO40" s="176"/>
      <c r="AP40" s="176"/>
      <c r="AQ40" s="176"/>
      <c r="AR40" s="176"/>
      <c r="AS40" s="176"/>
      <c r="AT40" s="176"/>
      <c r="AU40" s="176"/>
      <c r="AV40" s="176"/>
      <c r="AW40" s="176"/>
      <c r="AX40" s="176"/>
      <c r="AY40" s="176"/>
      <c r="AZ40" s="176"/>
      <c r="BA40" s="176"/>
      <c r="BB40" s="176"/>
      <c r="BC40" s="176"/>
      <c r="BD40" s="176"/>
      <c r="BE40" s="176"/>
      <c r="BF40" s="176"/>
      <c r="BG40" s="176"/>
      <c r="BH40" s="176"/>
      <c r="BI40" s="176"/>
      <c r="BJ40" s="176"/>
      <c r="BK40" s="176"/>
      <c r="BL40" s="176"/>
      <c r="BM40" s="176"/>
      <c r="BN40" s="176"/>
      <c r="BO40" s="176"/>
    </row>
    <row r="41" spans="1:67" s="36" customFormat="1" ht="10.5" customHeight="1" x14ac:dyDescent="0.2">
      <c r="A41" s="1042" t="s">
        <v>261</v>
      </c>
      <c r="B41" s="2624"/>
      <c r="C41" s="2625"/>
      <c r="D41" s="2626"/>
      <c r="E41" s="2386"/>
      <c r="F41" s="2387"/>
      <c r="G41" s="1056">
        <v>30</v>
      </c>
      <c r="H41" s="1057"/>
      <c r="I41" s="1079">
        <f t="shared" ref="I41:I54" si="3">IF($O41&gt;0,-PMT(($I$9),$O41,1),0)</f>
        <v>4.6199342169092869E-2</v>
      </c>
      <c r="J41" s="1080">
        <f t="shared" ref="J41:J53" si="4">ROUND(E41*I41,0)</f>
        <v>0</v>
      </c>
      <c r="K41" s="1060">
        <v>1.5</v>
      </c>
      <c r="L41" s="1062"/>
      <c r="M41" s="1085">
        <f t="shared" ref="M41:M54" si="5">ROUND(E41/100*IF(ISBLANK(L41),K41,L41),0)</f>
        <v>0</v>
      </c>
      <c r="N41" s="503"/>
      <c r="O41" s="365">
        <f t="shared" si="2"/>
        <v>30</v>
      </c>
      <c r="P41" s="366"/>
      <c r="Q41" s="135"/>
      <c r="R41" s="136"/>
      <c r="S41" s="129"/>
      <c r="T41" s="129"/>
      <c r="U41" s="129"/>
      <c r="V41" s="129"/>
      <c r="W41" s="129"/>
      <c r="X41" s="129"/>
      <c r="Y41" s="129"/>
      <c r="Z41" s="133"/>
      <c r="AA41" s="133"/>
      <c r="AB41" s="133"/>
      <c r="AC41" s="133"/>
      <c r="AD41" s="133"/>
      <c r="AE41" s="133"/>
      <c r="AF41" s="222"/>
      <c r="AG41" s="222"/>
      <c r="AH41" s="222"/>
      <c r="AI41" s="176"/>
      <c r="AJ41" s="176"/>
      <c r="AK41" s="176"/>
      <c r="AL41" s="176"/>
      <c r="AM41" s="176"/>
      <c r="AN41" s="176"/>
      <c r="AO41" s="176"/>
      <c r="AP41" s="176"/>
      <c r="AQ41" s="176"/>
      <c r="AR41" s="176"/>
      <c r="AS41" s="176"/>
      <c r="AT41" s="176"/>
      <c r="AU41" s="176"/>
      <c r="AV41" s="176"/>
      <c r="AW41" s="176"/>
      <c r="AX41" s="176"/>
      <c r="AY41" s="176"/>
      <c r="AZ41" s="176"/>
      <c r="BA41" s="176"/>
      <c r="BB41" s="176"/>
      <c r="BC41" s="176"/>
      <c r="BD41" s="176"/>
      <c r="BE41" s="176"/>
      <c r="BF41" s="176"/>
      <c r="BG41" s="176"/>
      <c r="BH41" s="176"/>
      <c r="BI41" s="176"/>
      <c r="BJ41" s="176"/>
      <c r="BK41" s="176"/>
      <c r="BL41" s="176"/>
      <c r="BM41" s="176"/>
      <c r="BN41" s="176"/>
      <c r="BO41" s="176"/>
    </row>
    <row r="42" spans="1:67" s="36" customFormat="1" ht="10.5" customHeight="1" x14ac:dyDescent="0.2">
      <c r="A42" s="1043" t="s">
        <v>262</v>
      </c>
      <c r="B42" s="2594"/>
      <c r="C42" s="2595"/>
      <c r="D42" s="2596"/>
      <c r="E42" s="2395"/>
      <c r="F42" s="2396"/>
      <c r="G42" s="1058">
        <v>30</v>
      </c>
      <c r="H42" s="1059"/>
      <c r="I42" s="1081">
        <f t="shared" si="3"/>
        <v>4.6199342169092869E-2</v>
      </c>
      <c r="J42" s="1082">
        <f t="shared" si="4"/>
        <v>0</v>
      </c>
      <c r="K42" s="1061">
        <v>2</v>
      </c>
      <c r="L42" s="1063"/>
      <c r="M42" s="1086">
        <f t="shared" si="5"/>
        <v>0</v>
      </c>
      <c r="N42" s="503"/>
      <c r="O42" s="365">
        <f t="shared" si="2"/>
        <v>30</v>
      </c>
      <c r="P42" s="366"/>
      <c r="Q42" s="135"/>
      <c r="R42" s="136"/>
      <c r="S42" s="129"/>
      <c r="T42" s="129"/>
      <c r="U42" s="129"/>
      <c r="V42" s="129"/>
      <c r="W42" s="129"/>
      <c r="X42" s="129"/>
      <c r="Y42" s="129"/>
      <c r="Z42" s="133"/>
      <c r="AA42" s="133"/>
      <c r="AB42" s="133"/>
      <c r="AC42" s="133"/>
      <c r="AD42" s="133"/>
      <c r="AE42" s="133"/>
      <c r="AF42" s="222"/>
      <c r="AG42" s="222"/>
      <c r="AH42" s="222"/>
      <c r="AI42" s="176"/>
      <c r="AJ42" s="176"/>
      <c r="AK42" s="176"/>
      <c r="AL42" s="176"/>
      <c r="AM42" s="176"/>
      <c r="AN42" s="176"/>
      <c r="AO42" s="176"/>
      <c r="AP42" s="176"/>
      <c r="AQ42" s="176"/>
      <c r="AR42" s="176"/>
      <c r="AS42" s="176"/>
      <c r="AT42" s="176"/>
      <c r="AU42" s="176"/>
      <c r="AV42" s="176"/>
      <c r="AW42" s="176"/>
      <c r="AX42" s="176"/>
      <c r="AY42" s="176"/>
      <c r="AZ42" s="176"/>
      <c r="BA42" s="176"/>
      <c r="BB42" s="176"/>
      <c r="BC42" s="176"/>
      <c r="BD42" s="176"/>
      <c r="BE42" s="176"/>
      <c r="BF42" s="176"/>
      <c r="BG42" s="176"/>
      <c r="BH42" s="176"/>
      <c r="BI42" s="176"/>
      <c r="BJ42" s="176"/>
      <c r="BK42" s="176"/>
      <c r="BL42" s="176"/>
      <c r="BM42" s="176"/>
      <c r="BN42" s="176"/>
      <c r="BO42" s="176"/>
    </row>
    <row r="43" spans="1:67" s="36" customFormat="1" ht="10.5" customHeight="1" x14ac:dyDescent="0.2">
      <c r="A43" s="1043" t="s">
        <v>394</v>
      </c>
      <c r="B43" s="2594"/>
      <c r="C43" s="2595"/>
      <c r="D43" s="2596"/>
      <c r="E43" s="2395"/>
      <c r="F43" s="2396"/>
      <c r="G43" s="1058">
        <v>30</v>
      </c>
      <c r="H43" s="1059"/>
      <c r="I43" s="1081">
        <f t="shared" si="3"/>
        <v>4.6199342169092869E-2</v>
      </c>
      <c r="J43" s="1082">
        <f t="shared" si="4"/>
        <v>0</v>
      </c>
      <c r="K43" s="1061">
        <v>2</v>
      </c>
      <c r="L43" s="1063"/>
      <c r="M43" s="1086">
        <f t="shared" si="5"/>
        <v>0</v>
      </c>
      <c r="N43" s="503"/>
      <c r="O43" s="365">
        <f t="shared" si="2"/>
        <v>30</v>
      </c>
      <c r="P43" s="366"/>
      <c r="Q43" s="135"/>
      <c r="R43" s="136"/>
      <c r="S43" s="129"/>
      <c r="T43" s="129"/>
      <c r="U43" s="129"/>
      <c r="V43" s="129"/>
      <c r="W43" s="129"/>
      <c r="X43" s="129"/>
      <c r="Y43" s="129"/>
      <c r="Z43" s="133"/>
      <c r="AA43" s="133"/>
      <c r="AB43" s="133"/>
      <c r="AC43" s="133"/>
      <c r="AD43" s="133"/>
      <c r="AE43" s="133"/>
      <c r="AF43" s="222"/>
      <c r="AG43" s="222"/>
      <c r="AH43" s="222"/>
      <c r="AI43" s="176"/>
      <c r="AJ43" s="176"/>
      <c r="AK43" s="176"/>
      <c r="AL43" s="176"/>
      <c r="AM43" s="176"/>
      <c r="AN43" s="176"/>
      <c r="AO43" s="176"/>
      <c r="AP43" s="176"/>
      <c r="AQ43" s="176"/>
      <c r="AR43" s="176"/>
      <c r="AS43" s="176"/>
      <c r="AT43" s="176"/>
      <c r="AU43" s="176"/>
      <c r="AV43" s="176"/>
      <c r="AW43" s="176"/>
      <c r="AX43" s="176"/>
      <c r="AY43" s="176"/>
      <c r="AZ43" s="176"/>
      <c r="BA43" s="176"/>
      <c r="BB43" s="176"/>
      <c r="BC43" s="176"/>
      <c r="BD43" s="176"/>
      <c r="BE43" s="176"/>
      <c r="BF43" s="176"/>
      <c r="BG43" s="176"/>
      <c r="BH43" s="176"/>
      <c r="BI43" s="176"/>
      <c r="BJ43" s="176"/>
      <c r="BK43" s="176"/>
      <c r="BL43" s="176"/>
      <c r="BM43" s="176"/>
      <c r="BN43" s="176"/>
      <c r="BO43" s="176"/>
    </row>
    <row r="44" spans="1:67" s="36" customFormat="1" ht="10.5" customHeight="1" x14ac:dyDescent="0.2">
      <c r="A44" s="1043" t="s">
        <v>671</v>
      </c>
      <c r="B44" s="2594"/>
      <c r="C44" s="2595"/>
      <c r="D44" s="2596"/>
      <c r="E44" s="2395"/>
      <c r="F44" s="2396"/>
      <c r="G44" s="1058">
        <v>30</v>
      </c>
      <c r="H44" s="1059"/>
      <c r="I44" s="1081">
        <f t="shared" si="3"/>
        <v>4.6199342169092869E-2</v>
      </c>
      <c r="J44" s="1082">
        <f t="shared" si="4"/>
        <v>0</v>
      </c>
      <c r="K44" s="1061">
        <v>0.5</v>
      </c>
      <c r="L44" s="1063"/>
      <c r="M44" s="1086">
        <f t="shared" si="5"/>
        <v>0</v>
      </c>
      <c r="N44" s="503"/>
      <c r="O44" s="365">
        <f t="shared" si="2"/>
        <v>30</v>
      </c>
      <c r="P44" s="366"/>
      <c r="Q44" s="135"/>
      <c r="R44" s="136"/>
      <c r="S44" s="129"/>
      <c r="T44" s="129"/>
      <c r="U44" s="129"/>
      <c r="V44" s="129"/>
      <c r="W44" s="129"/>
      <c r="X44" s="129"/>
      <c r="Y44" s="129"/>
      <c r="Z44" s="133"/>
      <c r="AA44" s="133"/>
      <c r="AB44" s="133"/>
      <c r="AC44" s="133"/>
      <c r="AD44" s="133"/>
      <c r="AE44" s="133"/>
      <c r="AF44" s="222"/>
      <c r="AG44" s="222"/>
      <c r="AH44" s="222"/>
      <c r="AI44" s="176"/>
      <c r="AJ44" s="176"/>
      <c r="AK44" s="176"/>
      <c r="AL44" s="176"/>
      <c r="AM44" s="176"/>
      <c r="AN44" s="176"/>
      <c r="AO44" s="176"/>
      <c r="AP44" s="176"/>
      <c r="AQ44" s="176"/>
      <c r="AR44" s="176"/>
      <c r="AS44" s="176"/>
      <c r="AT44" s="176"/>
      <c r="AU44" s="176"/>
      <c r="AV44" s="176"/>
      <c r="AW44" s="176"/>
      <c r="AX44" s="176"/>
      <c r="AY44" s="176"/>
      <c r="AZ44" s="176"/>
      <c r="BA44" s="176"/>
      <c r="BB44" s="176"/>
      <c r="BC44" s="176"/>
      <c r="BD44" s="176"/>
      <c r="BE44" s="176"/>
      <c r="BF44" s="176"/>
      <c r="BG44" s="176"/>
      <c r="BH44" s="176"/>
      <c r="BI44" s="176"/>
      <c r="BJ44" s="176"/>
      <c r="BK44" s="176"/>
      <c r="BL44" s="176"/>
      <c r="BM44" s="176"/>
      <c r="BN44" s="176"/>
      <c r="BO44" s="176"/>
    </row>
    <row r="45" spans="1:67" s="36" customFormat="1" ht="10.5" customHeight="1" x14ac:dyDescent="0.2">
      <c r="A45" s="1043" t="s">
        <v>395</v>
      </c>
      <c r="B45" s="2594"/>
      <c r="C45" s="2595"/>
      <c r="D45" s="2596"/>
      <c r="E45" s="2395"/>
      <c r="F45" s="2396"/>
      <c r="G45" s="1058">
        <v>30</v>
      </c>
      <c r="H45" s="1059"/>
      <c r="I45" s="1081">
        <f t="shared" si="3"/>
        <v>4.6199342169092869E-2</v>
      </c>
      <c r="J45" s="1082">
        <f t="shared" si="4"/>
        <v>0</v>
      </c>
      <c r="K45" s="1061">
        <v>0</v>
      </c>
      <c r="L45" s="1063"/>
      <c r="M45" s="1086">
        <f t="shared" si="5"/>
        <v>0</v>
      </c>
      <c r="N45" s="503"/>
      <c r="O45" s="365">
        <f t="shared" si="2"/>
        <v>30</v>
      </c>
      <c r="P45" s="366"/>
      <c r="Q45" s="135"/>
      <c r="R45" s="136"/>
      <c r="S45" s="129"/>
      <c r="T45" s="129"/>
      <c r="U45" s="129"/>
      <c r="V45" s="129"/>
      <c r="W45" s="129"/>
      <c r="X45" s="129"/>
      <c r="Y45" s="129"/>
      <c r="Z45" s="133"/>
      <c r="AA45" s="133"/>
      <c r="AB45" s="133"/>
      <c r="AC45" s="133"/>
      <c r="AD45" s="133"/>
      <c r="AE45" s="133"/>
      <c r="AF45" s="222"/>
      <c r="AG45" s="222"/>
      <c r="AH45" s="222"/>
      <c r="AI45" s="176"/>
      <c r="AJ45" s="176"/>
      <c r="AK45" s="176"/>
      <c r="AL45" s="176"/>
      <c r="AM45" s="176"/>
      <c r="AN45" s="176"/>
      <c r="AO45" s="176"/>
      <c r="AP45" s="176"/>
      <c r="AQ45" s="176"/>
      <c r="AR45" s="176"/>
      <c r="AS45" s="176"/>
      <c r="AT45" s="176"/>
      <c r="AU45" s="176"/>
      <c r="AV45" s="176"/>
      <c r="AW45" s="176"/>
      <c r="AX45" s="176"/>
      <c r="AY45" s="176"/>
      <c r="AZ45" s="176"/>
      <c r="BA45" s="176"/>
      <c r="BB45" s="176"/>
      <c r="BC45" s="176"/>
      <c r="BD45" s="176"/>
      <c r="BE45" s="176"/>
      <c r="BF45" s="176"/>
      <c r="BG45" s="176"/>
      <c r="BH45" s="176"/>
      <c r="BI45" s="176"/>
      <c r="BJ45" s="176"/>
      <c r="BK45" s="176"/>
      <c r="BL45" s="176"/>
      <c r="BM45" s="176"/>
      <c r="BN45" s="176"/>
      <c r="BO45" s="176"/>
    </row>
    <row r="46" spans="1:67" s="36" customFormat="1" ht="10.5" customHeight="1" x14ac:dyDescent="0.2">
      <c r="A46" s="1043" t="s">
        <v>263</v>
      </c>
      <c r="B46" s="2594"/>
      <c r="C46" s="2595"/>
      <c r="D46" s="2596"/>
      <c r="E46" s="2395"/>
      <c r="F46" s="2396"/>
      <c r="G46" s="1058">
        <v>30</v>
      </c>
      <c r="H46" s="1059"/>
      <c r="I46" s="1081">
        <f t="shared" si="3"/>
        <v>4.6199342169092869E-2</v>
      </c>
      <c r="J46" s="1082">
        <f t="shared" si="4"/>
        <v>0</v>
      </c>
      <c r="K46" s="1061">
        <v>1.5</v>
      </c>
      <c r="L46" s="1063"/>
      <c r="M46" s="1086">
        <f t="shared" si="5"/>
        <v>0</v>
      </c>
      <c r="N46" s="503"/>
      <c r="O46" s="365">
        <f t="shared" si="2"/>
        <v>30</v>
      </c>
      <c r="P46" s="366"/>
      <c r="Q46" s="135"/>
      <c r="R46" s="136"/>
      <c r="S46" s="129"/>
      <c r="T46" s="129"/>
      <c r="U46" s="129"/>
      <c r="V46" s="129"/>
      <c r="W46" s="129"/>
      <c r="X46" s="129"/>
      <c r="Y46" s="129"/>
      <c r="Z46" s="133"/>
      <c r="AA46" s="133"/>
      <c r="AB46" s="133"/>
      <c r="AC46" s="133"/>
      <c r="AD46" s="133"/>
      <c r="AE46" s="133"/>
      <c r="AF46" s="222"/>
      <c r="AG46" s="222"/>
      <c r="AH46" s="222"/>
      <c r="AI46" s="176"/>
      <c r="AJ46" s="176"/>
      <c r="AK46" s="176"/>
      <c r="AL46" s="176"/>
      <c r="AM46" s="176"/>
      <c r="AN46" s="176"/>
      <c r="AO46" s="176"/>
      <c r="AP46" s="176"/>
      <c r="AQ46" s="176"/>
      <c r="AR46" s="176"/>
      <c r="AS46" s="176"/>
      <c r="AT46" s="176"/>
      <c r="AU46" s="176"/>
      <c r="AV46" s="176"/>
      <c r="AW46" s="176"/>
      <c r="AX46" s="176"/>
      <c r="AY46" s="176"/>
      <c r="AZ46" s="176"/>
      <c r="BA46" s="176"/>
      <c r="BB46" s="176"/>
      <c r="BC46" s="176"/>
      <c r="BD46" s="176"/>
      <c r="BE46" s="176"/>
      <c r="BF46" s="176"/>
      <c r="BG46" s="176"/>
      <c r="BH46" s="176"/>
      <c r="BI46" s="176"/>
      <c r="BJ46" s="176"/>
      <c r="BK46" s="176"/>
      <c r="BL46" s="176"/>
      <c r="BM46" s="176"/>
      <c r="BN46" s="176"/>
      <c r="BO46" s="176"/>
    </row>
    <row r="47" spans="1:67" s="36" customFormat="1" ht="10.5" customHeight="1" x14ac:dyDescent="0.2">
      <c r="A47" s="1043" t="s">
        <v>672</v>
      </c>
      <c r="B47" s="2594"/>
      <c r="C47" s="2595"/>
      <c r="D47" s="2596"/>
      <c r="E47" s="2395"/>
      <c r="F47" s="2396"/>
      <c r="G47" s="1058">
        <v>30</v>
      </c>
      <c r="H47" s="1059"/>
      <c r="I47" s="1081">
        <f t="shared" si="3"/>
        <v>4.6199342169092869E-2</v>
      </c>
      <c r="J47" s="1082">
        <f t="shared" si="4"/>
        <v>0</v>
      </c>
      <c r="K47" s="1061">
        <v>2.5</v>
      </c>
      <c r="L47" s="1063"/>
      <c r="M47" s="1086">
        <f t="shared" si="5"/>
        <v>0</v>
      </c>
      <c r="N47" s="503"/>
      <c r="O47" s="365">
        <f t="shared" si="2"/>
        <v>30</v>
      </c>
      <c r="P47" s="366"/>
      <c r="Q47" s="135"/>
      <c r="R47" s="136"/>
      <c r="S47" s="129"/>
      <c r="T47" s="129"/>
      <c r="U47" s="129"/>
      <c r="V47" s="129"/>
      <c r="W47" s="129"/>
      <c r="X47" s="129"/>
      <c r="Y47" s="129"/>
      <c r="Z47" s="133"/>
      <c r="AA47" s="133"/>
      <c r="AB47" s="133"/>
      <c r="AC47" s="133"/>
      <c r="AD47" s="133"/>
      <c r="AE47" s="133"/>
      <c r="AF47" s="222"/>
      <c r="AG47" s="222"/>
      <c r="AH47" s="222"/>
      <c r="AI47" s="176"/>
      <c r="AJ47" s="176"/>
      <c r="AK47" s="176"/>
      <c r="AL47" s="176"/>
      <c r="AM47" s="176"/>
      <c r="AN47" s="176"/>
      <c r="AO47" s="176"/>
      <c r="AP47" s="176"/>
      <c r="AQ47" s="176"/>
      <c r="AR47" s="176"/>
      <c r="AS47" s="176"/>
      <c r="AT47" s="176"/>
      <c r="AU47" s="176"/>
      <c r="AV47" s="176"/>
      <c r="AW47" s="176"/>
      <c r="AX47" s="176"/>
      <c r="AY47" s="176"/>
      <c r="AZ47" s="176"/>
      <c r="BA47" s="176"/>
      <c r="BB47" s="176"/>
      <c r="BC47" s="176"/>
      <c r="BD47" s="176"/>
      <c r="BE47" s="176"/>
      <c r="BF47" s="176"/>
      <c r="BG47" s="176"/>
      <c r="BH47" s="176"/>
      <c r="BI47" s="176"/>
      <c r="BJ47" s="176"/>
      <c r="BK47" s="176"/>
      <c r="BL47" s="176"/>
      <c r="BM47" s="176"/>
      <c r="BN47" s="176"/>
      <c r="BO47" s="176"/>
    </row>
    <row r="48" spans="1:67" s="36" customFormat="1" ht="10.5" customHeight="1" x14ac:dyDescent="0.2">
      <c r="A48" s="1055"/>
      <c r="B48" s="2594"/>
      <c r="C48" s="2595"/>
      <c r="D48" s="2596"/>
      <c r="E48" s="2395"/>
      <c r="F48" s="2396"/>
      <c r="G48" s="2590"/>
      <c r="H48" s="2591"/>
      <c r="I48" s="1081">
        <f t="shared" si="3"/>
        <v>0</v>
      </c>
      <c r="J48" s="1082">
        <f t="shared" si="4"/>
        <v>0</v>
      </c>
      <c r="K48" s="2588"/>
      <c r="L48" s="2629"/>
      <c r="M48" s="1086">
        <f t="shared" si="5"/>
        <v>0</v>
      </c>
      <c r="N48" s="503"/>
      <c r="O48" s="365">
        <f t="shared" si="2"/>
        <v>0</v>
      </c>
      <c r="P48" s="366"/>
      <c r="Q48" s="135"/>
      <c r="R48" s="136"/>
      <c r="S48" s="129"/>
      <c r="T48" s="129"/>
      <c r="U48" s="129"/>
      <c r="V48" s="129"/>
      <c r="W48" s="129"/>
      <c r="X48" s="129"/>
      <c r="Y48" s="129"/>
      <c r="Z48" s="133"/>
      <c r="AA48" s="133"/>
      <c r="AB48" s="133"/>
      <c r="AC48" s="133"/>
      <c r="AD48" s="133"/>
      <c r="AE48" s="133"/>
      <c r="AF48" s="222"/>
      <c r="AG48" s="222"/>
      <c r="AH48" s="222"/>
      <c r="AI48" s="176"/>
      <c r="AJ48" s="176"/>
      <c r="AK48" s="176"/>
      <c r="AL48" s="176"/>
      <c r="AM48" s="176"/>
      <c r="AN48" s="176"/>
      <c r="AO48" s="176"/>
      <c r="AP48" s="176"/>
      <c r="AQ48" s="176"/>
      <c r="AR48" s="176"/>
      <c r="AS48" s="176"/>
      <c r="AT48" s="176"/>
      <c r="AU48" s="176"/>
      <c r="AV48" s="176"/>
      <c r="AW48" s="176"/>
      <c r="AX48" s="176"/>
      <c r="AY48" s="176"/>
      <c r="AZ48" s="176"/>
      <c r="BA48" s="176"/>
      <c r="BB48" s="176"/>
      <c r="BC48" s="176"/>
      <c r="BD48" s="176"/>
      <c r="BE48" s="176"/>
      <c r="BF48" s="176"/>
      <c r="BG48" s="176"/>
      <c r="BH48" s="176"/>
      <c r="BI48" s="176"/>
      <c r="BJ48" s="176"/>
      <c r="BK48" s="176"/>
      <c r="BL48" s="176"/>
      <c r="BM48" s="176"/>
      <c r="BN48" s="176"/>
      <c r="BO48" s="176"/>
    </row>
    <row r="49" spans="1:67" s="36" customFormat="1" ht="10.5" customHeight="1" x14ac:dyDescent="0.2">
      <c r="A49" s="1055"/>
      <c r="B49" s="2594"/>
      <c r="C49" s="2595"/>
      <c r="D49" s="2596"/>
      <c r="E49" s="2395"/>
      <c r="F49" s="2396"/>
      <c r="G49" s="2590"/>
      <c r="H49" s="2591"/>
      <c r="I49" s="1081">
        <f t="shared" si="3"/>
        <v>0</v>
      </c>
      <c r="J49" s="1082">
        <f t="shared" si="4"/>
        <v>0</v>
      </c>
      <c r="K49" s="2588"/>
      <c r="L49" s="2629"/>
      <c r="M49" s="1086">
        <f t="shared" si="5"/>
        <v>0</v>
      </c>
      <c r="N49" s="503"/>
      <c r="O49" s="365">
        <f t="shared" si="2"/>
        <v>0</v>
      </c>
      <c r="P49" s="366"/>
      <c r="Q49" s="135"/>
      <c r="R49" s="136"/>
      <c r="S49" s="129"/>
      <c r="T49" s="129"/>
      <c r="U49" s="129"/>
      <c r="V49" s="129"/>
      <c r="W49" s="129"/>
      <c r="X49" s="129"/>
      <c r="Y49" s="129"/>
      <c r="Z49" s="133"/>
      <c r="AA49" s="133"/>
      <c r="AB49" s="133"/>
      <c r="AC49" s="133"/>
      <c r="AD49" s="133"/>
      <c r="AE49" s="133"/>
      <c r="AF49" s="222"/>
      <c r="AG49" s="222"/>
      <c r="AH49" s="222"/>
      <c r="AI49" s="176"/>
      <c r="AJ49" s="176"/>
      <c r="AK49" s="176"/>
      <c r="AL49" s="176"/>
      <c r="AM49" s="176"/>
      <c r="AN49" s="176"/>
      <c r="AO49" s="176"/>
      <c r="AP49" s="176"/>
      <c r="AQ49" s="176"/>
      <c r="AR49" s="176"/>
      <c r="AS49" s="176"/>
      <c r="AT49" s="176"/>
      <c r="AU49" s="176"/>
      <c r="AV49" s="176"/>
      <c r="AW49" s="176"/>
      <c r="AX49" s="176"/>
      <c r="AY49" s="176"/>
      <c r="AZ49" s="176"/>
      <c r="BA49" s="176"/>
      <c r="BB49" s="176"/>
      <c r="BC49" s="176"/>
      <c r="BD49" s="176"/>
      <c r="BE49" s="176"/>
      <c r="BF49" s="176"/>
      <c r="BG49" s="176"/>
      <c r="BH49" s="176"/>
      <c r="BI49" s="176"/>
      <c r="BJ49" s="176"/>
      <c r="BK49" s="176"/>
      <c r="BL49" s="176"/>
      <c r="BM49" s="176"/>
      <c r="BN49" s="176"/>
      <c r="BO49" s="176"/>
    </row>
    <row r="50" spans="1:67" s="36" customFormat="1" ht="10.5" customHeight="1" x14ac:dyDescent="0.2">
      <c r="A50" s="1055"/>
      <c r="B50" s="2594"/>
      <c r="C50" s="2595"/>
      <c r="D50" s="2596"/>
      <c r="E50" s="2395"/>
      <c r="F50" s="2396"/>
      <c r="G50" s="2590"/>
      <c r="H50" s="2591"/>
      <c r="I50" s="1081">
        <f t="shared" si="3"/>
        <v>0</v>
      </c>
      <c r="J50" s="1082">
        <f t="shared" si="4"/>
        <v>0</v>
      </c>
      <c r="K50" s="2588"/>
      <c r="L50" s="2629"/>
      <c r="M50" s="1086">
        <f t="shared" si="5"/>
        <v>0</v>
      </c>
      <c r="N50" s="503"/>
      <c r="O50" s="365">
        <f t="shared" si="2"/>
        <v>0</v>
      </c>
      <c r="P50" s="366"/>
      <c r="Q50" s="135"/>
      <c r="R50" s="136"/>
      <c r="S50" s="129"/>
      <c r="T50" s="129"/>
      <c r="U50" s="129"/>
      <c r="V50" s="129"/>
      <c r="W50" s="129"/>
      <c r="X50" s="129"/>
      <c r="Y50" s="129"/>
      <c r="Z50" s="133"/>
      <c r="AA50" s="133"/>
      <c r="AB50" s="133"/>
      <c r="AC50" s="133"/>
      <c r="AD50" s="133"/>
      <c r="AE50" s="133"/>
      <c r="AF50" s="222"/>
      <c r="AG50" s="222"/>
      <c r="AH50" s="222"/>
      <c r="AI50" s="176"/>
      <c r="AJ50" s="176"/>
      <c r="AK50" s="176"/>
      <c r="AL50" s="176"/>
      <c r="AM50" s="176"/>
      <c r="AN50" s="176"/>
      <c r="AO50" s="176"/>
      <c r="AP50" s="176"/>
      <c r="AQ50" s="176"/>
      <c r="AR50" s="176"/>
      <c r="AS50" s="176"/>
      <c r="AT50" s="176"/>
      <c r="AU50" s="176"/>
      <c r="AV50" s="176"/>
      <c r="AW50" s="176"/>
      <c r="AX50" s="176"/>
      <c r="AY50" s="176"/>
      <c r="AZ50" s="176"/>
      <c r="BA50" s="176"/>
      <c r="BB50" s="176"/>
      <c r="BC50" s="176"/>
      <c r="BD50" s="176"/>
      <c r="BE50" s="176"/>
      <c r="BF50" s="176"/>
      <c r="BG50" s="176"/>
      <c r="BH50" s="176"/>
      <c r="BI50" s="176"/>
      <c r="BJ50" s="176"/>
      <c r="BK50" s="176"/>
      <c r="BL50" s="176"/>
      <c r="BM50" s="176"/>
      <c r="BN50" s="176"/>
      <c r="BO50" s="176"/>
    </row>
    <row r="51" spans="1:67" s="36" customFormat="1" ht="10.5" customHeight="1" x14ac:dyDescent="0.2">
      <c r="A51" s="1055"/>
      <c r="B51" s="2594"/>
      <c r="C51" s="2595"/>
      <c r="D51" s="2596"/>
      <c r="E51" s="2395"/>
      <c r="F51" s="2396"/>
      <c r="G51" s="2590"/>
      <c r="H51" s="2591"/>
      <c r="I51" s="1081">
        <f t="shared" si="3"/>
        <v>0</v>
      </c>
      <c r="J51" s="1082">
        <f t="shared" si="4"/>
        <v>0</v>
      </c>
      <c r="K51" s="2588"/>
      <c r="L51" s="2629"/>
      <c r="M51" s="1086">
        <f t="shared" si="5"/>
        <v>0</v>
      </c>
      <c r="N51" s="503"/>
      <c r="O51" s="365">
        <f t="shared" si="2"/>
        <v>0</v>
      </c>
      <c r="P51" s="366"/>
      <c r="Q51" s="135"/>
      <c r="R51" s="136"/>
      <c r="S51" s="129"/>
      <c r="T51" s="129"/>
      <c r="U51" s="129"/>
      <c r="V51" s="129"/>
      <c r="W51" s="129"/>
      <c r="X51" s="129"/>
      <c r="Y51" s="129"/>
      <c r="Z51" s="133"/>
      <c r="AA51" s="133"/>
      <c r="AB51" s="133"/>
      <c r="AC51" s="133"/>
      <c r="AD51" s="133"/>
      <c r="AE51" s="133"/>
      <c r="AF51" s="222"/>
      <c r="AG51" s="222"/>
      <c r="AH51" s="222"/>
      <c r="AI51" s="176"/>
      <c r="AJ51" s="176"/>
      <c r="AK51" s="176"/>
      <c r="AL51" s="176"/>
      <c r="AM51" s="176"/>
      <c r="AN51" s="176"/>
      <c r="AO51" s="176"/>
      <c r="AP51" s="176"/>
      <c r="AQ51" s="176"/>
      <c r="AR51" s="176"/>
      <c r="AS51" s="176"/>
      <c r="AT51" s="176"/>
      <c r="AU51" s="176"/>
      <c r="AV51" s="176"/>
      <c r="AW51" s="176"/>
      <c r="AX51" s="176"/>
      <c r="AY51" s="176"/>
      <c r="AZ51" s="176"/>
      <c r="BA51" s="176"/>
      <c r="BB51" s="176"/>
      <c r="BC51" s="176"/>
      <c r="BD51" s="176"/>
      <c r="BE51" s="176"/>
      <c r="BF51" s="176"/>
      <c r="BG51" s="176"/>
      <c r="BH51" s="176"/>
      <c r="BI51" s="176"/>
      <c r="BJ51" s="176"/>
      <c r="BK51" s="176"/>
      <c r="BL51" s="176"/>
      <c r="BM51" s="176"/>
      <c r="BN51" s="176"/>
      <c r="BO51" s="176"/>
    </row>
    <row r="52" spans="1:67" s="36" customFormat="1" ht="10.5" customHeight="1" x14ac:dyDescent="0.2">
      <c r="A52" s="1055"/>
      <c r="B52" s="2594"/>
      <c r="C52" s="2595"/>
      <c r="D52" s="2596"/>
      <c r="E52" s="2395"/>
      <c r="F52" s="2396"/>
      <c r="G52" s="2590"/>
      <c r="H52" s="2591"/>
      <c r="I52" s="1081">
        <f t="shared" si="3"/>
        <v>0</v>
      </c>
      <c r="J52" s="1082">
        <f t="shared" si="4"/>
        <v>0</v>
      </c>
      <c r="K52" s="2588"/>
      <c r="L52" s="2629"/>
      <c r="M52" s="1086">
        <f t="shared" si="5"/>
        <v>0</v>
      </c>
      <c r="N52" s="503"/>
      <c r="O52" s="365">
        <f t="shared" si="2"/>
        <v>0</v>
      </c>
      <c r="P52" s="366"/>
      <c r="Q52" s="135"/>
      <c r="R52" s="136"/>
      <c r="S52" s="129"/>
      <c r="T52" s="129"/>
      <c r="U52" s="129"/>
      <c r="V52" s="129"/>
      <c r="W52" s="129"/>
      <c r="X52" s="129"/>
      <c r="Y52" s="129"/>
      <c r="Z52" s="133"/>
      <c r="AA52" s="133"/>
      <c r="AB52" s="133"/>
      <c r="AC52" s="133"/>
      <c r="AD52" s="133"/>
      <c r="AE52" s="133"/>
      <c r="AF52" s="222"/>
      <c r="AG52" s="222"/>
      <c r="AH52" s="222"/>
      <c r="AI52" s="176"/>
      <c r="AJ52" s="176"/>
      <c r="AK52" s="176"/>
      <c r="AL52" s="176"/>
      <c r="AM52" s="176"/>
      <c r="AN52" s="176"/>
      <c r="AO52" s="176"/>
      <c r="AP52" s="176"/>
      <c r="AQ52" s="176"/>
      <c r="AR52" s="176"/>
      <c r="AS52" s="176"/>
      <c r="AT52" s="176"/>
      <c r="AU52" s="176"/>
      <c r="AV52" s="176"/>
      <c r="AW52" s="176"/>
      <c r="AX52" s="176"/>
      <c r="AY52" s="176"/>
      <c r="AZ52" s="176"/>
      <c r="BA52" s="176"/>
      <c r="BB52" s="176"/>
      <c r="BC52" s="176"/>
      <c r="BD52" s="176"/>
      <c r="BE52" s="176"/>
      <c r="BF52" s="176"/>
      <c r="BG52" s="176"/>
      <c r="BH52" s="176"/>
      <c r="BI52" s="176"/>
      <c r="BJ52" s="176"/>
      <c r="BK52" s="176"/>
      <c r="BL52" s="176"/>
      <c r="BM52" s="176"/>
      <c r="BN52" s="176"/>
      <c r="BO52" s="176"/>
    </row>
    <row r="53" spans="1:67" s="36" customFormat="1" ht="10.5" customHeight="1" x14ac:dyDescent="0.2">
      <c r="A53" s="1055"/>
      <c r="B53" s="2594"/>
      <c r="C53" s="2595"/>
      <c r="D53" s="2596"/>
      <c r="E53" s="2395"/>
      <c r="F53" s="2396"/>
      <c r="G53" s="2590"/>
      <c r="H53" s="2591"/>
      <c r="I53" s="1081">
        <f t="shared" si="3"/>
        <v>0</v>
      </c>
      <c r="J53" s="1082">
        <f t="shared" si="4"/>
        <v>0</v>
      </c>
      <c r="K53" s="2588"/>
      <c r="L53" s="2629"/>
      <c r="M53" s="1086">
        <f t="shared" si="5"/>
        <v>0</v>
      </c>
      <c r="N53" s="503"/>
      <c r="O53" s="365">
        <f t="shared" si="2"/>
        <v>0</v>
      </c>
      <c r="P53" s="366"/>
      <c r="Q53" s="135"/>
      <c r="R53" s="136"/>
      <c r="S53" s="129"/>
      <c r="T53" s="129"/>
      <c r="U53" s="129"/>
      <c r="V53" s="129"/>
      <c r="W53" s="129"/>
      <c r="X53" s="129"/>
      <c r="Y53" s="129"/>
      <c r="Z53" s="133"/>
      <c r="AA53" s="133"/>
      <c r="AB53" s="133"/>
      <c r="AC53" s="133"/>
      <c r="AD53" s="133"/>
      <c r="AE53" s="133"/>
      <c r="AF53" s="222"/>
      <c r="AG53" s="222"/>
      <c r="AH53" s="222"/>
      <c r="AI53" s="176"/>
      <c r="AJ53" s="176"/>
      <c r="AK53" s="176"/>
      <c r="AL53" s="176"/>
      <c r="AM53" s="176"/>
      <c r="AN53" s="176"/>
      <c r="AO53" s="176"/>
      <c r="AP53" s="176"/>
      <c r="AQ53" s="176"/>
      <c r="AR53" s="176"/>
      <c r="AS53" s="176"/>
      <c r="AT53" s="176"/>
      <c r="AU53" s="176"/>
      <c r="AV53" s="176"/>
      <c r="AW53" s="176"/>
      <c r="AX53" s="176"/>
      <c r="AY53" s="176"/>
      <c r="AZ53" s="176"/>
      <c r="BA53" s="176"/>
      <c r="BB53" s="176"/>
      <c r="BC53" s="176"/>
      <c r="BD53" s="176"/>
      <c r="BE53" s="176"/>
      <c r="BF53" s="176"/>
      <c r="BG53" s="176"/>
      <c r="BH53" s="176"/>
      <c r="BI53" s="176"/>
      <c r="BJ53" s="176"/>
      <c r="BK53" s="176"/>
      <c r="BL53" s="176"/>
      <c r="BM53" s="176"/>
      <c r="BN53" s="176"/>
      <c r="BO53" s="176"/>
    </row>
    <row r="54" spans="1:67" s="36" customFormat="1" ht="10.5" customHeight="1" x14ac:dyDescent="0.2">
      <c r="A54" s="1090"/>
      <c r="B54" s="2630"/>
      <c r="C54" s="2631"/>
      <c r="D54" s="2632"/>
      <c r="E54" s="2636"/>
      <c r="F54" s="2637"/>
      <c r="G54" s="1091"/>
      <c r="H54" s="1092"/>
      <c r="I54" s="1093">
        <f t="shared" si="3"/>
        <v>0</v>
      </c>
      <c r="J54" s="1094"/>
      <c r="K54" s="1095"/>
      <c r="L54" s="1096"/>
      <c r="M54" s="1097">
        <f t="shared" si="5"/>
        <v>0</v>
      </c>
      <c r="N54" s="503"/>
      <c r="O54" s="365">
        <f t="shared" si="2"/>
        <v>0</v>
      </c>
      <c r="P54" s="366"/>
      <c r="Q54" s="135"/>
      <c r="R54" s="136"/>
      <c r="S54" s="129"/>
      <c r="T54" s="129"/>
      <c r="U54" s="129"/>
      <c r="V54" s="129"/>
      <c r="W54" s="129"/>
      <c r="X54" s="129"/>
      <c r="Y54" s="129"/>
      <c r="Z54" s="133"/>
      <c r="AA54" s="133"/>
      <c r="AB54" s="133"/>
      <c r="AC54" s="133"/>
      <c r="AD54" s="133"/>
      <c r="AE54" s="133"/>
      <c r="AF54" s="222"/>
      <c r="AG54" s="222"/>
      <c r="AH54" s="222"/>
      <c r="AI54" s="176"/>
      <c r="AJ54" s="176"/>
      <c r="AK54" s="176"/>
      <c r="AL54" s="176"/>
      <c r="AM54" s="176"/>
      <c r="AN54" s="176"/>
      <c r="AO54" s="176"/>
      <c r="AP54" s="176"/>
      <c r="AQ54" s="176"/>
      <c r="AR54" s="176"/>
      <c r="AS54" s="176"/>
      <c r="AT54" s="176"/>
      <c r="AU54" s="176"/>
      <c r="AV54" s="176"/>
      <c r="AW54" s="176"/>
      <c r="AX54" s="176"/>
      <c r="AY54" s="176"/>
      <c r="AZ54" s="176"/>
      <c r="BA54" s="176"/>
      <c r="BB54" s="176"/>
      <c r="BC54" s="176"/>
      <c r="BD54" s="176"/>
      <c r="BE54" s="176"/>
      <c r="BF54" s="176"/>
      <c r="BG54" s="176"/>
      <c r="BH54" s="176"/>
      <c r="BI54" s="176"/>
      <c r="BJ54" s="176"/>
      <c r="BK54" s="176"/>
      <c r="BL54" s="176"/>
      <c r="BM54" s="176"/>
      <c r="BN54" s="176"/>
      <c r="BO54" s="176"/>
    </row>
    <row r="55" spans="1:67" s="36" customFormat="1" ht="10.5" customHeight="1" x14ac:dyDescent="0.2">
      <c r="A55" s="1103" t="s">
        <v>264</v>
      </c>
      <c r="B55" s="2611"/>
      <c r="C55" s="2612"/>
      <c r="D55" s="2613"/>
      <c r="E55" s="2614">
        <f>SUM(E56:E68)</f>
        <v>0</v>
      </c>
      <c r="F55" s="2615"/>
      <c r="G55" s="2616"/>
      <c r="H55" s="2617"/>
      <c r="I55" s="1116">
        <f>IF(E55=0,0,J55/E55)</f>
        <v>0</v>
      </c>
      <c r="J55" s="1119">
        <f>SUM(J56:J68)</f>
        <v>0</v>
      </c>
      <c r="K55" s="2618">
        <f>IF(E55=0,0,M55/E55*100)</f>
        <v>0</v>
      </c>
      <c r="L55" s="2619"/>
      <c r="M55" s="1316">
        <f>SUM(M56:M68)</f>
        <v>0</v>
      </c>
      <c r="N55" s="503"/>
      <c r="O55" s="178">
        <f>IF(H55="",G55,H55)</f>
        <v>0</v>
      </c>
      <c r="P55" s="366"/>
      <c r="Q55" s="135"/>
      <c r="R55" s="136"/>
      <c r="S55" s="129"/>
      <c r="T55" s="129"/>
      <c r="U55" s="129"/>
      <c r="V55" s="129"/>
      <c r="W55" s="129"/>
      <c r="X55" s="129"/>
      <c r="Y55" s="129"/>
      <c r="Z55" s="133"/>
      <c r="AA55" s="133"/>
      <c r="AB55" s="133"/>
      <c r="AC55" s="133"/>
      <c r="AD55" s="133"/>
      <c r="AE55" s="133"/>
      <c r="AF55" s="222"/>
      <c r="AG55" s="222"/>
      <c r="AH55" s="222"/>
      <c r="AI55" s="176"/>
      <c r="AJ55" s="176"/>
      <c r="AK55" s="176"/>
      <c r="AL55" s="176"/>
      <c r="AM55" s="176"/>
      <c r="AN55" s="176"/>
      <c r="AO55" s="176"/>
      <c r="AP55" s="176"/>
      <c r="AQ55" s="176"/>
      <c r="AR55" s="176"/>
      <c r="AS55" s="176"/>
      <c r="AT55" s="176"/>
      <c r="AU55" s="176"/>
      <c r="AV55" s="176"/>
      <c r="AW55" s="176"/>
      <c r="AX55" s="176"/>
      <c r="AY55" s="176"/>
      <c r="AZ55" s="176"/>
      <c r="BA55" s="176"/>
      <c r="BB55" s="176"/>
      <c r="BC55" s="176"/>
      <c r="BD55" s="176"/>
      <c r="BE55" s="176"/>
      <c r="BF55" s="176"/>
      <c r="BG55" s="176"/>
      <c r="BH55" s="176"/>
      <c r="BI55" s="176"/>
      <c r="BJ55" s="176"/>
      <c r="BK55" s="176"/>
      <c r="BL55" s="176"/>
      <c r="BM55" s="176"/>
      <c r="BN55" s="176"/>
      <c r="BO55" s="176"/>
    </row>
    <row r="56" spans="1:67" s="36" customFormat="1" ht="10.5" customHeight="1" x14ac:dyDescent="0.2">
      <c r="A56" s="1042" t="s">
        <v>265</v>
      </c>
      <c r="B56" s="2624"/>
      <c r="C56" s="2625"/>
      <c r="D56" s="2626"/>
      <c r="E56" s="2386"/>
      <c r="F56" s="2387"/>
      <c r="G56" s="1056">
        <v>50</v>
      </c>
      <c r="H56" s="1057"/>
      <c r="I56" s="1079">
        <f t="shared" ref="I56:I69" si="6">IF($O56&gt;0,-PMT(($I$9),$O56,1),0)</f>
        <v>3.3518358840153369E-2</v>
      </c>
      <c r="J56" s="1080">
        <f t="shared" ref="J56:J68" si="7">ROUND(E56*I56,0)</f>
        <v>0</v>
      </c>
      <c r="K56" s="1098"/>
      <c r="L56" s="1304"/>
      <c r="M56" s="1085">
        <f t="shared" ref="M56:M69" si="8">ROUND(E56/100*IF(ISBLANK(L56),K56,L56),0)</f>
        <v>0</v>
      </c>
      <c r="N56" s="503"/>
      <c r="O56" s="365">
        <f t="shared" ref="O56:O69" si="9">IF(ISBLANK(H56),G56,H56)</f>
        <v>50</v>
      </c>
      <c r="P56" s="366"/>
      <c r="Q56" s="135"/>
      <c r="R56" s="136"/>
      <c r="S56" s="129"/>
      <c r="T56" s="129"/>
      <c r="U56" s="129"/>
      <c r="V56" s="129"/>
      <c r="W56" s="129"/>
      <c r="X56" s="129"/>
      <c r="Y56" s="129"/>
      <c r="Z56" s="133"/>
      <c r="AA56" s="133"/>
      <c r="AB56" s="133"/>
      <c r="AC56" s="133"/>
      <c r="AD56" s="133"/>
      <c r="AE56" s="133"/>
      <c r="AF56" s="222"/>
      <c r="AG56" s="222"/>
      <c r="AH56" s="222"/>
      <c r="AI56" s="176"/>
      <c r="AJ56" s="176"/>
      <c r="AK56" s="176"/>
      <c r="AL56" s="176"/>
      <c r="AM56" s="176"/>
      <c r="AN56" s="176"/>
      <c r="AO56" s="176"/>
      <c r="AP56" s="176"/>
      <c r="AQ56" s="176"/>
      <c r="AR56" s="176"/>
      <c r="AS56" s="176"/>
      <c r="AT56" s="176"/>
      <c r="AU56" s="176"/>
      <c r="AV56" s="176"/>
      <c r="AW56" s="176"/>
      <c r="AX56" s="176"/>
      <c r="AY56" s="176"/>
      <c r="AZ56" s="176"/>
      <c r="BA56" s="176"/>
      <c r="BB56" s="176"/>
      <c r="BC56" s="176"/>
      <c r="BD56" s="176"/>
      <c r="BE56" s="176"/>
      <c r="BF56" s="176"/>
      <c r="BG56" s="176"/>
      <c r="BH56" s="176"/>
      <c r="BI56" s="176"/>
      <c r="BJ56" s="176"/>
      <c r="BK56" s="176"/>
      <c r="BL56" s="176"/>
      <c r="BM56" s="176"/>
      <c r="BN56" s="176"/>
      <c r="BO56" s="176"/>
    </row>
    <row r="57" spans="1:67" s="36" customFormat="1" ht="10.5" customHeight="1" x14ac:dyDescent="0.2">
      <c r="A57" s="1043" t="s">
        <v>266</v>
      </c>
      <c r="B57" s="2594"/>
      <c r="C57" s="2595"/>
      <c r="D57" s="2596"/>
      <c r="E57" s="2395"/>
      <c r="F57" s="2396"/>
      <c r="G57" s="1058">
        <v>30</v>
      </c>
      <c r="H57" s="1059"/>
      <c r="I57" s="1081">
        <f t="shared" si="6"/>
        <v>4.6199342169092869E-2</v>
      </c>
      <c r="J57" s="1082">
        <f t="shared" si="7"/>
        <v>0</v>
      </c>
      <c r="K57" s="1061"/>
      <c r="L57" s="1305"/>
      <c r="M57" s="1086">
        <f t="shared" si="8"/>
        <v>0</v>
      </c>
      <c r="N57" s="503"/>
      <c r="O57" s="365">
        <f t="shared" si="9"/>
        <v>30</v>
      </c>
      <c r="P57" s="366"/>
      <c r="Q57" s="135"/>
      <c r="R57" s="136"/>
      <c r="S57" s="129"/>
      <c r="T57" s="129"/>
      <c r="U57" s="129"/>
      <c r="V57" s="129"/>
      <c r="W57" s="129"/>
      <c r="X57" s="129"/>
      <c r="Y57" s="129"/>
      <c r="Z57" s="133"/>
      <c r="AA57" s="133"/>
      <c r="AB57" s="133"/>
      <c r="AC57" s="133"/>
      <c r="AD57" s="133"/>
      <c r="AE57" s="133"/>
      <c r="AF57" s="222"/>
      <c r="AG57" s="222"/>
      <c r="AH57" s="222"/>
      <c r="AI57" s="176"/>
      <c r="AJ57" s="176"/>
      <c r="AK57" s="176"/>
      <c r="AL57" s="176"/>
      <c r="AM57" s="176"/>
      <c r="AN57" s="176"/>
      <c r="AO57" s="176"/>
      <c r="AP57" s="176"/>
      <c r="AQ57" s="176"/>
      <c r="AR57" s="176"/>
      <c r="AS57" s="176"/>
      <c r="AT57" s="176"/>
      <c r="AU57" s="176"/>
      <c r="AV57" s="176"/>
      <c r="AW57" s="176"/>
      <c r="AX57" s="176"/>
      <c r="AY57" s="176"/>
      <c r="AZ57" s="176"/>
      <c r="BA57" s="176"/>
      <c r="BB57" s="176"/>
      <c r="BC57" s="176"/>
      <c r="BD57" s="176"/>
      <c r="BE57" s="176"/>
      <c r="BF57" s="176"/>
      <c r="BG57" s="176"/>
      <c r="BH57" s="176"/>
      <c r="BI57" s="176"/>
      <c r="BJ57" s="176"/>
      <c r="BK57" s="176"/>
      <c r="BL57" s="176"/>
      <c r="BM57" s="176"/>
      <c r="BN57" s="176"/>
      <c r="BO57" s="176"/>
    </row>
    <row r="58" spans="1:67" s="36" customFormat="1" ht="10.5" customHeight="1" x14ac:dyDescent="0.2">
      <c r="A58" s="1043" t="s">
        <v>396</v>
      </c>
      <c r="B58" s="2594"/>
      <c r="C58" s="2595"/>
      <c r="D58" s="2596"/>
      <c r="E58" s="2395"/>
      <c r="F58" s="2396"/>
      <c r="G58" s="1058">
        <v>20</v>
      </c>
      <c r="H58" s="1059"/>
      <c r="I58" s="1081">
        <f t="shared" si="6"/>
        <v>6.2642070767998229E-2</v>
      </c>
      <c r="J58" s="1082">
        <f t="shared" si="7"/>
        <v>0</v>
      </c>
      <c r="K58" s="1061">
        <v>2.5</v>
      </c>
      <c r="L58" s="1305"/>
      <c r="M58" s="1086">
        <f t="shared" si="8"/>
        <v>0</v>
      </c>
      <c r="N58" s="503"/>
      <c r="O58" s="365">
        <f t="shared" si="9"/>
        <v>20</v>
      </c>
      <c r="P58" s="366"/>
      <c r="Q58" s="135"/>
      <c r="R58" s="136"/>
      <c r="S58" s="129"/>
      <c r="T58" s="129"/>
      <c r="U58" s="129"/>
      <c r="V58" s="129"/>
      <c r="W58" s="129"/>
      <c r="X58" s="129"/>
      <c r="Y58" s="129"/>
      <c r="Z58" s="133"/>
      <c r="AA58" s="133"/>
      <c r="AB58" s="133"/>
      <c r="AC58" s="133"/>
      <c r="AD58" s="133"/>
      <c r="AE58" s="133"/>
      <c r="AF58" s="222"/>
      <c r="AG58" s="222"/>
      <c r="AH58" s="222"/>
      <c r="AI58" s="176"/>
      <c r="AJ58" s="176"/>
      <c r="AK58" s="176"/>
      <c r="AL58" s="176"/>
      <c r="AM58" s="176"/>
      <c r="AN58" s="176"/>
      <c r="AO58" s="176"/>
      <c r="AP58" s="176"/>
      <c r="AQ58" s="176"/>
      <c r="AR58" s="176"/>
      <c r="AS58" s="176"/>
      <c r="AT58" s="176"/>
      <c r="AU58" s="176"/>
      <c r="AV58" s="176"/>
      <c r="AW58" s="176"/>
      <c r="AX58" s="176"/>
      <c r="AY58" s="176"/>
      <c r="AZ58" s="176"/>
      <c r="BA58" s="176"/>
      <c r="BB58" s="176"/>
      <c r="BC58" s="176"/>
      <c r="BD58" s="176"/>
      <c r="BE58" s="176"/>
      <c r="BF58" s="176"/>
      <c r="BG58" s="176"/>
      <c r="BH58" s="176"/>
      <c r="BI58" s="176"/>
      <c r="BJ58" s="176"/>
      <c r="BK58" s="176"/>
      <c r="BL58" s="176"/>
      <c r="BM58" s="176"/>
      <c r="BN58" s="176"/>
      <c r="BO58" s="176"/>
    </row>
    <row r="59" spans="1:67" s="36" customFormat="1" ht="10.5" customHeight="1" x14ac:dyDescent="0.2">
      <c r="A59" s="1043" t="s">
        <v>267</v>
      </c>
      <c r="B59" s="2594"/>
      <c r="C59" s="2595"/>
      <c r="D59" s="2596"/>
      <c r="E59" s="2395"/>
      <c r="F59" s="2396"/>
      <c r="G59" s="1058">
        <v>20</v>
      </c>
      <c r="H59" s="1059"/>
      <c r="I59" s="1081">
        <f t="shared" si="6"/>
        <v>6.2642070767998229E-2</v>
      </c>
      <c r="J59" s="1082">
        <f t="shared" si="7"/>
        <v>0</v>
      </c>
      <c r="K59" s="1061">
        <v>3.5</v>
      </c>
      <c r="L59" s="1305"/>
      <c r="M59" s="1086">
        <f t="shared" si="8"/>
        <v>0</v>
      </c>
      <c r="N59" s="503"/>
      <c r="O59" s="365">
        <f t="shared" si="9"/>
        <v>20</v>
      </c>
      <c r="P59" s="366"/>
      <c r="Q59" s="135"/>
      <c r="R59" s="136"/>
      <c r="S59" s="129"/>
      <c r="T59" s="129"/>
      <c r="U59" s="129"/>
      <c r="V59" s="129"/>
      <c r="W59" s="129"/>
      <c r="X59" s="129"/>
      <c r="Y59" s="129"/>
      <c r="Z59" s="133"/>
      <c r="AA59" s="133"/>
      <c r="AB59" s="133"/>
      <c r="AC59" s="133"/>
      <c r="AD59" s="133"/>
      <c r="AE59" s="133"/>
      <c r="AF59" s="222"/>
      <c r="AG59" s="222"/>
      <c r="AH59" s="222"/>
      <c r="AI59" s="176"/>
      <c r="AJ59" s="176"/>
      <c r="AK59" s="176"/>
      <c r="AL59" s="176"/>
      <c r="AM59" s="176"/>
      <c r="AN59" s="176"/>
      <c r="AO59" s="176"/>
      <c r="AP59" s="176"/>
      <c r="AQ59" s="176"/>
      <c r="AR59" s="176"/>
      <c r="AS59" s="176"/>
      <c r="AT59" s="176"/>
      <c r="AU59" s="176"/>
      <c r="AV59" s="176"/>
      <c r="AW59" s="176"/>
      <c r="AX59" s="176"/>
      <c r="AY59" s="176"/>
      <c r="AZ59" s="176"/>
      <c r="BA59" s="176"/>
      <c r="BB59" s="176"/>
      <c r="BC59" s="176"/>
      <c r="BD59" s="176"/>
      <c r="BE59" s="176"/>
      <c r="BF59" s="176"/>
      <c r="BG59" s="176"/>
      <c r="BH59" s="176"/>
      <c r="BI59" s="176"/>
      <c r="BJ59" s="176"/>
      <c r="BK59" s="176"/>
      <c r="BL59" s="176"/>
      <c r="BM59" s="176"/>
      <c r="BN59" s="176"/>
      <c r="BO59" s="176"/>
    </row>
    <row r="60" spans="1:67" s="36" customFormat="1" ht="10.5" customHeight="1" x14ac:dyDescent="0.2">
      <c r="A60" s="1043" t="s">
        <v>268</v>
      </c>
      <c r="B60" s="2594"/>
      <c r="C60" s="2595"/>
      <c r="D60" s="2596"/>
      <c r="E60" s="2395"/>
      <c r="F60" s="2396"/>
      <c r="G60" s="1058">
        <v>20</v>
      </c>
      <c r="H60" s="1059"/>
      <c r="I60" s="1081">
        <f t="shared" si="6"/>
        <v>6.2642070767998229E-2</v>
      </c>
      <c r="J60" s="1082">
        <f t="shared" si="7"/>
        <v>0</v>
      </c>
      <c r="K60" s="1061">
        <v>3</v>
      </c>
      <c r="L60" s="1305"/>
      <c r="M60" s="1086">
        <f t="shared" si="8"/>
        <v>0</v>
      </c>
      <c r="N60" s="503"/>
      <c r="O60" s="365">
        <f t="shared" si="9"/>
        <v>20</v>
      </c>
      <c r="P60" s="366"/>
      <c r="Q60" s="135"/>
      <c r="R60" s="136"/>
      <c r="S60" s="129"/>
      <c r="T60" s="129"/>
      <c r="U60" s="129"/>
      <c r="V60" s="129"/>
      <c r="W60" s="129"/>
      <c r="X60" s="129"/>
      <c r="Y60" s="129"/>
      <c r="Z60" s="133"/>
      <c r="AA60" s="133"/>
      <c r="AB60" s="133"/>
      <c r="AC60" s="133"/>
      <c r="AD60" s="133"/>
      <c r="AE60" s="133"/>
      <c r="AF60" s="222"/>
      <c r="AG60" s="222"/>
      <c r="AH60" s="222"/>
      <c r="AI60" s="176"/>
      <c r="AJ60" s="176"/>
      <c r="AK60" s="176"/>
      <c r="AL60" s="176"/>
      <c r="AM60" s="176"/>
      <c r="AN60" s="176"/>
      <c r="AO60" s="176"/>
      <c r="AP60" s="176"/>
      <c r="AQ60" s="176"/>
      <c r="AR60" s="176"/>
      <c r="AS60" s="176"/>
      <c r="AT60" s="176"/>
      <c r="AU60" s="176"/>
      <c r="AV60" s="176"/>
      <c r="AW60" s="176"/>
      <c r="AX60" s="176"/>
      <c r="AY60" s="176"/>
      <c r="AZ60" s="176"/>
      <c r="BA60" s="176"/>
      <c r="BB60" s="176"/>
      <c r="BC60" s="176"/>
      <c r="BD60" s="176"/>
      <c r="BE60" s="176"/>
      <c r="BF60" s="176"/>
      <c r="BG60" s="176"/>
      <c r="BH60" s="176"/>
      <c r="BI60" s="176"/>
      <c r="BJ60" s="176"/>
      <c r="BK60" s="176"/>
      <c r="BL60" s="176"/>
      <c r="BM60" s="176"/>
      <c r="BN60" s="176"/>
      <c r="BO60" s="176"/>
    </row>
    <row r="61" spans="1:67" s="36" customFormat="1" ht="10.5" customHeight="1" x14ac:dyDescent="0.2">
      <c r="A61" s="1043" t="s">
        <v>269</v>
      </c>
      <c r="B61" s="2594"/>
      <c r="C61" s="2595"/>
      <c r="D61" s="2596"/>
      <c r="E61" s="2395"/>
      <c r="F61" s="2396"/>
      <c r="G61" s="1058">
        <v>20</v>
      </c>
      <c r="H61" s="1059"/>
      <c r="I61" s="1081">
        <f t="shared" si="6"/>
        <v>6.2642070767998229E-2</v>
      </c>
      <c r="J61" s="1082">
        <f t="shared" si="7"/>
        <v>0</v>
      </c>
      <c r="K61" s="1061">
        <v>2</v>
      </c>
      <c r="L61" s="1305"/>
      <c r="M61" s="1086">
        <f t="shared" si="8"/>
        <v>0</v>
      </c>
      <c r="N61" s="503"/>
      <c r="O61" s="365">
        <f t="shared" si="9"/>
        <v>20</v>
      </c>
      <c r="P61" s="366"/>
      <c r="Q61" s="135"/>
      <c r="R61" s="136"/>
      <c r="S61" s="129"/>
      <c r="T61" s="129"/>
      <c r="U61" s="129"/>
      <c r="V61" s="129"/>
      <c r="W61" s="129"/>
      <c r="X61" s="129"/>
      <c r="Y61" s="129"/>
      <c r="Z61" s="133"/>
      <c r="AA61" s="133"/>
      <c r="AB61" s="133"/>
      <c r="AC61" s="133"/>
      <c r="AD61" s="133"/>
      <c r="AE61" s="133"/>
      <c r="AF61" s="222"/>
      <c r="AG61" s="222"/>
      <c r="AH61" s="222"/>
      <c r="AI61" s="176"/>
      <c r="AJ61" s="176"/>
      <c r="AK61" s="176"/>
      <c r="AL61" s="176"/>
      <c r="AM61" s="176"/>
      <c r="AN61" s="176"/>
      <c r="AO61" s="176"/>
      <c r="AP61" s="176"/>
      <c r="AQ61" s="176"/>
      <c r="AR61" s="176"/>
      <c r="AS61" s="176"/>
      <c r="AT61" s="176"/>
      <c r="AU61" s="176"/>
      <c r="AV61" s="176"/>
      <c r="AW61" s="176"/>
      <c r="AX61" s="176"/>
      <c r="AY61" s="176"/>
      <c r="AZ61" s="176"/>
      <c r="BA61" s="176"/>
      <c r="BB61" s="176"/>
      <c r="BC61" s="176"/>
      <c r="BD61" s="176"/>
      <c r="BE61" s="176"/>
      <c r="BF61" s="176"/>
      <c r="BG61" s="176"/>
      <c r="BH61" s="176"/>
      <c r="BI61" s="176"/>
      <c r="BJ61" s="176"/>
      <c r="BK61" s="176"/>
      <c r="BL61" s="176"/>
      <c r="BM61" s="176"/>
      <c r="BN61" s="176"/>
      <c r="BO61" s="176"/>
    </row>
    <row r="62" spans="1:67" s="36" customFormat="1" ht="10.5" customHeight="1" x14ac:dyDescent="0.2">
      <c r="A62" s="1043" t="s">
        <v>270</v>
      </c>
      <c r="B62" s="2594"/>
      <c r="C62" s="2595"/>
      <c r="D62" s="2596"/>
      <c r="E62" s="2395"/>
      <c r="F62" s="2396"/>
      <c r="G62" s="1058">
        <v>20</v>
      </c>
      <c r="H62" s="1059"/>
      <c r="I62" s="1081">
        <f t="shared" si="6"/>
        <v>6.2642070767998229E-2</v>
      </c>
      <c r="J62" s="1082">
        <f t="shared" si="7"/>
        <v>0</v>
      </c>
      <c r="K62" s="1061">
        <v>3</v>
      </c>
      <c r="L62" s="1305"/>
      <c r="M62" s="1086">
        <f t="shared" si="8"/>
        <v>0</v>
      </c>
      <c r="N62" s="503"/>
      <c r="O62" s="365">
        <f t="shared" si="9"/>
        <v>20</v>
      </c>
      <c r="P62" s="366"/>
      <c r="Q62" s="135"/>
      <c r="R62" s="136"/>
      <c r="S62" s="129"/>
      <c r="T62" s="129"/>
      <c r="U62" s="129"/>
      <c r="V62" s="129"/>
      <c r="W62" s="129"/>
      <c r="X62" s="129"/>
      <c r="Y62" s="129"/>
      <c r="Z62" s="133"/>
      <c r="AA62" s="133"/>
      <c r="AB62" s="133"/>
      <c r="AC62" s="133"/>
      <c r="AD62" s="133"/>
      <c r="AE62" s="133"/>
      <c r="AF62" s="222"/>
      <c r="AG62" s="222"/>
      <c r="AH62" s="222"/>
      <c r="AI62" s="176"/>
      <c r="AJ62" s="176"/>
      <c r="AK62" s="176"/>
      <c r="AL62" s="176"/>
      <c r="AM62" s="176"/>
      <c r="AN62" s="176"/>
      <c r="AO62" s="176"/>
      <c r="AP62" s="176"/>
      <c r="AQ62" s="176"/>
      <c r="AR62" s="176"/>
      <c r="AS62" s="176"/>
      <c r="AT62" s="176"/>
      <c r="AU62" s="176"/>
      <c r="AV62" s="176"/>
      <c r="AW62" s="176"/>
      <c r="AX62" s="176"/>
      <c r="AY62" s="176"/>
      <c r="AZ62" s="176"/>
      <c r="BA62" s="176"/>
      <c r="BB62" s="176"/>
      <c r="BC62" s="176"/>
      <c r="BD62" s="176"/>
      <c r="BE62" s="176"/>
      <c r="BF62" s="176"/>
      <c r="BG62" s="176"/>
      <c r="BH62" s="176"/>
      <c r="BI62" s="176"/>
      <c r="BJ62" s="176"/>
      <c r="BK62" s="176"/>
      <c r="BL62" s="176"/>
      <c r="BM62" s="176"/>
      <c r="BN62" s="176"/>
      <c r="BO62" s="176"/>
    </row>
    <row r="63" spans="1:67" s="36" customFormat="1" ht="10.5" customHeight="1" x14ac:dyDescent="0.2">
      <c r="A63" s="1043" t="s">
        <v>271</v>
      </c>
      <c r="B63" s="2594"/>
      <c r="C63" s="2595"/>
      <c r="D63" s="2596"/>
      <c r="E63" s="2395"/>
      <c r="F63" s="2396"/>
      <c r="G63" s="1058">
        <v>20</v>
      </c>
      <c r="H63" s="1059"/>
      <c r="I63" s="1081">
        <f t="shared" si="6"/>
        <v>6.2642070767998229E-2</v>
      </c>
      <c r="J63" s="1082">
        <f t="shared" si="7"/>
        <v>0</v>
      </c>
      <c r="K63" s="1061">
        <v>3</v>
      </c>
      <c r="L63" s="1305"/>
      <c r="M63" s="1086">
        <f t="shared" si="8"/>
        <v>0</v>
      </c>
      <c r="N63" s="503"/>
      <c r="O63" s="365">
        <f t="shared" si="9"/>
        <v>20</v>
      </c>
      <c r="P63" s="366"/>
      <c r="Q63" s="135"/>
      <c r="R63" s="136"/>
      <c r="S63" s="129"/>
      <c r="T63" s="129"/>
      <c r="U63" s="129"/>
      <c r="V63" s="129"/>
      <c r="W63" s="129"/>
      <c r="X63" s="129"/>
      <c r="Y63" s="129"/>
      <c r="Z63" s="133"/>
      <c r="AA63" s="133"/>
      <c r="AB63" s="133"/>
      <c r="AC63" s="133"/>
      <c r="AD63" s="133"/>
      <c r="AE63" s="133"/>
      <c r="AF63" s="222"/>
      <c r="AG63" s="222"/>
      <c r="AH63" s="222"/>
      <c r="AI63" s="176"/>
      <c r="AJ63" s="176"/>
      <c r="AK63" s="176"/>
      <c r="AL63" s="176"/>
      <c r="AM63" s="176"/>
      <c r="AN63" s="176"/>
      <c r="AO63" s="176"/>
      <c r="AP63" s="176"/>
      <c r="AQ63" s="176"/>
      <c r="AR63" s="176"/>
      <c r="AS63" s="176"/>
      <c r="AT63" s="176"/>
      <c r="AU63" s="176"/>
      <c r="AV63" s="176"/>
      <c r="AW63" s="176"/>
      <c r="AX63" s="176"/>
      <c r="AY63" s="176"/>
      <c r="AZ63" s="176"/>
      <c r="BA63" s="176"/>
      <c r="BB63" s="176"/>
      <c r="BC63" s="176"/>
      <c r="BD63" s="176"/>
      <c r="BE63" s="176"/>
      <c r="BF63" s="176"/>
      <c r="BG63" s="176"/>
      <c r="BH63" s="176"/>
      <c r="BI63" s="176"/>
      <c r="BJ63" s="176"/>
      <c r="BK63" s="176"/>
      <c r="BL63" s="176"/>
      <c r="BM63" s="176"/>
      <c r="BN63" s="176"/>
      <c r="BO63" s="176"/>
    </row>
    <row r="64" spans="1:67" s="36" customFormat="1" ht="10.5" customHeight="1" x14ac:dyDescent="0.2">
      <c r="A64" s="1043" t="s">
        <v>272</v>
      </c>
      <c r="B64" s="2594"/>
      <c r="C64" s="2595"/>
      <c r="D64" s="2596"/>
      <c r="E64" s="2395"/>
      <c r="F64" s="2396"/>
      <c r="G64" s="1058">
        <v>40</v>
      </c>
      <c r="H64" s="1059"/>
      <c r="I64" s="1081">
        <f t="shared" si="6"/>
        <v>3.8177378061076156E-2</v>
      </c>
      <c r="J64" s="1082">
        <f t="shared" si="7"/>
        <v>0</v>
      </c>
      <c r="K64" s="1061">
        <v>0</v>
      </c>
      <c r="L64" s="1305"/>
      <c r="M64" s="1086">
        <f t="shared" si="8"/>
        <v>0</v>
      </c>
      <c r="N64" s="503"/>
      <c r="O64" s="365">
        <f t="shared" si="9"/>
        <v>40</v>
      </c>
      <c r="P64" s="366"/>
      <c r="Q64" s="135"/>
      <c r="R64" s="136"/>
      <c r="S64" s="129"/>
      <c r="T64" s="129"/>
      <c r="U64" s="129"/>
      <c r="V64" s="129"/>
      <c r="W64" s="129"/>
      <c r="X64" s="129"/>
      <c r="Y64" s="129"/>
      <c r="Z64" s="133"/>
      <c r="AA64" s="133"/>
      <c r="AB64" s="133"/>
      <c r="AC64" s="133"/>
      <c r="AD64" s="133"/>
      <c r="AE64" s="133"/>
      <c r="AF64" s="222"/>
      <c r="AG64" s="222"/>
      <c r="AH64" s="222"/>
      <c r="AI64" s="176"/>
      <c r="AJ64" s="176"/>
      <c r="AK64" s="176"/>
      <c r="AL64" s="176"/>
      <c r="AM64" s="176"/>
      <c r="AN64" s="176"/>
      <c r="AO64" s="176"/>
      <c r="AP64" s="176"/>
      <c r="AQ64" s="176"/>
      <c r="AR64" s="176"/>
      <c r="AS64" s="176"/>
      <c r="AT64" s="176"/>
      <c r="AU64" s="176"/>
      <c r="AV64" s="176"/>
      <c r="AW64" s="176"/>
      <c r="AX64" s="176"/>
      <c r="AY64" s="176"/>
      <c r="AZ64" s="176"/>
      <c r="BA64" s="176"/>
      <c r="BB64" s="176"/>
      <c r="BC64" s="176"/>
      <c r="BD64" s="176"/>
      <c r="BE64" s="176"/>
      <c r="BF64" s="176"/>
      <c r="BG64" s="176"/>
      <c r="BH64" s="176"/>
      <c r="BI64" s="176"/>
      <c r="BJ64" s="176"/>
      <c r="BK64" s="176"/>
      <c r="BL64" s="176"/>
      <c r="BM64" s="176"/>
      <c r="BN64" s="176"/>
      <c r="BO64" s="176"/>
    </row>
    <row r="65" spans="1:67" s="36" customFormat="1" ht="10.5" customHeight="1" x14ac:dyDescent="0.2">
      <c r="A65" s="1043" t="s">
        <v>273</v>
      </c>
      <c r="B65" s="2594"/>
      <c r="C65" s="2595"/>
      <c r="D65" s="2596"/>
      <c r="E65" s="2395"/>
      <c r="F65" s="2396"/>
      <c r="G65" s="1058">
        <v>20</v>
      </c>
      <c r="H65" s="1059"/>
      <c r="I65" s="1081">
        <f t="shared" si="6"/>
        <v>6.2642070767998229E-2</v>
      </c>
      <c r="J65" s="1082">
        <f t="shared" si="7"/>
        <v>0</v>
      </c>
      <c r="K65" s="1061">
        <v>8</v>
      </c>
      <c r="L65" s="1305"/>
      <c r="M65" s="1086">
        <f t="shared" si="8"/>
        <v>0</v>
      </c>
      <c r="N65" s="503"/>
      <c r="O65" s="365">
        <f t="shared" si="9"/>
        <v>20</v>
      </c>
      <c r="P65" s="366"/>
      <c r="Q65" s="135"/>
      <c r="R65" s="136"/>
      <c r="S65" s="129"/>
      <c r="T65" s="129"/>
      <c r="U65" s="129"/>
      <c r="V65" s="129"/>
      <c r="W65" s="129"/>
      <c r="X65" s="129"/>
      <c r="Y65" s="129"/>
      <c r="Z65" s="133"/>
      <c r="AA65" s="133"/>
      <c r="AB65" s="133"/>
      <c r="AC65" s="133"/>
      <c r="AD65" s="133"/>
      <c r="AE65" s="133"/>
      <c r="AF65" s="222"/>
      <c r="AG65" s="222"/>
      <c r="AH65" s="222"/>
      <c r="AI65" s="176"/>
      <c r="AJ65" s="176"/>
      <c r="AK65" s="176"/>
      <c r="AL65" s="176"/>
      <c r="AM65" s="176"/>
      <c r="AN65" s="176"/>
      <c r="AO65" s="176"/>
      <c r="AP65" s="176"/>
      <c r="AQ65" s="176"/>
      <c r="AR65" s="176"/>
      <c r="AS65" s="176"/>
      <c r="AT65" s="176"/>
      <c r="AU65" s="176"/>
      <c r="AV65" s="176"/>
      <c r="AW65" s="176"/>
      <c r="AX65" s="176"/>
      <c r="AY65" s="176"/>
      <c r="AZ65" s="176"/>
      <c r="BA65" s="176"/>
      <c r="BB65" s="176"/>
      <c r="BC65" s="176"/>
      <c r="BD65" s="176"/>
      <c r="BE65" s="176"/>
      <c r="BF65" s="176"/>
      <c r="BG65" s="176"/>
      <c r="BH65" s="176"/>
      <c r="BI65" s="176"/>
      <c r="BJ65" s="176"/>
      <c r="BK65" s="176"/>
      <c r="BL65" s="176"/>
      <c r="BM65" s="176"/>
      <c r="BN65" s="176"/>
      <c r="BO65" s="176"/>
    </row>
    <row r="66" spans="1:67" s="36" customFormat="1" ht="10.5" customHeight="1" x14ac:dyDescent="0.2">
      <c r="A66" s="1043" t="s">
        <v>274</v>
      </c>
      <c r="B66" s="2594"/>
      <c r="C66" s="2595"/>
      <c r="D66" s="2596"/>
      <c r="E66" s="2395"/>
      <c r="F66" s="2396"/>
      <c r="G66" s="1058">
        <v>20</v>
      </c>
      <c r="H66" s="1059"/>
      <c r="I66" s="1081">
        <f t="shared" si="6"/>
        <v>6.2642070767998229E-2</v>
      </c>
      <c r="J66" s="1082">
        <f t="shared" si="7"/>
        <v>0</v>
      </c>
      <c r="K66" s="1099">
        <v>0</v>
      </c>
      <c r="L66" s="1305"/>
      <c r="M66" s="1086">
        <f t="shared" si="8"/>
        <v>0</v>
      </c>
      <c r="N66" s="503"/>
      <c r="O66" s="365">
        <f t="shared" si="9"/>
        <v>20</v>
      </c>
      <c r="P66" s="366"/>
      <c r="Q66" s="135"/>
      <c r="R66" s="136"/>
      <c r="S66" s="129"/>
      <c r="T66" s="129"/>
      <c r="U66" s="129"/>
      <c r="V66" s="129"/>
      <c r="W66" s="129"/>
      <c r="X66" s="129"/>
      <c r="Y66" s="129"/>
      <c r="Z66" s="133"/>
      <c r="AA66" s="133"/>
      <c r="AB66" s="133"/>
      <c r="AC66" s="133"/>
      <c r="AD66" s="133"/>
      <c r="AE66" s="133"/>
      <c r="AF66" s="222"/>
      <c r="AG66" s="222"/>
      <c r="AH66" s="222"/>
      <c r="AI66" s="176"/>
      <c r="AJ66" s="176"/>
      <c r="AK66" s="176"/>
      <c r="AL66" s="176"/>
      <c r="AM66" s="176"/>
      <c r="AN66" s="176"/>
      <c r="AO66" s="176"/>
      <c r="AP66" s="176"/>
      <c r="AQ66" s="176"/>
      <c r="AR66" s="176"/>
      <c r="AS66" s="176"/>
      <c r="AT66" s="176"/>
      <c r="AU66" s="176"/>
      <c r="AV66" s="176"/>
      <c r="AW66" s="176"/>
      <c r="AX66" s="176"/>
      <c r="AY66" s="176"/>
      <c r="AZ66" s="176"/>
      <c r="BA66" s="176"/>
      <c r="BB66" s="176"/>
      <c r="BC66" s="176"/>
      <c r="BD66" s="176"/>
      <c r="BE66" s="176"/>
      <c r="BF66" s="176"/>
      <c r="BG66" s="176"/>
      <c r="BH66" s="176"/>
      <c r="BI66" s="176"/>
      <c r="BJ66" s="176"/>
      <c r="BK66" s="176"/>
      <c r="BL66" s="176"/>
      <c r="BM66" s="176"/>
      <c r="BN66" s="176"/>
      <c r="BO66" s="176"/>
    </row>
    <row r="67" spans="1:67" s="36" customFormat="1" ht="10.5" customHeight="1" x14ac:dyDescent="0.2">
      <c r="A67" s="1055"/>
      <c r="B67" s="2594"/>
      <c r="C67" s="2595"/>
      <c r="D67" s="2596"/>
      <c r="E67" s="2395"/>
      <c r="F67" s="2396"/>
      <c r="G67" s="2590"/>
      <c r="H67" s="2591"/>
      <c r="I67" s="1081">
        <f t="shared" si="6"/>
        <v>0</v>
      </c>
      <c r="J67" s="1082">
        <f t="shared" si="7"/>
        <v>0</v>
      </c>
      <c r="K67" s="2588"/>
      <c r="L67" s="2589"/>
      <c r="M67" s="1086">
        <f t="shared" si="8"/>
        <v>0</v>
      </c>
      <c r="N67" s="503"/>
      <c r="O67" s="365">
        <f t="shared" si="9"/>
        <v>0</v>
      </c>
      <c r="P67" s="366"/>
      <c r="Q67" s="135"/>
      <c r="R67" s="136"/>
      <c r="S67" s="129"/>
      <c r="T67" s="129"/>
      <c r="U67" s="129"/>
      <c r="V67" s="129"/>
      <c r="W67" s="129"/>
      <c r="X67" s="129"/>
      <c r="Y67" s="129"/>
      <c r="Z67" s="133"/>
      <c r="AA67" s="133"/>
      <c r="AB67" s="133"/>
      <c r="AC67" s="133"/>
      <c r="AD67" s="133"/>
      <c r="AE67" s="133"/>
      <c r="AF67" s="222"/>
      <c r="AG67" s="222"/>
      <c r="AH67" s="222"/>
      <c r="AI67" s="176"/>
      <c r="AJ67" s="176"/>
      <c r="AK67" s="176"/>
      <c r="AL67" s="176"/>
      <c r="AM67" s="176"/>
      <c r="AN67" s="176"/>
      <c r="AO67" s="176"/>
      <c r="AP67" s="176"/>
      <c r="AQ67" s="176"/>
      <c r="AR67" s="176"/>
      <c r="AS67" s="176"/>
      <c r="AT67" s="176"/>
      <c r="AU67" s="176"/>
      <c r="AV67" s="176"/>
      <c r="AW67" s="176"/>
      <c r="AX67" s="176"/>
      <c r="AY67" s="176"/>
      <c r="AZ67" s="176"/>
      <c r="BA67" s="176"/>
      <c r="BB67" s="176"/>
      <c r="BC67" s="176"/>
      <c r="BD67" s="176"/>
      <c r="BE67" s="176"/>
      <c r="BF67" s="176"/>
      <c r="BG67" s="176"/>
      <c r="BH67" s="176"/>
      <c r="BI67" s="176"/>
      <c r="BJ67" s="176"/>
      <c r="BK67" s="176"/>
      <c r="BL67" s="176"/>
      <c r="BM67" s="176"/>
      <c r="BN67" s="176"/>
      <c r="BO67" s="176"/>
    </row>
    <row r="68" spans="1:67" s="36" customFormat="1" ht="10.5" customHeight="1" x14ac:dyDescent="0.2">
      <c r="A68" s="1055"/>
      <c r="B68" s="2594"/>
      <c r="C68" s="2595"/>
      <c r="D68" s="2596"/>
      <c r="E68" s="2395"/>
      <c r="F68" s="2396"/>
      <c r="G68" s="2590"/>
      <c r="H68" s="2591"/>
      <c r="I68" s="1081">
        <f t="shared" si="6"/>
        <v>0</v>
      </c>
      <c r="J68" s="1082">
        <f t="shared" si="7"/>
        <v>0</v>
      </c>
      <c r="K68" s="2588"/>
      <c r="L68" s="2589"/>
      <c r="M68" s="1086">
        <f t="shared" si="8"/>
        <v>0</v>
      </c>
      <c r="N68" s="503"/>
      <c r="O68" s="365">
        <f t="shared" si="9"/>
        <v>0</v>
      </c>
      <c r="P68" s="366"/>
      <c r="Q68" s="135"/>
      <c r="R68" s="136"/>
      <c r="S68" s="129"/>
      <c r="T68" s="129"/>
      <c r="U68" s="129"/>
      <c r="V68" s="129"/>
      <c r="W68" s="129"/>
      <c r="X68" s="129"/>
      <c r="Y68" s="129"/>
      <c r="Z68" s="133"/>
      <c r="AA68" s="133"/>
      <c r="AB68" s="133"/>
      <c r="AC68" s="133"/>
      <c r="AD68" s="133"/>
      <c r="AE68" s="133"/>
      <c r="AF68" s="222"/>
      <c r="AG68" s="222"/>
      <c r="AH68" s="222"/>
      <c r="AI68" s="176"/>
      <c r="AJ68" s="176"/>
      <c r="AK68" s="176"/>
      <c r="AL68" s="176"/>
      <c r="AM68" s="176"/>
      <c r="AN68" s="176"/>
      <c r="AO68" s="176"/>
      <c r="AP68" s="176"/>
      <c r="AQ68" s="176"/>
      <c r="AR68" s="176"/>
      <c r="AS68" s="176"/>
      <c r="AT68" s="176"/>
      <c r="AU68" s="176"/>
      <c r="AV68" s="176"/>
      <c r="AW68" s="176"/>
      <c r="AX68" s="176"/>
      <c r="AY68" s="176"/>
      <c r="AZ68" s="176"/>
      <c r="BA68" s="176"/>
      <c r="BB68" s="176"/>
      <c r="BC68" s="176"/>
      <c r="BD68" s="176"/>
      <c r="BE68" s="176"/>
      <c r="BF68" s="176"/>
      <c r="BG68" s="176"/>
      <c r="BH68" s="176"/>
      <c r="BI68" s="176"/>
      <c r="BJ68" s="176"/>
      <c r="BK68" s="176"/>
      <c r="BL68" s="176"/>
      <c r="BM68" s="176"/>
      <c r="BN68" s="176"/>
      <c r="BO68" s="176"/>
    </row>
    <row r="69" spans="1:67" s="36" customFormat="1" ht="10.5" customHeight="1" x14ac:dyDescent="0.2">
      <c r="A69" s="1090"/>
      <c r="B69" s="2630"/>
      <c r="C69" s="2631"/>
      <c r="D69" s="2632"/>
      <c r="E69" s="2636"/>
      <c r="F69" s="2637"/>
      <c r="G69" s="1091"/>
      <c r="H69" s="1092"/>
      <c r="I69" s="1093">
        <f t="shared" si="6"/>
        <v>0</v>
      </c>
      <c r="J69" s="1094"/>
      <c r="K69" s="1095"/>
      <c r="L69" s="1306"/>
      <c r="M69" s="1097">
        <f t="shared" si="8"/>
        <v>0</v>
      </c>
      <c r="N69" s="503"/>
      <c r="O69" s="365">
        <f t="shared" si="9"/>
        <v>0</v>
      </c>
      <c r="P69" s="366"/>
      <c r="Q69" s="135"/>
      <c r="R69" s="136"/>
      <c r="S69" s="129"/>
      <c r="T69" s="129"/>
      <c r="U69" s="129"/>
      <c r="V69" s="129"/>
      <c r="W69" s="129"/>
      <c r="X69" s="129"/>
      <c r="Y69" s="129"/>
      <c r="Z69" s="133"/>
      <c r="AA69" s="133"/>
      <c r="AB69" s="133"/>
      <c r="AC69" s="133"/>
      <c r="AD69" s="133"/>
      <c r="AE69" s="133"/>
      <c r="AF69" s="222"/>
      <c r="AG69" s="222"/>
      <c r="AH69" s="222"/>
      <c r="AI69" s="176"/>
      <c r="AJ69" s="176"/>
      <c r="AK69" s="176"/>
      <c r="AL69" s="176"/>
      <c r="AM69" s="176"/>
      <c r="AN69" s="176"/>
      <c r="AO69" s="176"/>
      <c r="AP69" s="176"/>
      <c r="AQ69" s="176"/>
      <c r="AR69" s="176"/>
      <c r="AS69" s="176"/>
      <c r="AT69" s="176"/>
      <c r="AU69" s="176"/>
      <c r="AV69" s="176"/>
      <c r="AW69" s="176"/>
      <c r="AX69" s="176"/>
      <c r="AY69" s="176"/>
      <c r="AZ69" s="176"/>
      <c r="BA69" s="176"/>
      <c r="BB69" s="176"/>
      <c r="BC69" s="176"/>
      <c r="BD69" s="176"/>
      <c r="BE69" s="176"/>
      <c r="BF69" s="176"/>
      <c r="BG69" s="176"/>
      <c r="BH69" s="176"/>
      <c r="BI69" s="176"/>
      <c r="BJ69" s="176"/>
      <c r="BK69" s="176"/>
      <c r="BL69" s="176"/>
      <c r="BM69" s="176"/>
      <c r="BN69" s="176"/>
      <c r="BO69" s="176"/>
    </row>
    <row r="70" spans="1:67" s="36" customFormat="1" ht="10.5" customHeight="1" x14ac:dyDescent="0.2">
      <c r="A70" s="1103" t="s">
        <v>275</v>
      </c>
      <c r="B70" s="2611"/>
      <c r="C70" s="2612"/>
      <c r="D70" s="2613"/>
      <c r="E70" s="2614">
        <f>SUM(E71:E83)</f>
        <v>0</v>
      </c>
      <c r="F70" s="2615"/>
      <c r="G70" s="2616"/>
      <c r="H70" s="2617"/>
      <c r="I70" s="1116">
        <f>IF(E70=0,0,J70/E70)</f>
        <v>0</v>
      </c>
      <c r="J70" s="1119">
        <f>SUM(J71:J83)</f>
        <v>0</v>
      </c>
      <c r="K70" s="2618">
        <f>IF(E70=0,0,M70/E70*100)</f>
        <v>0</v>
      </c>
      <c r="L70" s="2619"/>
      <c r="M70" s="1316">
        <f>SUM(M71:M83)</f>
        <v>0</v>
      </c>
      <c r="N70" s="503"/>
      <c r="O70" s="178">
        <f>IF(H70="",G70,H70)</f>
        <v>0</v>
      </c>
      <c r="P70" s="366"/>
      <c r="Q70" s="135"/>
      <c r="R70" s="136"/>
      <c r="S70" s="129"/>
      <c r="T70" s="129"/>
      <c r="U70" s="129"/>
      <c r="V70" s="129"/>
      <c r="W70" s="129"/>
      <c r="X70" s="129"/>
      <c r="Y70" s="129"/>
      <c r="Z70" s="133"/>
      <c r="AA70" s="133"/>
      <c r="AB70" s="133"/>
      <c r="AC70" s="133"/>
      <c r="AD70" s="133"/>
      <c r="AE70" s="133"/>
      <c r="AF70" s="222"/>
      <c r="AG70" s="222"/>
      <c r="AH70" s="222"/>
      <c r="AI70" s="176"/>
      <c r="AJ70" s="176"/>
      <c r="AK70" s="176"/>
      <c r="AL70" s="176"/>
      <c r="AM70" s="176"/>
      <c r="AN70" s="176"/>
      <c r="AO70" s="176"/>
      <c r="AP70" s="176"/>
      <c r="AQ70" s="176"/>
      <c r="AR70" s="176"/>
      <c r="AS70" s="176"/>
      <c r="AT70" s="176"/>
      <c r="AU70" s="176"/>
      <c r="AV70" s="176"/>
      <c r="AW70" s="176"/>
      <c r="AX70" s="176"/>
      <c r="AY70" s="176"/>
      <c r="AZ70" s="176"/>
      <c r="BA70" s="176"/>
      <c r="BB70" s="176"/>
      <c r="BC70" s="176"/>
      <c r="BD70" s="176"/>
      <c r="BE70" s="176"/>
      <c r="BF70" s="176"/>
      <c r="BG70" s="176"/>
      <c r="BH70" s="176"/>
      <c r="BI70" s="176"/>
      <c r="BJ70" s="176"/>
      <c r="BK70" s="176"/>
      <c r="BL70" s="176"/>
      <c r="BM70" s="176"/>
      <c r="BN70" s="176"/>
      <c r="BO70" s="176"/>
    </row>
    <row r="71" spans="1:67" s="36" customFormat="1" ht="10.5" customHeight="1" x14ac:dyDescent="0.2">
      <c r="A71" s="1042" t="s">
        <v>276</v>
      </c>
      <c r="B71" s="2624"/>
      <c r="C71" s="2625"/>
      <c r="D71" s="2626"/>
      <c r="E71" s="2386"/>
      <c r="F71" s="2387"/>
      <c r="G71" s="1056">
        <v>40</v>
      </c>
      <c r="H71" s="1057"/>
      <c r="I71" s="1079">
        <f t="shared" ref="I71:I84" si="10">IF($O71&gt;0,-PMT(($I$9),$O71,1),0)</f>
        <v>3.8177378061076156E-2</v>
      </c>
      <c r="J71" s="1080">
        <f t="shared" ref="J71:J83" si="11">ROUND(E71*I71,0)</f>
        <v>0</v>
      </c>
      <c r="K71" s="1060">
        <v>1.5</v>
      </c>
      <c r="L71" s="1304"/>
      <c r="M71" s="1085">
        <f t="shared" ref="M71:M84" si="12">ROUND(E71/100*IF(ISBLANK(L71),K71,L71),0)</f>
        <v>0</v>
      </c>
      <c r="N71" s="503"/>
      <c r="O71" s="365">
        <f t="shared" ref="O71:O84" si="13">IF(ISBLANK(H71),G71,H71)</f>
        <v>40</v>
      </c>
      <c r="P71" s="366"/>
      <c r="Q71" s="135"/>
      <c r="R71" s="136"/>
      <c r="S71" s="129"/>
      <c r="T71" s="129"/>
      <c r="U71" s="129"/>
      <c r="V71" s="129"/>
      <c r="W71" s="129"/>
      <c r="X71" s="129"/>
      <c r="Y71" s="129"/>
      <c r="Z71" s="133"/>
      <c r="AA71" s="133"/>
      <c r="AB71" s="133"/>
      <c r="AC71" s="133"/>
      <c r="AD71" s="133"/>
      <c r="AE71" s="133"/>
      <c r="AF71" s="222"/>
      <c r="AG71" s="222"/>
      <c r="AH71" s="222"/>
      <c r="AI71" s="176"/>
      <c r="AJ71" s="176"/>
      <c r="AK71" s="176"/>
      <c r="AL71" s="176"/>
      <c r="AM71" s="176"/>
      <c r="AN71" s="176"/>
      <c r="AO71" s="176"/>
      <c r="AP71" s="176"/>
      <c r="AQ71" s="176"/>
      <c r="AR71" s="176"/>
      <c r="AS71" s="176"/>
      <c r="AT71" s="176"/>
      <c r="AU71" s="176"/>
      <c r="AV71" s="176"/>
      <c r="AW71" s="176"/>
      <c r="AX71" s="176"/>
      <c r="AY71" s="176"/>
      <c r="AZ71" s="176"/>
      <c r="BA71" s="176"/>
      <c r="BB71" s="176"/>
      <c r="BC71" s="176"/>
      <c r="BD71" s="176"/>
      <c r="BE71" s="176"/>
      <c r="BF71" s="176"/>
      <c r="BG71" s="176"/>
      <c r="BH71" s="176"/>
      <c r="BI71" s="176"/>
      <c r="BJ71" s="176"/>
      <c r="BK71" s="176"/>
      <c r="BL71" s="176"/>
      <c r="BM71" s="176"/>
      <c r="BN71" s="176"/>
      <c r="BO71" s="176"/>
    </row>
    <row r="72" spans="1:67" s="36" customFormat="1" ht="10.5" customHeight="1" x14ac:dyDescent="0.2">
      <c r="A72" s="1043" t="s">
        <v>277</v>
      </c>
      <c r="B72" s="2594"/>
      <c r="C72" s="2595"/>
      <c r="D72" s="2596"/>
      <c r="E72" s="2395"/>
      <c r="F72" s="2396"/>
      <c r="G72" s="1058">
        <v>40</v>
      </c>
      <c r="H72" s="1059"/>
      <c r="I72" s="1081">
        <f t="shared" si="10"/>
        <v>3.8177378061076156E-2</v>
      </c>
      <c r="J72" s="1082">
        <f t="shared" si="11"/>
        <v>0</v>
      </c>
      <c r="K72" s="1061">
        <v>0.5</v>
      </c>
      <c r="L72" s="1305"/>
      <c r="M72" s="1086">
        <f t="shared" si="12"/>
        <v>0</v>
      </c>
      <c r="N72" s="503"/>
      <c r="O72" s="365">
        <f t="shared" si="13"/>
        <v>40</v>
      </c>
      <c r="P72" s="366"/>
      <c r="Q72" s="135"/>
      <c r="R72" s="136"/>
      <c r="S72" s="129"/>
      <c r="T72" s="129"/>
      <c r="U72" s="129"/>
      <c r="V72" s="129"/>
      <c r="W72" s="129"/>
      <c r="X72" s="129"/>
      <c r="Y72" s="129"/>
      <c r="Z72" s="133"/>
      <c r="AA72" s="133"/>
      <c r="AB72" s="133"/>
      <c r="AC72" s="133"/>
      <c r="AD72" s="133"/>
      <c r="AE72" s="133"/>
      <c r="AF72" s="222"/>
      <c r="AG72" s="222"/>
      <c r="AH72" s="222"/>
      <c r="AI72" s="176"/>
      <c r="AJ72" s="176"/>
      <c r="AK72" s="176"/>
      <c r="AL72" s="176"/>
      <c r="AM72" s="176"/>
      <c r="AN72" s="176"/>
      <c r="AO72" s="176"/>
      <c r="AP72" s="176"/>
      <c r="AQ72" s="176"/>
      <c r="AR72" s="176"/>
      <c r="AS72" s="176"/>
      <c r="AT72" s="176"/>
      <c r="AU72" s="176"/>
      <c r="AV72" s="176"/>
      <c r="AW72" s="176"/>
      <c r="AX72" s="176"/>
      <c r="AY72" s="176"/>
      <c r="AZ72" s="176"/>
      <c r="BA72" s="176"/>
      <c r="BB72" s="176"/>
      <c r="BC72" s="176"/>
      <c r="BD72" s="176"/>
      <c r="BE72" s="176"/>
      <c r="BF72" s="176"/>
      <c r="BG72" s="176"/>
      <c r="BH72" s="176"/>
      <c r="BI72" s="176"/>
      <c r="BJ72" s="176"/>
      <c r="BK72" s="176"/>
      <c r="BL72" s="176"/>
      <c r="BM72" s="176"/>
      <c r="BN72" s="176"/>
      <c r="BO72" s="176"/>
    </row>
    <row r="73" spans="1:67" s="36" customFormat="1" ht="10.5" customHeight="1" x14ac:dyDescent="0.2">
      <c r="A73" s="1043" t="s">
        <v>278</v>
      </c>
      <c r="B73" s="2594"/>
      <c r="C73" s="2595"/>
      <c r="D73" s="2596"/>
      <c r="E73" s="2395"/>
      <c r="F73" s="2396"/>
      <c r="G73" s="1058">
        <v>20</v>
      </c>
      <c r="H73" s="1059"/>
      <c r="I73" s="1081">
        <f t="shared" si="10"/>
        <v>6.2642070767998229E-2</v>
      </c>
      <c r="J73" s="1082">
        <f t="shared" si="11"/>
        <v>0</v>
      </c>
      <c r="K73" s="1061">
        <v>1</v>
      </c>
      <c r="L73" s="1305"/>
      <c r="M73" s="1086">
        <f t="shared" si="12"/>
        <v>0</v>
      </c>
      <c r="N73" s="503"/>
      <c r="O73" s="365">
        <f t="shared" si="13"/>
        <v>20</v>
      </c>
      <c r="P73" s="366"/>
      <c r="Q73" s="135"/>
      <c r="R73" s="136"/>
      <c r="S73" s="129"/>
      <c r="T73" s="129"/>
      <c r="U73" s="129"/>
      <c r="V73" s="129"/>
      <c r="W73" s="129"/>
      <c r="X73" s="129"/>
      <c r="Y73" s="129"/>
      <c r="Z73" s="133"/>
      <c r="AA73" s="133"/>
      <c r="AB73" s="133"/>
      <c r="AC73" s="133"/>
      <c r="AD73" s="133"/>
      <c r="AE73" s="133"/>
      <c r="AF73" s="222"/>
      <c r="AG73" s="222"/>
      <c r="AH73" s="222"/>
      <c r="AI73" s="176"/>
      <c r="AJ73" s="176"/>
      <c r="AK73" s="176"/>
      <c r="AL73" s="176"/>
      <c r="AM73" s="176"/>
      <c r="AN73" s="176"/>
      <c r="AO73" s="176"/>
      <c r="AP73" s="176"/>
      <c r="AQ73" s="176"/>
      <c r="AR73" s="176"/>
      <c r="AS73" s="176"/>
      <c r="AT73" s="176"/>
      <c r="AU73" s="176"/>
      <c r="AV73" s="176"/>
      <c r="AW73" s="176"/>
      <c r="AX73" s="176"/>
      <c r="AY73" s="176"/>
      <c r="AZ73" s="176"/>
      <c r="BA73" s="176"/>
      <c r="BB73" s="176"/>
      <c r="BC73" s="176"/>
      <c r="BD73" s="176"/>
      <c r="BE73" s="176"/>
      <c r="BF73" s="176"/>
      <c r="BG73" s="176"/>
      <c r="BH73" s="176"/>
      <c r="BI73" s="176"/>
      <c r="BJ73" s="176"/>
      <c r="BK73" s="176"/>
      <c r="BL73" s="176"/>
      <c r="BM73" s="176"/>
      <c r="BN73" s="176"/>
      <c r="BO73" s="176"/>
    </row>
    <row r="74" spans="1:67" s="36" customFormat="1" ht="10.5" customHeight="1" x14ac:dyDescent="0.2">
      <c r="A74" s="1043" t="s">
        <v>279</v>
      </c>
      <c r="B74" s="2594"/>
      <c r="C74" s="2595"/>
      <c r="D74" s="2596"/>
      <c r="E74" s="2395"/>
      <c r="F74" s="2396"/>
      <c r="G74" s="1058">
        <v>30</v>
      </c>
      <c r="H74" s="1059"/>
      <c r="I74" s="1081">
        <f t="shared" si="10"/>
        <v>4.6199342169092869E-2</v>
      </c>
      <c r="J74" s="1082">
        <f t="shared" si="11"/>
        <v>0</v>
      </c>
      <c r="K74" s="1061">
        <v>2</v>
      </c>
      <c r="L74" s="1305"/>
      <c r="M74" s="1086">
        <f t="shared" si="12"/>
        <v>0</v>
      </c>
      <c r="N74" s="503"/>
      <c r="O74" s="365">
        <f t="shared" si="13"/>
        <v>30</v>
      </c>
      <c r="P74" s="366"/>
      <c r="Q74" s="135"/>
      <c r="R74" s="136"/>
      <c r="S74" s="129"/>
      <c r="T74" s="129"/>
      <c r="U74" s="129"/>
      <c r="V74" s="129"/>
      <c r="W74" s="129"/>
      <c r="X74" s="129"/>
      <c r="Y74" s="129"/>
      <c r="Z74" s="133"/>
      <c r="AA74" s="133"/>
      <c r="AB74" s="133"/>
      <c r="AC74" s="133"/>
      <c r="AD74" s="133"/>
      <c r="AE74" s="133"/>
      <c r="AF74" s="222"/>
      <c r="AG74" s="222"/>
      <c r="AH74" s="222"/>
      <c r="AI74" s="176"/>
      <c r="AJ74" s="176"/>
      <c r="AK74" s="176"/>
      <c r="AL74" s="176"/>
      <c r="AM74" s="176"/>
      <c r="AN74" s="176"/>
      <c r="AO74" s="176"/>
      <c r="AP74" s="176"/>
      <c r="AQ74" s="176"/>
      <c r="AR74" s="176"/>
      <c r="AS74" s="176"/>
      <c r="AT74" s="176"/>
      <c r="AU74" s="176"/>
      <c r="AV74" s="176"/>
      <c r="AW74" s="176"/>
      <c r="AX74" s="176"/>
      <c r="AY74" s="176"/>
      <c r="AZ74" s="176"/>
      <c r="BA74" s="176"/>
      <c r="BB74" s="176"/>
      <c r="BC74" s="176"/>
      <c r="BD74" s="176"/>
      <c r="BE74" s="176"/>
      <c r="BF74" s="176"/>
      <c r="BG74" s="176"/>
      <c r="BH74" s="176"/>
      <c r="BI74" s="176"/>
      <c r="BJ74" s="176"/>
      <c r="BK74" s="176"/>
      <c r="BL74" s="176"/>
      <c r="BM74" s="176"/>
      <c r="BN74" s="176"/>
      <c r="BO74" s="176"/>
    </row>
    <row r="75" spans="1:67" s="36" customFormat="1" ht="10.5" customHeight="1" x14ac:dyDescent="0.2">
      <c r="A75" s="1043" t="s">
        <v>280</v>
      </c>
      <c r="B75" s="2594"/>
      <c r="C75" s="2595"/>
      <c r="D75" s="2596"/>
      <c r="E75" s="2395"/>
      <c r="F75" s="2396"/>
      <c r="G75" s="1058">
        <v>30</v>
      </c>
      <c r="H75" s="1059"/>
      <c r="I75" s="1081">
        <f t="shared" si="10"/>
        <v>4.6199342169092869E-2</v>
      </c>
      <c r="J75" s="1082">
        <f t="shared" si="11"/>
        <v>0</v>
      </c>
      <c r="K75" s="1061">
        <v>1.5</v>
      </c>
      <c r="L75" s="1305"/>
      <c r="M75" s="1086">
        <f t="shared" si="12"/>
        <v>0</v>
      </c>
      <c r="N75" s="503"/>
      <c r="O75" s="365">
        <f t="shared" si="13"/>
        <v>30</v>
      </c>
      <c r="P75" s="366"/>
      <c r="Q75" s="135"/>
      <c r="R75" s="136"/>
      <c r="S75" s="129"/>
      <c r="T75" s="129"/>
      <c r="U75" s="129"/>
      <c r="V75" s="129"/>
      <c r="W75" s="129"/>
      <c r="X75" s="129"/>
      <c r="Y75" s="129"/>
      <c r="Z75" s="133"/>
      <c r="AA75" s="133"/>
      <c r="AB75" s="133"/>
      <c r="AC75" s="133"/>
      <c r="AD75" s="133"/>
      <c r="AE75" s="133"/>
      <c r="AF75" s="222"/>
      <c r="AG75" s="222"/>
      <c r="AH75" s="222"/>
      <c r="AI75" s="176"/>
      <c r="AJ75" s="176"/>
      <c r="AK75" s="176"/>
      <c r="AL75" s="176"/>
      <c r="AM75" s="176"/>
      <c r="AN75" s="176"/>
      <c r="AO75" s="176"/>
      <c r="AP75" s="176"/>
      <c r="AQ75" s="176"/>
      <c r="AR75" s="176"/>
      <c r="AS75" s="176"/>
      <c r="AT75" s="176"/>
      <c r="AU75" s="176"/>
      <c r="AV75" s="176"/>
      <c r="AW75" s="176"/>
      <c r="AX75" s="176"/>
      <c r="AY75" s="176"/>
      <c r="AZ75" s="176"/>
      <c r="BA75" s="176"/>
      <c r="BB75" s="176"/>
      <c r="BC75" s="176"/>
      <c r="BD75" s="176"/>
      <c r="BE75" s="176"/>
      <c r="BF75" s="176"/>
      <c r="BG75" s="176"/>
      <c r="BH75" s="176"/>
      <c r="BI75" s="176"/>
      <c r="BJ75" s="176"/>
      <c r="BK75" s="176"/>
      <c r="BL75" s="176"/>
      <c r="BM75" s="176"/>
      <c r="BN75" s="176"/>
      <c r="BO75" s="176"/>
    </row>
    <row r="76" spans="1:67" s="36" customFormat="1" ht="10.5" customHeight="1" x14ac:dyDescent="0.2">
      <c r="A76" s="1043" t="s">
        <v>281</v>
      </c>
      <c r="B76" s="2594"/>
      <c r="C76" s="2595"/>
      <c r="D76" s="2596"/>
      <c r="E76" s="2395"/>
      <c r="F76" s="2396"/>
      <c r="G76" s="1058">
        <v>20</v>
      </c>
      <c r="H76" s="1059"/>
      <c r="I76" s="1081">
        <f t="shared" si="10"/>
        <v>6.2642070767998229E-2</v>
      </c>
      <c r="J76" s="1082">
        <f t="shared" si="11"/>
        <v>0</v>
      </c>
      <c r="K76" s="1061">
        <v>1</v>
      </c>
      <c r="L76" s="1305"/>
      <c r="M76" s="1086">
        <f t="shared" si="12"/>
        <v>0</v>
      </c>
      <c r="N76" s="503"/>
      <c r="O76" s="365">
        <f t="shared" si="13"/>
        <v>20</v>
      </c>
      <c r="P76" s="366"/>
      <c r="Q76" s="135"/>
      <c r="R76" s="136"/>
      <c r="S76" s="129"/>
      <c r="T76" s="129"/>
      <c r="U76" s="129"/>
      <c r="V76" s="129"/>
      <c r="W76" s="129"/>
      <c r="X76" s="129"/>
      <c r="Y76" s="129"/>
      <c r="Z76" s="133"/>
      <c r="AA76" s="133"/>
      <c r="AB76" s="133"/>
      <c r="AC76" s="133"/>
      <c r="AD76" s="133"/>
      <c r="AE76" s="133"/>
      <c r="AF76" s="222"/>
      <c r="AG76" s="222"/>
      <c r="AH76" s="222"/>
      <c r="AI76" s="176"/>
      <c r="AJ76" s="176"/>
      <c r="AK76" s="176"/>
      <c r="AL76" s="176"/>
      <c r="AM76" s="176"/>
      <c r="AN76" s="176"/>
      <c r="AO76" s="176"/>
      <c r="AP76" s="176"/>
      <c r="AQ76" s="176"/>
      <c r="AR76" s="176"/>
      <c r="AS76" s="176"/>
      <c r="AT76" s="176"/>
      <c r="AU76" s="176"/>
      <c r="AV76" s="176"/>
      <c r="AW76" s="176"/>
      <c r="AX76" s="176"/>
      <c r="AY76" s="176"/>
      <c r="AZ76" s="176"/>
      <c r="BA76" s="176"/>
      <c r="BB76" s="176"/>
      <c r="BC76" s="176"/>
      <c r="BD76" s="176"/>
      <c r="BE76" s="176"/>
      <c r="BF76" s="176"/>
      <c r="BG76" s="176"/>
      <c r="BH76" s="176"/>
      <c r="BI76" s="176"/>
      <c r="BJ76" s="176"/>
      <c r="BK76" s="176"/>
      <c r="BL76" s="176"/>
      <c r="BM76" s="176"/>
      <c r="BN76" s="176"/>
      <c r="BO76" s="176"/>
    </row>
    <row r="77" spans="1:67" s="36" customFormat="1" ht="10.5" customHeight="1" x14ac:dyDescent="0.2">
      <c r="A77" s="1043" t="s">
        <v>673</v>
      </c>
      <c r="B77" s="2594"/>
      <c r="C77" s="2595"/>
      <c r="D77" s="2596"/>
      <c r="E77" s="2395"/>
      <c r="F77" s="2396"/>
      <c r="G77" s="1058">
        <v>15</v>
      </c>
      <c r="H77" s="1059"/>
      <c r="I77" s="1081">
        <f t="shared" si="10"/>
        <v>7.9288524964265278E-2</v>
      </c>
      <c r="J77" s="1082">
        <f t="shared" si="11"/>
        <v>0</v>
      </c>
      <c r="K77" s="1061">
        <v>4</v>
      </c>
      <c r="L77" s="1305"/>
      <c r="M77" s="1086">
        <f t="shared" si="12"/>
        <v>0</v>
      </c>
      <c r="N77" s="503"/>
      <c r="O77" s="365">
        <f t="shared" si="13"/>
        <v>15</v>
      </c>
      <c r="P77" s="366"/>
      <c r="Q77" s="135"/>
      <c r="R77" s="136"/>
      <c r="S77" s="129"/>
      <c r="T77" s="129"/>
      <c r="U77" s="129"/>
      <c r="V77" s="129"/>
      <c r="W77" s="129"/>
      <c r="X77" s="129"/>
      <c r="Y77" s="129"/>
      <c r="Z77" s="133"/>
      <c r="AA77" s="133"/>
      <c r="AB77" s="133"/>
      <c r="AC77" s="133"/>
      <c r="AD77" s="133"/>
      <c r="AE77" s="133"/>
      <c r="AF77" s="222"/>
      <c r="AG77" s="222"/>
      <c r="AH77" s="222"/>
      <c r="AI77" s="176"/>
      <c r="AJ77" s="176"/>
      <c r="AK77" s="176"/>
      <c r="AL77" s="176"/>
      <c r="AM77" s="176"/>
      <c r="AN77" s="176"/>
      <c r="AO77" s="176"/>
      <c r="AP77" s="176"/>
      <c r="AQ77" s="176"/>
      <c r="AR77" s="176"/>
      <c r="AS77" s="176"/>
      <c r="AT77" s="176"/>
      <c r="AU77" s="176"/>
      <c r="AV77" s="176"/>
      <c r="AW77" s="176"/>
      <c r="AX77" s="176"/>
      <c r="AY77" s="176"/>
      <c r="AZ77" s="176"/>
      <c r="BA77" s="176"/>
      <c r="BB77" s="176"/>
      <c r="BC77" s="176"/>
      <c r="BD77" s="176"/>
      <c r="BE77" s="176"/>
      <c r="BF77" s="176"/>
      <c r="BG77" s="176"/>
      <c r="BH77" s="176"/>
      <c r="BI77" s="176"/>
      <c r="BJ77" s="176"/>
      <c r="BK77" s="176"/>
      <c r="BL77" s="176"/>
      <c r="BM77" s="176"/>
      <c r="BN77" s="176"/>
      <c r="BO77" s="176"/>
    </row>
    <row r="78" spans="1:67" s="36" customFormat="1" ht="10.5" customHeight="1" x14ac:dyDescent="0.2">
      <c r="A78" s="1055"/>
      <c r="B78" s="2594"/>
      <c r="C78" s="2595"/>
      <c r="D78" s="2596"/>
      <c r="E78" s="2395"/>
      <c r="F78" s="2396"/>
      <c r="G78" s="2590"/>
      <c r="H78" s="2591"/>
      <c r="I78" s="1081">
        <f t="shared" si="10"/>
        <v>0</v>
      </c>
      <c r="J78" s="1082">
        <f t="shared" si="11"/>
        <v>0</v>
      </c>
      <c r="K78" s="2588"/>
      <c r="L78" s="2589"/>
      <c r="M78" s="1086">
        <f t="shared" si="12"/>
        <v>0</v>
      </c>
      <c r="N78" s="503"/>
      <c r="O78" s="365">
        <f t="shared" si="13"/>
        <v>0</v>
      </c>
      <c r="P78" s="366"/>
      <c r="Q78" s="135"/>
      <c r="R78" s="136"/>
      <c r="S78" s="129"/>
      <c r="T78" s="129"/>
      <c r="U78" s="129"/>
      <c r="V78" s="129"/>
      <c r="W78" s="129"/>
      <c r="X78" s="129"/>
      <c r="Y78" s="129"/>
      <c r="Z78" s="133"/>
      <c r="AA78" s="133"/>
      <c r="AB78" s="133"/>
      <c r="AC78" s="133"/>
      <c r="AD78" s="133"/>
      <c r="AE78" s="133"/>
      <c r="AF78" s="222"/>
      <c r="AG78" s="222"/>
      <c r="AH78" s="222"/>
      <c r="AI78" s="176"/>
      <c r="AJ78" s="176"/>
      <c r="AK78" s="176"/>
      <c r="AL78" s="176"/>
      <c r="AM78" s="176"/>
      <c r="AN78" s="176"/>
      <c r="AO78" s="176"/>
      <c r="AP78" s="176"/>
      <c r="AQ78" s="176"/>
      <c r="AR78" s="176"/>
      <c r="AS78" s="176"/>
      <c r="AT78" s="176"/>
      <c r="AU78" s="176"/>
      <c r="AV78" s="176"/>
      <c r="AW78" s="176"/>
      <c r="AX78" s="176"/>
      <c r="AY78" s="176"/>
      <c r="AZ78" s="176"/>
      <c r="BA78" s="176"/>
      <c r="BB78" s="176"/>
      <c r="BC78" s="176"/>
      <c r="BD78" s="176"/>
      <c r="BE78" s="176"/>
      <c r="BF78" s="176"/>
      <c r="BG78" s="176"/>
      <c r="BH78" s="176"/>
      <c r="BI78" s="176"/>
      <c r="BJ78" s="176"/>
      <c r="BK78" s="176"/>
      <c r="BL78" s="176"/>
      <c r="BM78" s="176"/>
      <c r="BN78" s="176"/>
      <c r="BO78" s="176"/>
    </row>
    <row r="79" spans="1:67" s="36" customFormat="1" ht="10.5" customHeight="1" x14ac:dyDescent="0.2">
      <c r="A79" s="1055"/>
      <c r="B79" s="2594"/>
      <c r="C79" s="2595"/>
      <c r="D79" s="2596"/>
      <c r="E79" s="2395"/>
      <c r="F79" s="2396"/>
      <c r="G79" s="2590"/>
      <c r="H79" s="2591"/>
      <c r="I79" s="1081">
        <f t="shared" si="10"/>
        <v>0</v>
      </c>
      <c r="J79" s="1082">
        <f t="shared" si="11"/>
        <v>0</v>
      </c>
      <c r="K79" s="2588"/>
      <c r="L79" s="2589"/>
      <c r="M79" s="1086">
        <f t="shared" si="12"/>
        <v>0</v>
      </c>
      <c r="N79" s="503"/>
      <c r="O79" s="365">
        <f t="shared" si="13"/>
        <v>0</v>
      </c>
      <c r="P79" s="366"/>
      <c r="Q79" s="135"/>
      <c r="R79" s="136"/>
      <c r="S79" s="129"/>
      <c r="T79" s="129"/>
      <c r="U79" s="129"/>
      <c r="V79" s="129"/>
      <c r="W79" s="129"/>
      <c r="X79" s="129"/>
      <c r="Y79" s="129"/>
      <c r="Z79" s="133"/>
      <c r="AA79" s="133"/>
      <c r="AB79" s="133"/>
      <c r="AC79" s="133"/>
      <c r="AD79" s="133"/>
      <c r="AE79" s="133"/>
      <c r="AF79" s="222"/>
      <c r="AG79" s="222"/>
      <c r="AH79" s="222"/>
      <c r="AI79" s="176"/>
      <c r="AJ79" s="176"/>
      <c r="AK79" s="176"/>
      <c r="AL79" s="176"/>
      <c r="AM79" s="176"/>
      <c r="AN79" s="176"/>
      <c r="AO79" s="176"/>
      <c r="AP79" s="176"/>
      <c r="AQ79" s="176"/>
      <c r="AR79" s="176"/>
      <c r="AS79" s="176"/>
      <c r="AT79" s="176"/>
      <c r="AU79" s="176"/>
      <c r="AV79" s="176"/>
      <c r="AW79" s="176"/>
      <c r="AX79" s="176"/>
      <c r="AY79" s="176"/>
      <c r="AZ79" s="176"/>
      <c r="BA79" s="176"/>
      <c r="BB79" s="176"/>
      <c r="BC79" s="176"/>
      <c r="BD79" s="176"/>
      <c r="BE79" s="176"/>
      <c r="BF79" s="176"/>
      <c r="BG79" s="176"/>
      <c r="BH79" s="176"/>
      <c r="BI79" s="176"/>
      <c r="BJ79" s="176"/>
      <c r="BK79" s="176"/>
      <c r="BL79" s="176"/>
      <c r="BM79" s="176"/>
      <c r="BN79" s="176"/>
      <c r="BO79" s="176"/>
    </row>
    <row r="80" spans="1:67" s="36" customFormat="1" ht="10.5" customHeight="1" x14ac:dyDescent="0.2">
      <c r="A80" s="1055"/>
      <c r="B80" s="2594"/>
      <c r="C80" s="2595"/>
      <c r="D80" s="2596"/>
      <c r="E80" s="2395"/>
      <c r="F80" s="2396"/>
      <c r="G80" s="2590"/>
      <c r="H80" s="2591"/>
      <c r="I80" s="1081">
        <f t="shared" si="10"/>
        <v>0</v>
      </c>
      <c r="J80" s="1082">
        <f t="shared" si="11"/>
        <v>0</v>
      </c>
      <c r="K80" s="2588"/>
      <c r="L80" s="2589"/>
      <c r="M80" s="1086">
        <f t="shared" si="12"/>
        <v>0</v>
      </c>
      <c r="N80" s="503"/>
      <c r="O80" s="365">
        <f t="shared" si="13"/>
        <v>0</v>
      </c>
      <c r="P80" s="366"/>
      <c r="Q80" s="135"/>
      <c r="R80" s="136"/>
      <c r="S80" s="129"/>
      <c r="T80" s="129"/>
      <c r="U80" s="129"/>
      <c r="V80" s="129"/>
      <c r="W80" s="129"/>
      <c r="X80" s="129"/>
      <c r="Y80" s="129"/>
      <c r="Z80" s="133"/>
      <c r="AA80" s="133"/>
      <c r="AB80" s="133"/>
      <c r="AC80" s="133"/>
      <c r="AD80" s="133"/>
      <c r="AE80" s="133"/>
      <c r="AF80" s="222"/>
      <c r="AG80" s="222"/>
      <c r="AH80" s="222"/>
      <c r="AI80" s="176"/>
      <c r="AJ80" s="176"/>
      <c r="AK80" s="176"/>
      <c r="AL80" s="176"/>
      <c r="AM80" s="176"/>
      <c r="AN80" s="176"/>
      <c r="AO80" s="176"/>
      <c r="AP80" s="176"/>
      <c r="AQ80" s="176"/>
      <c r="AR80" s="176"/>
      <c r="AS80" s="176"/>
      <c r="AT80" s="176"/>
      <c r="AU80" s="176"/>
      <c r="AV80" s="176"/>
      <c r="AW80" s="176"/>
      <c r="AX80" s="176"/>
      <c r="AY80" s="176"/>
      <c r="AZ80" s="176"/>
      <c r="BA80" s="176"/>
      <c r="BB80" s="176"/>
      <c r="BC80" s="176"/>
      <c r="BD80" s="176"/>
      <c r="BE80" s="176"/>
      <c r="BF80" s="176"/>
      <c r="BG80" s="176"/>
      <c r="BH80" s="176"/>
      <c r="BI80" s="176"/>
      <c r="BJ80" s="176"/>
      <c r="BK80" s="176"/>
      <c r="BL80" s="176"/>
      <c r="BM80" s="176"/>
      <c r="BN80" s="176"/>
      <c r="BO80" s="176"/>
    </row>
    <row r="81" spans="1:67" s="36" customFormat="1" ht="10.5" customHeight="1" x14ac:dyDescent="0.2">
      <c r="A81" s="1055"/>
      <c r="B81" s="2594"/>
      <c r="C81" s="2595"/>
      <c r="D81" s="2596"/>
      <c r="E81" s="2395"/>
      <c r="F81" s="2396"/>
      <c r="G81" s="2590"/>
      <c r="H81" s="2591"/>
      <c r="I81" s="1081">
        <f t="shared" si="10"/>
        <v>0</v>
      </c>
      <c r="J81" s="1082">
        <f t="shared" si="11"/>
        <v>0</v>
      </c>
      <c r="K81" s="2588"/>
      <c r="L81" s="2589"/>
      <c r="M81" s="1086">
        <f t="shared" si="12"/>
        <v>0</v>
      </c>
      <c r="N81" s="503"/>
      <c r="O81" s="365">
        <f t="shared" si="13"/>
        <v>0</v>
      </c>
      <c r="P81" s="366"/>
      <c r="Q81" s="135"/>
      <c r="R81" s="136"/>
      <c r="S81" s="129"/>
      <c r="T81" s="129"/>
      <c r="U81" s="129"/>
      <c r="V81" s="129"/>
      <c r="W81" s="129"/>
      <c r="X81" s="129"/>
      <c r="Y81" s="129"/>
      <c r="Z81" s="133"/>
      <c r="AA81" s="133"/>
      <c r="AB81" s="133"/>
      <c r="AC81" s="133"/>
      <c r="AD81" s="133"/>
      <c r="AE81" s="133"/>
      <c r="AF81" s="222"/>
      <c r="AG81" s="222"/>
      <c r="AH81" s="222"/>
      <c r="AI81" s="176"/>
      <c r="AJ81" s="176"/>
      <c r="AK81" s="176"/>
      <c r="AL81" s="176"/>
      <c r="AM81" s="176"/>
      <c r="AN81" s="176"/>
      <c r="AO81" s="176"/>
      <c r="AP81" s="176"/>
      <c r="AQ81" s="176"/>
      <c r="AR81" s="176"/>
      <c r="AS81" s="176"/>
      <c r="AT81" s="176"/>
      <c r="AU81" s="176"/>
      <c r="AV81" s="176"/>
      <c r="AW81" s="176"/>
      <c r="AX81" s="176"/>
      <c r="AY81" s="176"/>
      <c r="AZ81" s="176"/>
      <c r="BA81" s="176"/>
      <c r="BB81" s="176"/>
      <c r="BC81" s="176"/>
      <c r="BD81" s="176"/>
      <c r="BE81" s="176"/>
      <c r="BF81" s="176"/>
      <c r="BG81" s="176"/>
      <c r="BH81" s="176"/>
      <c r="BI81" s="176"/>
      <c r="BJ81" s="176"/>
      <c r="BK81" s="176"/>
      <c r="BL81" s="176"/>
      <c r="BM81" s="176"/>
      <c r="BN81" s="176"/>
      <c r="BO81" s="176"/>
    </row>
    <row r="82" spans="1:67" s="36" customFormat="1" ht="10.5" customHeight="1" x14ac:dyDescent="0.2">
      <c r="A82" s="1055"/>
      <c r="B82" s="2594"/>
      <c r="C82" s="2595"/>
      <c r="D82" s="2596"/>
      <c r="E82" s="2395"/>
      <c r="F82" s="2396"/>
      <c r="G82" s="2590"/>
      <c r="H82" s="2591"/>
      <c r="I82" s="1081">
        <f t="shared" si="10"/>
        <v>0</v>
      </c>
      <c r="J82" s="1082">
        <f t="shared" si="11"/>
        <v>0</v>
      </c>
      <c r="K82" s="2588"/>
      <c r="L82" s="2589"/>
      <c r="M82" s="1086">
        <f t="shared" si="12"/>
        <v>0</v>
      </c>
      <c r="N82" s="503"/>
      <c r="O82" s="365">
        <f t="shared" si="13"/>
        <v>0</v>
      </c>
      <c r="P82" s="366"/>
      <c r="Q82" s="135"/>
      <c r="R82" s="136"/>
      <c r="S82" s="129"/>
      <c r="T82" s="129"/>
      <c r="U82" s="129"/>
      <c r="V82" s="129"/>
      <c r="W82" s="129"/>
      <c r="X82" s="129"/>
      <c r="Y82" s="129"/>
      <c r="Z82" s="133"/>
      <c r="AA82" s="133"/>
      <c r="AB82" s="133"/>
      <c r="AC82" s="133"/>
      <c r="AD82" s="133"/>
      <c r="AE82" s="133"/>
      <c r="AF82" s="222"/>
      <c r="AG82" s="222"/>
      <c r="AH82" s="222"/>
      <c r="AI82" s="176"/>
      <c r="AJ82" s="176"/>
      <c r="AK82" s="176"/>
      <c r="AL82" s="176"/>
      <c r="AM82" s="176"/>
      <c r="AN82" s="176"/>
      <c r="AO82" s="176"/>
      <c r="AP82" s="176"/>
      <c r="AQ82" s="176"/>
      <c r="AR82" s="176"/>
      <c r="AS82" s="176"/>
      <c r="AT82" s="176"/>
      <c r="AU82" s="176"/>
      <c r="AV82" s="176"/>
      <c r="AW82" s="176"/>
      <c r="AX82" s="176"/>
      <c r="AY82" s="176"/>
      <c r="AZ82" s="176"/>
      <c r="BA82" s="176"/>
      <c r="BB82" s="176"/>
      <c r="BC82" s="176"/>
      <c r="BD82" s="176"/>
      <c r="BE82" s="176"/>
      <c r="BF82" s="176"/>
      <c r="BG82" s="176"/>
      <c r="BH82" s="176"/>
      <c r="BI82" s="176"/>
      <c r="BJ82" s="176"/>
      <c r="BK82" s="176"/>
      <c r="BL82" s="176"/>
      <c r="BM82" s="176"/>
      <c r="BN82" s="176"/>
      <c r="BO82" s="176"/>
    </row>
    <row r="83" spans="1:67" s="36" customFormat="1" ht="10.5" customHeight="1" x14ac:dyDescent="0.2">
      <c r="A83" s="1055"/>
      <c r="B83" s="2594"/>
      <c r="C83" s="2595"/>
      <c r="D83" s="2596"/>
      <c r="E83" s="2395"/>
      <c r="F83" s="2396"/>
      <c r="G83" s="2590"/>
      <c r="H83" s="2591"/>
      <c r="I83" s="1081">
        <f t="shared" si="10"/>
        <v>0</v>
      </c>
      <c r="J83" s="1082">
        <f t="shared" si="11"/>
        <v>0</v>
      </c>
      <c r="K83" s="2588"/>
      <c r="L83" s="2589"/>
      <c r="M83" s="1086">
        <f t="shared" si="12"/>
        <v>0</v>
      </c>
      <c r="N83" s="503"/>
      <c r="O83" s="365">
        <f t="shared" si="13"/>
        <v>0</v>
      </c>
      <c r="P83" s="366"/>
      <c r="Q83" s="135"/>
      <c r="R83" s="136"/>
      <c r="S83" s="129"/>
      <c r="T83" s="129"/>
      <c r="U83" s="129"/>
      <c r="V83" s="129"/>
      <c r="W83" s="129"/>
      <c r="X83" s="129"/>
      <c r="Y83" s="129"/>
      <c r="Z83" s="133"/>
      <c r="AA83" s="133"/>
      <c r="AB83" s="133"/>
      <c r="AC83" s="133"/>
      <c r="AD83" s="133"/>
      <c r="AE83" s="133"/>
      <c r="AF83" s="222"/>
      <c r="AG83" s="222"/>
      <c r="AH83" s="222"/>
      <c r="AI83" s="176"/>
      <c r="AJ83" s="176"/>
      <c r="AK83" s="176"/>
      <c r="AL83" s="176"/>
      <c r="AM83" s="176"/>
      <c r="AN83" s="176"/>
      <c r="AO83" s="176"/>
      <c r="AP83" s="176"/>
      <c r="AQ83" s="176"/>
      <c r="AR83" s="176"/>
      <c r="AS83" s="176"/>
      <c r="AT83" s="176"/>
      <c r="AU83" s="176"/>
      <c r="AV83" s="176"/>
      <c r="AW83" s="176"/>
      <c r="AX83" s="176"/>
      <c r="AY83" s="176"/>
      <c r="AZ83" s="176"/>
      <c r="BA83" s="176"/>
      <c r="BB83" s="176"/>
      <c r="BC83" s="176"/>
      <c r="BD83" s="176"/>
      <c r="BE83" s="176"/>
      <c r="BF83" s="176"/>
      <c r="BG83" s="176"/>
      <c r="BH83" s="176"/>
      <c r="BI83" s="176"/>
      <c r="BJ83" s="176"/>
      <c r="BK83" s="176"/>
      <c r="BL83" s="176"/>
      <c r="BM83" s="176"/>
      <c r="BN83" s="176"/>
      <c r="BO83" s="176"/>
    </row>
    <row r="84" spans="1:67" s="36" customFormat="1" ht="10.5" customHeight="1" x14ac:dyDescent="0.2">
      <c r="A84" s="1044"/>
      <c r="B84" s="2608"/>
      <c r="C84" s="2609"/>
      <c r="D84" s="2610"/>
      <c r="E84" s="2601"/>
      <c r="F84" s="2602"/>
      <c r="G84" s="1088"/>
      <c r="H84" s="1089"/>
      <c r="I84" s="1083">
        <f t="shared" si="10"/>
        <v>0</v>
      </c>
      <c r="J84" s="1084"/>
      <c r="K84" s="1087"/>
      <c r="L84" s="1307"/>
      <c r="M84" s="1317">
        <f t="shared" si="12"/>
        <v>0</v>
      </c>
      <c r="N84" s="503"/>
      <c r="O84" s="365">
        <f t="shared" si="13"/>
        <v>0</v>
      </c>
      <c r="P84" s="366"/>
      <c r="Q84" s="135"/>
      <c r="R84" s="136"/>
      <c r="S84" s="129"/>
      <c r="T84" s="129"/>
      <c r="U84" s="129"/>
      <c r="V84" s="129"/>
      <c r="W84" s="129"/>
      <c r="X84" s="129"/>
      <c r="Y84" s="129"/>
      <c r="Z84" s="133"/>
      <c r="AA84" s="133"/>
      <c r="AB84" s="133"/>
      <c r="AC84" s="133"/>
      <c r="AD84" s="133"/>
      <c r="AE84" s="133"/>
      <c r="AF84" s="222"/>
      <c r="AG84" s="222"/>
      <c r="AH84" s="222"/>
      <c r="AI84" s="176"/>
      <c r="AJ84" s="176"/>
      <c r="AK84" s="176"/>
      <c r="AL84" s="176"/>
      <c r="AM84" s="176"/>
      <c r="AN84" s="176"/>
      <c r="AO84" s="176"/>
      <c r="AP84" s="176"/>
      <c r="AQ84" s="176"/>
      <c r="AR84" s="176"/>
      <c r="AS84" s="176"/>
      <c r="AT84" s="176"/>
      <c r="AU84" s="176"/>
      <c r="AV84" s="176"/>
      <c r="AW84" s="176"/>
      <c r="AX84" s="176"/>
      <c r="AY84" s="176"/>
      <c r="AZ84" s="176"/>
      <c r="BA84" s="176"/>
      <c r="BB84" s="176"/>
      <c r="BC84" s="176"/>
      <c r="BD84" s="176"/>
      <c r="BE84" s="176"/>
      <c r="BF84" s="176"/>
      <c r="BG84" s="176"/>
      <c r="BH84" s="176"/>
      <c r="BI84" s="176"/>
      <c r="BJ84" s="176"/>
      <c r="BK84" s="176"/>
      <c r="BL84" s="176"/>
      <c r="BM84" s="176"/>
      <c r="BN84" s="176"/>
      <c r="BO84" s="176"/>
    </row>
    <row r="85" spans="1:67" s="36" customFormat="1" ht="10.5" customHeight="1" x14ac:dyDescent="0.2">
      <c r="A85" s="1120" t="s">
        <v>282</v>
      </c>
      <c r="B85" s="2603"/>
      <c r="C85" s="2604"/>
      <c r="D85" s="2605"/>
      <c r="E85" s="2606">
        <f>SUM(E86:E100)</f>
        <v>0</v>
      </c>
      <c r="F85" s="2607"/>
      <c r="G85" s="2620"/>
      <c r="H85" s="2621"/>
      <c r="I85" s="1121">
        <f>IF(E85=0,0,J85/E85)</f>
        <v>0</v>
      </c>
      <c r="J85" s="1122">
        <f>SUM(J86:J100)</f>
        <v>0</v>
      </c>
      <c r="K85" s="2622">
        <f>IF(E85=0,0,M85/E85*100)</f>
        <v>0</v>
      </c>
      <c r="L85" s="2623"/>
      <c r="M85" s="1318">
        <f>SUM(M86:M100)</f>
        <v>0</v>
      </c>
      <c r="N85" s="503"/>
      <c r="O85" s="178">
        <f>IF(H85="",G85,H85)</f>
        <v>0</v>
      </c>
      <c r="P85" s="366"/>
      <c r="Q85" s="135"/>
      <c r="R85" s="136"/>
      <c r="S85" s="129"/>
      <c r="T85" s="129"/>
      <c r="U85" s="129"/>
      <c r="V85" s="129"/>
      <c r="W85" s="129"/>
      <c r="X85" s="129"/>
      <c r="Y85" s="129"/>
      <c r="Z85" s="133"/>
      <c r="AA85" s="133"/>
      <c r="AB85" s="133"/>
      <c r="AC85" s="133"/>
      <c r="AD85" s="133"/>
      <c r="AE85" s="133"/>
      <c r="AF85" s="222"/>
      <c r="AG85" s="222"/>
      <c r="AH85" s="222"/>
      <c r="AI85" s="176"/>
      <c r="AJ85" s="176"/>
      <c r="AK85" s="176"/>
      <c r="AL85" s="176"/>
      <c r="AM85" s="176"/>
      <c r="AN85" s="176"/>
      <c r="AO85" s="176"/>
      <c r="AP85" s="176"/>
      <c r="AQ85" s="176"/>
      <c r="AR85" s="176"/>
      <c r="AS85" s="176"/>
      <c r="AT85" s="176"/>
      <c r="AU85" s="176"/>
      <c r="AV85" s="176"/>
      <c r="AW85" s="176"/>
      <c r="AX85" s="176"/>
      <c r="AY85" s="176"/>
      <c r="AZ85" s="176"/>
      <c r="BA85" s="176"/>
      <c r="BB85" s="176"/>
      <c r="BC85" s="176"/>
      <c r="BD85" s="176"/>
      <c r="BE85" s="176"/>
      <c r="BF85" s="176"/>
      <c r="BG85" s="176"/>
      <c r="BH85" s="176"/>
      <c r="BI85" s="176"/>
      <c r="BJ85" s="176"/>
      <c r="BK85" s="176"/>
      <c r="BL85" s="176"/>
      <c r="BM85" s="176"/>
      <c r="BN85" s="176"/>
      <c r="BO85" s="176"/>
    </row>
    <row r="86" spans="1:67" s="36" customFormat="1" ht="10.5" customHeight="1" x14ac:dyDescent="0.2">
      <c r="A86" s="1042" t="s">
        <v>47</v>
      </c>
      <c r="B86" s="2624"/>
      <c r="C86" s="2625"/>
      <c r="D86" s="2626"/>
      <c r="E86" s="2386"/>
      <c r="F86" s="2387"/>
      <c r="G86" s="1056">
        <v>20</v>
      </c>
      <c r="H86" s="1057"/>
      <c r="I86" s="1079">
        <f t="shared" ref="I86:I101" si="14">IF($O86&gt;0,-PMT(($I$9),$O86,1),0)</f>
        <v>6.2642070767998229E-2</v>
      </c>
      <c r="J86" s="1080">
        <f t="shared" ref="J86:J100" si="15">ROUND(E86*I86,0)</f>
        <v>0</v>
      </c>
      <c r="K86" s="1060">
        <v>2.5</v>
      </c>
      <c r="L86" s="1304"/>
      <c r="M86" s="1085">
        <f t="shared" ref="M86:M101" si="16">ROUND(E86/100*IF(ISBLANK(L86),K86,L86),0)</f>
        <v>0</v>
      </c>
      <c r="N86" s="503"/>
      <c r="O86" s="365">
        <f t="shared" ref="O86:O101" si="17">IF(ISBLANK(H86),G86,H86)</f>
        <v>20</v>
      </c>
      <c r="P86" s="366"/>
      <c r="Q86" s="135"/>
      <c r="R86" s="136"/>
      <c r="S86" s="129"/>
      <c r="T86" s="129"/>
      <c r="U86" s="129"/>
      <c r="V86" s="129"/>
      <c r="W86" s="129"/>
      <c r="X86" s="129"/>
      <c r="Y86" s="129"/>
      <c r="Z86" s="133"/>
      <c r="AA86" s="133"/>
      <c r="AB86" s="133"/>
      <c r="AC86" s="133"/>
      <c r="AD86" s="133"/>
      <c r="AE86" s="133"/>
      <c r="AF86" s="222"/>
      <c r="AG86" s="222"/>
      <c r="AH86" s="222"/>
      <c r="AI86" s="176"/>
      <c r="AJ86" s="176"/>
      <c r="AK86" s="176"/>
      <c r="AL86" s="176"/>
      <c r="AM86" s="176"/>
      <c r="AN86" s="176"/>
      <c r="AO86" s="176"/>
      <c r="AP86" s="176"/>
      <c r="AQ86" s="176"/>
      <c r="AR86" s="176"/>
      <c r="AS86" s="176"/>
      <c r="AT86" s="176"/>
      <c r="AU86" s="176"/>
      <c r="AV86" s="176"/>
      <c r="AW86" s="176"/>
      <c r="AX86" s="176"/>
      <c r="AY86" s="176"/>
      <c r="AZ86" s="176"/>
      <c r="BA86" s="176"/>
      <c r="BB86" s="176"/>
      <c r="BC86" s="176"/>
      <c r="BD86" s="176"/>
      <c r="BE86" s="176"/>
      <c r="BF86" s="176"/>
      <c r="BG86" s="176"/>
      <c r="BH86" s="176"/>
      <c r="BI86" s="176"/>
      <c r="BJ86" s="176"/>
      <c r="BK86" s="176"/>
      <c r="BL86" s="176"/>
      <c r="BM86" s="176"/>
      <c r="BN86" s="176"/>
      <c r="BO86" s="176"/>
    </row>
    <row r="87" spans="1:67" s="36" customFormat="1" ht="10.5" customHeight="1" x14ac:dyDescent="0.2">
      <c r="A87" s="1043" t="s">
        <v>48</v>
      </c>
      <c r="B87" s="2594"/>
      <c r="C87" s="2595"/>
      <c r="D87" s="2596"/>
      <c r="E87" s="2395"/>
      <c r="F87" s="2396"/>
      <c r="G87" s="1058">
        <v>20</v>
      </c>
      <c r="H87" s="1059"/>
      <c r="I87" s="1081">
        <f t="shared" si="14"/>
        <v>6.2642070767998229E-2</v>
      </c>
      <c r="J87" s="1082">
        <f t="shared" si="15"/>
        <v>0</v>
      </c>
      <c r="K87" s="1061">
        <v>2.5</v>
      </c>
      <c r="L87" s="1305"/>
      <c r="M87" s="1086">
        <f t="shared" si="16"/>
        <v>0</v>
      </c>
      <c r="N87" s="503"/>
      <c r="O87" s="365">
        <f t="shared" si="17"/>
        <v>20</v>
      </c>
      <c r="P87" s="366"/>
      <c r="Q87" s="135"/>
      <c r="R87" s="136"/>
      <c r="S87" s="129"/>
      <c r="T87" s="129"/>
      <c r="U87" s="129"/>
      <c r="V87" s="129"/>
      <c r="W87" s="129"/>
      <c r="X87" s="129"/>
      <c r="Y87" s="129"/>
      <c r="Z87" s="133"/>
      <c r="AA87" s="133"/>
      <c r="AB87" s="133"/>
      <c r="AC87" s="133"/>
      <c r="AD87" s="133"/>
      <c r="AE87" s="133"/>
      <c r="AF87" s="222"/>
      <c r="AG87" s="222"/>
      <c r="AH87" s="222"/>
      <c r="AI87" s="176"/>
      <c r="AJ87" s="176"/>
      <c r="AK87" s="176"/>
      <c r="AL87" s="176"/>
      <c r="AM87" s="176"/>
      <c r="AN87" s="176"/>
      <c r="AO87" s="176"/>
      <c r="AP87" s="176"/>
      <c r="AQ87" s="176"/>
      <c r="AR87" s="176"/>
      <c r="AS87" s="176"/>
      <c r="AT87" s="176"/>
      <c r="AU87" s="176"/>
      <c r="AV87" s="176"/>
      <c r="AW87" s="176"/>
      <c r="AX87" s="176"/>
      <c r="AY87" s="176"/>
      <c r="AZ87" s="176"/>
      <c r="BA87" s="176"/>
      <c r="BB87" s="176"/>
      <c r="BC87" s="176"/>
      <c r="BD87" s="176"/>
      <c r="BE87" s="176"/>
      <c r="BF87" s="176"/>
      <c r="BG87" s="176"/>
      <c r="BH87" s="176"/>
      <c r="BI87" s="176"/>
      <c r="BJ87" s="176"/>
      <c r="BK87" s="176"/>
      <c r="BL87" s="176"/>
      <c r="BM87" s="176"/>
      <c r="BN87" s="176"/>
      <c r="BO87" s="176"/>
    </row>
    <row r="88" spans="1:67" s="36" customFormat="1" ht="10.5" customHeight="1" x14ac:dyDescent="0.2">
      <c r="A88" s="1043" t="s">
        <v>676</v>
      </c>
      <c r="B88" s="2594"/>
      <c r="C88" s="2595"/>
      <c r="D88" s="2596"/>
      <c r="E88" s="2395"/>
      <c r="F88" s="2396"/>
      <c r="G88" s="1058">
        <v>20</v>
      </c>
      <c r="H88" s="1059"/>
      <c r="I88" s="1081">
        <f t="shared" si="14"/>
        <v>6.2642070767998229E-2</v>
      </c>
      <c r="J88" s="1082">
        <f t="shared" si="15"/>
        <v>0</v>
      </c>
      <c r="K88" s="1061">
        <v>5</v>
      </c>
      <c r="L88" s="1305"/>
      <c r="M88" s="1086">
        <f t="shared" si="16"/>
        <v>0</v>
      </c>
      <c r="N88" s="503"/>
      <c r="O88" s="365">
        <f t="shared" si="17"/>
        <v>20</v>
      </c>
      <c r="P88" s="366"/>
      <c r="Q88" s="135"/>
      <c r="R88" s="136"/>
      <c r="S88" s="129"/>
      <c r="T88" s="129"/>
      <c r="U88" s="129"/>
      <c r="V88" s="129"/>
      <c r="W88" s="129"/>
      <c r="X88" s="129"/>
      <c r="Y88" s="129"/>
      <c r="Z88" s="133"/>
      <c r="AA88" s="133"/>
      <c r="AB88" s="133"/>
      <c r="AC88" s="133"/>
      <c r="AD88" s="133"/>
      <c r="AE88" s="133"/>
      <c r="AF88" s="222"/>
      <c r="AG88" s="222"/>
      <c r="AH88" s="222"/>
      <c r="AI88" s="176"/>
      <c r="AJ88" s="176"/>
      <c r="AK88" s="176"/>
      <c r="AL88" s="176"/>
      <c r="AM88" s="176"/>
      <c r="AN88" s="176"/>
      <c r="AO88" s="176"/>
      <c r="AP88" s="176"/>
      <c r="AQ88" s="176"/>
      <c r="AR88" s="176"/>
      <c r="AS88" s="176"/>
      <c r="AT88" s="176"/>
      <c r="AU88" s="176"/>
      <c r="AV88" s="176"/>
      <c r="AW88" s="176"/>
      <c r="AX88" s="176"/>
      <c r="AY88" s="176"/>
      <c r="AZ88" s="176"/>
      <c r="BA88" s="176"/>
      <c r="BB88" s="176"/>
      <c r="BC88" s="176"/>
      <c r="BD88" s="176"/>
      <c r="BE88" s="176"/>
      <c r="BF88" s="176"/>
      <c r="BG88" s="176"/>
      <c r="BH88" s="176"/>
      <c r="BI88" s="176"/>
      <c r="BJ88" s="176"/>
      <c r="BK88" s="176"/>
      <c r="BL88" s="176"/>
      <c r="BM88" s="176"/>
      <c r="BN88" s="176"/>
      <c r="BO88" s="176"/>
    </row>
    <row r="89" spans="1:67" s="36" customFormat="1" ht="10.5" customHeight="1" x14ac:dyDescent="0.2">
      <c r="A89" s="1043" t="s">
        <v>64</v>
      </c>
      <c r="B89" s="2594"/>
      <c r="C89" s="2595"/>
      <c r="D89" s="2596"/>
      <c r="E89" s="2395"/>
      <c r="F89" s="2396"/>
      <c r="G89" s="1058">
        <v>20</v>
      </c>
      <c r="H89" s="1059"/>
      <c r="I89" s="1081">
        <f t="shared" si="14"/>
        <v>6.2642070767998229E-2</v>
      </c>
      <c r="J89" s="1082">
        <f t="shared" si="15"/>
        <v>0</v>
      </c>
      <c r="K89" s="1061">
        <v>3.5</v>
      </c>
      <c r="L89" s="1305"/>
      <c r="M89" s="1086">
        <f t="shared" si="16"/>
        <v>0</v>
      </c>
      <c r="N89" s="503"/>
      <c r="O89" s="365">
        <f t="shared" si="17"/>
        <v>20</v>
      </c>
      <c r="P89" s="366"/>
      <c r="Q89" s="135"/>
      <c r="R89" s="136"/>
      <c r="S89" s="129"/>
      <c r="T89" s="129"/>
      <c r="U89" s="129"/>
      <c r="V89" s="129"/>
      <c r="W89" s="129"/>
      <c r="X89" s="129"/>
      <c r="Y89" s="129"/>
      <c r="Z89" s="133"/>
      <c r="AA89" s="133"/>
      <c r="AB89" s="133"/>
      <c r="AC89" s="133"/>
      <c r="AD89" s="133"/>
      <c r="AE89" s="133"/>
      <c r="AF89" s="222"/>
      <c r="AG89" s="222"/>
      <c r="AH89" s="222"/>
      <c r="AI89" s="176"/>
      <c r="AJ89" s="176"/>
      <c r="AK89" s="176"/>
      <c r="AL89" s="176"/>
      <c r="AM89" s="176"/>
      <c r="AN89" s="176"/>
      <c r="AO89" s="176"/>
      <c r="AP89" s="176"/>
      <c r="AQ89" s="176"/>
      <c r="AR89" s="176"/>
      <c r="AS89" s="176"/>
      <c r="AT89" s="176"/>
      <c r="AU89" s="176"/>
      <c r="AV89" s="176"/>
      <c r="AW89" s="176"/>
      <c r="AX89" s="176"/>
      <c r="AY89" s="176"/>
      <c r="AZ89" s="176"/>
      <c r="BA89" s="176"/>
      <c r="BB89" s="176"/>
      <c r="BC89" s="176"/>
      <c r="BD89" s="176"/>
      <c r="BE89" s="176"/>
      <c r="BF89" s="176"/>
      <c r="BG89" s="176"/>
      <c r="BH89" s="176"/>
      <c r="BI89" s="176"/>
      <c r="BJ89" s="176"/>
      <c r="BK89" s="176"/>
      <c r="BL89" s="176"/>
      <c r="BM89" s="176"/>
      <c r="BN89" s="176"/>
      <c r="BO89" s="176"/>
    </row>
    <row r="90" spans="1:67" s="36" customFormat="1" ht="10.5" customHeight="1" x14ac:dyDescent="0.2">
      <c r="A90" s="1043" t="s">
        <v>71</v>
      </c>
      <c r="B90" s="2594"/>
      <c r="C90" s="2595"/>
      <c r="D90" s="2596"/>
      <c r="E90" s="2395"/>
      <c r="F90" s="2396"/>
      <c r="G90" s="1058">
        <v>20</v>
      </c>
      <c r="H90" s="1059"/>
      <c r="I90" s="1081">
        <f t="shared" si="14"/>
        <v>6.2642070767998229E-2</v>
      </c>
      <c r="J90" s="1082">
        <f t="shared" ref="J90" si="18">ROUND(E90*I90,0)</f>
        <v>0</v>
      </c>
      <c r="K90" s="1061">
        <v>3.5</v>
      </c>
      <c r="L90" s="1305"/>
      <c r="M90" s="1086">
        <f t="shared" ref="M90" si="19">ROUND(E90/100*IF(ISBLANK(L90),K90,L90),0)</f>
        <v>0</v>
      </c>
      <c r="N90" s="697"/>
      <c r="O90" s="365">
        <f t="shared" ref="O90" si="20">IF(ISBLANK(H90),G90,H90)</f>
        <v>20</v>
      </c>
      <c r="P90" s="366"/>
      <c r="Q90" s="135"/>
      <c r="R90" s="136"/>
      <c r="S90" s="129"/>
      <c r="T90" s="129"/>
      <c r="U90" s="129"/>
      <c r="V90" s="129"/>
      <c r="W90" s="129"/>
      <c r="X90" s="129"/>
      <c r="Y90" s="129"/>
      <c r="Z90" s="133"/>
      <c r="AA90" s="133"/>
      <c r="AB90" s="133"/>
      <c r="AC90" s="133"/>
      <c r="AD90" s="133"/>
      <c r="AE90" s="133"/>
      <c r="AF90" s="222"/>
      <c r="AG90" s="222"/>
      <c r="AH90" s="222"/>
      <c r="AI90" s="176"/>
      <c r="AJ90" s="176"/>
      <c r="AK90" s="176"/>
      <c r="AL90" s="176"/>
      <c r="AM90" s="176"/>
      <c r="AN90" s="176"/>
      <c r="AO90" s="176"/>
      <c r="AP90" s="176"/>
      <c r="AQ90" s="176"/>
      <c r="AR90" s="176"/>
      <c r="AS90" s="176"/>
      <c r="AT90" s="176"/>
      <c r="AU90" s="176"/>
      <c r="AV90" s="176"/>
      <c r="AW90" s="176"/>
      <c r="AX90" s="176"/>
      <c r="AY90" s="176"/>
      <c r="AZ90" s="176"/>
      <c r="BA90" s="176"/>
      <c r="BB90" s="176"/>
      <c r="BC90" s="176"/>
      <c r="BD90" s="176"/>
      <c r="BE90" s="176"/>
      <c r="BF90" s="176"/>
      <c r="BG90" s="176"/>
      <c r="BH90" s="176"/>
      <c r="BI90" s="176"/>
      <c r="BJ90" s="176"/>
      <c r="BK90" s="176"/>
      <c r="BL90" s="176"/>
      <c r="BM90" s="176"/>
      <c r="BN90" s="176"/>
      <c r="BO90" s="176"/>
    </row>
    <row r="91" spans="1:67" s="36" customFormat="1" ht="10.5" customHeight="1" x14ac:dyDescent="0.2">
      <c r="A91" s="1043" t="s">
        <v>677</v>
      </c>
      <c r="B91" s="2594"/>
      <c r="C91" s="2595"/>
      <c r="D91" s="2596"/>
      <c r="E91" s="2395"/>
      <c r="F91" s="2396"/>
      <c r="G91" s="1058">
        <v>20</v>
      </c>
      <c r="H91" s="1059"/>
      <c r="I91" s="1081">
        <f t="shared" si="14"/>
        <v>6.2642070767998229E-2</v>
      </c>
      <c r="J91" s="1082">
        <f t="shared" si="15"/>
        <v>0</v>
      </c>
      <c r="K91" s="1061">
        <v>3.5</v>
      </c>
      <c r="L91" s="1305"/>
      <c r="M91" s="1086">
        <f t="shared" si="16"/>
        <v>0</v>
      </c>
      <c r="N91" s="503"/>
      <c r="O91" s="365">
        <f t="shared" si="17"/>
        <v>20</v>
      </c>
      <c r="P91" s="366"/>
      <c r="Q91" s="135"/>
      <c r="R91" s="136"/>
      <c r="S91" s="129"/>
      <c r="T91" s="129"/>
      <c r="U91" s="129"/>
      <c r="V91" s="129"/>
      <c r="W91" s="129"/>
      <c r="X91" s="129"/>
      <c r="Y91" s="129"/>
      <c r="Z91" s="133"/>
      <c r="AA91" s="133"/>
      <c r="AB91" s="133"/>
      <c r="AC91" s="133"/>
      <c r="AD91" s="133"/>
      <c r="AE91" s="133"/>
      <c r="AF91" s="222"/>
      <c r="AG91" s="222"/>
      <c r="AH91" s="222"/>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row>
    <row r="92" spans="1:67" s="36" customFormat="1" ht="10.5" customHeight="1" x14ac:dyDescent="0.2">
      <c r="A92" s="1043" t="s">
        <v>79</v>
      </c>
      <c r="B92" s="2594"/>
      <c r="C92" s="2595"/>
      <c r="D92" s="2596"/>
      <c r="E92" s="2395"/>
      <c r="F92" s="2396"/>
      <c r="G92" s="1058">
        <v>20</v>
      </c>
      <c r="H92" s="1059"/>
      <c r="I92" s="1081">
        <f t="shared" si="14"/>
        <v>6.2642070767998229E-2</v>
      </c>
      <c r="J92" s="1082">
        <f t="shared" ref="J92" si="21">ROUND(E92*I92,0)</f>
        <v>0</v>
      </c>
      <c r="K92" s="1061">
        <v>3.5</v>
      </c>
      <c r="L92" s="1305"/>
      <c r="M92" s="1086">
        <f t="shared" ref="M92" si="22">ROUND(E92/100*IF(ISBLANK(L92),K92,L92),0)</f>
        <v>0</v>
      </c>
      <c r="N92" s="697"/>
      <c r="O92" s="365">
        <f t="shared" ref="O92" si="23">IF(ISBLANK(H92),G92,H92)</f>
        <v>20</v>
      </c>
      <c r="P92" s="366"/>
      <c r="Q92" s="135"/>
      <c r="R92" s="136"/>
      <c r="S92" s="129"/>
      <c r="T92" s="129"/>
      <c r="U92" s="129"/>
      <c r="V92" s="129"/>
      <c r="W92" s="129"/>
      <c r="X92" s="129"/>
      <c r="Y92" s="129"/>
      <c r="Z92" s="133"/>
      <c r="AA92" s="133"/>
      <c r="AB92" s="133"/>
      <c r="AC92" s="133"/>
      <c r="AD92" s="133"/>
      <c r="AE92" s="133"/>
      <c r="AF92" s="222"/>
      <c r="AG92" s="222"/>
      <c r="AH92" s="222"/>
      <c r="AI92" s="176"/>
      <c r="AJ92" s="176"/>
      <c r="AK92" s="176"/>
      <c r="AL92" s="176"/>
      <c r="AM92" s="176"/>
      <c r="AN92" s="176"/>
      <c r="AO92" s="176"/>
      <c r="AP92" s="176"/>
      <c r="AQ92" s="176"/>
      <c r="AR92" s="176"/>
      <c r="AS92" s="176"/>
      <c r="AT92" s="176"/>
      <c r="AU92" s="176"/>
      <c r="AV92" s="176"/>
      <c r="AW92" s="176"/>
      <c r="AX92" s="176"/>
      <c r="AY92" s="176"/>
      <c r="AZ92" s="176"/>
      <c r="BA92" s="176"/>
      <c r="BB92" s="176"/>
      <c r="BC92" s="176"/>
      <c r="BD92" s="176"/>
      <c r="BE92" s="176"/>
      <c r="BF92" s="176"/>
      <c r="BG92" s="176"/>
      <c r="BH92" s="176"/>
      <c r="BI92" s="176"/>
      <c r="BJ92" s="176"/>
      <c r="BK92" s="176"/>
      <c r="BL92" s="176"/>
      <c r="BM92" s="176"/>
      <c r="BN92" s="176"/>
      <c r="BO92" s="176"/>
    </row>
    <row r="93" spans="1:67" s="36" customFormat="1" ht="10.5" customHeight="1" x14ac:dyDescent="0.2">
      <c r="A93" s="1043" t="s">
        <v>149</v>
      </c>
      <c r="B93" s="2594"/>
      <c r="C93" s="2595"/>
      <c r="D93" s="2596"/>
      <c r="E93" s="2395"/>
      <c r="F93" s="2396"/>
      <c r="G93" s="1058">
        <v>20</v>
      </c>
      <c r="H93" s="1059"/>
      <c r="I93" s="1081">
        <f t="shared" si="14"/>
        <v>6.2642070767998229E-2</v>
      </c>
      <c r="J93" s="1082">
        <f t="shared" ref="J93" si="24">ROUND(E93*I93,0)</f>
        <v>0</v>
      </c>
      <c r="K93" s="1061">
        <v>3.5</v>
      </c>
      <c r="L93" s="1305"/>
      <c r="M93" s="1086">
        <f t="shared" ref="M93" si="25">ROUND(E93/100*IF(ISBLANK(L93),K93,L93),0)</f>
        <v>0</v>
      </c>
      <c r="N93" s="697"/>
      <c r="O93" s="365">
        <f t="shared" ref="O93" si="26">IF(ISBLANK(H93),G93,H93)</f>
        <v>20</v>
      </c>
      <c r="P93" s="366"/>
      <c r="Q93" s="135"/>
      <c r="R93" s="136"/>
      <c r="S93" s="129"/>
      <c r="T93" s="129"/>
      <c r="U93" s="129"/>
      <c r="V93" s="129"/>
      <c r="W93" s="129"/>
      <c r="X93" s="129"/>
      <c r="Y93" s="129"/>
      <c r="Z93" s="133"/>
      <c r="AA93" s="133"/>
      <c r="AB93" s="133"/>
      <c r="AC93" s="133"/>
      <c r="AD93" s="133"/>
      <c r="AE93" s="133"/>
      <c r="AF93" s="222"/>
      <c r="AG93" s="222"/>
      <c r="AH93" s="222"/>
      <c r="AI93" s="176"/>
      <c r="AJ93" s="176"/>
      <c r="AK93" s="176"/>
      <c r="AL93" s="176"/>
      <c r="AM93" s="176"/>
      <c r="AN93" s="176"/>
      <c r="AO93" s="176"/>
      <c r="AP93" s="176"/>
      <c r="AQ93" s="176"/>
      <c r="AR93" s="176"/>
      <c r="AS93" s="176"/>
      <c r="AT93" s="176"/>
      <c r="AU93" s="176"/>
      <c r="AV93" s="176"/>
      <c r="AW93" s="176"/>
      <c r="AX93" s="176"/>
      <c r="AY93" s="176"/>
      <c r="AZ93" s="176"/>
      <c r="BA93" s="176"/>
      <c r="BB93" s="176"/>
      <c r="BC93" s="176"/>
      <c r="BD93" s="176"/>
      <c r="BE93" s="176"/>
      <c r="BF93" s="176"/>
      <c r="BG93" s="176"/>
      <c r="BH93" s="176"/>
      <c r="BI93" s="176"/>
      <c r="BJ93" s="176"/>
      <c r="BK93" s="176"/>
      <c r="BL93" s="176"/>
      <c r="BM93" s="176"/>
      <c r="BN93" s="176"/>
      <c r="BO93" s="176"/>
    </row>
    <row r="94" spans="1:67" s="36" customFormat="1" ht="10.5" customHeight="1" x14ac:dyDescent="0.2">
      <c r="A94" s="1043" t="s">
        <v>674</v>
      </c>
      <c r="B94" s="2594"/>
      <c r="C94" s="2595"/>
      <c r="D94" s="2596"/>
      <c r="E94" s="2395"/>
      <c r="F94" s="2396"/>
      <c r="G94" s="1058">
        <v>20</v>
      </c>
      <c r="H94" s="1059"/>
      <c r="I94" s="1081">
        <f t="shared" si="14"/>
        <v>6.2642070767998229E-2</v>
      </c>
      <c r="J94" s="1082">
        <f t="shared" si="15"/>
        <v>0</v>
      </c>
      <c r="K94" s="1061">
        <v>1.5</v>
      </c>
      <c r="L94" s="1305"/>
      <c r="M94" s="1086">
        <f t="shared" si="16"/>
        <v>0</v>
      </c>
      <c r="N94" s="503"/>
      <c r="O94" s="365">
        <f t="shared" si="17"/>
        <v>20</v>
      </c>
      <c r="P94" s="366"/>
      <c r="Q94" s="135"/>
      <c r="R94" s="136"/>
      <c r="S94" s="129"/>
      <c r="T94" s="129"/>
      <c r="U94" s="129"/>
      <c r="V94" s="129"/>
      <c r="W94" s="129"/>
      <c r="X94" s="129"/>
      <c r="Y94" s="129"/>
      <c r="Z94" s="133"/>
      <c r="AA94" s="133"/>
      <c r="AB94" s="133"/>
      <c r="AC94" s="133"/>
      <c r="AD94" s="133"/>
      <c r="AE94" s="133"/>
      <c r="AF94" s="222"/>
      <c r="AG94" s="222"/>
      <c r="AH94" s="222"/>
      <c r="AI94" s="176"/>
      <c r="AJ94" s="176"/>
      <c r="AK94" s="176"/>
      <c r="AL94" s="176"/>
      <c r="AM94" s="176"/>
      <c r="AN94" s="176"/>
      <c r="AO94" s="176"/>
      <c r="AP94" s="176"/>
      <c r="AQ94" s="176"/>
      <c r="AR94" s="176"/>
      <c r="AS94" s="176"/>
      <c r="AT94" s="176"/>
      <c r="AU94" s="176"/>
      <c r="AV94" s="176"/>
      <c r="AW94" s="176"/>
      <c r="AX94" s="176"/>
      <c r="AY94" s="176"/>
      <c r="AZ94" s="176"/>
      <c r="BA94" s="176"/>
      <c r="BB94" s="176"/>
      <c r="BC94" s="176"/>
      <c r="BD94" s="176"/>
      <c r="BE94" s="176"/>
      <c r="BF94" s="176"/>
      <c r="BG94" s="176"/>
      <c r="BH94" s="176"/>
      <c r="BI94" s="176"/>
      <c r="BJ94" s="176"/>
      <c r="BK94" s="176"/>
      <c r="BL94" s="176"/>
      <c r="BM94" s="176"/>
      <c r="BN94" s="176"/>
      <c r="BO94" s="176"/>
    </row>
    <row r="95" spans="1:67" s="36" customFormat="1" ht="10.5" customHeight="1" x14ac:dyDescent="0.2">
      <c r="A95" s="1043" t="s">
        <v>675</v>
      </c>
      <c r="B95" s="2594"/>
      <c r="C95" s="2595"/>
      <c r="D95" s="2596"/>
      <c r="E95" s="2395"/>
      <c r="F95" s="2396"/>
      <c r="G95" s="1058">
        <v>20</v>
      </c>
      <c r="H95" s="1059"/>
      <c r="I95" s="1081">
        <f t="shared" si="14"/>
        <v>6.2642070767998229E-2</v>
      </c>
      <c r="J95" s="1082">
        <f t="shared" si="15"/>
        <v>0</v>
      </c>
      <c r="K95" s="1061">
        <v>1.5</v>
      </c>
      <c r="L95" s="1305"/>
      <c r="M95" s="1086">
        <f t="shared" si="16"/>
        <v>0</v>
      </c>
      <c r="N95" s="503"/>
      <c r="O95" s="365">
        <f t="shared" si="17"/>
        <v>20</v>
      </c>
      <c r="P95" s="366"/>
      <c r="Q95" s="135"/>
      <c r="R95" s="136"/>
      <c r="S95" s="129"/>
      <c r="T95" s="129"/>
      <c r="U95" s="129"/>
      <c r="V95" s="129"/>
      <c r="W95" s="129"/>
      <c r="X95" s="129"/>
      <c r="Y95" s="129"/>
      <c r="Z95" s="133"/>
      <c r="AA95" s="133"/>
      <c r="AB95" s="133"/>
      <c r="AC95" s="133"/>
      <c r="AD95" s="133"/>
      <c r="AE95" s="133"/>
      <c r="AF95" s="222"/>
      <c r="AG95" s="222"/>
      <c r="AH95" s="222"/>
      <c r="AI95" s="176"/>
      <c r="AJ95" s="176"/>
      <c r="AK95" s="176"/>
      <c r="AL95" s="176"/>
      <c r="AM95" s="176"/>
      <c r="AN95" s="176"/>
      <c r="AO95" s="176"/>
      <c r="AP95" s="176"/>
      <c r="AQ95" s="176"/>
      <c r="AR95" s="176"/>
      <c r="AS95" s="176"/>
      <c r="AT95" s="176"/>
      <c r="AU95" s="176"/>
      <c r="AV95" s="176"/>
      <c r="AW95" s="176"/>
      <c r="AX95" s="176"/>
      <c r="AY95" s="176"/>
      <c r="AZ95" s="176"/>
      <c r="BA95" s="176"/>
      <c r="BB95" s="176"/>
      <c r="BC95" s="176"/>
      <c r="BD95" s="176"/>
      <c r="BE95" s="176"/>
      <c r="BF95" s="176"/>
      <c r="BG95" s="176"/>
      <c r="BH95" s="176"/>
      <c r="BI95" s="176"/>
      <c r="BJ95" s="176"/>
      <c r="BK95" s="176"/>
      <c r="BL95" s="176"/>
      <c r="BM95" s="176"/>
      <c r="BN95" s="176"/>
      <c r="BO95" s="176"/>
    </row>
    <row r="96" spans="1:67" s="36" customFormat="1" ht="10.5" customHeight="1" x14ac:dyDescent="0.2">
      <c r="A96" s="1043" t="s">
        <v>283</v>
      </c>
      <c r="B96" s="2594"/>
      <c r="C96" s="2595"/>
      <c r="D96" s="2596"/>
      <c r="E96" s="2395"/>
      <c r="F96" s="2396"/>
      <c r="G96" s="1058">
        <v>30</v>
      </c>
      <c r="H96" s="1059"/>
      <c r="I96" s="1081">
        <f t="shared" si="14"/>
        <v>4.6199342169092869E-2</v>
      </c>
      <c r="J96" s="1082">
        <f t="shared" si="15"/>
        <v>0</v>
      </c>
      <c r="K96" s="1061">
        <v>0.5</v>
      </c>
      <c r="L96" s="1305"/>
      <c r="M96" s="1086">
        <f t="shared" si="16"/>
        <v>0</v>
      </c>
      <c r="N96" s="503"/>
      <c r="O96" s="365">
        <f t="shared" si="17"/>
        <v>30</v>
      </c>
      <c r="P96" s="366"/>
      <c r="Q96" s="135"/>
      <c r="R96" s="136"/>
      <c r="S96" s="129"/>
      <c r="T96" s="129"/>
      <c r="U96" s="129"/>
      <c r="V96" s="129"/>
      <c r="W96" s="129"/>
      <c r="X96" s="129"/>
      <c r="Y96" s="129"/>
      <c r="Z96" s="133"/>
      <c r="AA96" s="133"/>
      <c r="AB96" s="133"/>
      <c r="AC96" s="133"/>
      <c r="AD96" s="133"/>
      <c r="AE96" s="133"/>
      <c r="AF96" s="222"/>
      <c r="AG96" s="222"/>
      <c r="AH96" s="222"/>
      <c r="AI96" s="176"/>
      <c r="AJ96" s="176"/>
      <c r="AK96" s="176"/>
      <c r="AL96" s="176"/>
      <c r="AM96" s="176"/>
      <c r="AN96" s="176"/>
      <c r="AO96" s="176"/>
      <c r="AP96" s="176"/>
      <c r="AQ96" s="176"/>
      <c r="AR96" s="176"/>
      <c r="AS96" s="176"/>
      <c r="AT96" s="176"/>
      <c r="AU96" s="176"/>
      <c r="AV96" s="176"/>
      <c r="AW96" s="176"/>
      <c r="AX96" s="176"/>
      <c r="AY96" s="176"/>
      <c r="AZ96" s="176"/>
      <c r="BA96" s="176"/>
      <c r="BB96" s="176"/>
      <c r="BC96" s="176"/>
      <c r="BD96" s="176"/>
      <c r="BE96" s="176"/>
      <c r="BF96" s="176"/>
      <c r="BG96" s="176"/>
      <c r="BH96" s="176"/>
      <c r="BI96" s="176"/>
      <c r="BJ96" s="176"/>
      <c r="BK96" s="176"/>
      <c r="BL96" s="176"/>
      <c r="BM96" s="176"/>
      <c r="BN96" s="176"/>
      <c r="BO96" s="176"/>
    </row>
    <row r="97" spans="1:67" s="36" customFormat="1" ht="10.5" customHeight="1" x14ac:dyDescent="0.2">
      <c r="A97" s="1043" t="s">
        <v>284</v>
      </c>
      <c r="B97" s="2594"/>
      <c r="C97" s="2595"/>
      <c r="D97" s="2596"/>
      <c r="E97" s="2395"/>
      <c r="F97" s="2396"/>
      <c r="G97" s="1058">
        <v>30</v>
      </c>
      <c r="H97" s="1059"/>
      <c r="I97" s="1081">
        <f t="shared" si="14"/>
        <v>4.6199342169092869E-2</v>
      </c>
      <c r="J97" s="1082">
        <f t="shared" si="15"/>
        <v>0</v>
      </c>
      <c r="K97" s="1061">
        <v>0.5</v>
      </c>
      <c r="L97" s="1305"/>
      <c r="M97" s="1086">
        <f t="shared" si="16"/>
        <v>0</v>
      </c>
      <c r="N97" s="503"/>
      <c r="O97" s="365">
        <f t="shared" si="17"/>
        <v>30</v>
      </c>
      <c r="P97" s="366"/>
      <c r="Q97" s="135"/>
      <c r="R97" s="136"/>
      <c r="S97" s="129"/>
      <c r="T97" s="129"/>
      <c r="U97" s="129"/>
      <c r="V97" s="129"/>
      <c r="W97" s="129"/>
      <c r="X97" s="129"/>
      <c r="Y97" s="129"/>
      <c r="Z97" s="133"/>
      <c r="AA97" s="133"/>
      <c r="AB97" s="133"/>
      <c r="AC97" s="133"/>
      <c r="AD97" s="133"/>
      <c r="AE97" s="133"/>
      <c r="AF97" s="222"/>
      <c r="AG97" s="222"/>
      <c r="AH97" s="222"/>
      <c r="AI97" s="176"/>
      <c r="AJ97" s="176"/>
      <c r="AK97" s="176"/>
      <c r="AL97" s="176"/>
      <c r="AM97" s="176"/>
      <c r="AN97" s="176"/>
      <c r="AO97" s="176"/>
      <c r="AP97" s="176"/>
      <c r="AQ97" s="176"/>
      <c r="AR97" s="176"/>
      <c r="AS97" s="176"/>
      <c r="AT97" s="176"/>
      <c r="AU97" s="176"/>
      <c r="AV97" s="176"/>
      <c r="AW97" s="176"/>
      <c r="AX97" s="176"/>
      <c r="AY97" s="176"/>
      <c r="AZ97" s="176"/>
      <c r="BA97" s="176"/>
      <c r="BB97" s="176"/>
      <c r="BC97" s="176"/>
      <c r="BD97" s="176"/>
      <c r="BE97" s="176"/>
      <c r="BF97" s="176"/>
      <c r="BG97" s="176"/>
      <c r="BH97" s="176"/>
      <c r="BI97" s="176"/>
      <c r="BJ97" s="176"/>
      <c r="BK97" s="176"/>
      <c r="BL97" s="176"/>
      <c r="BM97" s="176"/>
      <c r="BN97" s="176"/>
      <c r="BO97" s="176"/>
    </row>
    <row r="98" spans="1:67" s="36" customFormat="1" ht="10.5" customHeight="1" x14ac:dyDescent="0.2">
      <c r="A98" s="1043" t="s">
        <v>274</v>
      </c>
      <c r="B98" s="2594"/>
      <c r="C98" s="2595"/>
      <c r="D98" s="2596"/>
      <c r="E98" s="2395"/>
      <c r="F98" s="2396"/>
      <c r="G98" s="1058">
        <v>30</v>
      </c>
      <c r="H98" s="1059"/>
      <c r="I98" s="1081">
        <f t="shared" si="14"/>
        <v>4.6199342169092869E-2</v>
      </c>
      <c r="J98" s="1082">
        <f t="shared" si="15"/>
        <v>0</v>
      </c>
      <c r="K98" s="1061">
        <v>0</v>
      </c>
      <c r="L98" s="1305"/>
      <c r="M98" s="1086">
        <f t="shared" si="16"/>
        <v>0</v>
      </c>
      <c r="N98" s="503"/>
      <c r="O98" s="365">
        <f t="shared" si="17"/>
        <v>30</v>
      </c>
      <c r="P98" s="366"/>
      <c r="Q98" s="135"/>
      <c r="R98" s="136"/>
      <c r="S98" s="129"/>
      <c r="T98" s="129"/>
      <c r="U98" s="129"/>
      <c r="V98" s="129"/>
      <c r="W98" s="129"/>
      <c r="X98" s="129"/>
      <c r="Y98" s="129"/>
      <c r="Z98" s="133"/>
      <c r="AA98" s="133"/>
      <c r="AB98" s="133"/>
      <c r="AC98" s="133"/>
      <c r="AD98" s="133"/>
      <c r="AE98" s="133"/>
      <c r="AF98" s="222"/>
      <c r="AG98" s="222"/>
      <c r="AH98" s="222"/>
      <c r="AI98" s="176"/>
      <c r="AJ98" s="176"/>
      <c r="AK98" s="176"/>
      <c r="AL98" s="176"/>
      <c r="AM98" s="176"/>
      <c r="AN98" s="176"/>
      <c r="AO98" s="176"/>
      <c r="AP98" s="176"/>
      <c r="AQ98" s="176"/>
      <c r="AR98" s="176"/>
      <c r="AS98" s="176"/>
      <c r="AT98" s="176"/>
      <c r="AU98" s="176"/>
      <c r="AV98" s="176"/>
      <c r="AW98" s="176"/>
      <c r="AX98" s="176"/>
      <c r="AY98" s="176"/>
      <c r="AZ98" s="176"/>
      <c r="BA98" s="176"/>
      <c r="BB98" s="176"/>
      <c r="BC98" s="176"/>
      <c r="BD98" s="176"/>
      <c r="BE98" s="176"/>
      <c r="BF98" s="176"/>
      <c r="BG98" s="176"/>
      <c r="BH98" s="176"/>
      <c r="BI98" s="176"/>
      <c r="BJ98" s="176"/>
      <c r="BK98" s="176"/>
      <c r="BL98" s="176"/>
      <c r="BM98" s="176"/>
      <c r="BN98" s="176"/>
      <c r="BO98" s="176"/>
    </row>
    <row r="99" spans="1:67" s="36" customFormat="1" ht="10.5" customHeight="1" x14ac:dyDescent="0.2">
      <c r="A99" s="1055"/>
      <c r="B99" s="2594"/>
      <c r="C99" s="2595"/>
      <c r="D99" s="2596"/>
      <c r="E99" s="2395"/>
      <c r="F99" s="2396"/>
      <c r="G99" s="2590"/>
      <c r="H99" s="2591"/>
      <c r="I99" s="1081">
        <f t="shared" si="14"/>
        <v>0</v>
      </c>
      <c r="J99" s="1082">
        <f t="shared" si="15"/>
        <v>0</v>
      </c>
      <c r="K99" s="2588"/>
      <c r="L99" s="2589"/>
      <c r="M99" s="1086">
        <f t="shared" si="16"/>
        <v>0</v>
      </c>
      <c r="N99" s="503"/>
      <c r="O99" s="365">
        <f t="shared" si="17"/>
        <v>0</v>
      </c>
      <c r="P99" s="366"/>
      <c r="Q99" s="135"/>
      <c r="R99" s="136"/>
      <c r="S99" s="129"/>
      <c r="T99" s="129"/>
      <c r="U99" s="129"/>
      <c r="V99" s="129"/>
      <c r="W99" s="129"/>
      <c r="X99" s="129"/>
      <c r="Y99" s="129"/>
      <c r="Z99" s="133"/>
      <c r="AA99" s="133"/>
      <c r="AB99" s="133"/>
      <c r="AC99" s="133"/>
      <c r="AD99" s="133"/>
      <c r="AE99" s="133"/>
      <c r="AF99" s="222"/>
      <c r="AG99" s="222"/>
      <c r="AH99" s="222"/>
      <c r="AI99" s="176"/>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row>
    <row r="100" spans="1:67" s="36" customFormat="1" ht="10.5" customHeight="1" x14ac:dyDescent="0.2">
      <c r="A100" s="1055"/>
      <c r="B100" s="2594"/>
      <c r="C100" s="2595"/>
      <c r="D100" s="2596"/>
      <c r="E100" s="2395"/>
      <c r="F100" s="2396"/>
      <c r="G100" s="2590"/>
      <c r="H100" s="2591"/>
      <c r="I100" s="1081">
        <f t="shared" si="14"/>
        <v>0</v>
      </c>
      <c r="J100" s="1082">
        <f t="shared" si="15"/>
        <v>0</v>
      </c>
      <c r="K100" s="2588"/>
      <c r="L100" s="2589"/>
      <c r="M100" s="1086">
        <f t="shared" si="16"/>
        <v>0</v>
      </c>
      <c r="N100" s="503"/>
      <c r="O100" s="365">
        <f t="shared" si="17"/>
        <v>0</v>
      </c>
      <c r="P100" s="366"/>
      <c r="Q100" s="135"/>
      <c r="R100" s="136"/>
      <c r="S100" s="129"/>
      <c r="T100" s="129"/>
      <c r="U100" s="129"/>
      <c r="V100" s="129"/>
      <c r="W100" s="129"/>
      <c r="X100" s="129"/>
      <c r="Y100" s="129"/>
      <c r="Z100" s="133"/>
      <c r="AA100" s="133"/>
      <c r="AB100" s="133"/>
      <c r="AC100" s="133"/>
      <c r="AD100" s="133"/>
      <c r="AE100" s="133"/>
      <c r="AF100" s="222"/>
      <c r="AG100" s="222"/>
      <c r="AH100" s="222"/>
      <c r="AI100" s="176"/>
      <c r="AJ100" s="176"/>
      <c r="AK100" s="176"/>
      <c r="AL100" s="176"/>
      <c r="AM100" s="176"/>
      <c r="AN100" s="176"/>
      <c r="AO100" s="176"/>
      <c r="AP100" s="176"/>
      <c r="AQ100" s="176"/>
      <c r="AR100" s="176"/>
      <c r="AS100" s="176"/>
      <c r="AT100" s="176"/>
      <c r="AU100" s="176"/>
      <c r="AV100" s="176"/>
      <c r="AW100" s="176"/>
      <c r="AX100" s="176"/>
      <c r="AY100" s="176"/>
      <c r="AZ100" s="176"/>
      <c r="BA100" s="176"/>
      <c r="BB100" s="176"/>
      <c r="BC100" s="176"/>
      <c r="BD100" s="176"/>
      <c r="BE100" s="176"/>
      <c r="BF100" s="176"/>
      <c r="BG100" s="176"/>
      <c r="BH100" s="176"/>
      <c r="BI100" s="176"/>
      <c r="BJ100" s="176"/>
      <c r="BK100" s="176"/>
      <c r="BL100" s="176"/>
      <c r="BM100" s="176"/>
      <c r="BN100" s="176"/>
      <c r="BO100" s="176"/>
    </row>
    <row r="101" spans="1:67" s="36" customFormat="1" ht="10.5" customHeight="1" x14ac:dyDescent="0.2">
      <c r="A101" s="1044"/>
      <c r="B101" s="2608"/>
      <c r="C101" s="2609"/>
      <c r="D101" s="2610"/>
      <c r="E101" s="2601"/>
      <c r="F101" s="2602"/>
      <c r="G101" s="1088"/>
      <c r="H101" s="1089"/>
      <c r="I101" s="1083">
        <f t="shared" si="14"/>
        <v>0</v>
      </c>
      <c r="J101" s="1084"/>
      <c r="K101" s="1087"/>
      <c r="L101" s="1307"/>
      <c r="M101" s="1317">
        <f t="shared" si="16"/>
        <v>0</v>
      </c>
      <c r="N101" s="503"/>
      <c r="O101" s="365">
        <f t="shared" si="17"/>
        <v>0</v>
      </c>
      <c r="P101" s="366"/>
      <c r="Q101" s="135"/>
      <c r="R101" s="136"/>
      <c r="S101" s="129"/>
      <c r="T101" s="129"/>
      <c r="U101" s="129"/>
      <c r="V101" s="129"/>
      <c r="W101" s="129"/>
      <c r="X101" s="129"/>
      <c r="Y101" s="129"/>
      <c r="Z101" s="133"/>
      <c r="AA101" s="133"/>
      <c r="AB101" s="133"/>
      <c r="AC101" s="133"/>
      <c r="AD101" s="133"/>
      <c r="AE101" s="133"/>
      <c r="AF101" s="222"/>
      <c r="AG101" s="222"/>
      <c r="AH101" s="222"/>
      <c r="AI101" s="176"/>
      <c r="AJ101" s="176"/>
      <c r="AK101" s="176"/>
      <c r="AL101" s="176"/>
      <c r="AM101" s="176"/>
      <c r="AN101" s="176"/>
      <c r="AO101" s="176"/>
      <c r="AP101" s="176"/>
      <c r="AQ101" s="176"/>
      <c r="AR101" s="176"/>
      <c r="AS101" s="176"/>
      <c r="AT101" s="176"/>
      <c r="AU101" s="176"/>
      <c r="AV101" s="176"/>
      <c r="AW101" s="176"/>
      <c r="AX101" s="176"/>
      <c r="AY101" s="176"/>
      <c r="AZ101" s="176"/>
      <c r="BA101" s="176"/>
      <c r="BB101" s="176"/>
      <c r="BC101" s="176"/>
      <c r="BD101" s="176"/>
      <c r="BE101" s="176"/>
      <c r="BF101" s="176"/>
      <c r="BG101" s="176"/>
      <c r="BH101" s="176"/>
      <c r="BI101" s="176"/>
      <c r="BJ101" s="176"/>
      <c r="BK101" s="176"/>
      <c r="BL101" s="176"/>
      <c r="BM101" s="176"/>
      <c r="BN101" s="176"/>
      <c r="BO101" s="176"/>
    </row>
    <row r="102" spans="1:67" s="36" customFormat="1" ht="10.5" customHeight="1" x14ac:dyDescent="0.2">
      <c r="A102" s="1120" t="s">
        <v>285</v>
      </c>
      <c r="B102" s="2603"/>
      <c r="C102" s="2604"/>
      <c r="D102" s="2605"/>
      <c r="E102" s="2606">
        <f>SUM(E103:E115)</f>
        <v>0</v>
      </c>
      <c r="F102" s="2607"/>
      <c r="G102" s="2620"/>
      <c r="H102" s="2621"/>
      <c r="I102" s="1121">
        <f>IF(E102=0,0,J102/E102)</f>
        <v>0</v>
      </c>
      <c r="J102" s="1122">
        <f>SUM(J103:J115)</f>
        <v>0</v>
      </c>
      <c r="K102" s="2622">
        <f>IF(E102=0,0,M102/E102*100)</f>
        <v>0</v>
      </c>
      <c r="L102" s="2623"/>
      <c r="M102" s="1318">
        <f>SUM(M103:M115)</f>
        <v>0</v>
      </c>
      <c r="N102" s="503"/>
      <c r="O102" s="178">
        <f>IF(H102="",G102,H102)</f>
        <v>0</v>
      </c>
      <c r="P102" s="366"/>
      <c r="Q102" s="135"/>
      <c r="R102" s="136"/>
      <c r="S102" s="129"/>
      <c r="T102" s="129"/>
      <c r="U102" s="129"/>
      <c r="V102" s="129"/>
      <c r="W102" s="129"/>
      <c r="X102" s="129"/>
      <c r="Y102" s="129"/>
      <c r="Z102" s="133"/>
      <c r="AA102" s="133"/>
      <c r="AB102" s="133"/>
      <c r="AC102" s="133"/>
      <c r="AD102" s="133"/>
      <c r="AE102" s="133"/>
      <c r="AF102" s="222"/>
      <c r="AG102" s="222"/>
      <c r="AH102" s="222"/>
      <c r="AI102" s="176"/>
      <c r="AJ102" s="176"/>
      <c r="AK102" s="176"/>
      <c r="AL102" s="176"/>
      <c r="AM102" s="176"/>
      <c r="AN102" s="176"/>
      <c r="AO102" s="176"/>
      <c r="AP102" s="176"/>
      <c r="AQ102" s="176"/>
      <c r="AR102" s="176"/>
      <c r="AS102" s="176"/>
      <c r="AT102" s="176"/>
      <c r="AU102" s="176"/>
      <c r="AV102" s="176"/>
      <c r="AW102" s="176"/>
      <c r="AX102" s="176"/>
      <c r="AY102" s="176"/>
      <c r="AZ102" s="176"/>
      <c r="BA102" s="176"/>
      <c r="BB102" s="176"/>
      <c r="BC102" s="176"/>
      <c r="BD102" s="176"/>
      <c r="BE102" s="176"/>
      <c r="BF102" s="176"/>
      <c r="BG102" s="176"/>
      <c r="BH102" s="176"/>
      <c r="BI102" s="176"/>
      <c r="BJ102" s="176"/>
      <c r="BK102" s="176"/>
      <c r="BL102" s="176"/>
      <c r="BM102" s="176"/>
      <c r="BN102" s="176"/>
      <c r="BO102" s="176"/>
    </row>
    <row r="103" spans="1:67" s="36" customFormat="1" ht="10.5" customHeight="1" x14ac:dyDescent="0.2">
      <c r="A103" s="1042" t="s">
        <v>397</v>
      </c>
      <c r="B103" s="2624"/>
      <c r="C103" s="2625"/>
      <c r="D103" s="2626"/>
      <c r="E103" s="2386"/>
      <c r="F103" s="2387"/>
      <c r="G103" s="1056">
        <v>20</v>
      </c>
      <c r="H103" s="1057"/>
      <c r="I103" s="1079">
        <f t="shared" ref="I103:I116" si="27">IF($O103&gt;0,-PMT(($I$9),$O103,1),0)</f>
        <v>6.2642070767998229E-2</v>
      </c>
      <c r="J103" s="1080">
        <f t="shared" ref="J103:J115" si="28">ROUND(E103*I103,0)</f>
        <v>0</v>
      </c>
      <c r="K103" s="1060">
        <v>2.5</v>
      </c>
      <c r="L103" s="1304"/>
      <c r="M103" s="1085">
        <f t="shared" ref="M103:M116" si="29">ROUND(E103/100*IF(ISBLANK(L103),K103,L103),0)</f>
        <v>0</v>
      </c>
      <c r="N103" s="503"/>
      <c r="O103" s="365">
        <f t="shared" ref="O103:O116" si="30">IF(ISBLANK(H103),G103,H103)</f>
        <v>20</v>
      </c>
      <c r="P103" s="366"/>
      <c r="Q103" s="135"/>
      <c r="R103" s="136"/>
      <c r="S103" s="129"/>
      <c r="T103" s="129"/>
      <c r="U103" s="129"/>
      <c r="V103" s="129"/>
      <c r="W103" s="129"/>
      <c r="X103" s="129"/>
      <c r="Y103" s="129"/>
      <c r="Z103" s="133"/>
      <c r="AA103" s="133"/>
      <c r="AB103" s="133"/>
      <c r="AC103" s="133"/>
      <c r="AD103" s="133"/>
      <c r="AE103" s="133"/>
      <c r="AF103" s="222"/>
      <c r="AG103" s="222"/>
      <c r="AH103" s="222"/>
      <c r="AI103" s="176"/>
      <c r="AJ103" s="176"/>
      <c r="AK103" s="176"/>
      <c r="AL103" s="176"/>
      <c r="AM103" s="176"/>
      <c r="AN103" s="176"/>
      <c r="AO103" s="176"/>
      <c r="AP103" s="176"/>
      <c r="AQ103" s="176"/>
      <c r="AR103" s="176"/>
      <c r="AS103" s="176"/>
      <c r="AT103" s="176"/>
      <c r="AU103" s="176"/>
      <c r="AV103" s="176"/>
      <c r="AW103" s="176"/>
      <c r="AX103" s="176"/>
      <c r="AY103" s="176"/>
      <c r="AZ103" s="176"/>
      <c r="BA103" s="176"/>
      <c r="BB103" s="176"/>
      <c r="BC103" s="176"/>
      <c r="BD103" s="176"/>
      <c r="BE103" s="176"/>
      <c r="BF103" s="176"/>
      <c r="BG103" s="176"/>
      <c r="BH103" s="176"/>
      <c r="BI103" s="176"/>
      <c r="BJ103" s="176"/>
      <c r="BK103" s="176"/>
      <c r="BL103" s="176"/>
      <c r="BM103" s="176"/>
      <c r="BN103" s="176"/>
      <c r="BO103" s="176"/>
    </row>
    <row r="104" spans="1:67" s="36" customFormat="1" ht="10.5" customHeight="1" x14ac:dyDescent="0.2">
      <c r="A104" s="1043" t="s">
        <v>398</v>
      </c>
      <c r="B104" s="2594"/>
      <c r="C104" s="2595"/>
      <c r="D104" s="2596"/>
      <c r="E104" s="2395"/>
      <c r="F104" s="2396"/>
      <c r="G104" s="1058">
        <v>20</v>
      </c>
      <c r="H104" s="1059"/>
      <c r="I104" s="1081">
        <f t="shared" si="27"/>
        <v>6.2642070767998229E-2</v>
      </c>
      <c r="J104" s="1082">
        <f t="shared" si="28"/>
        <v>0</v>
      </c>
      <c r="K104" s="1061">
        <v>2.5</v>
      </c>
      <c r="L104" s="1305"/>
      <c r="M104" s="1086">
        <f t="shared" si="29"/>
        <v>0</v>
      </c>
      <c r="N104" s="503"/>
      <c r="O104" s="365">
        <f t="shared" si="30"/>
        <v>20</v>
      </c>
      <c r="P104" s="366"/>
      <c r="Q104" s="135"/>
      <c r="R104" s="136"/>
      <c r="S104" s="129"/>
      <c r="T104" s="129"/>
      <c r="U104" s="129"/>
      <c r="V104" s="129"/>
      <c r="W104" s="129"/>
      <c r="X104" s="129"/>
      <c r="Y104" s="129"/>
      <c r="Z104" s="133"/>
      <c r="AA104" s="133"/>
      <c r="AB104" s="133"/>
      <c r="AC104" s="133"/>
      <c r="AD104" s="133"/>
      <c r="AE104" s="133"/>
      <c r="AF104" s="222"/>
      <c r="AG104" s="222"/>
      <c r="AH104" s="222"/>
      <c r="AI104" s="176"/>
      <c r="AJ104" s="176"/>
      <c r="AK104" s="176"/>
      <c r="AL104" s="176"/>
      <c r="AM104" s="176"/>
      <c r="AN104" s="176"/>
      <c r="AO104" s="176"/>
      <c r="AP104" s="176"/>
      <c r="AQ104" s="176"/>
      <c r="AR104" s="176"/>
      <c r="AS104" s="176"/>
      <c r="AT104" s="176"/>
      <c r="AU104" s="176"/>
      <c r="AV104" s="176"/>
      <c r="AW104" s="176"/>
      <c r="AX104" s="176"/>
      <c r="AY104" s="176"/>
      <c r="AZ104" s="176"/>
      <c r="BA104" s="176"/>
      <c r="BB104" s="176"/>
      <c r="BC104" s="176"/>
      <c r="BD104" s="176"/>
      <c r="BE104" s="176"/>
      <c r="BF104" s="176"/>
      <c r="BG104" s="176"/>
      <c r="BH104" s="176"/>
      <c r="BI104" s="176"/>
      <c r="BJ104" s="176"/>
      <c r="BK104" s="176"/>
      <c r="BL104" s="176"/>
      <c r="BM104" s="176"/>
      <c r="BN104" s="176"/>
      <c r="BO104" s="176"/>
    </row>
    <row r="105" spans="1:67" s="36" customFormat="1" ht="10.5" customHeight="1" x14ac:dyDescent="0.2">
      <c r="A105" s="1043" t="s">
        <v>286</v>
      </c>
      <c r="B105" s="2594"/>
      <c r="C105" s="2595"/>
      <c r="D105" s="2596"/>
      <c r="E105" s="2395"/>
      <c r="F105" s="2396"/>
      <c r="G105" s="1058">
        <v>15</v>
      </c>
      <c r="H105" s="1059"/>
      <c r="I105" s="1081">
        <f t="shared" si="27"/>
        <v>7.9288524964265278E-2</v>
      </c>
      <c r="J105" s="1082">
        <f t="shared" si="28"/>
        <v>0</v>
      </c>
      <c r="K105" s="1061">
        <v>3.5</v>
      </c>
      <c r="L105" s="1305"/>
      <c r="M105" s="1086">
        <f t="shared" si="29"/>
        <v>0</v>
      </c>
      <c r="N105" s="503"/>
      <c r="O105" s="365">
        <f t="shared" si="30"/>
        <v>15</v>
      </c>
      <c r="P105" s="366"/>
      <c r="Q105" s="135"/>
      <c r="R105" s="136"/>
      <c r="S105" s="129"/>
      <c r="T105" s="129"/>
      <c r="U105" s="129"/>
      <c r="V105" s="129"/>
      <c r="W105" s="129"/>
      <c r="X105" s="129"/>
      <c r="Y105" s="129"/>
      <c r="Z105" s="133"/>
      <c r="AA105" s="133"/>
      <c r="AB105" s="133"/>
      <c r="AC105" s="133"/>
      <c r="AD105" s="133"/>
      <c r="AE105" s="133"/>
      <c r="AF105" s="222"/>
      <c r="AG105" s="222"/>
      <c r="AH105" s="222"/>
      <c r="AI105" s="176"/>
      <c r="AJ105" s="176"/>
      <c r="AK105" s="176"/>
      <c r="AL105" s="176"/>
      <c r="AM105" s="176"/>
      <c r="AN105" s="176"/>
      <c r="AO105" s="176"/>
      <c r="AP105" s="176"/>
      <c r="AQ105" s="176"/>
      <c r="AR105" s="176"/>
      <c r="AS105" s="176"/>
      <c r="AT105" s="176"/>
      <c r="AU105" s="176"/>
      <c r="AV105" s="176"/>
      <c r="AW105" s="176"/>
      <c r="AX105" s="176"/>
      <c r="AY105" s="176"/>
      <c r="AZ105" s="176"/>
      <c r="BA105" s="176"/>
      <c r="BB105" s="176"/>
      <c r="BC105" s="176"/>
      <c r="BD105" s="176"/>
      <c r="BE105" s="176"/>
      <c r="BF105" s="176"/>
      <c r="BG105" s="176"/>
      <c r="BH105" s="176"/>
      <c r="BI105" s="176"/>
      <c r="BJ105" s="176"/>
      <c r="BK105" s="176"/>
      <c r="BL105" s="176"/>
      <c r="BM105" s="176"/>
      <c r="BN105" s="176"/>
      <c r="BO105" s="176"/>
    </row>
    <row r="106" spans="1:67" s="36" customFormat="1" ht="10.5" customHeight="1" x14ac:dyDescent="0.2">
      <c r="A106" s="1043" t="s">
        <v>287</v>
      </c>
      <c r="B106" s="2594"/>
      <c r="C106" s="2595"/>
      <c r="D106" s="2596"/>
      <c r="E106" s="2395"/>
      <c r="F106" s="2396"/>
      <c r="G106" s="1058">
        <v>15</v>
      </c>
      <c r="H106" s="1059"/>
      <c r="I106" s="1081">
        <f t="shared" si="27"/>
        <v>7.9288524964265278E-2</v>
      </c>
      <c r="J106" s="1082">
        <f t="shared" si="28"/>
        <v>0</v>
      </c>
      <c r="K106" s="1061">
        <v>3.5</v>
      </c>
      <c r="L106" s="1305"/>
      <c r="M106" s="1086">
        <f t="shared" si="29"/>
        <v>0</v>
      </c>
      <c r="N106" s="503"/>
      <c r="O106" s="365">
        <f t="shared" si="30"/>
        <v>15</v>
      </c>
      <c r="P106" s="366"/>
      <c r="Q106" s="135"/>
      <c r="R106" s="136"/>
      <c r="S106" s="129"/>
      <c r="T106" s="129"/>
      <c r="U106" s="129"/>
      <c r="V106" s="129"/>
      <c r="W106" s="129"/>
      <c r="X106" s="129"/>
      <c r="Y106" s="129"/>
      <c r="Z106" s="133"/>
      <c r="AA106" s="133"/>
      <c r="AB106" s="133"/>
      <c r="AC106" s="133"/>
      <c r="AD106" s="133"/>
      <c r="AE106" s="133"/>
      <c r="AF106" s="222"/>
      <c r="AG106" s="222"/>
      <c r="AH106" s="222"/>
      <c r="AI106" s="176"/>
      <c r="AJ106" s="176"/>
      <c r="AK106" s="176"/>
      <c r="AL106" s="176"/>
      <c r="AM106" s="176"/>
      <c r="AN106" s="176"/>
      <c r="AO106" s="176"/>
      <c r="AP106" s="176"/>
      <c r="AQ106" s="176"/>
      <c r="AR106" s="176"/>
      <c r="AS106" s="176"/>
      <c r="AT106" s="176"/>
      <c r="AU106" s="176"/>
      <c r="AV106" s="176"/>
      <c r="AW106" s="176"/>
      <c r="AX106" s="176"/>
      <c r="AY106" s="176"/>
      <c r="AZ106" s="176"/>
      <c r="BA106" s="176"/>
      <c r="BB106" s="176"/>
      <c r="BC106" s="176"/>
      <c r="BD106" s="176"/>
      <c r="BE106" s="176"/>
      <c r="BF106" s="176"/>
      <c r="BG106" s="176"/>
      <c r="BH106" s="176"/>
      <c r="BI106" s="176"/>
      <c r="BJ106" s="176"/>
      <c r="BK106" s="176"/>
      <c r="BL106" s="176"/>
      <c r="BM106" s="176"/>
      <c r="BN106" s="176"/>
      <c r="BO106" s="176"/>
    </row>
    <row r="107" spans="1:67" s="36" customFormat="1" ht="10.5" customHeight="1" x14ac:dyDescent="0.2">
      <c r="A107" s="1055"/>
      <c r="B107" s="2594"/>
      <c r="C107" s="2595"/>
      <c r="D107" s="2596"/>
      <c r="E107" s="2395"/>
      <c r="F107" s="2396"/>
      <c r="G107" s="2590"/>
      <c r="H107" s="2591"/>
      <c r="I107" s="1081">
        <f t="shared" si="27"/>
        <v>0</v>
      </c>
      <c r="J107" s="1082">
        <f t="shared" si="28"/>
        <v>0</v>
      </c>
      <c r="K107" s="2588"/>
      <c r="L107" s="2589"/>
      <c r="M107" s="1086">
        <f t="shared" si="29"/>
        <v>0</v>
      </c>
      <c r="N107" s="503"/>
      <c r="O107" s="365">
        <f t="shared" si="30"/>
        <v>0</v>
      </c>
      <c r="P107" s="366"/>
      <c r="Q107" s="135"/>
      <c r="R107" s="136"/>
      <c r="S107" s="129"/>
      <c r="T107" s="129"/>
      <c r="U107" s="129"/>
      <c r="V107" s="129"/>
      <c r="W107" s="129"/>
      <c r="X107" s="129"/>
      <c r="Y107" s="129"/>
      <c r="Z107" s="133"/>
      <c r="AA107" s="133"/>
      <c r="AB107" s="133"/>
      <c r="AC107" s="133"/>
      <c r="AD107" s="133"/>
      <c r="AE107" s="133"/>
      <c r="AF107" s="222"/>
      <c r="AG107" s="222"/>
      <c r="AH107" s="222"/>
      <c r="AI107" s="176"/>
      <c r="AJ107" s="176"/>
      <c r="AK107" s="176"/>
      <c r="AL107" s="176"/>
      <c r="AM107" s="176"/>
      <c r="AN107" s="176"/>
      <c r="AO107" s="176"/>
      <c r="AP107" s="176"/>
      <c r="AQ107" s="176"/>
      <c r="AR107" s="176"/>
      <c r="AS107" s="176"/>
      <c r="AT107" s="176"/>
      <c r="AU107" s="176"/>
      <c r="AV107" s="176"/>
      <c r="AW107" s="176"/>
      <c r="AX107" s="176"/>
      <c r="AY107" s="176"/>
      <c r="AZ107" s="176"/>
      <c r="BA107" s="176"/>
      <c r="BB107" s="176"/>
      <c r="BC107" s="176"/>
      <c r="BD107" s="176"/>
      <c r="BE107" s="176"/>
      <c r="BF107" s="176"/>
      <c r="BG107" s="176"/>
      <c r="BH107" s="176"/>
      <c r="BI107" s="176"/>
      <c r="BJ107" s="176"/>
      <c r="BK107" s="176"/>
      <c r="BL107" s="176"/>
      <c r="BM107" s="176"/>
      <c r="BN107" s="176"/>
      <c r="BO107" s="176"/>
    </row>
    <row r="108" spans="1:67" s="36" customFormat="1" ht="10.5" customHeight="1" x14ac:dyDescent="0.2">
      <c r="A108" s="1055"/>
      <c r="B108" s="2594"/>
      <c r="C108" s="2595"/>
      <c r="D108" s="2596"/>
      <c r="E108" s="2395"/>
      <c r="F108" s="2396"/>
      <c r="G108" s="2590"/>
      <c r="H108" s="2591"/>
      <c r="I108" s="1081">
        <f t="shared" si="27"/>
        <v>0</v>
      </c>
      <c r="J108" s="1082">
        <f t="shared" si="28"/>
        <v>0</v>
      </c>
      <c r="K108" s="2588"/>
      <c r="L108" s="2589"/>
      <c r="M108" s="1086">
        <f t="shared" si="29"/>
        <v>0</v>
      </c>
      <c r="N108" s="503"/>
      <c r="O108" s="365">
        <f t="shared" si="30"/>
        <v>0</v>
      </c>
      <c r="P108" s="366"/>
      <c r="Q108" s="135"/>
      <c r="R108" s="136"/>
      <c r="S108" s="129"/>
      <c r="T108" s="129"/>
      <c r="U108" s="129"/>
      <c r="V108" s="129"/>
      <c r="W108" s="129"/>
      <c r="X108" s="129"/>
      <c r="Y108" s="129"/>
      <c r="Z108" s="133"/>
      <c r="AA108" s="133"/>
      <c r="AB108" s="133"/>
      <c r="AC108" s="133"/>
      <c r="AD108" s="133"/>
      <c r="AE108" s="133"/>
      <c r="AF108" s="222"/>
      <c r="AG108" s="222"/>
      <c r="AH108" s="222"/>
      <c r="AI108" s="176"/>
      <c r="AJ108" s="176"/>
      <c r="AK108" s="176"/>
      <c r="AL108" s="176"/>
      <c r="AM108" s="176"/>
      <c r="AN108" s="176"/>
      <c r="AO108" s="176"/>
      <c r="AP108" s="176"/>
      <c r="AQ108" s="176"/>
      <c r="AR108" s="176"/>
      <c r="AS108" s="176"/>
      <c r="AT108" s="176"/>
      <c r="AU108" s="176"/>
      <c r="AV108" s="176"/>
      <c r="AW108" s="176"/>
      <c r="AX108" s="176"/>
      <c r="AY108" s="176"/>
      <c r="AZ108" s="176"/>
      <c r="BA108" s="176"/>
      <c r="BB108" s="176"/>
      <c r="BC108" s="176"/>
      <c r="BD108" s="176"/>
      <c r="BE108" s="176"/>
      <c r="BF108" s="176"/>
      <c r="BG108" s="176"/>
      <c r="BH108" s="176"/>
      <c r="BI108" s="176"/>
      <c r="BJ108" s="176"/>
      <c r="BK108" s="176"/>
      <c r="BL108" s="176"/>
      <c r="BM108" s="176"/>
      <c r="BN108" s="176"/>
      <c r="BO108" s="176"/>
    </row>
    <row r="109" spans="1:67" s="36" customFormat="1" ht="10.5" customHeight="1" x14ac:dyDescent="0.2">
      <c r="A109" s="1055"/>
      <c r="B109" s="2594"/>
      <c r="C109" s="2595"/>
      <c r="D109" s="2596"/>
      <c r="E109" s="2395"/>
      <c r="F109" s="2396"/>
      <c r="G109" s="2590"/>
      <c r="H109" s="2591"/>
      <c r="I109" s="1081">
        <f t="shared" si="27"/>
        <v>0</v>
      </c>
      <c r="J109" s="1082">
        <f t="shared" si="28"/>
        <v>0</v>
      </c>
      <c r="K109" s="2588"/>
      <c r="L109" s="2589"/>
      <c r="M109" s="1086">
        <f t="shared" si="29"/>
        <v>0</v>
      </c>
      <c r="N109" s="503"/>
      <c r="O109" s="365">
        <f t="shared" si="30"/>
        <v>0</v>
      </c>
      <c r="P109" s="366"/>
      <c r="Q109" s="135"/>
      <c r="R109" s="136"/>
      <c r="S109" s="129"/>
      <c r="T109" s="129"/>
      <c r="U109" s="129"/>
      <c r="V109" s="129"/>
      <c r="W109" s="129"/>
      <c r="X109" s="129"/>
      <c r="Y109" s="129"/>
      <c r="Z109" s="133"/>
      <c r="AA109" s="133"/>
      <c r="AB109" s="133"/>
      <c r="AC109" s="133"/>
      <c r="AD109" s="133"/>
      <c r="AE109" s="133"/>
      <c r="AF109" s="222"/>
      <c r="AG109" s="222"/>
      <c r="AH109" s="222"/>
      <c r="AI109" s="176"/>
      <c r="AJ109" s="176"/>
      <c r="AK109" s="176"/>
      <c r="AL109" s="176"/>
      <c r="AM109" s="176"/>
      <c r="AN109" s="176"/>
      <c r="AO109" s="176"/>
      <c r="AP109" s="176"/>
      <c r="AQ109" s="176"/>
      <c r="AR109" s="176"/>
      <c r="AS109" s="176"/>
      <c r="AT109" s="176"/>
      <c r="AU109" s="176"/>
      <c r="AV109" s="176"/>
      <c r="AW109" s="176"/>
      <c r="AX109" s="176"/>
      <c r="AY109" s="176"/>
      <c r="AZ109" s="176"/>
      <c r="BA109" s="176"/>
      <c r="BB109" s="176"/>
      <c r="BC109" s="176"/>
      <c r="BD109" s="176"/>
      <c r="BE109" s="176"/>
      <c r="BF109" s="176"/>
      <c r="BG109" s="176"/>
      <c r="BH109" s="176"/>
      <c r="BI109" s="176"/>
      <c r="BJ109" s="176"/>
      <c r="BK109" s="176"/>
      <c r="BL109" s="176"/>
      <c r="BM109" s="176"/>
      <c r="BN109" s="176"/>
      <c r="BO109" s="176"/>
    </row>
    <row r="110" spans="1:67" s="36" customFormat="1" ht="10.5" customHeight="1" x14ac:dyDescent="0.2">
      <c r="A110" s="1055"/>
      <c r="B110" s="2594"/>
      <c r="C110" s="2595"/>
      <c r="D110" s="2596"/>
      <c r="E110" s="2395"/>
      <c r="F110" s="2396"/>
      <c r="G110" s="2590"/>
      <c r="H110" s="2591"/>
      <c r="I110" s="1081">
        <f t="shared" si="27"/>
        <v>0</v>
      </c>
      <c r="J110" s="1082">
        <f t="shared" si="28"/>
        <v>0</v>
      </c>
      <c r="K110" s="2588"/>
      <c r="L110" s="2589"/>
      <c r="M110" s="1086">
        <f t="shared" si="29"/>
        <v>0</v>
      </c>
      <c r="N110" s="503"/>
      <c r="O110" s="365">
        <f t="shared" si="30"/>
        <v>0</v>
      </c>
      <c r="P110" s="366"/>
      <c r="Q110" s="135"/>
      <c r="R110" s="136"/>
      <c r="S110" s="129"/>
      <c r="T110" s="129"/>
      <c r="U110" s="129"/>
      <c r="V110" s="129"/>
      <c r="W110" s="129"/>
      <c r="X110" s="129"/>
      <c r="Y110" s="129"/>
      <c r="Z110" s="133"/>
      <c r="AA110" s="133"/>
      <c r="AB110" s="133"/>
      <c r="AC110" s="133"/>
      <c r="AD110" s="133"/>
      <c r="AE110" s="133"/>
      <c r="AF110" s="222"/>
      <c r="AG110" s="222"/>
      <c r="AH110" s="222"/>
      <c r="AI110" s="176"/>
      <c r="AJ110" s="176"/>
      <c r="AK110" s="176"/>
      <c r="AL110" s="176"/>
      <c r="AM110" s="176"/>
      <c r="AN110" s="176"/>
      <c r="AO110" s="176"/>
      <c r="AP110" s="176"/>
      <c r="AQ110" s="176"/>
      <c r="AR110" s="176"/>
      <c r="AS110" s="176"/>
      <c r="AT110" s="176"/>
      <c r="AU110" s="176"/>
      <c r="AV110" s="176"/>
      <c r="AW110" s="176"/>
      <c r="AX110" s="176"/>
      <c r="AY110" s="176"/>
      <c r="AZ110" s="176"/>
      <c r="BA110" s="176"/>
      <c r="BB110" s="176"/>
      <c r="BC110" s="176"/>
      <c r="BD110" s="176"/>
      <c r="BE110" s="176"/>
      <c r="BF110" s="176"/>
      <c r="BG110" s="176"/>
      <c r="BH110" s="176"/>
      <c r="BI110" s="176"/>
      <c r="BJ110" s="176"/>
      <c r="BK110" s="176"/>
      <c r="BL110" s="176"/>
      <c r="BM110" s="176"/>
      <c r="BN110" s="176"/>
      <c r="BO110" s="176"/>
    </row>
    <row r="111" spans="1:67" s="36" customFormat="1" ht="10.5" customHeight="1" x14ac:dyDescent="0.2">
      <c r="A111" s="1055"/>
      <c r="B111" s="2594"/>
      <c r="C111" s="2595"/>
      <c r="D111" s="2596"/>
      <c r="E111" s="2395"/>
      <c r="F111" s="2396"/>
      <c r="G111" s="2590"/>
      <c r="H111" s="2591"/>
      <c r="I111" s="1081">
        <f t="shared" si="27"/>
        <v>0</v>
      </c>
      <c r="J111" s="1082">
        <f t="shared" si="28"/>
        <v>0</v>
      </c>
      <c r="K111" s="2588"/>
      <c r="L111" s="2589"/>
      <c r="M111" s="1086">
        <f t="shared" si="29"/>
        <v>0</v>
      </c>
      <c r="N111" s="503"/>
      <c r="O111" s="365">
        <f t="shared" si="30"/>
        <v>0</v>
      </c>
      <c r="P111" s="366"/>
      <c r="Q111" s="135"/>
      <c r="R111" s="136"/>
      <c r="S111" s="129"/>
      <c r="T111" s="129"/>
      <c r="U111" s="129"/>
      <c r="V111" s="129"/>
      <c r="W111" s="129"/>
      <c r="X111" s="129"/>
      <c r="Y111" s="129"/>
      <c r="Z111" s="133"/>
      <c r="AA111" s="133"/>
      <c r="AB111" s="133"/>
      <c r="AC111" s="133"/>
      <c r="AD111" s="133"/>
      <c r="AE111" s="133"/>
      <c r="AF111" s="222"/>
      <c r="AG111" s="222"/>
      <c r="AH111" s="222"/>
      <c r="AI111" s="176"/>
      <c r="AJ111" s="176"/>
      <c r="AK111" s="176"/>
      <c r="AL111" s="176"/>
      <c r="AM111" s="176"/>
      <c r="AN111" s="176"/>
      <c r="AO111" s="176"/>
      <c r="AP111" s="176"/>
      <c r="AQ111" s="176"/>
      <c r="AR111" s="176"/>
      <c r="AS111" s="176"/>
      <c r="AT111" s="176"/>
      <c r="AU111" s="176"/>
      <c r="AV111" s="176"/>
      <c r="AW111" s="176"/>
      <c r="AX111" s="176"/>
      <c r="AY111" s="176"/>
      <c r="AZ111" s="176"/>
      <c r="BA111" s="176"/>
      <c r="BB111" s="176"/>
      <c r="BC111" s="176"/>
      <c r="BD111" s="176"/>
      <c r="BE111" s="176"/>
      <c r="BF111" s="176"/>
      <c r="BG111" s="176"/>
      <c r="BH111" s="176"/>
      <c r="BI111" s="176"/>
      <c r="BJ111" s="176"/>
      <c r="BK111" s="176"/>
      <c r="BL111" s="176"/>
      <c r="BM111" s="176"/>
      <c r="BN111" s="176"/>
      <c r="BO111" s="176"/>
    </row>
    <row r="112" spans="1:67" s="36" customFormat="1" ht="10.5" customHeight="1" x14ac:dyDescent="0.2">
      <c r="A112" s="1055"/>
      <c r="B112" s="2594"/>
      <c r="C112" s="2595"/>
      <c r="D112" s="2596"/>
      <c r="E112" s="2395"/>
      <c r="F112" s="2396"/>
      <c r="G112" s="2590"/>
      <c r="H112" s="2591"/>
      <c r="I112" s="1081">
        <f t="shared" si="27"/>
        <v>0</v>
      </c>
      <c r="J112" s="1082">
        <f t="shared" si="28"/>
        <v>0</v>
      </c>
      <c r="K112" s="2588"/>
      <c r="L112" s="2589"/>
      <c r="M112" s="1086">
        <f t="shared" si="29"/>
        <v>0</v>
      </c>
      <c r="N112" s="503"/>
      <c r="O112" s="365">
        <f t="shared" si="30"/>
        <v>0</v>
      </c>
      <c r="P112" s="366"/>
      <c r="Q112" s="135"/>
      <c r="R112" s="136"/>
      <c r="S112" s="129"/>
      <c r="T112" s="129"/>
      <c r="U112" s="129"/>
      <c r="V112" s="129"/>
      <c r="W112" s="129"/>
      <c r="X112" s="129"/>
      <c r="Y112" s="129"/>
      <c r="Z112" s="133"/>
      <c r="AA112" s="133"/>
      <c r="AB112" s="133"/>
      <c r="AC112" s="133"/>
      <c r="AD112" s="133"/>
      <c r="AE112" s="133"/>
      <c r="AF112" s="222"/>
      <c r="AG112" s="222"/>
      <c r="AH112" s="222"/>
      <c r="AI112" s="176"/>
      <c r="AJ112" s="176"/>
      <c r="AK112" s="176"/>
      <c r="AL112" s="176"/>
      <c r="AM112" s="176"/>
      <c r="AN112" s="176"/>
      <c r="AO112" s="176"/>
      <c r="AP112" s="176"/>
      <c r="AQ112" s="176"/>
      <c r="AR112" s="176"/>
      <c r="AS112" s="176"/>
      <c r="AT112" s="176"/>
      <c r="AU112" s="176"/>
      <c r="AV112" s="176"/>
      <c r="AW112" s="176"/>
      <c r="AX112" s="176"/>
      <c r="AY112" s="176"/>
      <c r="AZ112" s="176"/>
      <c r="BA112" s="176"/>
      <c r="BB112" s="176"/>
      <c r="BC112" s="176"/>
      <c r="BD112" s="176"/>
      <c r="BE112" s="176"/>
      <c r="BF112" s="176"/>
      <c r="BG112" s="176"/>
      <c r="BH112" s="176"/>
      <c r="BI112" s="176"/>
      <c r="BJ112" s="176"/>
      <c r="BK112" s="176"/>
      <c r="BL112" s="176"/>
      <c r="BM112" s="176"/>
      <c r="BN112" s="176"/>
      <c r="BO112" s="176"/>
    </row>
    <row r="113" spans="1:67" s="36" customFormat="1" ht="10.5" customHeight="1" x14ac:dyDescent="0.2">
      <c r="A113" s="1055"/>
      <c r="B113" s="2594"/>
      <c r="C113" s="2595"/>
      <c r="D113" s="2596"/>
      <c r="E113" s="2395"/>
      <c r="F113" s="2396"/>
      <c r="G113" s="2590"/>
      <c r="H113" s="2591"/>
      <c r="I113" s="1081">
        <f t="shared" si="27"/>
        <v>0</v>
      </c>
      <c r="J113" s="1082">
        <f t="shared" si="28"/>
        <v>0</v>
      </c>
      <c r="K113" s="2588"/>
      <c r="L113" s="2589"/>
      <c r="M113" s="1086">
        <f t="shared" si="29"/>
        <v>0</v>
      </c>
      <c r="N113" s="503"/>
      <c r="O113" s="365">
        <f t="shared" si="30"/>
        <v>0</v>
      </c>
      <c r="P113" s="366"/>
      <c r="Q113" s="135"/>
      <c r="R113" s="136"/>
      <c r="S113" s="129"/>
      <c r="T113" s="129"/>
      <c r="U113" s="129"/>
      <c r="V113" s="129"/>
      <c r="W113" s="129"/>
      <c r="X113" s="129"/>
      <c r="Y113" s="129"/>
      <c r="Z113" s="133"/>
      <c r="AA113" s="133"/>
      <c r="AB113" s="133"/>
      <c r="AC113" s="133"/>
      <c r="AD113" s="133"/>
      <c r="AE113" s="133"/>
      <c r="AF113" s="222"/>
      <c r="AG113" s="222"/>
      <c r="AH113" s="222"/>
      <c r="AI113" s="176"/>
      <c r="AJ113" s="176"/>
      <c r="AK113" s="176"/>
      <c r="AL113" s="176"/>
      <c r="AM113" s="176"/>
      <c r="AN113" s="176"/>
      <c r="AO113" s="176"/>
      <c r="AP113" s="176"/>
      <c r="AQ113" s="176"/>
      <c r="AR113" s="176"/>
      <c r="AS113" s="176"/>
      <c r="AT113" s="176"/>
      <c r="AU113" s="176"/>
      <c r="AV113" s="176"/>
      <c r="AW113" s="176"/>
      <c r="AX113" s="176"/>
      <c r="AY113" s="176"/>
      <c r="AZ113" s="176"/>
      <c r="BA113" s="176"/>
      <c r="BB113" s="176"/>
      <c r="BC113" s="176"/>
      <c r="BD113" s="176"/>
      <c r="BE113" s="176"/>
      <c r="BF113" s="176"/>
      <c r="BG113" s="176"/>
      <c r="BH113" s="176"/>
      <c r="BI113" s="176"/>
      <c r="BJ113" s="176"/>
      <c r="BK113" s="176"/>
      <c r="BL113" s="176"/>
      <c r="BM113" s="176"/>
      <c r="BN113" s="176"/>
      <c r="BO113" s="176"/>
    </row>
    <row r="114" spans="1:67" s="36" customFormat="1" ht="10.5" customHeight="1" x14ac:dyDescent="0.2">
      <c r="A114" s="1055"/>
      <c r="B114" s="2594"/>
      <c r="C114" s="2595"/>
      <c r="D114" s="2596"/>
      <c r="E114" s="2395"/>
      <c r="F114" s="2396"/>
      <c r="G114" s="2590"/>
      <c r="H114" s="2591"/>
      <c r="I114" s="1081">
        <f t="shared" si="27"/>
        <v>0</v>
      </c>
      <c r="J114" s="1082">
        <f t="shared" si="28"/>
        <v>0</v>
      </c>
      <c r="K114" s="2588"/>
      <c r="L114" s="2589"/>
      <c r="M114" s="1086">
        <f t="shared" si="29"/>
        <v>0</v>
      </c>
      <c r="N114" s="503"/>
      <c r="O114" s="365">
        <f t="shared" si="30"/>
        <v>0</v>
      </c>
      <c r="P114" s="366"/>
      <c r="Q114" s="135"/>
      <c r="R114" s="136"/>
      <c r="S114" s="129"/>
      <c r="T114" s="129"/>
      <c r="U114" s="129"/>
      <c r="V114" s="129"/>
      <c r="W114" s="129"/>
      <c r="X114" s="129"/>
      <c r="Y114" s="129"/>
      <c r="Z114" s="133"/>
      <c r="AA114" s="133"/>
      <c r="AB114" s="133"/>
      <c r="AC114" s="133"/>
      <c r="AD114" s="133"/>
      <c r="AE114" s="133"/>
      <c r="AF114" s="222"/>
      <c r="AG114" s="222"/>
      <c r="AH114" s="222"/>
      <c r="AI114" s="176"/>
      <c r="AJ114" s="176"/>
      <c r="AK114" s="176"/>
      <c r="AL114" s="176"/>
      <c r="AM114" s="176"/>
      <c r="AN114" s="176"/>
      <c r="AO114" s="176"/>
      <c r="AP114" s="176"/>
      <c r="AQ114" s="176"/>
      <c r="AR114" s="176"/>
      <c r="AS114" s="176"/>
      <c r="AT114" s="176"/>
      <c r="AU114" s="176"/>
      <c r="AV114" s="176"/>
      <c r="AW114" s="176"/>
      <c r="AX114" s="176"/>
      <c r="AY114" s="176"/>
      <c r="AZ114" s="176"/>
      <c r="BA114" s="176"/>
      <c r="BB114" s="176"/>
      <c r="BC114" s="176"/>
      <c r="BD114" s="176"/>
      <c r="BE114" s="176"/>
      <c r="BF114" s="176"/>
      <c r="BG114" s="176"/>
      <c r="BH114" s="176"/>
      <c r="BI114" s="176"/>
      <c r="BJ114" s="176"/>
      <c r="BK114" s="176"/>
      <c r="BL114" s="176"/>
      <c r="BM114" s="176"/>
      <c r="BN114" s="176"/>
      <c r="BO114" s="176"/>
    </row>
    <row r="115" spans="1:67" s="36" customFormat="1" ht="10.5" customHeight="1" x14ac:dyDescent="0.2">
      <c r="A115" s="1055"/>
      <c r="B115" s="2594"/>
      <c r="C115" s="2595"/>
      <c r="D115" s="2596"/>
      <c r="E115" s="2395"/>
      <c r="F115" s="2396"/>
      <c r="G115" s="2590"/>
      <c r="H115" s="2591"/>
      <c r="I115" s="1081">
        <f t="shared" si="27"/>
        <v>0</v>
      </c>
      <c r="J115" s="1082">
        <f t="shared" si="28"/>
        <v>0</v>
      </c>
      <c r="K115" s="2588"/>
      <c r="L115" s="2589"/>
      <c r="M115" s="1086">
        <f t="shared" si="29"/>
        <v>0</v>
      </c>
      <c r="N115" s="503"/>
      <c r="O115" s="365">
        <f t="shared" si="30"/>
        <v>0</v>
      </c>
      <c r="P115" s="366"/>
      <c r="Q115" s="135"/>
      <c r="R115" s="136"/>
      <c r="S115" s="129"/>
      <c r="T115" s="129"/>
      <c r="U115" s="129"/>
      <c r="V115" s="129"/>
      <c r="W115" s="129"/>
      <c r="X115" s="129"/>
      <c r="Y115" s="129"/>
      <c r="Z115" s="133"/>
      <c r="AA115" s="133"/>
      <c r="AB115" s="133"/>
      <c r="AC115" s="133"/>
      <c r="AD115" s="133"/>
      <c r="AE115" s="133"/>
      <c r="AF115" s="222"/>
      <c r="AG115" s="222"/>
      <c r="AH115" s="222"/>
      <c r="AI115" s="176"/>
      <c r="AJ115" s="176"/>
      <c r="AK115" s="176"/>
      <c r="AL115" s="176"/>
      <c r="AM115" s="176"/>
      <c r="AN115" s="176"/>
      <c r="AO115" s="176"/>
      <c r="AP115" s="176"/>
      <c r="AQ115" s="176"/>
      <c r="AR115" s="176"/>
      <c r="AS115" s="176"/>
      <c r="AT115" s="176"/>
      <c r="AU115" s="176"/>
      <c r="AV115" s="176"/>
      <c r="AW115" s="176"/>
      <c r="AX115" s="176"/>
      <c r="AY115" s="176"/>
      <c r="AZ115" s="176"/>
      <c r="BA115" s="176"/>
      <c r="BB115" s="176"/>
      <c r="BC115" s="176"/>
      <c r="BD115" s="176"/>
      <c r="BE115" s="176"/>
      <c r="BF115" s="176"/>
      <c r="BG115" s="176"/>
      <c r="BH115" s="176"/>
      <c r="BI115" s="176"/>
      <c r="BJ115" s="176"/>
      <c r="BK115" s="176"/>
      <c r="BL115" s="176"/>
      <c r="BM115" s="176"/>
      <c r="BN115" s="176"/>
      <c r="BO115" s="176"/>
    </row>
    <row r="116" spans="1:67" s="36" customFormat="1" ht="10.5" customHeight="1" x14ac:dyDescent="0.2">
      <c r="A116" s="1044"/>
      <c r="B116" s="2608"/>
      <c r="C116" s="2609"/>
      <c r="D116" s="2610"/>
      <c r="E116" s="2601"/>
      <c r="F116" s="2602"/>
      <c r="G116" s="1088"/>
      <c r="H116" s="1089"/>
      <c r="I116" s="1083">
        <f t="shared" si="27"/>
        <v>0</v>
      </c>
      <c r="J116" s="1084"/>
      <c r="K116" s="1087"/>
      <c r="L116" s="1307"/>
      <c r="M116" s="1317">
        <f t="shared" si="29"/>
        <v>0</v>
      </c>
      <c r="N116" s="503"/>
      <c r="O116" s="365">
        <f t="shared" si="30"/>
        <v>0</v>
      </c>
      <c r="P116" s="366"/>
      <c r="Q116" s="135"/>
      <c r="R116" s="136"/>
      <c r="S116" s="129"/>
      <c r="T116" s="129"/>
      <c r="U116" s="129"/>
      <c r="V116" s="129"/>
      <c r="W116" s="129"/>
      <c r="X116" s="129"/>
      <c r="Y116" s="129"/>
      <c r="Z116" s="133"/>
      <c r="AA116" s="133"/>
      <c r="AB116" s="133"/>
      <c r="AC116" s="133"/>
      <c r="AD116" s="133"/>
      <c r="AE116" s="133"/>
      <c r="AF116" s="222"/>
      <c r="AG116" s="222"/>
      <c r="AH116" s="222"/>
      <c r="AI116" s="176"/>
      <c r="AJ116" s="176"/>
      <c r="AK116" s="176"/>
      <c r="AL116" s="176"/>
      <c r="AM116" s="176"/>
      <c r="AN116" s="176"/>
      <c r="AO116" s="176"/>
      <c r="AP116" s="176"/>
      <c r="AQ116" s="176"/>
      <c r="AR116" s="176"/>
      <c r="AS116" s="176"/>
      <c r="AT116" s="176"/>
      <c r="AU116" s="176"/>
      <c r="AV116" s="176"/>
      <c r="AW116" s="176"/>
      <c r="AX116" s="176"/>
      <c r="AY116" s="176"/>
      <c r="AZ116" s="176"/>
      <c r="BA116" s="176"/>
      <c r="BB116" s="176"/>
      <c r="BC116" s="176"/>
      <c r="BD116" s="176"/>
      <c r="BE116" s="176"/>
      <c r="BF116" s="176"/>
      <c r="BG116" s="176"/>
      <c r="BH116" s="176"/>
      <c r="BI116" s="176"/>
      <c r="BJ116" s="176"/>
      <c r="BK116" s="176"/>
      <c r="BL116" s="176"/>
      <c r="BM116" s="176"/>
      <c r="BN116" s="176"/>
      <c r="BO116" s="176"/>
    </row>
    <row r="117" spans="1:67" s="36" customFormat="1" ht="10.5" customHeight="1" x14ac:dyDescent="0.2">
      <c r="A117" s="1120" t="s">
        <v>288</v>
      </c>
      <c r="B117" s="2603"/>
      <c r="C117" s="2604"/>
      <c r="D117" s="2605"/>
      <c r="E117" s="2606">
        <f>SUM(E118:E130)</f>
        <v>0</v>
      </c>
      <c r="F117" s="2607"/>
      <c r="G117" s="2620"/>
      <c r="H117" s="2621"/>
      <c r="I117" s="1121">
        <f>IF(E117=0,0,J117/E117)</f>
        <v>0</v>
      </c>
      <c r="J117" s="1122">
        <f>SUM(J118:J130)</f>
        <v>0</v>
      </c>
      <c r="K117" s="2622">
        <f>IF(E117=0,0,M117/E117*100)</f>
        <v>0</v>
      </c>
      <c r="L117" s="2623"/>
      <c r="M117" s="1318">
        <f>SUM(M118:M130)</f>
        <v>0</v>
      </c>
      <c r="N117" s="503"/>
      <c r="O117" s="178">
        <f>IF(H117="",G117,H117)</f>
        <v>0</v>
      </c>
      <c r="P117" s="366"/>
      <c r="Q117" s="135"/>
      <c r="R117" s="136"/>
      <c r="S117" s="129"/>
      <c r="T117" s="129"/>
      <c r="U117" s="129"/>
      <c r="V117" s="129"/>
      <c r="W117" s="129"/>
      <c r="X117" s="129"/>
      <c r="Y117" s="129"/>
      <c r="Z117" s="133"/>
      <c r="AA117" s="133"/>
      <c r="AB117" s="133"/>
      <c r="AC117" s="133"/>
      <c r="AD117" s="133"/>
      <c r="AE117" s="133"/>
      <c r="AF117" s="222"/>
      <c r="AG117" s="222"/>
      <c r="AH117" s="222"/>
      <c r="AI117" s="176"/>
      <c r="AJ117" s="176"/>
      <c r="AK117" s="176"/>
      <c r="AL117" s="176"/>
      <c r="AM117" s="176"/>
      <c r="AN117" s="176"/>
      <c r="AO117" s="176"/>
      <c r="AP117" s="176"/>
      <c r="AQ117" s="176"/>
      <c r="AR117" s="176"/>
      <c r="AS117" s="176"/>
      <c r="AT117" s="176"/>
      <c r="AU117" s="176"/>
      <c r="AV117" s="176"/>
      <c r="AW117" s="176"/>
      <c r="AX117" s="176"/>
      <c r="AY117" s="176"/>
      <c r="AZ117" s="176"/>
      <c r="BA117" s="176"/>
      <c r="BB117" s="176"/>
      <c r="BC117" s="176"/>
      <c r="BD117" s="176"/>
      <c r="BE117" s="176"/>
      <c r="BF117" s="176"/>
      <c r="BG117" s="176"/>
      <c r="BH117" s="176"/>
      <c r="BI117" s="176"/>
      <c r="BJ117" s="176"/>
      <c r="BK117" s="176"/>
      <c r="BL117" s="176"/>
      <c r="BM117" s="176"/>
      <c r="BN117" s="176"/>
      <c r="BO117" s="176"/>
    </row>
    <row r="118" spans="1:67" s="36" customFormat="1" ht="10.5" customHeight="1" x14ac:dyDescent="0.2">
      <c r="A118" s="1042" t="s">
        <v>289</v>
      </c>
      <c r="B118" s="2624"/>
      <c r="C118" s="2625"/>
      <c r="D118" s="2626"/>
      <c r="E118" s="2386"/>
      <c r="F118" s="2387"/>
      <c r="G118" s="1056">
        <v>30</v>
      </c>
      <c r="H118" s="1057"/>
      <c r="I118" s="1079">
        <f t="shared" ref="I118:I131" si="31">IF($O118&gt;0,-PMT(($I$9),$O118,1),0)</f>
        <v>4.6199342169092869E-2</v>
      </c>
      <c r="J118" s="1080">
        <f t="shared" ref="J118:J130" si="32">ROUND(E118*I118,0)</f>
        <v>0</v>
      </c>
      <c r="K118" s="1060">
        <v>1</v>
      </c>
      <c r="L118" s="1304"/>
      <c r="M118" s="1085">
        <f t="shared" ref="M118:M131" si="33">ROUND(E118/100*IF(ISBLANK(L118),K118,L118),0)</f>
        <v>0</v>
      </c>
      <c r="N118" s="503"/>
      <c r="O118" s="365">
        <f t="shared" ref="O118:O131" si="34">IF(ISBLANK(H118),G118,H118)</f>
        <v>30</v>
      </c>
      <c r="P118" s="366"/>
      <c r="Q118" s="135"/>
      <c r="R118" s="136"/>
      <c r="S118" s="129"/>
      <c r="T118" s="129"/>
      <c r="U118" s="129"/>
      <c r="V118" s="129"/>
      <c r="W118" s="129"/>
      <c r="X118" s="129"/>
      <c r="Y118" s="129"/>
      <c r="Z118" s="133"/>
      <c r="AA118" s="133"/>
      <c r="AB118" s="133"/>
      <c r="AC118" s="133"/>
      <c r="AD118" s="133"/>
      <c r="AE118" s="133"/>
      <c r="AF118" s="222"/>
      <c r="AG118" s="222"/>
      <c r="AH118" s="222"/>
      <c r="AI118" s="176"/>
      <c r="AJ118" s="176"/>
      <c r="AK118" s="176"/>
      <c r="AL118" s="176"/>
      <c r="AM118" s="176"/>
      <c r="AN118" s="176"/>
      <c r="AO118" s="176"/>
      <c r="AP118" s="176"/>
      <c r="AQ118" s="176"/>
      <c r="AR118" s="176"/>
      <c r="AS118" s="176"/>
      <c r="AT118" s="176"/>
      <c r="AU118" s="176"/>
      <c r="AV118" s="176"/>
      <c r="AW118" s="176"/>
      <c r="AX118" s="176"/>
      <c r="AY118" s="176"/>
      <c r="AZ118" s="176"/>
      <c r="BA118" s="176"/>
      <c r="BB118" s="176"/>
      <c r="BC118" s="176"/>
      <c r="BD118" s="176"/>
      <c r="BE118" s="176"/>
      <c r="BF118" s="176"/>
      <c r="BG118" s="176"/>
      <c r="BH118" s="176"/>
      <c r="BI118" s="176"/>
      <c r="BJ118" s="176"/>
      <c r="BK118" s="176"/>
      <c r="BL118" s="176"/>
      <c r="BM118" s="176"/>
      <c r="BN118" s="176"/>
      <c r="BO118" s="176"/>
    </row>
    <row r="119" spans="1:67" s="36" customFormat="1" ht="10.5" customHeight="1" x14ac:dyDescent="0.2">
      <c r="A119" s="1043" t="s">
        <v>290</v>
      </c>
      <c r="B119" s="2594"/>
      <c r="C119" s="2595"/>
      <c r="D119" s="2596"/>
      <c r="E119" s="2395"/>
      <c r="F119" s="2396"/>
      <c r="G119" s="1058">
        <v>20</v>
      </c>
      <c r="H119" s="1059"/>
      <c r="I119" s="1081">
        <f t="shared" si="31"/>
        <v>6.2642070767998229E-2</v>
      </c>
      <c r="J119" s="1082">
        <f t="shared" si="32"/>
        <v>0</v>
      </c>
      <c r="K119" s="1061">
        <v>1</v>
      </c>
      <c r="L119" s="1305"/>
      <c r="M119" s="1086">
        <f t="shared" si="33"/>
        <v>0</v>
      </c>
      <c r="N119" s="503"/>
      <c r="O119" s="365">
        <f t="shared" si="34"/>
        <v>20</v>
      </c>
      <c r="P119" s="366"/>
      <c r="Q119" s="135"/>
      <c r="R119" s="136"/>
      <c r="S119" s="129"/>
      <c r="T119" s="129"/>
      <c r="U119" s="129"/>
      <c r="V119" s="129"/>
      <c r="W119" s="129"/>
      <c r="X119" s="129"/>
      <c r="Y119" s="129"/>
      <c r="Z119" s="133"/>
      <c r="AA119" s="133"/>
      <c r="AB119" s="133"/>
      <c r="AC119" s="133"/>
      <c r="AD119" s="133"/>
      <c r="AE119" s="133"/>
      <c r="AF119" s="222"/>
      <c r="AG119" s="222"/>
      <c r="AH119" s="222"/>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row>
    <row r="120" spans="1:67" s="36" customFormat="1" ht="10.5" customHeight="1" x14ac:dyDescent="0.2">
      <c r="A120" s="1043" t="s">
        <v>291</v>
      </c>
      <c r="B120" s="2594"/>
      <c r="C120" s="2595"/>
      <c r="D120" s="2596"/>
      <c r="E120" s="2395"/>
      <c r="F120" s="2396"/>
      <c r="G120" s="1058">
        <v>30</v>
      </c>
      <c r="H120" s="1059"/>
      <c r="I120" s="1081">
        <f t="shared" si="31"/>
        <v>4.6199342169092869E-2</v>
      </c>
      <c r="J120" s="1082">
        <f t="shared" si="32"/>
        <v>0</v>
      </c>
      <c r="K120" s="1061">
        <v>1</v>
      </c>
      <c r="L120" s="1305"/>
      <c r="M120" s="1086">
        <f t="shared" si="33"/>
        <v>0</v>
      </c>
      <c r="N120" s="503"/>
      <c r="O120" s="365">
        <f t="shared" si="34"/>
        <v>30</v>
      </c>
      <c r="P120" s="366"/>
      <c r="Q120" s="135"/>
      <c r="R120" s="136"/>
      <c r="S120" s="129"/>
      <c r="T120" s="129"/>
      <c r="U120" s="129"/>
      <c r="V120" s="129"/>
      <c r="W120" s="129"/>
      <c r="X120" s="129"/>
      <c r="Y120" s="129"/>
      <c r="Z120" s="133"/>
      <c r="AA120" s="133"/>
      <c r="AB120" s="133"/>
      <c r="AC120" s="133"/>
      <c r="AD120" s="133"/>
      <c r="AE120" s="133"/>
      <c r="AF120" s="222"/>
      <c r="AG120" s="222"/>
      <c r="AH120" s="222"/>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row>
    <row r="121" spans="1:67" s="36" customFormat="1" ht="10.5" customHeight="1" x14ac:dyDescent="0.2">
      <c r="A121" s="1043" t="s">
        <v>292</v>
      </c>
      <c r="B121" s="2594"/>
      <c r="C121" s="2595"/>
      <c r="D121" s="2596"/>
      <c r="E121" s="2395"/>
      <c r="F121" s="2396"/>
      <c r="G121" s="1058">
        <v>20</v>
      </c>
      <c r="H121" s="1059"/>
      <c r="I121" s="1081">
        <f t="shared" si="31"/>
        <v>6.2642070767998229E-2</v>
      </c>
      <c r="J121" s="1082">
        <f t="shared" si="32"/>
        <v>0</v>
      </c>
      <c r="K121" s="1061">
        <v>1.5</v>
      </c>
      <c r="L121" s="1305"/>
      <c r="M121" s="1086">
        <f t="shared" si="33"/>
        <v>0</v>
      </c>
      <c r="N121" s="503"/>
      <c r="O121" s="365">
        <f t="shared" si="34"/>
        <v>20</v>
      </c>
      <c r="P121" s="366"/>
      <c r="Q121" s="135"/>
      <c r="R121" s="136"/>
      <c r="S121" s="129"/>
      <c r="T121" s="129"/>
      <c r="U121" s="129"/>
      <c r="V121" s="129"/>
      <c r="W121" s="129"/>
      <c r="X121" s="129"/>
      <c r="Y121" s="129"/>
      <c r="Z121" s="133"/>
      <c r="AA121" s="133"/>
      <c r="AB121" s="133"/>
      <c r="AC121" s="133"/>
      <c r="AD121" s="133"/>
      <c r="AE121" s="133"/>
      <c r="AF121" s="222"/>
      <c r="AG121" s="222"/>
      <c r="AH121" s="222"/>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row>
    <row r="122" spans="1:67" s="36" customFormat="1" ht="10.5" customHeight="1" x14ac:dyDescent="0.2">
      <c r="A122" s="1043" t="s">
        <v>293</v>
      </c>
      <c r="B122" s="2594"/>
      <c r="C122" s="2595"/>
      <c r="D122" s="2596"/>
      <c r="E122" s="2395"/>
      <c r="F122" s="2396"/>
      <c r="G122" s="1058">
        <v>30</v>
      </c>
      <c r="H122" s="1059"/>
      <c r="I122" s="1081">
        <f t="shared" si="31"/>
        <v>4.6199342169092869E-2</v>
      </c>
      <c r="J122" s="1082">
        <f t="shared" si="32"/>
        <v>0</v>
      </c>
      <c r="K122" s="1061">
        <v>1</v>
      </c>
      <c r="L122" s="1305"/>
      <c r="M122" s="1086">
        <f t="shared" si="33"/>
        <v>0</v>
      </c>
      <c r="N122" s="503"/>
      <c r="O122" s="365">
        <f t="shared" si="34"/>
        <v>30</v>
      </c>
      <c r="P122" s="366"/>
      <c r="Q122" s="135"/>
      <c r="R122" s="136"/>
      <c r="S122" s="129"/>
      <c r="T122" s="129"/>
      <c r="U122" s="129"/>
      <c r="V122" s="129"/>
      <c r="W122" s="129"/>
      <c r="X122" s="129"/>
      <c r="Y122" s="129"/>
      <c r="Z122" s="133"/>
      <c r="AA122" s="133"/>
      <c r="AB122" s="133"/>
      <c r="AC122" s="133"/>
      <c r="AD122" s="133"/>
      <c r="AE122" s="133"/>
      <c r="AF122" s="222"/>
      <c r="AG122" s="222"/>
      <c r="AH122" s="222"/>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row>
    <row r="123" spans="1:67" s="36" customFormat="1" ht="10.5" customHeight="1" x14ac:dyDescent="0.2">
      <c r="A123" s="1043" t="s">
        <v>294</v>
      </c>
      <c r="B123" s="2594"/>
      <c r="C123" s="2595"/>
      <c r="D123" s="2596"/>
      <c r="E123" s="2395"/>
      <c r="F123" s="2396"/>
      <c r="G123" s="1058">
        <v>20</v>
      </c>
      <c r="H123" s="1059"/>
      <c r="I123" s="1081">
        <f t="shared" si="31"/>
        <v>6.2642070767998229E-2</v>
      </c>
      <c r="J123" s="1082">
        <f t="shared" si="32"/>
        <v>0</v>
      </c>
      <c r="K123" s="1061">
        <v>1</v>
      </c>
      <c r="L123" s="1305"/>
      <c r="M123" s="1086">
        <f t="shared" si="33"/>
        <v>0</v>
      </c>
      <c r="N123" s="503"/>
      <c r="O123" s="365">
        <f t="shared" si="34"/>
        <v>20</v>
      </c>
      <c r="P123" s="366"/>
      <c r="Q123" s="135"/>
      <c r="R123" s="136"/>
      <c r="S123" s="129"/>
      <c r="T123" s="129"/>
      <c r="U123" s="129"/>
      <c r="V123" s="129"/>
      <c r="W123" s="129"/>
      <c r="X123" s="129"/>
      <c r="Y123" s="129"/>
      <c r="Z123" s="133"/>
      <c r="AA123" s="133"/>
      <c r="AB123" s="133"/>
      <c r="AC123" s="133"/>
      <c r="AD123" s="133"/>
      <c r="AE123" s="133"/>
      <c r="AF123" s="222"/>
      <c r="AG123" s="222"/>
      <c r="AH123" s="222"/>
      <c r="AI123" s="176"/>
      <c r="AJ123" s="176"/>
      <c r="AK123" s="176"/>
      <c r="AL123" s="176"/>
      <c r="AM123" s="176"/>
      <c r="AN123" s="176"/>
      <c r="AO123" s="176"/>
      <c r="AP123" s="176"/>
      <c r="AQ123" s="176"/>
      <c r="AR123" s="176"/>
      <c r="AS123" s="176"/>
      <c r="AT123" s="176"/>
      <c r="AU123" s="176"/>
      <c r="AV123" s="176"/>
      <c r="AW123" s="176"/>
      <c r="AX123" s="176"/>
      <c r="AY123" s="176"/>
      <c r="AZ123" s="176"/>
      <c r="BA123" s="176"/>
      <c r="BB123" s="176"/>
      <c r="BC123" s="176"/>
      <c r="BD123" s="176"/>
      <c r="BE123" s="176"/>
      <c r="BF123" s="176"/>
      <c r="BG123" s="176"/>
      <c r="BH123" s="176"/>
      <c r="BI123" s="176"/>
      <c r="BJ123" s="176"/>
      <c r="BK123" s="176"/>
      <c r="BL123" s="176"/>
      <c r="BM123" s="176"/>
      <c r="BN123" s="176"/>
      <c r="BO123" s="176"/>
    </row>
    <row r="124" spans="1:67" s="36" customFormat="1" ht="10.5" customHeight="1" x14ac:dyDescent="0.2">
      <c r="A124" s="1043" t="s">
        <v>678</v>
      </c>
      <c r="B124" s="2594"/>
      <c r="C124" s="2595"/>
      <c r="D124" s="2596"/>
      <c r="E124" s="2395"/>
      <c r="F124" s="2396"/>
      <c r="G124" s="1058">
        <v>30</v>
      </c>
      <c r="H124" s="1059"/>
      <c r="I124" s="1081">
        <f t="shared" si="31"/>
        <v>4.6199342169092869E-2</v>
      </c>
      <c r="J124" s="1082">
        <f t="shared" si="32"/>
        <v>0</v>
      </c>
      <c r="K124" s="1061">
        <v>1</v>
      </c>
      <c r="L124" s="1305"/>
      <c r="M124" s="1086">
        <f t="shared" si="33"/>
        <v>0</v>
      </c>
      <c r="N124" s="503"/>
      <c r="O124" s="365">
        <f t="shared" si="34"/>
        <v>30</v>
      </c>
      <c r="P124" s="366"/>
      <c r="Q124" s="135"/>
      <c r="R124" s="136"/>
      <c r="S124" s="129"/>
      <c r="T124" s="129"/>
      <c r="U124" s="129"/>
      <c r="V124" s="129"/>
      <c r="W124" s="129"/>
      <c r="X124" s="129"/>
      <c r="Y124" s="129"/>
      <c r="Z124" s="133"/>
      <c r="AA124" s="133"/>
      <c r="AB124" s="133"/>
      <c r="AC124" s="133"/>
      <c r="AD124" s="133"/>
      <c r="AE124" s="133"/>
      <c r="AF124" s="222"/>
      <c r="AG124" s="222"/>
      <c r="AH124" s="222"/>
      <c r="AI124" s="176"/>
      <c r="AJ124" s="176"/>
      <c r="AK124" s="176"/>
      <c r="AL124" s="176"/>
      <c r="AM124" s="176"/>
      <c r="AN124" s="176"/>
      <c r="AO124" s="176"/>
      <c r="AP124" s="176"/>
      <c r="AQ124" s="176"/>
      <c r="AR124" s="176"/>
      <c r="AS124" s="176"/>
      <c r="AT124" s="176"/>
      <c r="AU124" s="176"/>
      <c r="AV124" s="176"/>
      <c r="AW124" s="176"/>
      <c r="AX124" s="176"/>
      <c r="AY124" s="176"/>
      <c r="AZ124" s="176"/>
      <c r="BA124" s="176"/>
      <c r="BB124" s="176"/>
      <c r="BC124" s="176"/>
      <c r="BD124" s="176"/>
      <c r="BE124" s="176"/>
      <c r="BF124" s="176"/>
      <c r="BG124" s="176"/>
      <c r="BH124" s="176"/>
      <c r="BI124" s="176"/>
      <c r="BJ124" s="176"/>
      <c r="BK124" s="176"/>
      <c r="BL124" s="176"/>
      <c r="BM124" s="176"/>
      <c r="BN124" s="176"/>
      <c r="BO124" s="176"/>
    </row>
    <row r="125" spans="1:67" s="36" customFormat="1" ht="10.5" customHeight="1" x14ac:dyDescent="0.2">
      <c r="A125" s="1043" t="s">
        <v>295</v>
      </c>
      <c r="B125" s="2594"/>
      <c r="C125" s="2595"/>
      <c r="D125" s="2596"/>
      <c r="E125" s="2395"/>
      <c r="F125" s="2396"/>
      <c r="G125" s="1058">
        <v>20</v>
      </c>
      <c r="H125" s="1059"/>
      <c r="I125" s="1081">
        <f t="shared" si="31"/>
        <v>6.2642070767998229E-2</v>
      </c>
      <c r="J125" s="1082">
        <f t="shared" si="32"/>
        <v>0</v>
      </c>
      <c r="K125" s="1061">
        <v>1.5</v>
      </c>
      <c r="L125" s="1305"/>
      <c r="M125" s="1086">
        <f t="shared" si="33"/>
        <v>0</v>
      </c>
      <c r="N125" s="503"/>
      <c r="O125" s="365">
        <f t="shared" si="34"/>
        <v>20</v>
      </c>
      <c r="P125" s="366"/>
      <c r="Q125" s="135"/>
      <c r="R125" s="136"/>
      <c r="S125" s="129"/>
      <c r="T125" s="129"/>
      <c r="U125" s="129"/>
      <c r="V125" s="129"/>
      <c r="W125" s="129"/>
      <c r="X125" s="129"/>
      <c r="Y125" s="129"/>
      <c r="Z125" s="133"/>
      <c r="AA125" s="133"/>
      <c r="AB125" s="133"/>
      <c r="AC125" s="133"/>
      <c r="AD125" s="133"/>
      <c r="AE125" s="133"/>
      <c r="AF125" s="222"/>
      <c r="AG125" s="222"/>
      <c r="AH125" s="222"/>
      <c r="AI125" s="176"/>
      <c r="AJ125" s="176"/>
      <c r="AK125" s="176"/>
      <c r="AL125" s="176"/>
      <c r="AM125" s="176"/>
      <c r="AN125" s="176"/>
      <c r="AO125" s="176"/>
      <c r="AP125" s="176"/>
      <c r="AQ125" s="176"/>
      <c r="AR125" s="176"/>
      <c r="AS125" s="176"/>
      <c r="AT125" s="176"/>
      <c r="AU125" s="176"/>
      <c r="AV125" s="176"/>
      <c r="AW125" s="176"/>
      <c r="AX125" s="176"/>
      <c r="AY125" s="176"/>
      <c r="AZ125" s="176"/>
      <c r="BA125" s="176"/>
      <c r="BB125" s="176"/>
      <c r="BC125" s="176"/>
      <c r="BD125" s="176"/>
      <c r="BE125" s="176"/>
      <c r="BF125" s="176"/>
      <c r="BG125" s="176"/>
      <c r="BH125" s="176"/>
      <c r="BI125" s="176"/>
      <c r="BJ125" s="176"/>
      <c r="BK125" s="176"/>
      <c r="BL125" s="176"/>
      <c r="BM125" s="176"/>
      <c r="BN125" s="176"/>
      <c r="BO125" s="176"/>
    </row>
    <row r="126" spans="1:67" s="36" customFormat="1" ht="10.5" customHeight="1" x14ac:dyDescent="0.2">
      <c r="A126" s="1043" t="s">
        <v>273</v>
      </c>
      <c r="B126" s="2594"/>
      <c r="C126" s="2595"/>
      <c r="D126" s="2596"/>
      <c r="E126" s="2395"/>
      <c r="F126" s="2396"/>
      <c r="G126" s="1058">
        <v>20</v>
      </c>
      <c r="H126" s="1059"/>
      <c r="I126" s="1081">
        <f t="shared" si="31"/>
        <v>6.2642070767998229E-2</v>
      </c>
      <c r="J126" s="1082">
        <f t="shared" si="32"/>
        <v>0</v>
      </c>
      <c r="K126" s="1061">
        <v>8</v>
      </c>
      <c r="L126" s="1305"/>
      <c r="M126" s="1086">
        <f t="shared" si="33"/>
        <v>0</v>
      </c>
      <c r="N126" s="503"/>
      <c r="O126" s="365">
        <f t="shared" si="34"/>
        <v>20</v>
      </c>
      <c r="P126" s="366"/>
      <c r="Q126" s="135"/>
      <c r="R126" s="136"/>
      <c r="S126" s="129"/>
      <c r="T126" s="129"/>
      <c r="U126" s="129"/>
      <c r="V126" s="129"/>
      <c r="W126" s="129"/>
      <c r="X126" s="129"/>
      <c r="Y126" s="129"/>
      <c r="Z126" s="133"/>
      <c r="AA126" s="133"/>
      <c r="AB126" s="133"/>
      <c r="AC126" s="133"/>
      <c r="AD126" s="133"/>
      <c r="AE126" s="133"/>
      <c r="AF126" s="222"/>
      <c r="AG126" s="222"/>
      <c r="AH126" s="222"/>
      <c r="AI126" s="176"/>
      <c r="AJ126" s="176"/>
      <c r="AK126" s="176"/>
      <c r="AL126" s="176"/>
      <c r="AM126" s="176"/>
      <c r="AN126" s="176"/>
      <c r="AO126" s="176"/>
      <c r="AP126" s="176"/>
      <c r="AQ126" s="176"/>
      <c r="AR126" s="176"/>
      <c r="AS126" s="176"/>
      <c r="AT126" s="176"/>
      <c r="AU126" s="176"/>
      <c r="AV126" s="176"/>
      <c r="AW126" s="176"/>
      <c r="AX126" s="176"/>
      <c r="AY126" s="176"/>
      <c r="AZ126" s="176"/>
      <c r="BA126" s="176"/>
      <c r="BB126" s="176"/>
      <c r="BC126" s="176"/>
      <c r="BD126" s="176"/>
      <c r="BE126" s="176"/>
      <c r="BF126" s="176"/>
      <c r="BG126" s="176"/>
      <c r="BH126" s="176"/>
      <c r="BI126" s="176"/>
      <c r="BJ126" s="176"/>
      <c r="BK126" s="176"/>
      <c r="BL126" s="176"/>
      <c r="BM126" s="176"/>
      <c r="BN126" s="176"/>
      <c r="BO126" s="176"/>
    </row>
    <row r="127" spans="1:67" s="36" customFormat="1" ht="10.5" customHeight="1" x14ac:dyDescent="0.2">
      <c r="A127" s="1043" t="s">
        <v>274</v>
      </c>
      <c r="B127" s="2594"/>
      <c r="C127" s="2595"/>
      <c r="D127" s="2596"/>
      <c r="E127" s="2395"/>
      <c r="F127" s="2396"/>
      <c r="G127" s="1058">
        <v>30</v>
      </c>
      <c r="H127" s="1059"/>
      <c r="I127" s="1081">
        <f t="shared" si="31"/>
        <v>4.6199342169092869E-2</v>
      </c>
      <c r="J127" s="1082">
        <f t="shared" si="32"/>
        <v>0</v>
      </c>
      <c r="K127" s="1061"/>
      <c r="L127" s="1305"/>
      <c r="M127" s="1086">
        <f t="shared" si="33"/>
        <v>0</v>
      </c>
      <c r="N127" s="503"/>
      <c r="O127" s="365">
        <f t="shared" si="34"/>
        <v>30</v>
      </c>
      <c r="P127" s="366"/>
      <c r="Q127" s="135"/>
      <c r="R127" s="136"/>
      <c r="S127" s="129"/>
      <c r="T127" s="129"/>
      <c r="U127" s="129"/>
      <c r="V127" s="129"/>
      <c r="W127" s="129"/>
      <c r="X127" s="129"/>
      <c r="Y127" s="129"/>
      <c r="Z127" s="133"/>
      <c r="AA127" s="133"/>
      <c r="AB127" s="133"/>
      <c r="AC127" s="133"/>
      <c r="AD127" s="133"/>
      <c r="AE127" s="133"/>
      <c r="AF127" s="222"/>
      <c r="AG127" s="222"/>
      <c r="AH127" s="222"/>
      <c r="AI127" s="176"/>
      <c r="AJ127" s="176"/>
      <c r="AK127" s="176"/>
      <c r="AL127" s="176"/>
      <c r="AM127" s="176"/>
      <c r="AN127" s="176"/>
      <c r="AO127" s="176"/>
      <c r="AP127" s="176"/>
      <c r="AQ127" s="176"/>
      <c r="AR127" s="176"/>
      <c r="AS127" s="176"/>
      <c r="AT127" s="176"/>
      <c r="AU127" s="176"/>
      <c r="AV127" s="176"/>
      <c r="AW127" s="176"/>
      <c r="AX127" s="176"/>
      <c r="AY127" s="176"/>
      <c r="AZ127" s="176"/>
      <c r="BA127" s="176"/>
      <c r="BB127" s="176"/>
      <c r="BC127" s="176"/>
      <c r="BD127" s="176"/>
      <c r="BE127" s="176"/>
      <c r="BF127" s="176"/>
      <c r="BG127" s="176"/>
      <c r="BH127" s="176"/>
      <c r="BI127" s="176"/>
      <c r="BJ127" s="176"/>
      <c r="BK127" s="176"/>
      <c r="BL127" s="176"/>
      <c r="BM127" s="176"/>
      <c r="BN127" s="176"/>
      <c r="BO127" s="176"/>
    </row>
    <row r="128" spans="1:67" s="36" customFormat="1" ht="10.5" customHeight="1" x14ac:dyDescent="0.2">
      <c r="A128" s="1055"/>
      <c r="B128" s="2594"/>
      <c r="C128" s="2595"/>
      <c r="D128" s="2596"/>
      <c r="E128" s="2395"/>
      <c r="F128" s="2396"/>
      <c r="G128" s="2590"/>
      <c r="H128" s="2591"/>
      <c r="I128" s="1081">
        <f t="shared" si="31"/>
        <v>0</v>
      </c>
      <c r="J128" s="1082">
        <f t="shared" si="32"/>
        <v>0</v>
      </c>
      <c r="K128" s="2588"/>
      <c r="L128" s="2589"/>
      <c r="M128" s="1086">
        <f t="shared" si="33"/>
        <v>0</v>
      </c>
      <c r="N128" s="503"/>
      <c r="O128" s="365">
        <f t="shared" si="34"/>
        <v>0</v>
      </c>
      <c r="P128" s="366"/>
      <c r="Q128" s="135"/>
      <c r="R128" s="136"/>
      <c r="S128" s="129"/>
      <c r="T128" s="129"/>
      <c r="U128" s="129"/>
      <c r="V128" s="129"/>
      <c r="W128" s="129"/>
      <c r="X128" s="129"/>
      <c r="Y128" s="129"/>
      <c r="Z128" s="133"/>
      <c r="AA128" s="133"/>
      <c r="AB128" s="133"/>
      <c r="AC128" s="133"/>
      <c r="AD128" s="133"/>
      <c r="AE128" s="133"/>
      <c r="AF128" s="222"/>
      <c r="AG128" s="222"/>
      <c r="AH128" s="222"/>
      <c r="AI128" s="176"/>
      <c r="AJ128" s="176"/>
      <c r="AK128" s="176"/>
      <c r="AL128" s="176"/>
      <c r="AM128" s="176"/>
      <c r="AN128" s="176"/>
      <c r="AO128" s="176"/>
      <c r="AP128" s="176"/>
      <c r="AQ128" s="176"/>
      <c r="AR128" s="176"/>
      <c r="AS128" s="176"/>
      <c r="AT128" s="176"/>
      <c r="AU128" s="176"/>
      <c r="AV128" s="176"/>
      <c r="AW128" s="176"/>
      <c r="AX128" s="176"/>
      <c r="AY128" s="176"/>
      <c r="AZ128" s="176"/>
      <c r="BA128" s="176"/>
      <c r="BB128" s="176"/>
      <c r="BC128" s="176"/>
      <c r="BD128" s="176"/>
      <c r="BE128" s="176"/>
      <c r="BF128" s="176"/>
      <c r="BG128" s="176"/>
      <c r="BH128" s="176"/>
      <c r="BI128" s="176"/>
      <c r="BJ128" s="176"/>
      <c r="BK128" s="176"/>
      <c r="BL128" s="176"/>
      <c r="BM128" s="176"/>
      <c r="BN128" s="176"/>
      <c r="BO128" s="176"/>
    </row>
    <row r="129" spans="1:67" s="36" customFormat="1" ht="10.5" customHeight="1" x14ac:dyDescent="0.2">
      <c r="A129" s="1055"/>
      <c r="B129" s="2594"/>
      <c r="C129" s="2595"/>
      <c r="D129" s="2596"/>
      <c r="E129" s="2395"/>
      <c r="F129" s="2396"/>
      <c r="G129" s="2590"/>
      <c r="H129" s="2591"/>
      <c r="I129" s="1081">
        <f t="shared" si="31"/>
        <v>0</v>
      </c>
      <c r="J129" s="1082">
        <f t="shared" si="32"/>
        <v>0</v>
      </c>
      <c r="K129" s="2588"/>
      <c r="L129" s="2589"/>
      <c r="M129" s="1086">
        <f t="shared" si="33"/>
        <v>0</v>
      </c>
      <c r="N129" s="503"/>
      <c r="O129" s="365">
        <f t="shared" si="34"/>
        <v>0</v>
      </c>
      <c r="P129" s="366"/>
      <c r="Q129" s="135"/>
      <c r="R129" s="136"/>
      <c r="S129" s="129"/>
      <c r="T129" s="129"/>
      <c r="U129" s="129"/>
      <c r="V129" s="129"/>
      <c r="W129" s="129"/>
      <c r="X129" s="129"/>
      <c r="Y129" s="129"/>
      <c r="Z129" s="133"/>
      <c r="AA129" s="133"/>
      <c r="AB129" s="133"/>
      <c r="AC129" s="133"/>
      <c r="AD129" s="133"/>
      <c r="AE129" s="133"/>
      <c r="AF129" s="222"/>
      <c r="AG129" s="222"/>
      <c r="AH129" s="222"/>
      <c r="AI129" s="176"/>
      <c r="AJ129" s="176"/>
      <c r="AK129" s="176"/>
      <c r="AL129" s="176"/>
      <c r="AM129" s="176"/>
      <c r="AN129" s="176"/>
      <c r="AO129" s="176"/>
      <c r="AP129" s="176"/>
      <c r="AQ129" s="176"/>
      <c r="AR129" s="176"/>
      <c r="AS129" s="176"/>
      <c r="AT129" s="176"/>
      <c r="AU129" s="176"/>
      <c r="AV129" s="176"/>
      <c r="AW129" s="176"/>
      <c r="AX129" s="176"/>
      <c r="AY129" s="176"/>
      <c r="AZ129" s="176"/>
      <c r="BA129" s="176"/>
      <c r="BB129" s="176"/>
      <c r="BC129" s="176"/>
      <c r="BD129" s="176"/>
      <c r="BE129" s="176"/>
      <c r="BF129" s="176"/>
      <c r="BG129" s="176"/>
      <c r="BH129" s="176"/>
      <c r="BI129" s="176"/>
      <c r="BJ129" s="176"/>
      <c r="BK129" s="176"/>
      <c r="BL129" s="176"/>
      <c r="BM129" s="176"/>
      <c r="BN129" s="176"/>
      <c r="BO129" s="176"/>
    </row>
    <row r="130" spans="1:67" s="36" customFormat="1" ht="10.5" customHeight="1" x14ac:dyDescent="0.2">
      <c r="A130" s="1055"/>
      <c r="B130" s="2594"/>
      <c r="C130" s="2595"/>
      <c r="D130" s="2596"/>
      <c r="E130" s="2395"/>
      <c r="F130" s="2396"/>
      <c r="G130" s="2590"/>
      <c r="H130" s="2591"/>
      <c r="I130" s="1081">
        <f t="shared" si="31"/>
        <v>0</v>
      </c>
      <c r="J130" s="1082">
        <f t="shared" si="32"/>
        <v>0</v>
      </c>
      <c r="K130" s="2588"/>
      <c r="L130" s="2589"/>
      <c r="M130" s="1086">
        <f t="shared" si="33"/>
        <v>0</v>
      </c>
      <c r="N130" s="503"/>
      <c r="O130" s="365">
        <f t="shared" si="34"/>
        <v>0</v>
      </c>
      <c r="P130" s="366"/>
      <c r="Q130" s="135"/>
      <c r="R130" s="136"/>
      <c r="S130" s="129"/>
      <c r="T130" s="129"/>
      <c r="U130" s="129"/>
      <c r="V130" s="129"/>
      <c r="W130" s="129"/>
      <c r="X130" s="129"/>
      <c r="Y130" s="129"/>
      <c r="Z130" s="133"/>
      <c r="AA130" s="133"/>
      <c r="AB130" s="133"/>
      <c r="AC130" s="133"/>
      <c r="AD130" s="133"/>
      <c r="AE130" s="133"/>
      <c r="AF130" s="222"/>
      <c r="AG130" s="222"/>
      <c r="AH130" s="222"/>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row>
    <row r="131" spans="1:67" s="36" customFormat="1" ht="10.5" customHeight="1" x14ac:dyDescent="0.2">
      <c r="A131" s="1044"/>
      <c r="B131" s="2608"/>
      <c r="C131" s="2609"/>
      <c r="D131" s="2610"/>
      <c r="E131" s="2601"/>
      <c r="F131" s="2602"/>
      <c r="G131" s="1088"/>
      <c r="H131" s="1089"/>
      <c r="I131" s="1083">
        <f t="shared" si="31"/>
        <v>0</v>
      </c>
      <c r="J131" s="1084"/>
      <c r="K131" s="1087"/>
      <c r="L131" s="1307"/>
      <c r="M131" s="1317">
        <f t="shared" si="33"/>
        <v>0</v>
      </c>
      <c r="N131" s="503"/>
      <c r="O131" s="365">
        <f t="shared" si="34"/>
        <v>0</v>
      </c>
      <c r="P131" s="366"/>
      <c r="Q131" s="135"/>
      <c r="R131" s="136"/>
      <c r="S131" s="129"/>
      <c r="T131" s="129"/>
      <c r="U131" s="129"/>
      <c r="V131" s="129"/>
      <c r="W131" s="129"/>
      <c r="X131" s="129"/>
      <c r="Y131" s="129"/>
      <c r="Z131" s="133"/>
      <c r="AA131" s="133"/>
      <c r="AB131" s="133"/>
      <c r="AC131" s="133"/>
      <c r="AD131" s="133"/>
      <c r="AE131" s="133"/>
      <c r="AF131" s="222"/>
      <c r="AG131" s="222"/>
      <c r="AH131" s="222"/>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row>
    <row r="132" spans="1:67" s="36" customFormat="1" ht="10.5" customHeight="1" x14ac:dyDescent="0.2">
      <c r="A132" s="1120" t="s">
        <v>296</v>
      </c>
      <c r="B132" s="2603"/>
      <c r="C132" s="2604"/>
      <c r="D132" s="2605"/>
      <c r="E132" s="2606">
        <f>SUM(E133:E145)</f>
        <v>0</v>
      </c>
      <c r="F132" s="2607"/>
      <c r="G132" s="2620"/>
      <c r="H132" s="2621"/>
      <c r="I132" s="1121">
        <f>IF(E132=0,0,J132/E132)</f>
        <v>0</v>
      </c>
      <c r="J132" s="1122">
        <f>SUM(J133:J145)</f>
        <v>0</v>
      </c>
      <c r="K132" s="2622">
        <f>IF(E132=0,0,M132/E132*100)</f>
        <v>0</v>
      </c>
      <c r="L132" s="2623"/>
      <c r="M132" s="1318">
        <f>SUM(M133:M145)</f>
        <v>0</v>
      </c>
      <c r="N132" s="503"/>
      <c r="O132" s="178">
        <f>IF(H132="",G132,H132)</f>
        <v>0</v>
      </c>
      <c r="P132" s="366"/>
      <c r="Q132" s="135"/>
      <c r="R132" s="136"/>
      <c r="S132" s="129"/>
      <c r="T132" s="129"/>
      <c r="U132" s="129"/>
      <c r="V132" s="129"/>
      <c r="W132" s="129"/>
      <c r="X132" s="129"/>
      <c r="Y132" s="129"/>
      <c r="Z132" s="133"/>
      <c r="AA132" s="133"/>
      <c r="AB132" s="133"/>
      <c r="AC132" s="133"/>
      <c r="AD132" s="133"/>
      <c r="AE132" s="133"/>
      <c r="AF132" s="222"/>
      <c r="AG132" s="222"/>
      <c r="AH132" s="222"/>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row>
    <row r="133" spans="1:67" s="36" customFormat="1" ht="10.5" customHeight="1" x14ac:dyDescent="0.2">
      <c r="A133" s="1042" t="s">
        <v>297</v>
      </c>
      <c r="B133" s="2624"/>
      <c r="C133" s="2625"/>
      <c r="D133" s="2626"/>
      <c r="E133" s="2386"/>
      <c r="F133" s="2387"/>
      <c r="G133" s="1056">
        <v>40</v>
      </c>
      <c r="H133" s="1057"/>
      <c r="I133" s="1079">
        <f t="shared" ref="I133:I146" si="35">IF($O133&gt;0,-PMT(($I$9),$O133,1),0)</f>
        <v>3.8177378061076156E-2</v>
      </c>
      <c r="J133" s="1080">
        <f t="shared" ref="J133:J145" si="36">ROUND(E133*I133,0)</f>
        <v>0</v>
      </c>
      <c r="K133" s="1060">
        <v>1</v>
      </c>
      <c r="L133" s="1304"/>
      <c r="M133" s="1085">
        <f t="shared" ref="M133:M146" si="37">ROUND(E133/100*IF(ISBLANK(L133),K133,L133),0)</f>
        <v>0</v>
      </c>
      <c r="N133" s="503"/>
      <c r="O133" s="365">
        <f t="shared" ref="O133:O146" si="38">IF(ISBLANK(H133),G133,H133)</f>
        <v>40</v>
      </c>
      <c r="P133" s="366"/>
      <c r="Q133" s="135"/>
      <c r="R133" s="136"/>
      <c r="S133" s="129"/>
      <c r="T133" s="129"/>
      <c r="U133" s="129"/>
      <c r="V133" s="129"/>
      <c r="W133" s="129"/>
      <c r="X133" s="129"/>
      <c r="Y133" s="129"/>
      <c r="Z133" s="133"/>
      <c r="AA133" s="133"/>
      <c r="AB133" s="133"/>
      <c r="AC133" s="133"/>
      <c r="AD133" s="133"/>
      <c r="AE133" s="133"/>
      <c r="AF133" s="222"/>
      <c r="AG133" s="222"/>
      <c r="AH133" s="222"/>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row>
    <row r="134" spans="1:67" s="36" customFormat="1" ht="10.5" customHeight="1" x14ac:dyDescent="0.2">
      <c r="A134" s="1043" t="s">
        <v>298</v>
      </c>
      <c r="B134" s="2594"/>
      <c r="C134" s="2595"/>
      <c r="D134" s="2596"/>
      <c r="E134" s="2395"/>
      <c r="F134" s="2396"/>
      <c r="G134" s="1058">
        <v>30</v>
      </c>
      <c r="H134" s="1059"/>
      <c r="I134" s="1081">
        <f t="shared" si="35"/>
        <v>4.6199342169092869E-2</v>
      </c>
      <c r="J134" s="1082">
        <f t="shared" si="36"/>
        <v>0</v>
      </c>
      <c r="K134" s="1061">
        <v>1</v>
      </c>
      <c r="L134" s="1305"/>
      <c r="M134" s="1086">
        <f t="shared" si="37"/>
        <v>0</v>
      </c>
      <c r="N134" s="503"/>
      <c r="O134" s="365">
        <f t="shared" si="38"/>
        <v>30</v>
      </c>
      <c r="P134" s="366"/>
      <c r="Q134" s="135"/>
      <c r="R134" s="136"/>
      <c r="S134" s="129"/>
      <c r="T134" s="129"/>
      <c r="U134" s="129"/>
      <c r="V134" s="129"/>
      <c r="W134" s="129"/>
      <c r="X134" s="129"/>
      <c r="Y134" s="129"/>
      <c r="Z134" s="133"/>
      <c r="AA134" s="133"/>
      <c r="AB134" s="133"/>
      <c r="AC134" s="133"/>
      <c r="AD134" s="133"/>
      <c r="AE134" s="133"/>
      <c r="AF134" s="222"/>
      <c r="AG134" s="222"/>
      <c r="AH134" s="222"/>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row>
    <row r="135" spans="1:67" s="36" customFormat="1" ht="10.5" customHeight="1" x14ac:dyDescent="0.2">
      <c r="A135" s="1043" t="s">
        <v>299</v>
      </c>
      <c r="B135" s="2594"/>
      <c r="C135" s="2595"/>
      <c r="D135" s="2596"/>
      <c r="E135" s="2395"/>
      <c r="F135" s="2396"/>
      <c r="G135" s="1058">
        <v>40</v>
      </c>
      <c r="H135" s="1059"/>
      <c r="I135" s="1081">
        <f t="shared" si="35"/>
        <v>3.8177378061076156E-2</v>
      </c>
      <c r="J135" s="1082">
        <f t="shared" si="36"/>
        <v>0</v>
      </c>
      <c r="K135" s="1061">
        <v>1</v>
      </c>
      <c r="L135" s="1305"/>
      <c r="M135" s="1086">
        <f t="shared" si="37"/>
        <v>0</v>
      </c>
      <c r="N135" s="503"/>
      <c r="O135" s="365">
        <f t="shared" si="38"/>
        <v>40</v>
      </c>
      <c r="P135" s="366"/>
      <c r="Q135" s="135"/>
      <c r="R135" s="136"/>
      <c r="S135" s="129"/>
      <c r="T135" s="129"/>
      <c r="U135" s="129"/>
      <c r="V135" s="129"/>
      <c r="W135" s="129"/>
      <c r="X135" s="129"/>
      <c r="Y135" s="129"/>
      <c r="Z135" s="133"/>
      <c r="AA135" s="133"/>
      <c r="AB135" s="133"/>
      <c r="AC135" s="133"/>
      <c r="AD135" s="133"/>
      <c r="AE135" s="133"/>
      <c r="AF135" s="222"/>
      <c r="AG135" s="222"/>
      <c r="AH135" s="222"/>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row>
    <row r="136" spans="1:67" s="36" customFormat="1" ht="10.5" customHeight="1" x14ac:dyDescent="0.2">
      <c r="A136" s="1043" t="s">
        <v>300</v>
      </c>
      <c r="B136" s="2594"/>
      <c r="C136" s="2595"/>
      <c r="D136" s="2596"/>
      <c r="E136" s="2395"/>
      <c r="F136" s="2396"/>
      <c r="G136" s="1058">
        <v>20</v>
      </c>
      <c r="H136" s="1059"/>
      <c r="I136" s="1081">
        <f t="shared" si="35"/>
        <v>6.2642070767998229E-2</v>
      </c>
      <c r="J136" s="1082">
        <f t="shared" si="36"/>
        <v>0</v>
      </c>
      <c r="K136" s="1061">
        <v>2</v>
      </c>
      <c r="L136" s="1305"/>
      <c r="M136" s="1086">
        <f t="shared" si="37"/>
        <v>0</v>
      </c>
      <c r="N136" s="503"/>
      <c r="O136" s="365">
        <f t="shared" si="38"/>
        <v>20</v>
      </c>
      <c r="P136" s="366"/>
      <c r="Q136" s="135"/>
      <c r="R136" s="136"/>
      <c r="S136" s="129"/>
      <c r="T136" s="129"/>
      <c r="U136" s="129"/>
      <c r="V136" s="129"/>
      <c r="W136" s="129"/>
      <c r="X136" s="129"/>
      <c r="Y136" s="129"/>
      <c r="Z136" s="133"/>
      <c r="AA136" s="133"/>
      <c r="AB136" s="133"/>
      <c r="AC136" s="133"/>
      <c r="AD136" s="133"/>
      <c r="AE136" s="133"/>
      <c r="AF136" s="222"/>
      <c r="AG136" s="222"/>
      <c r="AH136" s="222"/>
      <c r="AI136" s="176"/>
      <c r="AJ136" s="176"/>
      <c r="AK136" s="176"/>
      <c r="AL136" s="176"/>
      <c r="AM136" s="176"/>
      <c r="AN136" s="176"/>
      <c r="AO136" s="176"/>
      <c r="AP136" s="176"/>
      <c r="AQ136" s="176"/>
      <c r="AR136" s="176"/>
      <c r="AS136" s="176"/>
      <c r="AT136" s="176"/>
      <c r="AU136" s="176"/>
      <c r="AV136" s="176"/>
      <c r="AW136" s="176"/>
      <c r="AX136" s="176"/>
      <c r="AY136" s="176"/>
      <c r="AZ136" s="176"/>
      <c r="BA136" s="176"/>
      <c r="BB136" s="176"/>
      <c r="BC136" s="176"/>
      <c r="BD136" s="176"/>
      <c r="BE136" s="176"/>
      <c r="BF136" s="176"/>
      <c r="BG136" s="176"/>
      <c r="BH136" s="176"/>
      <c r="BI136" s="176"/>
      <c r="BJ136" s="176"/>
      <c r="BK136" s="176"/>
      <c r="BL136" s="176"/>
      <c r="BM136" s="176"/>
      <c r="BN136" s="176"/>
      <c r="BO136" s="176"/>
    </row>
    <row r="137" spans="1:67" s="36" customFormat="1" ht="10.5" customHeight="1" x14ac:dyDescent="0.2">
      <c r="A137" s="1043" t="s">
        <v>301</v>
      </c>
      <c r="B137" s="2594"/>
      <c r="C137" s="2595"/>
      <c r="D137" s="2596"/>
      <c r="E137" s="2395"/>
      <c r="F137" s="2396"/>
      <c r="G137" s="1058">
        <v>20</v>
      </c>
      <c r="H137" s="1059"/>
      <c r="I137" s="1081">
        <f t="shared" si="35"/>
        <v>6.2642070767998229E-2</v>
      </c>
      <c r="J137" s="1082">
        <f t="shared" si="36"/>
        <v>0</v>
      </c>
      <c r="K137" s="1061">
        <v>1.5</v>
      </c>
      <c r="L137" s="1305"/>
      <c r="M137" s="1086">
        <f t="shared" si="37"/>
        <v>0</v>
      </c>
      <c r="N137" s="503"/>
      <c r="O137" s="365">
        <f t="shared" si="38"/>
        <v>20</v>
      </c>
      <c r="P137" s="366"/>
      <c r="Q137" s="135"/>
      <c r="R137" s="136"/>
      <c r="S137" s="129"/>
      <c r="T137" s="129"/>
      <c r="U137" s="129"/>
      <c r="V137" s="129"/>
      <c r="W137" s="129"/>
      <c r="X137" s="129"/>
      <c r="Y137" s="129"/>
      <c r="Z137" s="133"/>
      <c r="AA137" s="133"/>
      <c r="AB137" s="133"/>
      <c r="AC137" s="133"/>
      <c r="AD137" s="133"/>
      <c r="AE137" s="133"/>
      <c r="AF137" s="222"/>
      <c r="AG137" s="222"/>
      <c r="AH137" s="222"/>
      <c r="AI137" s="176"/>
      <c r="AJ137" s="176"/>
      <c r="AK137" s="176"/>
      <c r="AL137" s="176"/>
      <c r="AM137" s="176"/>
      <c r="AN137" s="176"/>
      <c r="AO137" s="176"/>
      <c r="AP137" s="176"/>
      <c r="AQ137" s="176"/>
      <c r="AR137" s="176"/>
      <c r="AS137" s="176"/>
      <c r="AT137" s="176"/>
      <c r="AU137" s="176"/>
      <c r="AV137" s="176"/>
      <c r="AW137" s="176"/>
      <c r="AX137" s="176"/>
      <c r="AY137" s="176"/>
      <c r="AZ137" s="176"/>
      <c r="BA137" s="176"/>
      <c r="BB137" s="176"/>
      <c r="BC137" s="176"/>
      <c r="BD137" s="176"/>
      <c r="BE137" s="176"/>
      <c r="BF137" s="176"/>
      <c r="BG137" s="176"/>
      <c r="BH137" s="176"/>
      <c r="BI137" s="176"/>
      <c r="BJ137" s="176"/>
      <c r="BK137" s="176"/>
      <c r="BL137" s="176"/>
      <c r="BM137" s="176"/>
      <c r="BN137" s="176"/>
      <c r="BO137" s="176"/>
    </row>
    <row r="138" spans="1:67" s="36" customFormat="1" ht="10.5" customHeight="1" x14ac:dyDescent="0.2">
      <c r="A138" s="1043" t="s">
        <v>302</v>
      </c>
      <c r="B138" s="2594"/>
      <c r="C138" s="2595"/>
      <c r="D138" s="2596"/>
      <c r="E138" s="2395"/>
      <c r="F138" s="2396"/>
      <c r="G138" s="1058">
        <v>20</v>
      </c>
      <c r="H138" s="1059"/>
      <c r="I138" s="1081">
        <f t="shared" si="35"/>
        <v>6.2642070767998229E-2</v>
      </c>
      <c r="J138" s="1082">
        <f t="shared" si="36"/>
        <v>0</v>
      </c>
      <c r="K138" s="1061">
        <v>1.5</v>
      </c>
      <c r="L138" s="1305"/>
      <c r="M138" s="1086">
        <f t="shared" si="37"/>
        <v>0</v>
      </c>
      <c r="N138" s="503"/>
      <c r="O138" s="365">
        <f t="shared" si="38"/>
        <v>20</v>
      </c>
      <c r="P138" s="366"/>
      <c r="Q138" s="135"/>
      <c r="R138" s="136"/>
      <c r="S138" s="129"/>
      <c r="T138" s="129"/>
      <c r="U138" s="129"/>
      <c r="V138" s="129"/>
      <c r="W138" s="129"/>
      <c r="X138" s="129"/>
      <c r="Y138" s="129"/>
      <c r="Z138" s="133"/>
      <c r="AA138" s="133"/>
      <c r="AB138" s="133"/>
      <c r="AC138" s="133"/>
      <c r="AD138" s="133"/>
      <c r="AE138" s="133"/>
      <c r="AF138" s="222"/>
      <c r="AG138" s="222"/>
      <c r="AH138" s="222"/>
      <c r="AI138" s="176"/>
      <c r="AJ138" s="176"/>
      <c r="AK138" s="176"/>
      <c r="AL138" s="176"/>
      <c r="AM138" s="176"/>
      <c r="AN138" s="176"/>
      <c r="AO138" s="176"/>
      <c r="AP138" s="176"/>
      <c r="AQ138" s="176"/>
      <c r="AR138" s="176"/>
      <c r="AS138" s="176"/>
      <c r="AT138" s="176"/>
      <c r="AU138" s="176"/>
      <c r="AV138" s="176"/>
      <c r="AW138" s="176"/>
      <c r="AX138" s="176"/>
      <c r="AY138" s="176"/>
      <c r="AZ138" s="176"/>
      <c r="BA138" s="176"/>
      <c r="BB138" s="176"/>
      <c r="BC138" s="176"/>
      <c r="BD138" s="176"/>
      <c r="BE138" s="176"/>
      <c r="BF138" s="176"/>
      <c r="BG138" s="176"/>
      <c r="BH138" s="176"/>
      <c r="BI138" s="176"/>
      <c r="BJ138" s="176"/>
      <c r="BK138" s="176"/>
      <c r="BL138" s="176"/>
      <c r="BM138" s="176"/>
      <c r="BN138" s="176"/>
      <c r="BO138" s="176"/>
    </row>
    <row r="139" spans="1:67" s="36" customFormat="1" ht="10.5" customHeight="1" x14ac:dyDescent="0.2">
      <c r="A139" s="1043" t="s">
        <v>679</v>
      </c>
      <c r="B139" s="2594"/>
      <c r="C139" s="2595"/>
      <c r="D139" s="2596"/>
      <c r="E139" s="2395"/>
      <c r="F139" s="2396"/>
      <c r="G139" s="1058">
        <v>20</v>
      </c>
      <c r="H139" s="1059"/>
      <c r="I139" s="1081">
        <f t="shared" si="35"/>
        <v>6.2642070767998229E-2</v>
      </c>
      <c r="J139" s="1082">
        <f t="shared" si="36"/>
        <v>0</v>
      </c>
      <c r="K139" s="1061">
        <v>2.5</v>
      </c>
      <c r="L139" s="1305"/>
      <c r="M139" s="1086">
        <f t="shared" si="37"/>
        <v>0</v>
      </c>
      <c r="N139" s="503"/>
      <c r="O139" s="365">
        <f t="shared" si="38"/>
        <v>20</v>
      </c>
      <c r="P139" s="366"/>
      <c r="Q139" s="135"/>
      <c r="R139" s="136"/>
      <c r="S139" s="129"/>
      <c r="T139" s="129"/>
      <c r="U139" s="129"/>
      <c r="V139" s="129"/>
      <c r="W139" s="129"/>
      <c r="X139" s="129"/>
      <c r="Y139" s="129"/>
      <c r="Z139" s="133"/>
      <c r="AA139" s="133"/>
      <c r="AB139" s="133"/>
      <c r="AC139" s="133"/>
      <c r="AD139" s="133"/>
      <c r="AE139" s="133"/>
      <c r="AF139" s="222"/>
      <c r="AG139" s="222"/>
      <c r="AH139" s="222"/>
      <c r="AI139" s="176"/>
      <c r="AJ139" s="176"/>
      <c r="AK139" s="176"/>
      <c r="AL139" s="176"/>
      <c r="AM139" s="176"/>
      <c r="AN139" s="176"/>
      <c r="AO139" s="176"/>
      <c r="AP139" s="176"/>
      <c r="AQ139" s="176"/>
      <c r="AR139" s="176"/>
      <c r="AS139" s="176"/>
      <c r="AT139" s="176"/>
      <c r="AU139" s="176"/>
      <c r="AV139" s="176"/>
      <c r="AW139" s="176"/>
      <c r="AX139" s="176"/>
      <c r="AY139" s="176"/>
      <c r="AZ139" s="176"/>
      <c r="BA139" s="176"/>
      <c r="BB139" s="176"/>
      <c r="BC139" s="176"/>
      <c r="BD139" s="176"/>
      <c r="BE139" s="176"/>
      <c r="BF139" s="176"/>
      <c r="BG139" s="176"/>
      <c r="BH139" s="176"/>
      <c r="BI139" s="176"/>
      <c r="BJ139" s="176"/>
      <c r="BK139" s="176"/>
      <c r="BL139" s="176"/>
      <c r="BM139" s="176"/>
      <c r="BN139" s="176"/>
      <c r="BO139" s="176"/>
    </row>
    <row r="140" spans="1:67" s="36" customFormat="1" ht="10.5" customHeight="1" x14ac:dyDescent="0.2">
      <c r="A140" s="1043" t="s">
        <v>273</v>
      </c>
      <c r="B140" s="2594"/>
      <c r="C140" s="2595"/>
      <c r="D140" s="2596"/>
      <c r="E140" s="2395"/>
      <c r="F140" s="2396"/>
      <c r="G140" s="1058">
        <v>20</v>
      </c>
      <c r="H140" s="1059"/>
      <c r="I140" s="1081">
        <f t="shared" si="35"/>
        <v>6.2642070767998229E-2</v>
      </c>
      <c r="J140" s="1082">
        <f t="shared" si="36"/>
        <v>0</v>
      </c>
      <c r="K140" s="1061">
        <v>8</v>
      </c>
      <c r="L140" s="1305"/>
      <c r="M140" s="1086">
        <f t="shared" si="37"/>
        <v>0</v>
      </c>
      <c r="N140" s="503"/>
      <c r="O140" s="365">
        <f t="shared" si="38"/>
        <v>20</v>
      </c>
      <c r="P140" s="366"/>
      <c r="Q140" s="135"/>
      <c r="R140" s="136"/>
      <c r="S140" s="129"/>
      <c r="T140" s="129"/>
      <c r="U140" s="129"/>
      <c r="V140" s="129"/>
      <c r="W140" s="129"/>
      <c r="X140" s="129"/>
      <c r="Y140" s="129"/>
      <c r="Z140" s="133"/>
      <c r="AA140" s="133"/>
      <c r="AB140" s="133"/>
      <c r="AC140" s="133"/>
      <c r="AD140" s="133"/>
      <c r="AE140" s="133"/>
      <c r="AF140" s="222"/>
      <c r="AG140" s="222"/>
      <c r="AH140" s="222"/>
      <c r="AI140" s="176"/>
      <c r="AJ140" s="176"/>
      <c r="AK140" s="176"/>
      <c r="AL140" s="176"/>
      <c r="AM140" s="176"/>
      <c r="AN140" s="176"/>
      <c r="AO140" s="176"/>
      <c r="AP140" s="176"/>
      <c r="AQ140" s="176"/>
      <c r="AR140" s="176"/>
      <c r="AS140" s="176"/>
      <c r="AT140" s="176"/>
      <c r="AU140" s="176"/>
      <c r="AV140" s="176"/>
      <c r="AW140" s="176"/>
      <c r="AX140" s="176"/>
      <c r="AY140" s="176"/>
      <c r="AZ140" s="176"/>
      <c r="BA140" s="176"/>
      <c r="BB140" s="176"/>
      <c r="BC140" s="176"/>
      <c r="BD140" s="176"/>
      <c r="BE140" s="176"/>
      <c r="BF140" s="176"/>
      <c r="BG140" s="176"/>
      <c r="BH140" s="176"/>
      <c r="BI140" s="176"/>
      <c r="BJ140" s="176"/>
      <c r="BK140" s="176"/>
      <c r="BL140" s="176"/>
      <c r="BM140" s="176"/>
      <c r="BN140" s="176"/>
      <c r="BO140" s="176"/>
    </row>
    <row r="141" spans="1:67" s="36" customFormat="1" ht="10.5" customHeight="1" x14ac:dyDescent="0.2">
      <c r="A141" s="1043" t="s">
        <v>274</v>
      </c>
      <c r="B141" s="2594"/>
      <c r="C141" s="2595"/>
      <c r="D141" s="2596"/>
      <c r="E141" s="2395"/>
      <c r="F141" s="2396"/>
      <c r="G141" s="1058">
        <v>30</v>
      </c>
      <c r="H141" s="1059"/>
      <c r="I141" s="1081">
        <f t="shared" si="35"/>
        <v>4.6199342169092869E-2</v>
      </c>
      <c r="J141" s="1082">
        <f t="shared" si="36"/>
        <v>0</v>
      </c>
      <c r="K141" s="1061"/>
      <c r="L141" s="1305"/>
      <c r="M141" s="1086">
        <f t="shared" si="37"/>
        <v>0</v>
      </c>
      <c r="N141" s="503"/>
      <c r="O141" s="365">
        <f t="shared" si="38"/>
        <v>30</v>
      </c>
      <c r="P141" s="366"/>
      <c r="Q141" s="135"/>
      <c r="R141" s="136"/>
      <c r="S141" s="129"/>
      <c r="T141" s="129"/>
      <c r="U141" s="129"/>
      <c r="V141" s="129"/>
      <c r="W141" s="129"/>
      <c r="X141" s="129"/>
      <c r="Y141" s="129"/>
      <c r="Z141" s="133"/>
      <c r="AA141" s="133"/>
      <c r="AB141" s="133"/>
      <c r="AC141" s="133"/>
      <c r="AD141" s="133"/>
      <c r="AE141" s="133"/>
      <c r="AF141" s="222"/>
      <c r="AG141" s="222"/>
      <c r="AH141" s="222"/>
      <c r="AI141" s="176"/>
      <c r="AJ141" s="176"/>
      <c r="AK141" s="176"/>
      <c r="AL141" s="176"/>
      <c r="AM141" s="176"/>
      <c r="AN141" s="176"/>
      <c r="AO141" s="176"/>
      <c r="AP141" s="176"/>
      <c r="AQ141" s="176"/>
      <c r="AR141" s="176"/>
      <c r="AS141" s="176"/>
      <c r="AT141" s="176"/>
      <c r="AU141" s="176"/>
      <c r="AV141" s="176"/>
      <c r="AW141" s="176"/>
      <c r="AX141" s="176"/>
      <c r="AY141" s="176"/>
      <c r="AZ141" s="176"/>
      <c r="BA141" s="176"/>
      <c r="BB141" s="176"/>
      <c r="BC141" s="176"/>
      <c r="BD141" s="176"/>
      <c r="BE141" s="176"/>
      <c r="BF141" s="176"/>
      <c r="BG141" s="176"/>
      <c r="BH141" s="176"/>
      <c r="BI141" s="176"/>
      <c r="BJ141" s="176"/>
      <c r="BK141" s="176"/>
      <c r="BL141" s="176"/>
      <c r="BM141" s="176"/>
      <c r="BN141" s="176"/>
      <c r="BO141" s="176"/>
    </row>
    <row r="142" spans="1:67" s="36" customFormat="1" ht="10.5" customHeight="1" x14ac:dyDescent="0.2">
      <c r="A142" s="1055"/>
      <c r="B142" s="2594"/>
      <c r="C142" s="2595"/>
      <c r="D142" s="2596"/>
      <c r="E142" s="2395"/>
      <c r="F142" s="2396"/>
      <c r="G142" s="2590"/>
      <c r="H142" s="2591"/>
      <c r="I142" s="1081">
        <f t="shared" si="35"/>
        <v>0</v>
      </c>
      <c r="J142" s="1082">
        <f t="shared" si="36"/>
        <v>0</v>
      </c>
      <c r="K142" s="2588"/>
      <c r="L142" s="2589"/>
      <c r="M142" s="1086">
        <f t="shared" si="37"/>
        <v>0</v>
      </c>
      <c r="N142" s="503"/>
      <c r="O142" s="365">
        <f t="shared" si="38"/>
        <v>0</v>
      </c>
      <c r="P142" s="366"/>
      <c r="Q142" s="135"/>
      <c r="R142" s="136"/>
      <c r="S142" s="129"/>
      <c r="T142" s="129"/>
      <c r="U142" s="129"/>
      <c r="V142" s="129"/>
      <c r="W142" s="129"/>
      <c r="X142" s="129"/>
      <c r="Y142" s="129"/>
      <c r="Z142" s="133"/>
      <c r="AA142" s="133"/>
      <c r="AB142" s="133"/>
      <c r="AC142" s="133"/>
      <c r="AD142" s="133"/>
      <c r="AE142" s="133"/>
      <c r="AF142" s="222"/>
      <c r="AG142" s="222"/>
      <c r="AH142" s="222"/>
      <c r="AI142" s="176"/>
      <c r="AJ142" s="176"/>
      <c r="AK142" s="176"/>
      <c r="AL142" s="176"/>
      <c r="AM142" s="176"/>
      <c r="AN142" s="176"/>
      <c r="AO142" s="176"/>
      <c r="AP142" s="176"/>
      <c r="AQ142" s="176"/>
      <c r="AR142" s="176"/>
      <c r="AS142" s="176"/>
      <c r="AT142" s="176"/>
      <c r="AU142" s="176"/>
      <c r="AV142" s="176"/>
      <c r="AW142" s="176"/>
      <c r="AX142" s="176"/>
      <c r="AY142" s="176"/>
      <c r="AZ142" s="176"/>
      <c r="BA142" s="176"/>
      <c r="BB142" s="176"/>
      <c r="BC142" s="176"/>
      <c r="BD142" s="176"/>
      <c r="BE142" s="176"/>
      <c r="BF142" s="176"/>
      <c r="BG142" s="176"/>
      <c r="BH142" s="176"/>
      <c r="BI142" s="176"/>
      <c r="BJ142" s="176"/>
      <c r="BK142" s="176"/>
      <c r="BL142" s="176"/>
      <c r="BM142" s="176"/>
      <c r="BN142" s="176"/>
      <c r="BO142" s="176"/>
    </row>
    <row r="143" spans="1:67" s="36" customFormat="1" ht="10.5" customHeight="1" x14ac:dyDescent="0.2">
      <c r="A143" s="1055"/>
      <c r="B143" s="2594"/>
      <c r="C143" s="2595"/>
      <c r="D143" s="2596"/>
      <c r="E143" s="2395"/>
      <c r="F143" s="2396"/>
      <c r="G143" s="2590"/>
      <c r="H143" s="2591"/>
      <c r="I143" s="1081">
        <f t="shared" si="35"/>
        <v>0</v>
      </c>
      <c r="J143" s="1082">
        <f t="shared" si="36"/>
        <v>0</v>
      </c>
      <c r="K143" s="2588"/>
      <c r="L143" s="2589"/>
      <c r="M143" s="1086">
        <f t="shared" si="37"/>
        <v>0</v>
      </c>
      <c r="N143" s="503"/>
      <c r="O143" s="365">
        <f t="shared" si="38"/>
        <v>0</v>
      </c>
      <c r="P143" s="366"/>
      <c r="Q143" s="135"/>
      <c r="R143" s="136"/>
      <c r="S143" s="129"/>
      <c r="T143" s="129"/>
      <c r="U143" s="129"/>
      <c r="V143" s="129"/>
      <c r="W143" s="129"/>
      <c r="X143" s="129"/>
      <c r="Y143" s="129"/>
      <c r="Z143" s="133"/>
      <c r="AA143" s="133"/>
      <c r="AB143" s="133"/>
      <c r="AC143" s="133"/>
      <c r="AD143" s="133"/>
      <c r="AE143" s="133"/>
      <c r="AF143" s="222"/>
      <c r="AG143" s="222"/>
      <c r="AH143" s="222"/>
      <c r="AI143" s="176"/>
      <c r="AJ143" s="176"/>
      <c r="AK143" s="176"/>
      <c r="AL143" s="176"/>
      <c r="AM143" s="176"/>
      <c r="AN143" s="176"/>
      <c r="AO143" s="176"/>
      <c r="AP143" s="176"/>
      <c r="AQ143" s="176"/>
      <c r="AR143" s="176"/>
      <c r="AS143" s="176"/>
      <c r="AT143" s="176"/>
      <c r="AU143" s="176"/>
      <c r="AV143" s="176"/>
      <c r="AW143" s="176"/>
      <c r="AX143" s="176"/>
      <c r="AY143" s="176"/>
      <c r="AZ143" s="176"/>
      <c r="BA143" s="176"/>
      <c r="BB143" s="176"/>
      <c r="BC143" s="176"/>
      <c r="BD143" s="176"/>
      <c r="BE143" s="176"/>
      <c r="BF143" s="176"/>
      <c r="BG143" s="176"/>
      <c r="BH143" s="176"/>
      <c r="BI143" s="176"/>
      <c r="BJ143" s="176"/>
      <c r="BK143" s="176"/>
      <c r="BL143" s="176"/>
      <c r="BM143" s="176"/>
      <c r="BN143" s="176"/>
      <c r="BO143" s="176"/>
    </row>
    <row r="144" spans="1:67" s="36" customFormat="1" ht="10.5" customHeight="1" x14ac:dyDescent="0.2">
      <c r="A144" s="1055"/>
      <c r="B144" s="2594"/>
      <c r="C144" s="2595"/>
      <c r="D144" s="2596"/>
      <c r="E144" s="2395"/>
      <c r="F144" s="2396"/>
      <c r="G144" s="2590"/>
      <c r="H144" s="2591"/>
      <c r="I144" s="1081">
        <f t="shared" si="35"/>
        <v>0</v>
      </c>
      <c r="J144" s="1082">
        <f t="shared" si="36"/>
        <v>0</v>
      </c>
      <c r="K144" s="2588"/>
      <c r="L144" s="2589"/>
      <c r="M144" s="1086">
        <f t="shared" si="37"/>
        <v>0</v>
      </c>
      <c r="N144" s="503"/>
      <c r="O144" s="365">
        <f t="shared" si="38"/>
        <v>0</v>
      </c>
      <c r="P144" s="366"/>
      <c r="Q144" s="135"/>
      <c r="R144" s="136"/>
      <c r="S144" s="129"/>
      <c r="T144" s="129"/>
      <c r="U144" s="129"/>
      <c r="V144" s="129"/>
      <c r="W144" s="129"/>
      <c r="X144" s="129"/>
      <c r="Y144" s="129"/>
      <c r="Z144" s="133"/>
      <c r="AA144" s="133"/>
      <c r="AB144" s="133"/>
      <c r="AC144" s="133"/>
      <c r="AD144" s="133"/>
      <c r="AE144" s="133"/>
      <c r="AF144" s="222"/>
      <c r="AG144" s="222"/>
      <c r="AH144" s="222"/>
      <c r="AI144" s="176"/>
      <c r="AJ144" s="176"/>
      <c r="AK144" s="176"/>
      <c r="AL144" s="176"/>
      <c r="AM144" s="176"/>
      <c r="AN144" s="176"/>
      <c r="AO144" s="176"/>
      <c r="AP144" s="176"/>
      <c r="AQ144" s="176"/>
      <c r="AR144" s="176"/>
      <c r="AS144" s="176"/>
      <c r="AT144" s="176"/>
      <c r="AU144" s="176"/>
      <c r="AV144" s="176"/>
      <c r="AW144" s="176"/>
      <c r="AX144" s="176"/>
      <c r="AY144" s="176"/>
      <c r="AZ144" s="176"/>
      <c r="BA144" s="176"/>
      <c r="BB144" s="176"/>
      <c r="BC144" s="176"/>
      <c r="BD144" s="176"/>
      <c r="BE144" s="176"/>
      <c r="BF144" s="176"/>
      <c r="BG144" s="176"/>
      <c r="BH144" s="176"/>
      <c r="BI144" s="176"/>
      <c r="BJ144" s="176"/>
      <c r="BK144" s="176"/>
      <c r="BL144" s="176"/>
      <c r="BM144" s="176"/>
      <c r="BN144" s="176"/>
      <c r="BO144" s="176"/>
    </row>
    <row r="145" spans="1:67" s="36" customFormat="1" ht="10.5" customHeight="1" x14ac:dyDescent="0.2">
      <c r="A145" s="1055"/>
      <c r="B145" s="2594"/>
      <c r="C145" s="2595"/>
      <c r="D145" s="2596"/>
      <c r="E145" s="2395"/>
      <c r="F145" s="2396"/>
      <c r="G145" s="2590"/>
      <c r="H145" s="2591"/>
      <c r="I145" s="1081">
        <f t="shared" si="35"/>
        <v>0</v>
      </c>
      <c r="J145" s="1082">
        <f t="shared" si="36"/>
        <v>0</v>
      </c>
      <c r="K145" s="2588"/>
      <c r="L145" s="2589"/>
      <c r="M145" s="1086">
        <f t="shared" si="37"/>
        <v>0</v>
      </c>
      <c r="N145" s="503"/>
      <c r="O145" s="365">
        <f t="shared" si="38"/>
        <v>0</v>
      </c>
      <c r="P145" s="366"/>
      <c r="Q145" s="135"/>
      <c r="R145" s="136"/>
      <c r="S145" s="129"/>
      <c r="T145" s="129"/>
      <c r="U145" s="129"/>
      <c r="V145" s="129"/>
      <c r="W145" s="129"/>
      <c r="X145" s="129"/>
      <c r="Y145" s="129"/>
      <c r="Z145" s="133"/>
      <c r="AA145" s="133"/>
      <c r="AB145" s="133"/>
      <c r="AC145" s="133"/>
      <c r="AD145" s="133"/>
      <c r="AE145" s="133"/>
      <c r="AF145" s="222"/>
      <c r="AG145" s="222"/>
      <c r="AH145" s="222"/>
      <c r="AI145" s="176"/>
      <c r="AJ145" s="176"/>
      <c r="AK145" s="176"/>
      <c r="AL145" s="176"/>
      <c r="AM145" s="176"/>
      <c r="AN145" s="176"/>
      <c r="AO145" s="176"/>
      <c r="AP145" s="176"/>
      <c r="AQ145" s="176"/>
      <c r="AR145" s="176"/>
      <c r="AS145" s="176"/>
      <c r="AT145" s="176"/>
      <c r="AU145" s="176"/>
      <c r="AV145" s="176"/>
      <c r="AW145" s="176"/>
      <c r="AX145" s="176"/>
      <c r="AY145" s="176"/>
      <c r="AZ145" s="176"/>
      <c r="BA145" s="176"/>
      <c r="BB145" s="176"/>
      <c r="BC145" s="176"/>
      <c r="BD145" s="176"/>
      <c r="BE145" s="176"/>
      <c r="BF145" s="176"/>
      <c r="BG145" s="176"/>
      <c r="BH145" s="176"/>
      <c r="BI145" s="176"/>
      <c r="BJ145" s="176"/>
      <c r="BK145" s="176"/>
      <c r="BL145" s="176"/>
      <c r="BM145" s="176"/>
      <c r="BN145" s="176"/>
      <c r="BO145" s="176"/>
    </row>
    <row r="146" spans="1:67" s="36" customFormat="1" ht="10.5" customHeight="1" x14ac:dyDescent="0.2">
      <c r="A146" s="1044"/>
      <c r="B146" s="2608"/>
      <c r="C146" s="2609"/>
      <c r="D146" s="2610"/>
      <c r="E146" s="2601"/>
      <c r="F146" s="2602"/>
      <c r="G146" s="1088"/>
      <c r="H146" s="1089"/>
      <c r="I146" s="1083">
        <f t="shared" si="35"/>
        <v>0</v>
      </c>
      <c r="J146" s="1084"/>
      <c r="K146" s="1087"/>
      <c r="L146" s="1307"/>
      <c r="M146" s="1317">
        <f t="shared" si="37"/>
        <v>0</v>
      </c>
      <c r="N146" s="503"/>
      <c r="O146" s="365">
        <f t="shared" si="38"/>
        <v>0</v>
      </c>
      <c r="P146" s="366"/>
      <c r="Q146" s="135"/>
      <c r="R146" s="136"/>
      <c r="S146" s="129"/>
      <c r="T146" s="129"/>
      <c r="U146" s="129"/>
      <c r="V146" s="129"/>
      <c r="W146" s="129"/>
      <c r="X146" s="129"/>
      <c r="Y146" s="129"/>
      <c r="Z146" s="133"/>
      <c r="AA146" s="133"/>
      <c r="AB146" s="133"/>
      <c r="AC146" s="133"/>
      <c r="AD146" s="133"/>
      <c r="AE146" s="133"/>
      <c r="AF146" s="222"/>
      <c r="AG146" s="222"/>
      <c r="AH146" s="222"/>
      <c r="AI146" s="176"/>
      <c r="AJ146" s="176"/>
      <c r="AK146" s="176"/>
      <c r="AL146" s="176"/>
      <c r="AM146" s="176"/>
      <c r="AN146" s="176"/>
      <c r="AO146" s="176"/>
      <c r="AP146" s="176"/>
      <c r="AQ146" s="176"/>
      <c r="AR146" s="176"/>
      <c r="AS146" s="176"/>
      <c r="AT146" s="176"/>
      <c r="AU146" s="176"/>
      <c r="AV146" s="176"/>
      <c r="AW146" s="176"/>
      <c r="AX146" s="176"/>
      <c r="AY146" s="176"/>
      <c r="AZ146" s="176"/>
      <c r="BA146" s="176"/>
      <c r="BB146" s="176"/>
      <c r="BC146" s="176"/>
      <c r="BD146" s="176"/>
      <c r="BE146" s="176"/>
      <c r="BF146" s="176"/>
      <c r="BG146" s="176"/>
      <c r="BH146" s="176"/>
      <c r="BI146" s="176"/>
      <c r="BJ146" s="176"/>
      <c r="BK146" s="176"/>
      <c r="BL146" s="176"/>
      <c r="BM146" s="176"/>
      <c r="BN146" s="176"/>
      <c r="BO146" s="176"/>
    </row>
    <row r="147" spans="1:67" s="36" customFormat="1" ht="10.5" customHeight="1" x14ac:dyDescent="0.2">
      <c r="A147" s="1120" t="s">
        <v>303</v>
      </c>
      <c r="B147" s="2603"/>
      <c r="C147" s="2604"/>
      <c r="D147" s="2605"/>
      <c r="E147" s="2606">
        <f>SUM(E148:E160)</f>
        <v>0</v>
      </c>
      <c r="F147" s="2607"/>
      <c r="G147" s="2620"/>
      <c r="H147" s="2621"/>
      <c r="I147" s="1121">
        <f>IF(E147=0,0,J147/E147)</f>
        <v>0</v>
      </c>
      <c r="J147" s="1122">
        <f>SUM(J148:J160)</f>
        <v>0</v>
      </c>
      <c r="K147" s="2622">
        <f>IF(E147=0,0,M147/E147*100)</f>
        <v>0</v>
      </c>
      <c r="L147" s="2623"/>
      <c r="M147" s="1318">
        <f>SUM(M148:M160)</f>
        <v>0</v>
      </c>
      <c r="N147" s="503"/>
      <c r="O147" s="178">
        <f>IF(H147="",G147,H147)</f>
        <v>0</v>
      </c>
      <c r="P147" s="366"/>
      <c r="Q147" s="135"/>
      <c r="R147" s="136"/>
      <c r="S147" s="129"/>
      <c r="T147" s="129"/>
      <c r="U147" s="129"/>
      <c r="V147" s="129"/>
      <c r="W147" s="129"/>
      <c r="X147" s="129"/>
      <c r="Y147" s="129"/>
      <c r="Z147" s="133"/>
      <c r="AA147" s="133"/>
      <c r="AB147" s="133"/>
      <c r="AC147" s="133"/>
      <c r="AD147" s="133"/>
      <c r="AE147" s="133"/>
      <c r="AF147" s="222"/>
      <c r="AG147" s="222"/>
      <c r="AH147" s="222"/>
      <c r="AI147" s="176"/>
      <c r="AJ147" s="176"/>
      <c r="AK147" s="176"/>
      <c r="AL147" s="176"/>
      <c r="AM147" s="176"/>
      <c r="AN147" s="176"/>
      <c r="AO147" s="176"/>
      <c r="AP147" s="176"/>
      <c r="AQ147" s="176"/>
      <c r="AR147" s="176"/>
      <c r="AS147" s="176"/>
      <c r="AT147" s="176"/>
      <c r="AU147" s="176"/>
      <c r="AV147" s="176"/>
      <c r="AW147" s="176"/>
      <c r="AX147" s="176"/>
      <c r="AY147" s="176"/>
      <c r="AZ147" s="176"/>
      <c r="BA147" s="176"/>
      <c r="BB147" s="176"/>
      <c r="BC147" s="176"/>
      <c r="BD147" s="176"/>
      <c r="BE147" s="176"/>
      <c r="BF147" s="176"/>
      <c r="BG147" s="176"/>
      <c r="BH147" s="176"/>
      <c r="BI147" s="176"/>
      <c r="BJ147" s="176"/>
      <c r="BK147" s="176"/>
      <c r="BL147" s="176"/>
      <c r="BM147" s="176"/>
      <c r="BN147" s="176"/>
      <c r="BO147" s="176"/>
    </row>
    <row r="148" spans="1:67" s="36" customFormat="1" ht="10.5" customHeight="1" x14ac:dyDescent="0.2">
      <c r="A148" s="1042" t="s">
        <v>304</v>
      </c>
      <c r="B148" s="2624"/>
      <c r="C148" s="2625"/>
      <c r="D148" s="2626"/>
      <c r="E148" s="2386"/>
      <c r="F148" s="2387"/>
      <c r="G148" s="1056">
        <v>15</v>
      </c>
      <c r="H148" s="1057"/>
      <c r="I148" s="1079">
        <f t="shared" ref="I148:I161" si="39">IF($O148&gt;0,-PMT(($I$9),$O148,1),0)</f>
        <v>7.9288524964265278E-2</v>
      </c>
      <c r="J148" s="1080">
        <f t="shared" ref="J148:J160" si="40">ROUND(E148*I148,0)</f>
        <v>0</v>
      </c>
      <c r="K148" s="1060">
        <v>3</v>
      </c>
      <c r="L148" s="1304"/>
      <c r="M148" s="1085">
        <f t="shared" ref="M148:M161" si="41">ROUND(E148/100*IF(ISBLANK(L148),K148,L148),0)</f>
        <v>0</v>
      </c>
      <c r="N148" s="503"/>
      <c r="O148" s="365">
        <f t="shared" ref="O148:O161" si="42">IF(ISBLANK(H148),G148,H148)</f>
        <v>15</v>
      </c>
      <c r="P148" s="366"/>
      <c r="Q148" s="135"/>
      <c r="R148" s="136"/>
      <c r="S148" s="129"/>
      <c r="T148" s="129"/>
      <c r="U148" s="129"/>
      <c r="V148" s="129"/>
      <c r="W148" s="129"/>
      <c r="X148" s="129"/>
      <c r="Y148" s="129"/>
      <c r="Z148" s="133"/>
      <c r="AA148" s="133"/>
      <c r="AB148" s="133"/>
      <c r="AC148" s="133"/>
      <c r="AD148" s="133"/>
      <c r="AE148" s="133"/>
      <c r="AF148" s="222"/>
      <c r="AG148" s="222"/>
      <c r="AH148" s="222"/>
      <c r="AI148" s="176"/>
      <c r="AJ148" s="176"/>
      <c r="AK148" s="176"/>
      <c r="AL148" s="176"/>
      <c r="AM148" s="176"/>
      <c r="AN148" s="176"/>
      <c r="AO148" s="176"/>
      <c r="AP148" s="176"/>
      <c r="AQ148" s="176"/>
      <c r="AR148" s="176"/>
      <c r="AS148" s="176"/>
      <c r="AT148" s="176"/>
      <c r="AU148" s="176"/>
      <c r="AV148" s="176"/>
      <c r="AW148" s="176"/>
      <c r="AX148" s="176"/>
      <c r="AY148" s="176"/>
      <c r="AZ148" s="176"/>
      <c r="BA148" s="176"/>
      <c r="BB148" s="176"/>
      <c r="BC148" s="176"/>
      <c r="BD148" s="176"/>
      <c r="BE148" s="176"/>
      <c r="BF148" s="176"/>
      <c r="BG148" s="176"/>
      <c r="BH148" s="176"/>
      <c r="BI148" s="176"/>
      <c r="BJ148" s="176"/>
      <c r="BK148" s="176"/>
      <c r="BL148" s="176"/>
      <c r="BM148" s="176"/>
      <c r="BN148" s="176"/>
      <c r="BO148" s="176"/>
    </row>
    <row r="149" spans="1:67" s="36" customFormat="1" ht="10.5" customHeight="1" x14ac:dyDescent="0.2">
      <c r="A149" s="1043" t="s">
        <v>305</v>
      </c>
      <c r="B149" s="2594"/>
      <c r="C149" s="2595"/>
      <c r="D149" s="2596"/>
      <c r="E149" s="2395"/>
      <c r="F149" s="2396"/>
      <c r="G149" s="1058">
        <v>15</v>
      </c>
      <c r="H149" s="1059"/>
      <c r="I149" s="1081">
        <f t="shared" si="39"/>
        <v>7.9288524964265278E-2</v>
      </c>
      <c r="J149" s="1082">
        <f t="shared" si="40"/>
        <v>0</v>
      </c>
      <c r="K149" s="1061">
        <v>3</v>
      </c>
      <c r="L149" s="1305"/>
      <c r="M149" s="1086">
        <f t="shared" si="41"/>
        <v>0</v>
      </c>
      <c r="N149" s="503"/>
      <c r="O149" s="365">
        <f t="shared" si="42"/>
        <v>15</v>
      </c>
      <c r="P149" s="366"/>
      <c r="Q149" s="135"/>
      <c r="R149" s="136"/>
      <c r="S149" s="129"/>
      <c r="T149" s="129"/>
      <c r="U149" s="129"/>
      <c r="V149" s="129"/>
      <c r="W149" s="129"/>
      <c r="X149" s="129"/>
      <c r="Y149" s="129"/>
      <c r="Z149" s="133"/>
      <c r="AA149" s="133"/>
      <c r="AB149" s="133"/>
      <c r="AC149" s="133"/>
      <c r="AD149" s="133"/>
      <c r="AE149" s="133"/>
      <c r="AF149" s="222"/>
      <c r="AG149" s="222"/>
      <c r="AH149" s="222"/>
      <c r="AI149" s="176"/>
      <c r="AJ149" s="176"/>
      <c r="AK149" s="176"/>
      <c r="AL149" s="176"/>
      <c r="AM149" s="176"/>
      <c r="AN149" s="176"/>
      <c r="AO149" s="176"/>
      <c r="AP149" s="176"/>
      <c r="AQ149" s="176"/>
      <c r="AR149" s="176"/>
      <c r="AS149" s="176"/>
      <c r="AT149" s="176"/>
      <c r="AU149" s="176"/>
      <c r="AV149" s="176"/>
      <c r="AW149" s="176"/>
      <c r="AX149" s="176"/>
      <c r="AY149" s="176"/>
      <c r="AZ149" s="176"/>
      <c r="BA149" s="176"/>
      <c r="BB149" s="176"/>
      <c r="BC149" s="176"/>
      <c r="BD149" s="176"/>
      <c r="BE149" s="176"/>
      <c r="BF149" s="176"/>
      <c r="BG149" s="176"/>
      <c r="BH149" s="176"/>
      <c r="BI149" s="176"/>
      <c r="BJ149" s="176"/>
      <c r="BK149" s="176"/>
      <c r="BL149" s="176"/>
      <c r="BM149" s="176"/>
      <c r="BN149" s="176"/>
      <c r="BO149" s="176"/>
    </row>
    <row r="150" spans="1:67" s="36" customFormat="1" ht="10.5" customHeight="1" x14ac:dyDescent="0.2">
      <c r="A150" s="1043" t="s">
        <v>306</v>
      </c>
      <c r="B150" s="2594"/>
      <c r="C150" s="2595"/>
      <c r="D150" s="2596"/>
      <c r="E150" s="2395"/>
      <c r="F150" s="2396"/>
      <c r="G150" s="1058">
        <v>15</v>
      </c>
      <c r="H150" s="1059"/>
      <c r="I150" s="1081">
        <f t="shared" si="39"/>
        <v>7.9288524964265278E-2</v>
      </c>
      <c r="J150" s="1082">
        <f t="shared" si="40"/>
        <v>0</v>
      </c>
      <c r="K150" s="1061">
        <v>3</v>
      </c>
      <c r="L150" s="1305"/>
      <c r="M150" s="1086">
        <f t="shared" si="41"/>
        <v>0</v>
      </c>
      <c r="N150" s="503"/>
      <c r="O150" s="365">
        <f t="shared" si="42"/>
        <v>15</v>
      </c>
      <c r="P150" s="366"/>
      <c r="Q150" s="135"/>
      <c r="R150" s="136"/>
      <c r="S150" s="129"/>
      <c r="T150" s="129"/>
      <c r="U150" s="129"/>
      <c r="V150" s="129"/>
      <c r="W150" s="129"/>
      <c r="X150" s="129"/>
      <c r="Y150" s="129"/>
      <c r="Z150" s="133"/>
      <c r="AA150" s="133"/>
      <c r="AB150" s="133"/>
      <c r="AC150" s="133"/>
      <c r="AD150" s="133"/>
      <c r="AE150" s="133"/>
      <c r="AF150" s="222"/>
      <c r="AG150" s="222"/>
      <c r="AH150" s="222"/>
      <c r="AI150" s="176"/>
      <c r="AJ150" s="176"/>
      <c r="AK150" s="176"/>
      <c r="AL150" s="176"/>
      <c r="AM150" s="176"/>
      <c r="AN150" s="176"/>
      <c r="AO150" s="176"/>
      <c r="AP150" s="176"/>
      <c r="AQ150" s="176"/>
      <c r="AR150" s="176"/>
      <c r="AS150" s="176"/>
      <c r="AT150" s="176"/>
      <c r="AU150" s="176"/>
      <c r="AV150" s="176"/>
      <c r="AW150" s="176"/>
      <c r="AX150" s="176"/>
      <c r="AY150" s="176"/>
      <c r="AZ150" s="176"/>
      <c r="BA150" s="176"/>
      <c r="BB150" s="176"/>
      <c r="BC150" s="176"/>
      <c r="BD150" s="176"/>
      <c r="BE150" s="176"/>
      <c r="BF150" s="176"/>
      <c r="BG150" s="176"/>
      <c r="BH150" s="176"/>
      <c r="BI150" s="176"/>
      <c r="BJ150" s="176"/>
      <c r="BK150" s="176"/>
      <c r="BL150" s="176"/>
      <c r="BM150" s="176"/>
      <c r="BN150" s="176"/>
      <c r="BO150" s="176"/>
    </row>
    <row r="151" spans="1:67" s="36" customFormat="1" ht="10.5" customHeight="1" x14ac:dyDescent="0.2">
      <c r="A151" s="1043" t="s">
        <v>307</v>
      </c>
      <c r="B151" s="2594"/>
      <c r="C151" s="2595"/>
      <c r="D151" s="2596"/>
      <c r="E151" s="2395"/>
      <c r="F151" s="2396"/>
      <c r="G151" s="1058">
        <v>15</v>
      </c>
      <c r="H151" s="1059"/>
      <c r="I151" s="1081">
        <f t="shared" si="39"/>
        <v>7.9288524964265278E-2</v>
      </c>
      <c r="J151" s="1082">
        <f t="shared" si="40"/>
        <v>0</v>
      </c>
      <c r="K151" s="1061">
        <v>3</v>
      </c>
      <c r="L151" s="1305"/>
      <c r="M151" s="1086">
        <f t="shared" si="41"/>
        <v>0</v>
      </c>
      <c r="N151" s="503"/>
      <c r="O151" s="365">
        <f t="shared" si="42"/>
        <v>15</v>
      </c>
      <c r="P151" s="366"/>
      <c r="Q151" s="135"/>
      <c r="R151" s="136"/>
      <c r="S151" s="129"/>
      <c r="T151" s="129"/>
      <c r="U151" s="129"/>
      <c r="V151" s="129"/>
      <c r="W151" s="129"/>
      <c r="X151" s="129"/>
      <c r="Y151" s="129"/>
      <c r="Z151" s="133"/>
      <c r="AA151" s="133"/>
      <c r="AB151" s="133"/>
      <c r="AC151" s="133"/>
      <c r="AD151" s="133"/>
      <c r="AE151" s="133"/>
      <c r="AF151" s="222"/>
      <c r="AG151" s="222"/>
      <c r="AH151" s="222"/>
      <c r="AI151" s="176"/>
      <c r="AJ151" s="176"/>
      <c r="AK151" s="176"/>
      <c r="AL151" s="176"/>
      <c r="AM151" s="176"/>
      <c r="AN151" s="176"/>
      <c r="AO151" s="176"/>
      <c r="AP151" s="176"/>
      <c r="AQ151" s="176"/>
      <c r="AR151" s="176"/>
      <c r="AS151" s="176"/>
      <c r="AT151" s="176"/>
      <c r="AU151" s="176"/>
      <c r="AV151" s="176"/>
      <c r="AW151" s="176"/>
      <c r="AX151" s="176"/>
      <c r="AY151" s="176"/>
      <c r="AZ151" s="176"/>
      <c r="BA151" s="176"/>
      <c r="BB151" s="176"/>
      <c r="BC151" s="176"/>
      <c r="BD151" s="176"/>
      <c r="BE151" s="176"/>
      <c r="BF151" s="176"/>
      <c r="BG151" s="176"/>
      <c r="BH151" s="176"/>
      <c r="BI151" s="176"/>
      <c r="BJ151" s="176"/>
      <c r="BK151" s="176"/>
      <c r="BL151" s="176"/>
      <c r="BM151" s="176"/>
      <c r="BN151" s="176"/>
      <c r="BO151" s="176"/>
    </row>
    <row r="152" spans="1:67" s="36" customFormat="1" ht="10.5" customHeight="1" x14ac:dyDescent="0.2">
      <c r="A152" s="1055"/>
      <c r="B152" s="2594"/>
      <c r="C152" s="2595"/>
      <c r="D152" s="2596"/>
      <c r="E152" s="2395"/>
      <c r="F152" s="2396"/>
      <c r="G152" s="2590"/>
      <c r="H152" s="2591"/>
      <c r="I152" s="1081">
        <f t="shared" si="39"/>
        <v>0</v>
      </c>
      <c r="J152" s="1082">
        <f t="shared" si="40"/>
        <v>0</v>
      </c>
      <c r="K152" s="2588"/>
      <c r="L152" s="2589"/>
      <c r="M152" s="1086">
        <f t="shared" si="41"/>
        <v>0</v>
      </c>
      <c r="N152" s="503"/>
      <c r="O152" s="365">
        <f t="shared" si="42"/>
        <v>0</v>
      </c>
      <c r="P152" s="366"/>
      <c r="Q152" s="135"/>
      <c r="R152" s="136"/>
      <c r="S152" s="129"/>
      <c r="T152" s="129"/>
      <c r="U152" s="129"/>
      <c r="V152" s="129"/>
      <c r="W152" s="129"/>
      <c r="X152" s="129"/>
      <c r="Y152" s="129"/>
      <c r="Z152" s="133"/>
      <c r="AA152" s="133"/>
      <c r="AB152" s="133"/>
      <c r="AC152" s="133"/>
      <c r="AD152" s="133"/>
      <c r="AE152" s="133"/>
      <c r="AF152" s="222"/>
      <c r="AG152" s="222"/>
      <c r="AH152" s="222"/>
      <c r="AI152" s="176"/>
      <c r="AJ152" s="176"/>
      <c r="AK152" s="176"/>
      <c r="AL152" s="176"/>
      <c r="AM152" s="176"/>
      <c r="AN152" s="176"/>
      <c r="AO152" s="176"/>
      <c r="AP152" s="176"/>
      <c r="AQ152" s="176"/>
      <c r="AR152" s="176"/>
      <c r="AS152" s="176"/>
      <c r="AT152" s="176"/>
      <c r="AU152" s="176"/>
      <c r="AV152" s="176"/>
      <c r="AW152" s="176"/>
      <c r="AX152" s="176"/>
      <c r="AY152" s="176"/>
      <c r="AZ152" s="176"/>
      <c r="BA152" s="176"/>
      <c r="BB152" s="176"/>
      <c r="BC152" s="176"/>
      <c r="BD152" s="176"/>
      <c r="BE152" s="176"/>
      <c r="BF152" s="176"/>
      <c r="BG152" s="176"/>
      <c r="BH152" s="176"/>
      <c r="BI152" s="176"/>
      <c r="BJ152" s="176"/>
      <c r="BK152" s="176"/>
      <c r="BL152" s="176"/>
      <c r="BM152" s="176"/>
      <c r="BN152" s="176"/>
      <c r="BO152" s="176"/>
    </row>
    <row r="153" spans="1:67" s="36" customFormat="1" ht="10.5" customHeight="1" x14ac:dyDescent="0.2">
      <c r="A153" s="1055"/>
      <c r="B153" s="2594"/>
      <c r="C153" s="2595"/>
      <c r="D153" s="2596"/>
      <c r="E153" s="2395"/>
      <c r="F153" s="2396"/>
      <c r="G153" s="2590"/>
      <c r="H153" s="2591"/>
      <c r="I153" s="1081">
        <f t="shared" si="39"/>
        <v>0</v>
      </c>
      <c r="J153" s="1082">
        <f t="shared" si="40"/>
        <v>0</v>
      </c>
      <c r="K153" s="2588"/>
      <c r="L153" s="2589"/>
      <c r="M153" s="1086">
        <f t="shared" si="41"/>
        <v>0</v>
      </c>
      <c r="N153" s="503"/>
      <c r="O153" s="365">
        <f t="shared" si="42"/>
        <v>0</v>
      </c>
      <c r="P153" s="366"/>
      <c r="Q153" s="135"/>
      <c r="R153" s="136"/>
      <c r="S153" s="129"/>
      <c r="T153" s="129"/>
      <c r="U153" s="129"/>
      <c r="V153" s="129"/>
      <c r="W153" s="129"/>
      <c r="X153" s="129"/>
      <c r="Y153" s="129"/>
      <c r="Z153" s="133"/>
      <c r="AA153" s="133"/>
      <c r="AB153" s="133"/>
      <c r="AC153" s="133"/>
      <c r="AD153" s="133"/>
      <c r="AE153" s="133"/>
      <c r="AF153" s="222"/>
      <c r="AG153" s="222"/>
      <c r="AH153" s="222"/>
      <c r="AI153" s="176"/>
      <c r="AJ153" s="176"/>
      <c r="AK153" s="176"/>
      <c r="AL153" s="176"/>
      <c r="AM153" s="176"/>
      <c r="AN153" s="176"/>
      <c r="AO153" s="176"/>
      <c r="AP153" s="176"/>
      <c r="AQ153" s="176"/>
      <c r="AR153" s="176"/>
      <c r="AS153" s="176"/>
      <c r="AT153" s="176"/>
      <c r="AU153" s="176"/>
      <c r="AV153" s="176"/>
      <c r="AW153" s="176"/>
      <c r="AX153" s="176"/>
      <c r="AY153" s="176"/>
      <c r="AZ153" s="176"/>
      <c r="BA153" s="176"/>
      <c r="BB153" s="176"/>
      <c r="BC153" s="176"/>
      <c r="BD153" s="176"/>
      <c r="BE153" s="176"/>
      <c r="BF153" s="176"/>
      <c r="BG153" s="176"/>
      <c r="BH153" s="176"/>
      <c r="BI153" s="176"/>
      <c r="BJ153" s="176"/>
      <c r="BK153" s="176"/>
      <c r="BL153" s="176"/>
      <c r="BM153" s="176"/>
      <c r="BN153" s="176"/>
      <c r="BO153" s="176"/>
    </row>
    <row r="154" spans="1:67" s="36" customFormat="1" ht="10.5" customHeight="1" x14ac:dyDescent="0.2">
      <c r="A154" s="1055"/>
      <c r="B154" s="2594"/>
      <c r="C154" s="2595"/>
      <c r="D154" s="2596"/>
      <c r="E154" s="2395"/>
      <c r="F154" s="2396"/>
      <c r="G154" s="2590"/>
      <c r="H154" s="2591"/>
      <c r="I154" s="1081">
        <f t="shared" si="39"/>
        <v>0</v>
      </c>
      <c r="J154" s="1082">
        <f t="shared" si="40"/>
        <v>0</v>
      </c>
      <c r="K154" s="2588"/>
      <c r="L154" s="2589"/>
      <c r="M154" s="1086">
        <f t="shared" si="41"/>
        <v>0</v>
      </c>
      <c r="N154" s="503"/>
      <c r="O154" s="365">
        <f t="shared" si="42"/>
        <v>0</v>
      </c>
      <c r="P154" s="366"/>
      <c r="Q154" s="135"/>
      <c r="R154" s="136"/>
      <c r="S154" s="129"/>
      <c r="T154" s="129"/>
      <c r="U154" s="129"/>
      <c r="V154" s="129"/>
      <c r="W154" s="129"/>
      <c r="X154" s="129"/>
      <c r="Y154" s="129"/>
      <c r="Z154" s="133"/>
      <c r="AA154" s="133"/>
      <c r="AB154" s="133"/>
      <c r="AC154" s="133"/>
      <c r="AD154" s="133"/>
      <c r="AE154" s="133"/>
      <c r="AF154" s="222"/>
      <c r="AG154" s="222"/>
      <c r="AH154" s="222"/>
      <c r="AI154" s="176"/>
      <c r="AJ154" s="176"/>
      <c r="AK154" s="176"/>
      <c r="AL154" s="176"/>
      <c r="AM154" s="176"/>
      <c r="AN154" s="176"/>
      <c r="AO154" s="176"/>
      <c r="AP154" s="176"/>
      <c r="AQ154" s="176"/>
      <c r="AR154" s="176"/>
      <c r="AS154" s="176"/>
      <c r="AT154" s="176"/>
      <c r="AU154" s="176"/>
      <c r="AV154" s="176"/>
      <c r="AW154" s="176"/>
      <c r="AX154" s="176"/>
      <c r="AY154" s="176"/>
      <c r="AZ154" s="176"/>
      <c r="BA154" s="176"/>
      <c r="BB154" s="176"/>
      <c r="BC154" s="176"/>
      <c r="BD154" s="176"/>
      <c r="BE154" s="176"/>
      <c r="BF154" s="176"/>
      <c r="BG154" s="176"/>
      <c r="BH154" s="176"/>
      <c r="BI154" s="176"/>
      <c r="BJ154" s="176"/>
      <c r="BK154" s="176"/>
      <c r="BL154" s="176"/>
      <c r="BM154" s="176"/>
      <c r="BN154" s="176"/>
      <c r="BO154" s="176"/>
    </row>
    <row r="155" spans="1:67" s="36" customFormat="1" ht="10.5" customHeight="1" x14ac:dyDescent="0.2">
      <c r="A155" s="1055"/>
      <c r="B155" s="2594"/>
      <c r="C155" s="2595"/>
      <c r="D155" s="2596"/>
      <c r="E155" s="2395"/>
      <c r="F155" s="2396"/>
      <c r="G155" s="2590"/>
      <c r="H155" s="2591"/>
      <c r="I155" s="1081">
        <f t="shared" si="39"/>
        <v>0</v>
      </c>
      <c r="J155" s="1082">
        <f t="shared" si="40"/>
        <v>0</v>
      </c>
      <c r="K155" s="2588"/>
      <c r="L155" s="2589"/>
      <c r="M155" s="1086">
        <f t="shared" si="41"/>
        <v>0</v>
      </c>
      <c r="N155" s="503"/>
      <c r="O155" s="365">
        <f t="shared" si="42"/>
        <v>0</v>
      </c>
      <c r="P155" s="366"/>
      <c r="Q155" s="135"/>
      <c r="R155" s="136"/>
      <c r="S155" s="129"/>
      <c r="T155" s="129"/>
      <c r="U155" s="129"/>
      <c r="V155" s="129"/>
      <c r="W155" s="129"/>
      <c r="X155" s="129"/>
      <c r="Y155" s="129"/>
      <c r="Z155" s="133"/>
      <c r="AA155" s="133"/>
      <c r="AB155" s="133"/>
      <c r="AC155" s="133"/>
      <c r="AD155" s="133"/>
      <c r="AE155" s="133"/>
      <c r="AF155" s="222"/>
      <c r="AG155" s="222"/>
      <c r="AH155" s="222"/>
      <c r="AI155" s="176"/>
      <c r="AJ155" s="176"/>
      <c r="AK155" s="176"/>
      <c r="AL155" s="176"/>
      <c r="AM155" s="176"/>
      <c r="AN155" s="176"/>
      <c r="AO155" s="176"/>
      <c r="AP155" s="176"/>
      <c r="AQ155" s="176"/>
      <c r="AR155" s="176"/>
      <c r="AS155" s="176"/>
      <c r="AT155" s="176"/>
      <c r="AU155" s="176"/>
      <c r="AV155" s="176"/>
      <c r="AW155" s="176"/>
      <c r="AX155" s="176"/>
      <c r="AY155" s="176"/>
      <c r="AZ155" s="176"/>
      <c r="BA155" s="176"/>
      <c r="BB155" s="176"/>
      <c r="BC155" s="176"/>
      <c r="BD155" s="176"/>
      <c r="BE155" s="176"/>
      <c r="BF155" s="176"/>
      <c r="BG155" s="176"/>
      <c r="BH155" s="176"/>
      <c r="BI155" s="176"/>
      <c r="BJ155" s="176"/>
      <c r="BK155" s="176"/>
      <c r="BL155" s="176"/>
      <c r="BM155" s="176"/>
      <c r="BN155" s="176"/>
      <c r="BO155" s="176"/>
    </row>
    <row r="156" spans="1:67" s="36" customFormat="1" ht="10.5" customHeight="1" x14ac:dyDescent="0.2">
      <c r="A156" s="1055"/>
      <c r="B156" s="2594"/>
      <c r="C156" s="2595"/>
      <c r="D156" s="2596"/>
      <c r="E156" s="2395"/>
      <c r="F156" s="2396"/>
      <c r="G156" s="2590"/>
      <c r="H156" s="2591"/>
      <c r="I156" s="1081">
        <f t="shared" si="39"/>
        <v>0</v>
      </c>
      <c r="J156" s="1082">
        <f t="shared" si="40"/>
        <v>0</v>
      </c>
      <c r="K156" s="2588"/>
      <c r="L156" s="2589"/>
      <c r="M156" s="1086">
        <f t="shared" si="41"/>
        <v>0</v>
      </c>
      <c r="N156" s="503"/>
      <c r="O156" s="365">
        <f t="shared" si="42"/>
        <v>0</v>
      </c>
      <c r="P156" s="366"/>
      <c r="Q156" s="135"/>
      <c r="R156" s="136"/>
      <c r="S156" s="129"/>
      <c r="T156" s="129"/>
      <c r="U156" s="129"/>
      <c r="V156" s="129"/>
      <c r="W156" s="129"/>
      <c r="X156" s="129"/>
      <c r="Y156" s="129"/>
      <c r="Z156" s="133"/>
      <c r="AA156" s="133"/>
      <c r="AB156" s="133"/>
      <c r="AC156" s="133"/>
      <c r="AD156" s="133"/>
      <c r="AE156" s="133"/>
      <c r="AF156" s="222"/>
      <c r="AG156" s="222"/>
      <c r="AH156" s="222"/>
      <c r="AI156" s="176"/>
      <c r="AJ156" s="176"/>
      <c r="AK156" s="176"/>
      <c r="AL156" s="176"/>
      <c r="AM156" s="176"/>
      <c r="AN156" s="176"/>
      <c r="AO156" s="176"/>
      <c r="AP156" s="176"/>
      <c r="AQ156" s="176"/>
      <c r="AR156" s="176"/>
      <c r="AS156" s="176"/>
      <c r="AT156" s="176"/>
      <c r="AU156" s="176"/>
      <c r="AV156" s="176"/>
      <c r="AW156" s="176"/>
      <c r="AX156" s="176"/>
      <c r="AY156" s="176"/>
      <c r="AZ156" s="176"/>
      <c r="BA156" s="176"/>
      <c r="BB156" s="176"/>
      <c r="BC156" s="176"/>
      <c r="BD156" s="176"/>
      <c r="BE156" s="176"/>
      <c r="BF156" s="176"/>
      <c r="BG156" s="176"/>
      <c r="BH156" s="176"/>
      <c r="BI156" s="176"/>
      <c r="BJ156" s="176"/>
      <c r="BK156" s="176"/>
      <c r="BL156" s="176"/>
      <c r="BM156" s="176"/>
      <c r="BN156" s="176"/>
      <c r="BO156" s="176"/>
    </row>
    <row r="157" spans="1:67" s="36" customFormat="1" ht="10.5" customHeight="1" x14ac:dyDescent="0.2">
      <c r="A157" s="1055"/>
      <c r="B157" s="2594"/>
      <c r="C157" s="2595"/>
      <c r="D157" s="2596"/>
      <c r="E157" s="2395"/>
      <c r="F157" s="2396"/>
      <c r="G157" s="2590"/>
      <c r="H157" s="2591"/>
      <c r="I157" s="1081">
        <f t="shared" si="39"/>
        <v>0</v>
      </c>
      <c r="J157" s="1082">
        <f t="shared" si="40"/>
        <v>0</v>
      </c>
      <c r="K157" s="2588"/>
      <c r="L157" s="2589"/>
      <c r="M157" s="1086">
        <f t="shared" si="41"/>
        <v>0</v>
      </c>
      <c r="N157" s="503"/>
      <c r="O157" s="365">
        <f t="shared" si="42"/>
        <v>0</v>
      </c>
      <c r="P157" s="366"/>
      <c r="Q157" s="135"/>
      <c r="R157" s="136"/>
      <c r="S157" s="129"/>
      <c r="T157" s="129"/>
      <c r="U157" s="129"/>
      <c r="V157" s="129"/>
      <c r="W157" s="129"/>
      <c r="X157" s="129"/>
      <c r="Y157" s="129"/>
      <c r="Z157" s="133"/>
      <c r="AA157" s="133"/>
      <c r="AB157" s="133"/>
      <c r="AC157" s="133"/>
      <c r="AD157" s="133"/>
      <c r="AE157" s="133"/>
      <c r="AF157" s="222"/>
      <c r="AG157" s="222"/>
      <c r="AH157" s="222"/>
      <c r="AI157" s="176"/>
      <c r="AJ157" s="176"/>
      <c r="AK157" s="176"/>
      <c r="AL157" s="176"/>
      <c r="AM157" s="176"/>
      <c r="AN157" s="176"/>
      <c r="AO157" s="176"/>
      <c r="AP157" s="176"/>
      <c r="AQ157" s="176"/>
      <c r="AR157" s="176"/>
      <c r="AS157" s="176"/>
      <c r="AT157" s="176"/>
      <c r="AU157" s="176"/>
      <c r="AV157" s="176"/>
      <c r="AW157" s="176"/>
      <c r="AX157" s="176"/>
      <c r="AY157" s="176"/>
      <c r="AZ157" s="176"/>
      <c r="BA157" s="176"/>
      <c r="BB157" s="176"/>
      <c r="BC157" s="176"/>
      <c r="BD157" s="176"/>
      <c r="BE157" s="176"/>
      <c r="BF157" s="176"/>
      <c r="BG157" s="176"/>
      <c r="BH157" s="176"/>
      <c r="BI157" s="176"/>
      <c r="BJ157" s="176"/>
      <c r="BK157" s="176"/>
      <c r="BL157" s="176"/>
      <c r="BM157" s="176"/>
      <c r="BN157" s="176"/>
      <c r="BO157" s="176"/>
    </row>
    <row r="158" spans="1:67" s="36" customFormat="1" ht="10.5" customHeight="1" x14ac:dyDescent="0.2">
      <c r="A158" s="1055"/>
      <c r="B158" s="2594"/>
      <c r="C158" s="2595"/>
      <c r="D158" s="2596"/>
      <c r="E158" s="2395"/>
      <c r="F158" s="2396"/>
      <c r="G158" s="2590"/>
      <c r="H158" s="2591"/>
      <c r="I158" s="1081">
        <f t="shared" si="39"/>
        <v>0</v>
      </c>
      <c r="J158" s="1082">
        <f t="shared" si="40"/>
        <v>0</v>
      </c>
      <c r="K158" s="2588"/>
      <c r="L158" s="2589"/>
      <c r="M158" s="1086">
        <f t="shared" si="41"/>
        <v>0</v>
      </c>
      <c r="N158" s="503"/>
      <c r="O158" s="365">
        <f t="shared" si="42"/>
        <v>0</v>
      </c>
      <c r="P158" s="366"/>
      <c r="Q158" s="135"/>
      <c r="R158" s="136"/>
      <c r="S158" s="129"/>
      <c r="T158" s="129"/>
      <c r="U158" s="129"/>
      <c r="V158" s="129"/>
      <c r="W158" s="129"/>
      <c r="X158" s="129"/>
      <c r="Y158" s="129"/>
      <c r="Z158" s="133"/>
      <c r="AA158" s="133"/>
      <c r="AB158" s="133"/>
      <c r="AC158" s="133"/>
      <c r="AD158" s="133"/>
      <c r="AE158" s="133"/>
      <c r="AF158" s="222"/>
      <c r="AG158" s="222"/>
      <c r="AH158" s="222"/>
      <c r="AI158" s="176"/>
      <c r="AJ158" s="176"/>
      <c r="AK158" s="176"/>
      <c r="AL158" s="176"/>
      <c r="AM158" s="176"/>
      <c r="AN158" s="176"/>
      <c r="AO158" s="176"/>
      <c r="AP158" s="176"/>
      <c r="AQ158" s="176"/>
      <c r="AR158" s="176"/>
      <c r="AS158" s="176"/>
      <c r="AT158" s="176"/>
      <c r="AU158" s="176"/>
      <c r="AV158" s="176"/>
      <c r="AW158" s="176"/>
      <c r="AX158" s="176"/>
      <c r="AY158" s="176"/>
      <c r="AZ158" s="176"/>
      <c r="BA158" s="176"/>
      <c r="BB158" s="176"/>
      <c r="BC158" s="176"/>
      <c r="BD158" s="176"/>
      <c r="BE158" s="176"/>
      <c r="BF158" s="176"/>
      <c r="BG158" s="176"/>
      <c r="BH158" s="176"/>
      <c r="BI158" s="176"/>
      <c r="BJ158" s="176"/>
      <c r="BK158" s="176"/>
      <c r="BL158" s="176"/>
      <c r="BM158" s="176"/>
      <c r="BN158" s="176"/>
      <c r="BO158" s="176"/>
    </row>
    <row r="159" spans="1:67" s="36" customFormat="1" ht="10.5" customHeight="1" x14ac:dyDescent="0.2">
      <c r="A159" s="1055"/>
      <c r="B159" s="2594"/>
      <c r="C159" s="2595"/>
      <c r="D159" s="2596"/>
      <c r="E159" s="2395"/>
      <c r="F159" s="2396"/>
      <c r="G159" s="2590"/>
      <c r="H159" s="2591"/>
      <c r="I159" s="1081">
        <f t="shared" si="39"/>
        <v>0</v>
      </c>
      <c r="J159" s="1082">
        <f t="shared" si="40"/>
        <v>0</v>
      </c>
      <c r="K159" s="2588"/>
      <c r="L159" s="2589"/>
      <c r="M159" s="1086">
        <f t="shared" si="41"/>
        <v>0</v>
      </c>
      <c r="N159" s="503"/>
      <c r="O159" s="365">
        <f t="shared" si="42"/>
        <v>0</v>
      </c>
      <c r="P159" s="366"/>
      <c r="Q159" s="135"/>
      <c r="R159" s="136"/>
      <c r="S159" s="129"/>
      <c r="T159" s="129"/>
      <c r="U159" s="129"/>
      <c r="V159" s="129"/>
      <c r="W159" s="129"/>
      <c r="X159" s="129"/>
      <c r="Y159" s="129"/>
      <c r="Z159" s="133"/>
      <c r="AA159" s="133"/>
      <c r="AB159" s="133"/>
      <c r="AC159" s="133"/>
      <c r="AD159" s="133"/>
      <c r="AE159" s="133"/>
      <c r="AF159" s="222"/>
      <c r="AG159" s="222"/>
      <c r="AH159" s="222"/>
      <c r="AI159" s="176"/>
      <c r="AJ159" s="176"/>
      <c r="AK159" s="176"/>
      <c r="AL159" s="176"/>
      <c r="AM159" s="176"/>
      <c r="AN159" s="176"/>
      <c r="AO159" s="176"/>
      <c r="AP159" s="176"/>
      <c r="AQ159" s="176"/>
      <c r="AR159" s="176"/>
      <c r="AS159" s="176"/>
      <c r="AT159" s="176"/>
      <c r="AU159" s="176"/>
      <c r="AV159" s="176"/>
      <c r="AW159" s="176"/>
      <c r="AX159" s="176"/>
      <c r="AY159" s="176"/>
      <c r="AZ159" s="176"/>
      <c r="BA159" s="176"/>
      <c r="BB159" s="176"/>
      <c r="BC159" s="176"/>
      <c r="BD159" s="176"/>
      <c r="BE159" s="176"/>
      <c r="BF159" s="176"/>
      <c r="BG159" s="176"/>
      <c r="BH159" s="176"/>
      <c r="BI159" s="176"/>
      <c r="BJ159" s="176"/>
      <c r="BK159" s="176"/>
      <c r="BL159" s="176"/>
      <c r="BM159" s="176"/>
      <c r="BN159" s="176"/>
      <c r="BO159" s="176"/>
    </row>
    <row r="160" spans="1:67" s="36" customFormat="1" ht="10.5" customHeight="1" x14ac:dyDescent="0.2">
      <c r="A160" s="1055"/>
      <c r="B160" s="2594"/>
      <c r="C160" s="2595"/>
      <c r="D160" s="2596"/>
      <c r="E160" s="2395"/>
      <c r="F160" s="2396"/>
      <c r="G160" s="2590"/>
      <c r="H160" s="2591"/>
      <c r="I160" s="1081">
        <f t="shared" si="39"/>
        <v>0</v>
      </c>
      <c r="J160" s="1082">
        <f t="shared" si="40"/>
        <v>0</v>
      </c>
      <c r="K160" s="2588"/>
      <c r="L160" s="2589"/>
      <c r="M160" s="1086">
        <f t="shared" si="41"/>
        <v>0</v>
      </c>
      <c r="N160" s="503"/>
      <c r="O160" s="365">
        <f t="shared" si="42"/>
        <v>0</v>
      </c>
      <c r="P160" s="366"/>
      <c r="Q160" s="135"/>
      <c r="R160" s="136"/>
      <c r="S160" s="129"/>
      <c r="T160" s="129"/>
      <c r="U160" s="129"/>
      <c r="V160" s="129"/>
      <c r="W160" s="129"/>
      <c r="X160" s="129"/>
      <c r="Y160" s="129"/>
      <c r="Z160" s="133"/>
      <c r="AA160" s="133"/>
      <c r="AB160" s="133"/>
      <c r="AC160" s="133"/>
      <c r="AD160" s="133"/>
      <c r="AE160" s="133"/>
      <c r="AF160" s="222"/>
      <c r="AG160" s="222"/>
      <c r="AH160" s="222"/>
      <c r="AI160" s="176"/>
      <c r="AJ160" s="176"/>
      <c r="AK160" s="176"/>
      <c r="AL160" s="176"/>
      <c r="AM160" s="176"/>
      <c r="AN160" s="176"/>
      <c r="AO160" s="176"/>
      <c r="AP160" s="176"/>
      <c r="AQ160" s="176"/>
      <c r="AR160" s="176"/>
      <c r="AS160" s="176"/>
      <c r="AT160" s="176"/>
      <c r="AU160" s="176"/>
      <c r="AV160" s="176"/>
      <c r="AW160" s="176"/>
      <c r="AX160" s="176"/>
      <c r="AY160" s="176"/>
      <c r="AZ160" s="176"/>
      <c r="BA160" s="176"/>
      <c r="BB160" s="176"/>
      <c r="BC160" s="176"/>
      <c r="BD160" s="176"/>
      <c r="BE160" s="176"/>
      <c r="BF160" s="176"/>
      <c r="BG160" s="176"/>
      <c r="BH160" s="176"/>
      <c r="BI160" s="176"/>
      <c r="BJ160" s="176"/>
      <c r="BK160" s="176"/>
      <c r="BL160" s="176"/>
      <c r="BM160" s="176"/>
      <c r="BN160" s="176"/>
      <c r="BO160" s="176"/>
    </row>
    <row r="161" spans="1:67" s="36" customFormat="1" ht="10.5" customHeight="1" x14ac:dyDescent="0.2">
      <c r="A161" s="1044"/>
      <c r="B161" s="2608"/>
      <c r="C161" s="2609"/>
      <c r="D161" s="2610"/>
      <c r="E161" s="2601"/>
      <c r="F161" s="2602"/>
      <c r="G161" s="1088"/>
      <c r="H161" s="1089"/>
      <c r="I161" s="1083">
        <f t="shared" si="39"/>
        <v>0</v>
      </c>
      <c r="J161" s="1084"/>
      <c r="K161" s="1087"/>
      <c r="L161" s="1307"/>
      <c r="M161" s="1317">
        <f t="shared" si="41"/>
        <v>0</v>
      </c>
      <c r="N161" s="503"/>
      <c r="O161" s="365">
        <f t="shared" si="42"/>
        <v>0</v>
      </c>
      <c r="P161" s="366"/>
      <c r="Q161" s="135"/>
      <c r="R161" s="136"/>
      <c r="S161" s="129"/>
      <c r="T161" s="129"/>
      <c r="U161" s="129"/>
      <c r="V161" s="129"/>
      <c r="W161" s="129"/>
      <c r="X161" s="129"/>
      <c r="Y161" s="129"/>
      <c r="Z161" s="133"/>
      <c r="AA161" s="133"/>
      <c r="AB161" s="133"/>
      <c r="AC161" s="133"/>
      <c r="AD161" s="133"/>
      <c r="AE161" s="133"/>
      <c r="AF161" s="222"/>
      <c r="AG161" s="222"/>
      <c r="AH161" s="222"/>
      <c r="AI161" s="176"/>
      <c r="AJ161" s="176"/>
      <c r="AK161" s="176"/>
      <c r="AL161" s="176"/>
      <c r="AM161" s="176"/>
      <c r="AN161" s="176"/>
      <c r="AO161" s="176"/>
      <c r="AP161" s="176"/>
      <c r="AQ161" s="176"/>
      <c r="AR161" s="176"/>
      <c r="AS161" s="176"/>
      <c r="AT161" s="176"/>
      <c r="AU161" s="176"/>
      <c r="AV161" s="176"/>
      <c r="AW161" s="176"/>
      <c r="AX161" s="176"/>
      <c r="AY161" s="176"/>
      <c r="AZ161" s="176"/>
      <c r="BA161" s="176"/>
      <c r="BB161" s="176"/>
      <c r="BC161" s="176"/>
      <c r="BD161" s="176"/>
      <c r="BE161" s="176"/>
      <c r="BF161" s="176"/>
      <c r="BG161" s="176"/>
      <c r="BH161" s="176"/>
      <c r="BI161" s="176"/>
      <c r="BJ161" s="176"/>
      <c r="BK161" s="176"/>
      <c r="BL161" s="176"/>
      <c r="BM161" s="176"/>
      <c r="BN161" s="176"/>
      <c r="BO161" s="176"/>
    </row>
    <row r="162" spans="1:67" s="36" customFormat="1" ht="10.5" customHeight="1" x14ac:dyDescent="0.2">
      <c r="A162" s="1120" t="s">
        <v>308</v>
      </c>
      <c r="B162" s="2603"/>
      <c r="C162" s="2604"/>
      <c r="D162" s="2605"/>
      <c r="E162" s="2606">
        <f>SUM(E163:E175)</f>
        <v>0</v>
      </c>
      <c r="F162" s="2607"/>
      <c r="G162" s="2620"/>
      <c r="H162" s="2621"/>
      <c r="I162" s="1121">
        <f>IF(E162=0,0,J162/E162)</f>
        <v>0</v>
      </c>
      <c r="J162" s="1122">
        <f>SUM(J163:J175)</f>
        <v>0</v>
      </c>
      <c r="K162" s="2622">
        <f>IF(E162=0,0,M162/E162*100)</f>
        <v>0</v>
      </c>
      <c r="L162" s="2623"/>
      <c r="M162" s="1318">
        <f>SUM(M163:M175)</f>
        <v>0</v>
      </c>
      <c r="N162" s="503"/>
      <c r="O162" s="178">
        <f>IF(H162="",G162,H162)</f>
        <v>0</v>
      </c>
      <c r="P162" s="366"/>
      <c r="Q162" s="135"/>
      <c r="R162" s="136"/>
      <c r="S162" s="129"/>
      <c r="T162" s="129"/>
      <c r="U162" s="129"/>
      <c r="V162" s="129"/>
      <c r="W162" s="129"/>
      <c r="X162" s="129"/>
      <c r="Y162" s="129"/>
      <c r="Z162" s="133"/>
      <c r="AA162" s="133"/>
      <c r="AB162" s="133"/>
      <c r="AC162" s="133"/>
      <c r="AD162" s="133"/>
      <c r="AE162" s="133"/>
      <c r="AF162" s="222"/>
      <c r="AG162" s="222"/>
      <c r="AH162" s="222"/>
      <c r="AI162" s="176"/>
      <c r="AJ162" s="176"/>
      <c r="AK162" s="176"/>
      <c r="AL162" s="176"/>
      <c r="AM162" s="176"/>
      <c r="AN162" s="176"/>
      <c r="AO162" s="176"/>
      <c r="AP162" s="176"/>
      <c r="AQ162" s="176"/>
      <c r="AR162" s="176"/>
      <c r="AS162" s="176"/>
      <c r="AT162" s="176"/>
      <c r="AU162" s="176"/>
      <c r="AV162" s="176"/>
      <c r="AW162" s="176"/>
      <c r="AX162" s="176"/>
      <c r="AY162" s="176"/>
      <c r="AZ162" s="176"/>
      <c r="BA162" s="176"/>
      <c r="BB162" s="176"/>
      <c r="BC162" s="176"/>
      <c r="BD162" s="176"/>
      <c r="BE162" s="176"/>
      <c r="BF162" s="176"/>
      <c r="BG162" s="176"/>
      <c r="BH162" s="176"/>
      <c r="BI162" s="176"/>
      <c r="BJ162" s="176"/>
      <c r="BK162" s="176"/>
      <c r="BL162" s="176"/>
      <c r="BM162" s="176"/>
      <c r="BN162" s="176"/>
      <c r="BO162" s="176"/>
    </row>
    <row r="163" spans="1:67" s="36" customFormat="1" ht="10.5" customHeight="1" x14ac:dyDescent="0.2">
      <c r="A163" s="1042" t="s">
        <v>309</v>
      </c>
      <c r="B163" s="2624"/>
      <c r="C163" s="2625"/>
      <c r="D163" s="2626"/>
      <c r="E163" s="2386"/>
      <c r="F163" s="2387"/>
      <c r="G163" s="1056">
        <v>30</v>
      </c>
      <c r="H163" s="1057"/>
      <c r="I163" s="1079">
        <f t="shared" ref="I163:I176" si="43">IF($O163&gt;0,-PMT(($I$9),$O163,1),0)</f>
        <v>4.6199342169092869E-2</v>
      </c>
      <c r="J163" s="1080">
        <f t="shared" ref="J163:J175" si="44">ROUND(E163*I163,0)</f>
        <v>0</v>
      </c>
      <c r="K163" s="1060">
        <v>1</v>
      </c>
      <c r="L163" s="1304"/>
      <c r="M163" s="1085">
        <f t="shared" ref="M163:M176" si="45">ROUND(E163/100*IF(ISBLANK(L163),K163,L163),0)</f>
        <v>0</v>
      </c>
      <c r="N163" s="503"/>
      <c r="O163" s="365">
        <f t="shared" ref="O163:O176" si="46">IF(ISBLANK(H163),G163,H163)</f>
        <v>30</v>
      </c>
      <c r="P163" s="366"/>
      <c r="Q163" s="135"/>
      <c r="R163" s="136"/>
      <c r="S163" s="129"/>
      <c r="T163" s="129"/>
      <c r="U163" s="129"/>
      <c r="V163" s="129"/>
      <c r="W163" s="129"/>
      <c r="X163" s="129"/>
      <c r="Y163" s="129"/>
      <c r="Z163" s="133"/>
      <c r="AA163" s="133"/>
      <c r="AB163" s="133"/>
      <c r="AC163" s="133"/>
      <c r="AD163" s="133"/>
      <c r="AE163" s="133"/>
      <c r="AF163" s="222"/>
      <c r="AG163" s="222"/>
      <c r="AH163" s="222"/>
      <c r="AI163" s="176"/>
      <c r="AJ163" s="176"/>
      <c r="AK163" s="176"/>
      <c r="AL163" s="176"/>
      <c r="AM163" s="176"/>
      <c r="AN163" s="176"/>
      <c r="AO163" s="176"/>
      <c r="AP163" s="176"/>
      <c r="AQ163" s="176"/>
      <c r="AR163" s="176"/>
      <c r="AS163" s="176"/>
      <c r="AT163" s="176"/>
      <c r="AU163" s="176"/>
      <c r="AV163" s="176"/>
      <c r="AW163" s="176"/>
      <c r="AX163" s="176"/>
      <c r="AY163" s="176"/>
      <c r="AZ163" s="176"/>
      <c r="BA163" s="176"/>
      <c r="BB163" s="176"/>
      <c r="BC163" s="176"/>
      <c r="BD163" s="176"/>
      <c r="BE163" s="176"/>
      <c r="BF163" s="176"/>
      <c r="BG163" s="176"/>
      <c r="BH163" s="176"/>
      <c r="BI163" s="176"/>
      <c r="BJ163" s="176"/>
      <c r="BK163" s="176"/>
      <c r="BL163" s="176"/>
      <c r="BM163" s="176"/>
      <c r="BN163" s="176"/>
      <c r="BO163" s="176"/>
    </row>
    <row r="164" spans="1:67" s="36" customFormat="1" ht="10.5" customHeight="1" x14ac:dyDescent="0.2">
      <c r="A164" s="1043" t="s">
        <v>310</v>
      </c>
      <c r="B164" s="2594"/>
      <c r="C164" s="2595"/>
      <c r="D164" s="2596"/>
      <c r="E164" s="2395"/>
      <c r="F164" s="2396"/>
      <c r="G164" s="1058">
        <v>40</v>
      </c>
      <c r="H164" s="1059"/>
      <c r="I164" s="1081">
        <f t="shared" si="43"/>
        <v>3.8177378061076156E-2</v>
      </c>
      <c r="J164" s="1082">
        <f t="shared" si="44"/>
        <v>0</v>
      </c>
      <c r="K164" s="1061">
        <v>1.5</v>
      </c>
      <c r="L164" s="1305"/>
      <c r="M164" s="1086">
        <f t="shared" si="45"/>
        <v>0</v>
      </c>
      <c r="N164" s="503"/>
      <c r="O164" s="365">
        <f t="shared" si="46"/>
        <v>40</v>
      </c>
      <c r="P164" s="366"/>
      <c r="Q164" s="135"/>
      <c r="R164" s="136"/>
      <c r="S164" s="129"/>
      <c r="T164" s="129"/>
      <c r="U164" s="129"/>
      <c r="V164" s="129"/>
      <c r="W164" s="129"/>
      <c r="X164" s="129"/>
      <c r="Y164" s="129"/>
      <c r="Z164" s="133"/>
      <c r="AA164" s="133"/>
      <c r="AB164" s="133"/>
      <c r="AC164" s="133"/>
      <c r="AD164" s="133"/>
      <c r="AE164" s="133"/>
      <c r="AF164" s="222"/>
      <c r="AG164" s="222"/>
      <c r="AH164" s="222"/>
      <c r="AI164" s="176"/>
      <c r="AJ164" s="176"/>
      <c r="AK164" s="176"/>
      <c r="AL164" s="176"/>
      <c r="AM164" s="176"/>
      <c r="AN164" s="176"/>
      <c r="AO164" s="176"/>
      <c r="AP164" s="176"/>
      <c r="AQ164" s="176"/>
      <c r="AR164" s="176"/>
      <c r="AS164" s="176"/>
      <c r="AT164" s="176"/>
      <c r="AU164" s="176"/>
      <c r="AV164" s="176"/>
      <c r="AW164" s="176"/>
      <c r="AX164" s="176"/>
      <c r="AY164" s="176"/>
      <c r="AZ164" s="176"/>
      <c r="BA164" s="176"/>
      <c r="BB164" s="176"/>
      <c r="BC164" s="176"/>
      <c r="BD164" s="176"/>
      <c r="BE164" s="176"/>
      <c r="BF164" s="176"/>
      <c r="BG164" s="176"/>
      <c r="BH164" s="176"/>
      <c r="BI164" s="176"/>
      <c r="BJ164" s="176"/>
      <c r="BK164" s="176"/>
      <c r="BL164" s="176"/>
      <c r="BM164" s="176"/>
      <c r="BN164" s="176"/>
      <c r="BO164" s="176"/>
    </row>
    <row r="165" spans="1:67" s="36" customFormat="1" ht="10.5" customHeight="1" x14ac:dyDescent="0.2">
      <c r="A165" s="1043" t="s">
        <v>311</v>
      </c>
      <c r="B165" s="2594"/>
      <c r="C165" s="2595"/>
      <c r="D165" s="2596"/>
      <c r="E165" s="2395"/>
      <c r="F165" s="2396"/>
      <c r="G165" s="1058">
        <v>40</v>
      </c>
      <c r="H165" s="1059"/>
      <c r="I165" s="1081">
        <f t="shared" si="43"/>
        <v>3.8177378061076156E-2</v>
      </c>
      <c r="J165" s="1082">
        <f t="shared" si="44"/>
        <v>0</v>
      </c>
      <c r="K165" s="1061">
        <v>1.5</v>
      </c>
      <c r="L165" s="1305"/>
      <c r="M165" s="1086">
        <f t="shared" si="45"/>
        <v>0</v>
      </c>
      <c r="N165" s="503"/>
      <c r="O165" s="365">
        <f t="shared" si="46"/>
        <v>40</v>
      </c>
      <c r="P165" s="366"/>
      <c r="Q165" s="135"/>
      <c r="R165" s="136"/>
      <c r="S165" s="129"/>
      <c r="T165" s="129"/>
      <c r="U165" s="129"/>
      <c r="V165" s="129"/>
      <c r="W165" s="129"/>
      <c r="X165" s="129"/>
      <c r="Y165" s="129"/>
      <c r="Z165" s="133"/>
      <c r="AA165" s="133"/>
      <c r="AB165" s="133"/>
      <c r="AC165" s="133"/>
      <c r="AD165" s="133"/>
      <c r="AE165" s="133"/>
      <c r="AF165" s="222"/>
      <c r="AG165" s="222"/>
      <c r="AH165" s="222"/>
      <c r="AI165" s="176"/>
      <c r="AJ165" s="176"/>
      <c r="AK165" s="176"/>
      <c r="AL165" s="176"/>
      <c r="AM165" s="176"/>
      <c r="AN165" s="176"/>
      <c r="AO165" s="176"/>
      <c r="AP165" s="176"/>
      <c r="AQ165" s="176"/>
      <c r="AR165" s="176"/>
      <c r="AS165" s="176"/>
      <c r="AT165" s="176"/>
      <c r="AU165" s="176"/>
      <c r="AV165" s="176"/>
      <c r="AW165" s="176"/>
      <c r="AX165" s="176"/>
      <c r="AY165" s="176"/>
      <c r="AZ165" s="176"/>
      <c r="BA165" s="176"/>
      <c r="BB165" s="176"/>
      <c r="BC165" s="176"/>
      <c r="BD165" s="176"/>
      <c r="BE165" s="176"/>
      <c r="BF165" s="176"/>
      <c r="BG165" s="176"/>
      <c r="BH165" s="176"/>
      <c r="BI165" s="176"/>
      <c r="BJ165" s="176"/>
      <c r="BK165" s="176"/>
      <c r="BL165" s="176"/>
      <c r="BM165" s="176"/>
      <c r="BN165" s="176"/>
      <c r="BO165" s="176"/>
    </row>
    <row r="166" spans="1:67" s="36" customFormat="1" ht="10.5" customHeight="1" x14ac:dyDescent="0.2">
      <c r="A166" s="1043" t="s">
        <v>312</v>
      </c>
      <c r="B166" s="2594"/>
      <c r="C166" s="2595"/>
      <c r="D166" s="2596"/>
      <c r="E166" s="2395"/>
      <c r="F166" s="2396"/>
      <c r="G166" s="1058">
        <v>40</v>
      </c>
      <c r="H166" s="1059"/>
      <c r="I166" s="1081">
        <f t="shared" si="43"/>
        <v>3.8177378061076156E-2</v>
      </c>
      <c r="J166" s="1082">
        <f t="shared" si="44"/>
        <v>0</v>
      </c>
      <c r="K166" s="1061">
        <v>1</v>
      </c>
      <c r="L166" s="1305"/>
      <c r="M166" s="1086">
        <f t="shared" si="45"/>
        <v>0</v>
      </c>
      <c r="N166" s="503"/>
      <c r="O166" s="365">
        <f t="shared" si="46"/>
        <v>40</v>
      </c>
      <c r="P166" s="366"/>
      <c r="Q166" s="135"/>
      <c r="R166" s="136"/>
      <c r="S166" s="129"/>
      <c r="T166" s="129"/>
      <c r="U166" s="129"/>
      <c r="V166" s="129"/>
      <c r="W166" s="129"/>
      <c r="X166" s="129"/>
      <c r="Y166" s="129"/>
      <c r="Z166" s="133"/>
      <c r="AA166" s="133"/>
      <c r="AB166" s="133"/>
      <c r="AC166" s="133"/>
      <c r="AD166" s="133"/>
      <c r="AE166" s="133"/>
      <c r="AF166" s="222"/>
      <c r="AG166" s="222"/>
      <c r="AH166" s="222"/>
      <c r="AI166" s="176"/>
      <c r="AJ166" s="176"/>
      <c r="AK166" s="176"/>
      <c r="AL166" s="176"/>
      <c r="AM166" s="176"/>
      <c r="AN166" s="176"/>
      <c r="AO166" s="176"/>
      <c r="AP166" s="176"/>
      <c r="AQ166" s="176"/>
      <c r="AR166" s="176"/>
      <c r="AS166" s="176"/>
      <c r="AT166" s="176"/>
      <c r="AU166" s="176"/>
      <c r="AV166" s="176"/>
      <c r="AW166" s="176"/>
      <c r="AX166" s="176"/>
      <c r="AY166" s="176"/>
      <c r="AZ166" s="176"/>
      <c r="BA166" s="176"/>
      <c r="BB166" s="176"/>
      <c r="BC166" s="176"/>
      <c r="BD166" s="176"/>
      <c r="BE166" s="176"/>
      <c r="BF166" s="176"/>
      <c r="BG166" s="176"/>
      <c r="BH166" s="176"/>
      <c r="BI166" s="176"/>
      <c r="BJ166" s="176"/>
      <c r="BK166" s="176"/>
      <c r="BL166" s="176"/>
      <c r="BM166" s="176"/>
      <c r="BN166" s="176"/>
      <c r="BO166" s="176"/>
    </row>
    <row r="167" spans="1:67" s="36" customFormat="1" ht="10.5" customHeight="1" x14ac:dyDescent="0.2">
      <c r="A167" s="1043" t="s">
        <v>313</v>
      </c>
      <c r="B167" s="2594"/>
      <c r="C167" s="2595"/>
      <c r="D167" s="2596"/>
      <c r="E167" s="2395"/>
      <c r="F167" s="2396"/>
      <c r="G167" s="1058">
        <v>40</v>
      </c>
      <c r="H167" s="1059"/>
      <c r="I167" s="1081">
        <f t="shared" si="43"/>
        <v>3.8177378061076156E-2</v>
      </c>
      <c r="J167" s="1082">
        <f t="shared" si="44"/>
        <v>0</v>
      </c>
      <c r="K167" s="1061">
        <v>1.5</v>
      </c>
      <c r="L167" s="1305"/>
      <c r="M167" s="1086">
        <f t="shared" si="45"/>
        <v>0</v>
      </c>
      <c r="N167" s="503"/>
      <c r="O167" s="365">
        <f t="shared" si="46"/>
        <v>40</v>
      </c>
      <c r="P167" s="366"/>
      <c r="Q167" s="135"/>
      <c r="R167" s="136"/>
      <c r="S167" s="129"/>
      <c r="T167" s="129"/>
      <c r="U167" s="129"/>
      <c r="V167" s="129"/>
      <c r="W167" s="129"/>
      <c r="X167" s="129"/>
      <c r="Y167" s="129"/>
      <c r="Z167" s="133"/>
      <c r="AA167" s="133"/>
      <c r="AB167" s="133"/>
      <c r="AC167" s="133"/>
      <c r="AD167" s="133"/>
      <c r="AE167" s="133"/>
      <c r="AF167" s="222"/>
      <c r="AG167" s="222"/>
      <c r="AH167" s="222"/>
      <c r="AI167" s="176"/>
      <c r="AJ167" s="176"/>
      <c r="AK167" s="176"/>
      <c r="AL167" s="176"/>
      <c r="AM167" s="176"/>
      <c r="AN167" s="176"/>
      <c r="AO167" s="176"/>
      <c r="AP167" s="176"/>
      <c r="AQ167" s="176"/>
      <c r="AR167" s="176"/>
      <c r="AS167" s="176"/>
      <c r="AT167" s="176"/>
      <c r="AU167" s="176"/>
      <c r="AV167" s="176"/>
      <c r="AW167" s="176"/>
      <c r="AX167" s="176"/>
      <c r="AY167" s="176"/>
      <c r="AZ167" s="176"/>
      <c r="BA167" s="176"/>
      <c r="BB167" s="176"/>
      <c r="BC167" s="176"/>
      <c r="BD167" s="176"/>
      <c r="BE167" s="176"/>
      <c r="BF167" s="176"/>
      <c r="BG167" s="176"/>
      <c r="BH167" s="176"/>
      <c r="BI167" s="176"/>
      <c r="BJ167" s="176"/>
      <c r="BK167" s="176"/>
      <c r="BL167" s="176"/>
      <c r="BM167" s="176"/>
      <c r="BN167" s="176"/>
      <c r="BO167" s="176"/>
    </row>
    <row r="168" spans="1:67" s="36" customFormat="1" ht="10.5" customHeight="1" x14ac:dyDescent="0.2">
      <c r="A168" s="1043" t="s">
        <v>314</v>
      </c>
      <c r="B168" s="2594"/>
      <c r="C168" s="2595"/>
      <c r="D168" s="2596"/>
      <c r="E168" s="2395"/>
      <c r="F168" s="2396"/>
      <c r="G168" s="1058">
        <v>20</v>
      </c>
      <c r="H168" s="1059"/>
      <c r="I168" s="1081">
        <f t="shared" si="43"/>
        <v>6.2642070767998229E-2</v>
      </c>
      <c r="J168" s="1082">
        <f t="shared" si="44"/>
        <v>0</v>
      </c>
      <c r="K168" s="1061">
        <v>1.5</v>
      </c>
      <c r="L168" s="1305"/>
      <c r="M168" s="1086">
        <f t="shared" si="45"/>
        <v>0</v>
      </c>
      <c r="N168" s="503"/>
      <c r="O168" s="365">
        <f t="shared" si="46"/>
        <v>20</v>
      </c>
      <c r="P168" s="366"/>
      <c r="Q168" s="135"/>
      <c r="R168" s="136"/>
      <c r="S168" s="129"/>
      <c r="T168" s="129"/>
      <c r="U168" s="129"/>
      <c r="V168" s="129"/>
      <c r="W168" s="129"/>
      <c r="X168" s="129"/>
      <c r="Y168" s="129"/>
      <c r="Z168" s="133"/>
      <c r="AA168" s="133"/>
      <c r="AB168" s="133"/>
      <c r="AC168" s="133"/>
      <c r="AD168" s="133"/>
      <c r="AE168" s="133"/>
      <c r="AF168" s="222"/>
      <c r="AG168" s="222"/>
      <c r="AH168" s="222"/>
      <c r="AI168" s="176"/>
      <c r="AJ168" s="176"/>
      <c r="AK168" s="176"/>
      <c r="AL168" s="176"/>
      <c r="AM168" s="176"/>
      <c r="AN168" s="176"/>
      <c r="AO168" s="176"/>
      <c r="AP168" s="176"/>
      <c r="AQ168" s="176"/>
      <c r="AR168" s="176"/>
      <c r="AS168" s="176"/>
      <c r="AT168" s="176"/>
      <c r="AU168" s="176"/>
      <c r="AV168" s="176"/>
      <c r="AW168" s="176"/>
      <c r="AX168" s="176"/>
      <c r="AY168" s="176"/>
      <c r="AZ168" s="176"/>
      <c r="BA168" s="176"/>
      <c r="BB168" s="176"/>
      <c r="BC168" s="176"/>
      <c r="BD168" s="176"/>
      <c r="BE168" s="176"/>
      <c r="BF168" s="176"/>
      <c r="BG168" s="176"/>
      <c r="BH168" s="176"/>
      <c r="BI168" s="176"/>
      <c r="BJ168" s="176"/>
      <c r="BK168" s="176"/>
      <c r="BL168" s="176"/>
      <c r="BM168" s="176"/>
      <c r="BN168" s="176"/>
      <c r="BO168" s="176"/>
    </row>
    <row r="169" spans="1:67" s="36" customFormat="1" ht="10.5" customHeight="1" x14ac:dyDescent="0.2">
      <c r="A169" s="1043" t="s">
        <v>315</v>
      </c>
      <c r="B169" s="2594"/>
      <c r="C169" s="2595"/>
      <c r="D169" s="2596"/>
      <c r="E169" s="2395"/>
      <c r="F169" s="2396"/>
      <c r="G169" s="1058">
        <v>40</v>
      </c>
      <c r="H169" s="1059"/>
      <c r="I169" s="1081">
        <f t="shared" si="43"/>
        <v>3.8177378061076156E-2</v>
      </c>
      <c r="J169" s="1082">
        <f t="shared" si="44"/>
        <v>0</v>
      </c>
      <c r="K169" s="1061">
        <v>1</v>
      </c>
      <c r="L169" s="1305"/>
      <c r="M169" s="1086">
        <f t="shared" si="45"/>
        <v>0</v>
      </c>
      <c r="N169" s="503"/>
      <c r="O169" s="365">
        <f t="shared" si="46"/>
        <v>40</v>
      </c>
      <c r="P169" s="366"/>
      <c r="Q169" s="135"/>
      <c r="R169" s="136"/>
      <c r="S169" s="129"/>
      <c r="T169" s="129"/>
      <c r="U169" s="129"/>
      <c r="V169" s="129"/>
      <c r="W169" s="129"/>
      <c r="X169" s="129"/>
      <c r="Y169" s="129"/>
      <c r="Z169" s="133"/>
      <c r="AA169" s="133"/>
      <c r="AB169" s="133"/>
      <c r="AC169" s="133"/>
      <c r="AD169" s="133"/>
      <c r="AE169" s="133"/>
      <c r="AF169" s="222"/>
      <c r="AG169" s="222"/>
      <c r="AH169" s="222"/>
      <c r="AI169" s="176"/>
      <c r="AJ169" s="176"/>
      <c r="AK169" s="176"/>
      <c r="AL169" s="176"/>
      <c r="AM169" s="176"/>
      <c r="AN169" s="176"/>
      <c r="AO169" s="176"/>
      <c r="AP169" s="176"/>
      <c r="AQ169" s="176"/>
      <c r="AR169" s="176"/>
      <c r="AS169" s="176"/>
      <c r="AT169" s="176"/>
      <c r="AU169" s="176"/>
      <c r="AV169" s="176"/>
      <c r="AW169" s="176"/>
      <c r="AX169" s="176"/>
      <c r="AY169" s="176"/>
      <c r="AZ169" s="176"/>
      <c r="BA169" s="176"/>
      <c r="BB169" s="176"/>
      <c r="BC169" s="176"/>
      <c r="BD169" s="176"/>
      <c r="BE169" s="176"/>
      <c r="BF169" s="176"/>
      <c r="BG169" s="176"/>
      <c r="BH169" s="176"/>
      <c r="BI169" s="176"/>
      <c r="BJ169" s="176"/>
      <c r="BK169" s="176"/>
      <c r="BL169" s="176"/>
      <c r="BM169" s="176"/>
      <c r="BN169" s="176"/>
      <c r="BO169" s="176"/>
    </row>
    <row r="170" spans="1:67" s="36" customFormat="1" ht="10.5" customHeight="1" x14ac:dyDescent="0.2">
      <c r="A170" s="1043" t="s">
        <v>273</v>
      </c>
      <c r="B170" s="2594"/>
      <c r="C170" s="2595"/>
      <c r="D170" s="2596"/>
      <c r="E170" s="2395"/>
      <c r="F170" s="2396"/>
      <c r="G170" s="1058">
        <v>20</v>
      </c>
      <c r="H170" s="1059"/>
      <c r="I170" s="1081">
        <f t="shared" si="43"/>
        <v>6.2642070767998229E-2</v>
      </c>
      <c r="J170" s="1082">
        <f t="shared" si="44"/>
        <v>0</v>
      </c>
      <c r="K170" s="1061">
        <v>8</v>
      </c>
      <c r="L170" s="1305"/>
      <c r="M170" s="1086">
        <f t="shared" si="45"/>
        <v>0</v>
      </c>
      <c r="N170" s="503"/>
      <c r="O170" s="365">
        <f t="shared" si="46"/>
        <v>20</v>
      </c>
      <c r="P170" s="366"/>
      <c r="Q170" s="135"/>
      <c r="R170" s="136"/>
      <c r="S170" s="129"/>
      <c r="T170" s="129"/>
      <c r="U170" s="129"/>
      <c r="V170" s="129"/>
      <c r="W170" s="129"/>
      <c r="X170" s="129"/>
      <c r="Y170" s="129"/>
      <c r="Z170" s="133"/>
      <c r="AA170" s="133"/>
      <c r="AB170" s="133"/>
      <c r="AC170" s="133"/>
      <c r="AD170" s="133"/>
      <c r="AE170" s="133"/>
      <c r="AF170" s="222"/>
      <c r="AG170" s="222"/>
      <c r="AH170" s="222"/>
      <c r="AI170" s="176"/>
      <c r="AJ170" s="176"/>
      <c r="AK170" s="176"/>
      <c r="AL170" s="176"/>
      <c r="AM170" s="176"/>
      <c r="AN170" s="176"/>
      <c r="AO170" s="176"/>
      <c r="AP170" s="176"/>
      <c r="AQ170" s="176"/>
      <c r="AR170" s="176"/>
      <c r="AS170" s="176"/>
      <c r="AT170" s="176"/>
      <c r="AU170" s="176"/>
      <c r="AV170" s="176"/>
      <c r="AW170" s="176"/>
      <c r="AX170" s="176"/>
      <c r="AY170" s="176"/>
      <c r="AZ170" s="176"/>
      <c r="BA170" s="176"/>
      <c r="BB170" s="176"/>
      <c r="BC170" s="176"/>
      <c r="BD170" s="176"/>
      <c r="BE170" s="176"/>
      <c r="BF170" s="176"/>
      <c r="BG170" s="176"/>
      <c r="BH170" s="176"/>
      <c r="BI170" s="176"/>
      <c r="BJ170" s="176"/>
      <c r="BK170" s="176"/>
      <c r="BL170" s="176"/>
      <c r="BM170" s="176"/>
      <c r="BN170" s="176"/>
      <c r="BO170" s="176"/>
    </row>
    <row r="171" spans="1:67" s="36" customFormat="1" ht="10.5" customHeight="1" x14ac:dyDescent="0.2">
      <c r="A171" s="1043" t="s">
        <v>274</v>
      </c>
      <c r="B171" s="2594"/>
      <c r="C171" s="2595"/>
      <c r="D171" s="2596"/>
      <c r="E171" s="2395"/>
      <c r="F171" s="2396"/>
      <c r="G171" s="1058">
        <v>30</v>
      </c>
      <c r="H171" s="1059"/>
      <c r="I171" s="1081">
        <f t="shared" si="43"/>
        <v>4.6199342169092869E-2</v>
      </c>
      <c r="J171" s="1082">
        <f t="shared" si="44"/>
        <v>0</v>
      </c>
      <c r="K171" s="1061"/>
      <c r="L171" s="1305"/>
      <c r="M171" s="1086">
        <f t="shared" si="45"/>
        <v>0</v>
      </c>
      <c r="N171" s="503"/>
      <c r="O171" s="365">
        <f t="shared" si="46"/>
        <v>30</v>
      </c>
      <c r="P171" s="366"/>
      <c r="Q171" s="135"/>
      <c r="R171" s="136"/>
      <c r="S171" s="129"/>
      <c r="T171" s="129"/>
      <c r="U171" s="129"/>
      <c r="V171" s="129"/>
      <c r="W171" s="129"/>
      <c r="X171" s="129"/>
      <c r="Y171" s="129"/>
      <c r="Z171" s="133"/>
      <c r="AA171" s="133"/>
      <c r="AB171" s="133"/>
      <c r="AC171" s="133"/>
      <c r="AD171" s="133"/>
      <c r="AE171" s="133"/>
      <c r="AF171" s="222"/>
      <c r="AG171" s="222"/>
      <c r="AH171" s="222"/>
      <c r="AI171" s="176"/>
      <c r="AJ171" s="176"/>
      <c r="AK171" s="176"/>
      <c r="AL171" s="176"/>
      <c r="AM171" s="176"/>
      <c r="AN171" s="176"/>
      <c r="AO171" s="176"/>
      <c r="AP171" s="176"/>
      <c r="AQ171" s="176"/>
      <c r="AR171" s="176"/>
      <c r="AS171" s="176"/>
      <c r="AT171" s="176"/>
      <c r="AU171" s="176"/>
      <c r="AV171" s="176"/>
      <c r="AW171" s="176"/>
      <c r="AX171" s="176"/>
      <c r="AY171" s="176"/>
      <c r="AZ171" s="176"/>
      <c r="BA171" s="176"/>
      <c r="BB171" s="176"/>
      <c r="BC171" s="176"/>
      <c r="BD171" s="176"/>
      <c r="BE171" s="176"/>
      <c r="BF171" s="176"/>
      <c r="BG171" s="176"/>
      <c r="BH171" s="176"/>
      <c r="BI171" s="176"/>
      <c r="BJ171" s="176"/>
      <c r="BK171" s="176"/>
      <c r="BL171" s="176"/>
      <c r="BM171" s="176"/>
      <c r="BN171" s="176"/>
      <c r="BO171" s="176"/>
    </row>
    <row r="172" spans="1:67" s="36" customFormat="1" ht="10.5" customHeight="1" x14ac:dyDescent="0.2">
      <c r="A172" s="1055"/>
      <c r="B172" s="2594"/>
      <c r="C172" s="2595"/>
      <c r="D172" s="2596"/>
      <c r="E172" s="2395"/>
      <c r="F172" s="2396"/>
      <c r="G172" s="2590"/>
      <c r="H172" s="2591"/>
      <c r="I172" s="1081">
        <f t="shared" si="43"/>
        <v>0</v>
      </c>
      <c r="J172" s="1082">
        <f t="shared" si="44"/>
        <v>0</v>
      </c>
      <c r="K172" s="2588"/>
      <c r="L172" s="2589"/>
      <c r="M172" s="1086">
        <f t="shared" si="45"/>
        <v>0</v>
      </c>
      <c r="N172" s="503"/>
      <c r="O172" s="365">
        <f t="shared" si="46"/>
        <v>0</v>
      </c>
      <c r="P172" s="366"/>
      <c r="Q172" s="135"/>
      <c r="R172" s="136"/>
      <c r="S172" s="129"/>
      <c r="T172" s="129"/>
      <c r="U172" s="129"/>
      <c r="V172" s="129"/>
      <c r="W172" s="129"/>
      <c r="X172" s="129"/>
      <c r="Y172" s="129"/>
      <c r="Z172" s="133"/>
      <c r="AA172" s="133"/>
      <c r="AB172" s="133"/>
      <c r="AC172" s="133"/>
      <c r="AD172" s="133"/>
      <c r="AE172" s="133"/>
      <c r="AF172" s="222"/>
      <c r="AG172" s="222"/>
      <c r="AH172" s="222"/>
      <c r="AI172" s="176"/>
      <c r="AJ172" s="176"/>
      <c r="AK172" s="176"/>
      <c r="AL172" s="176"/>
      <c r="AM172" s="176"/>
      <c r="AN172" s="176"/>
      <c r="AO172" s="176"/>
      <c r="AP172" s="176"/>
      <c r="AQ172" s="176"/>
      <c r="AR172" s="176"/>
      <c r="AS172" s="176"/>
      <c r="AT172" s="176"/>
      <c r="AU172" s="176"/>
      <c r="AV172" s="176"/>
      <c r="AW172" s="176"/>
      <c r="AX172" s="176"/>
      <c r="AY172" s="176"/>
      <c r="AZ172" s="176"/>
      <c r="BA172" s="176"/>
      <c r="BB172" s="176"/>
      <c r="BC172" s="176"/>
      <c r="BD172" s="176"/>
      <c r="BE172" s="176"/>
      <c r="BF172" s="176"/>
      <c r="BG172" s="176"/>
      <c r="BH172" s="176"/>
      <c r="BI172" s="176"/>
      <c r="BJ172" s="176"/>
      <c r="BK172" s="176"/>
      <c r="BL172" s="176"/>
      <c r="BM172" s="176"/>
      <c r="BN172" s="176"/>
      <c r="BO172" s="176"/>
    </row>
    <row r="173" spans="1:67" s="36" customFormat="1" ht="10.5" customHeight="1" x14ac:dyDescent="0.2">
      <c r="A173" s="1055"/>
      <c r="B173" s="2594"/>
      <c r="C173" s="2595"/>
      <c r="D173" s="2596"/>
      <c r="E173" s="2395"/>
      <c r="F173" s="2396"/>
      <c r="G173" s="2590"/>
      <c r="H173" s="2591"/>
      <c r="I173" s="1081">
        <f t="shared" si="43"/>
        <v>0</v>
      </c>
      <c r="J173" s="1082">
        <f t="shared" si="44"/>
        <v>0</v>
      </c>
      <c r="K173" s="2588"/>
      <c r="L173" s="2589"/>
      <c r="M173" s="1086">
        <f t="shared" si="45"/>
        <v>0</v>
      </c>
      <c r="N173" s="503"/>
      <c r="O173" s="365">
        <f t="shared" si="46"/>
        <v>0</v>
      </c>
      <c r="P173" s="366"/>
      <c r="Q173" s="135"/>
      <c r="R173" s="136"/>
      <c r="S173" s="129"/>
      <c r="T173" s="129"/>
      <c r="U173" s="129"/>
      <c r="V173" s="129"/>
      <c r="W173" s="129"/>
      <c r="X173" s="129"/>
      <c r="Y173" s="129"/>
      <c r="Z173" s="133"/>
      <c r="AA173" s="133"/>
      <c r="AB173" s="133"/>
      <c r="AC173" s="133"/>
      <c r="AD173" s="133"/>
      <c r="AE173" s="133"/>
      <c r="AF173" s="222"/>
      <c r="AG173" s="222"/>
      <c r="AH173" s="222"/>
      <c r="AI173" s="176"/>
      <c r="AJ173" s="176"/>
      <c r="AK173" s="176"/>
      <c r="AL173" s="176"/>
      <c r="AM173" s="176"/>
      <c r="AN173" s="176"/>
      <c r="AO173" s="176"/>
      <c r="AP173" s="176"/>
      <c r="AQ173" s="176"/>
      <c r="AR173" s="176"/>
      <c r="AS173" s="176"/>
      <c r="AT173" s="176"/>
      <c r="AU173" s="176"/>
      <c r="AV173" s="176"/>
      <c r="AW173" s="176"/>
      <c r="AX173" s="176"/>
      <c r="AY173" s="176"/>
      <c r="AZ173" s="176"/>
      <c r="BA173" s="176"/>
      <c r="BB173" s="176"/>
      <c r="BC173" s="176"/>
      <c r="BD173" s="176"/>
      <c r="BE173" s="176"/>
      <c r="BF173" s="176"/>
      <c r="BG173" s="176"/>
      <c r="BH173" s="176"/>
      <c r="BI173" s="176"/>
      <c r="BJ173" s="176"/>
      <c r="BK173" s="176"/>
      <c r="BL173" s="176"/>
      <c r="BM173" s="176"/>
      <c r="BN173" s="176"/>
      <c r="BO173" s="176"/>
    </row>
    <row r="174" spans="1:67" s="36" customFormat="1" ht="10.5" customHeight="1" x14ac:dyDescent="0.2">
      <c r="A174" s="1055"/>
      <c r="B174" s="2594"/>
      <c r="C174" s="2595"/>
      <c r="D174" s="2596"/>
      <c r="E174" s="2395"/>
      <c r="F174" s="2396"/>
      <c r="G174" s="2590"/>
      <c r="H174" s="2591"/>
      <c r="I174" s="1081">
        <f t="shared" si="43"/>
        <v>0</v>
      </c>
      <c r="J174" s="1082">
        <f t="shared" si="44"/>
        <v>0</v>
      </c>
      <c r="K174" s="2588"/>
      <c r="L174" s="2589"/>
      <c r="M174" s="1086">
        <f t="shared" si="45"/>
        <v>0</v>
      </c>
      <c r="N174" s="503"/>
      <c r="O174" s="365">
        <f t="shared" si="46"/>
        <v>0</v>
      </c>
      <c r="P174" s="366"/>
      <c r="Q174" s="135"/>
      <c r="R174" s="136"/>
      <c r="S174" s="129"/>
      <c r="T174" s="129"/>
      <c r="U174" s="129"/>
      <c r="V174" s="129"/>
      <c r="W174" s="129"/>
      <c r="X174" s="129"/>
      <c r="Y174" s="129"/>
      <c r="Z174" s="133"/>
      <c r="AA174" s="133"/>
      <c r="AB174" s="133"/>
      <c r="AC174" s="133"/>
      <c r="AD174" s="133"/>
      <c r="AE174" s="133"/>
      <c r="AF174" s="222"/>
      <c r="AG174" s="222"/>
      <c r="AH174" s="222"/>
      <c r="AI174" s="176"/>
      <c r="AJ174" s="176"/>
      <c r="AK174" s="176"/>
      <c r="AL174" s="176"/>
      <c r="AM174" s="176"/>
      <c r="AN174" s="176"/>
      <c r="AO174" s="176"/>
      <c r="AP174" s="176"/>
      <c r="AQ174" s="176"/>
      <c r="AR174" s="176"/>
      <c r="AS174" s="176"/>
      <c r="AT174" s="176"/>
      <c r="AU174" s="176"/>
      <c r="AV174" s="176"/>
      <c r="AW174" s="176"/>
      <c r="AX174" s="176"/>
      <c r="AY174" s="176"/>
      <c r="AZ174" s="176"/>
      <c r="BA174" s="176"/>
      <c r="BB174" s="176"/>
      <c r="BC174" s="176"/>
      <c r="BD174" s="176"/>
      <c r="BE174" s="176"/>
      <c r="BF174" s="176"/>
      <c r="BG174" s="176"/>
      <c r="BH174" s="176"/>
      <c r="BI174" s="176"/>
      <c r="BJ174" s="176"/>
      <c r="BK174" s="176"/>
      <c r="BL174" s="176"/>
      <c r="BM174" s="176"/>
      <c r="BN174" s="176"/>
      <c r="BO174" s="176"/>
    </row>
    <row r="175" spans="1:67" s="36" customFormat="1" ht="10.5" customHeight="1" x14ac:dyDescent="0.2">
      <c r="A175" s="1055"/>
      <c r="B175" s="2594"/>
      <c r="C175" s="2595"/>
      <c r="D175" s="2596"/>
      <c r="E175" s="2395"/>
      <c r="F175" s="2396"/>
      <c r="G175" s="2590"/>
      <c r="H175" s="2591"/>
      <c r="I175" s="1081">
        <f t="shared" si="43"/>
        <v>0</v>
      </c>
      <c r="J175" s="1082">
        <f t="shared" si="44"/>
        <v>0</v>
      </c>
      <c r="K175" s="2588"/>
      <c r="L175" s="2589"/>
      <c r="M175" s="1086">
        <f t="shared" si="45"/>
        <v>0</v>
      </c>
      <c r="N175" s="503"/>
      <c r="O175" s="365">
        <f t="shared" si="46"/>
        <v>0</v>
      </c>
      <c r="P175" s="366"/>
      <c r="Q175" s="135"/>
      <c r="R175" s="136"/>
      <c r="S175" s="129"/>
      <c r="T175" s="129"/>
      <c r="U175" s="129"/>
      <c r="V175" s="129"/>
      <c r="W175" s="129"/>
      <c r="X175" s="129"/>
      <c r="Y175" s="129"/>
      <c r="Z175" s="133"/>
      <c r="AA175" s="133"/>
      <c r="AB175" s="133"/>
      <c r="AC175" s="133"/>
      <c r="AD175" s="133"/>
      <c r="AE175" s="133"/>
      <c r="AF175" s="222"/>
      <c r="AG175" s="222"/>
      <c r="AH175" s="222"/>
      <c r="AI175" s="176"/>
      <c r="AJ175" s="176"/>
      <c r="AK175" s="176"/>
      <c r="AL175" s="176"/>
      <c r="AM175" s="176"/>
      <c r="AN175" s="176"/>
      <c r="AO175" s="176"/>
      <c r="AP175" s="176"/>
      <c r="AQ175" s="176"/>
      <c r="AR175" s="176"/>
      <c r="AS175" s="176"/>
      <c r="AT175" s="176"/>
      <c r="AU175" s="176"/>
      <c r="AV175" s="176"/>
      <c r="AW175" s="176"/>
      <c r="AX175" s="176"/>
      <c r="AY175" s="176"/>
      <c r="AZ175" s="176"/>
      <c r="BA175" s="176"/>
      <c r="BB175" s="176"/>
      <c r="BC175" s="176"/>
      <c r="BD175" s="176"/>
      <c r="BE175" s="176"/>
      <c r="BF175" s="176"/>
      <c r="BG175" s="176"/>
      <c r="BH175" s="176"/>
      <c r="BI175" s="176"/>
      <c r="BJ175" s="176"/>
      <c r="BK175" s="176"/>
      <c r="BL175" s="176"/>
      <c r="BM175" s="176"/>
      <c r="BN175" s="176"/>
      <c r="BO175" s="176"/>
    </row>
    <row r="176" spans="1:67" s="36" customFormat="1" ht="10.5" customHeight="1" x14ac:dyDescent="0.2">
      <c r="A176" s="1044"/>
      <c r="B176" s="2608"/>
      <c r="C176" s="2609"/>
      <c r="D176" s="2610"/>
      <c r="E176" s="2601"/>
      <c r="F176" s="2602"/>
      <c r="G176" s="1088"/>
      <c r="H176" s="1089"/>
      <c r="I176" s="1083">
        <f t="shared" si="43"/>
        <v>0</v>
      </c>
      <c r="J176" s="1084"/>
      <c r="K176" s="1087"/>
      <c r="L176" s="1307"/>
      <c r="M176" s="1317">
        <f t="shared" si="45"/>
        <v>0</v>
      </c>
      <c r="N176" s="503"/>
      <c r="O176" s="365">
        <f t="shared" si="46"/>
        <v>0</v>
      </c>
      <c r="P176" s="366"/>
      <c r="Q176" s="135"/>
      <c r="R176" s="136"/>
      <c r="S176" s="129"/>
      <c r="T176" s="129"/>
      <c r="U176" s="129"/>
      <c r="V176" s="129"/>
      <c r="W176" s="129"/>
      <c r="X176" s="129"/>
      <c r="Y176" s="129"/>
      <c r="Z176" s="133"/>
      <c r="AA176" s="133"/>
      <c r="AB176" s="133"/>
      <c r="AC176" s="133"/>
      <c r="AD176" s="133"/>
      <c r="AE176" s="133"/>
      <c r="AF176" s="222"/>
      <c r="AG176" s="222"/>
      <c r="AH176" s="222"/>
      <c r="AI176" s="176"/>
      <c r="AJ176" s="176"/>
      <c r="AK176" s="176"/>
      <c r="AL176" s="176"/>
      <c r="AM176" s="176"/>
      <c r="AN176" s="176"/>
      <c r="AO176" s="176"/>
      <c r="AP176" s="176"/>
      <c r="AQ176" s="176"/>
      <c r="AR176" s="176"/>
      <c r="AS176" s="176"/>
      <c r="AT176" s="176"/>
      <c r="AU176" s="176"/>
      <c r="AV176" s="176"/>
      <c r="AW176" s="176"/>
      <c r="AX176" s="176"/>
      <c r="AY176" s="176"/>
      <c r="AZ176" s="176"/>
      <c r="BA176" s="176"/>
      <c r="BB176" s="176"/>
      <c r="BC176" s="176"/>
      <c r="BD176" s="176"/>
      <c r="BE176" s="176"/>
      <c r="BF176" s="176"/>
      <c r="BG176" s="176"/>
      <c r="BH176" s="176"/>
      <c r="BI176" s="176"/>
      <c r="BJ176" s="176"/>
      <c r="BK176" s="176"/>
      <c r="BL176" s="176"/>
      <c r="BM176" s="176"/>
      <c r="BN176" s="176"/>
      <c r="BO176" s="176"/>
    </row>
    <row r="177" spans="1:67" s="36" customFormat="1" ht="10.5" customHeight="1" x14ac:dyDescent="0.2">
      <c r="A177" s="1120" t="s">
        <v>316</v>
      </c>
      <c r="B177" s="2603"/>
      <c r="C177" s="2604"/>
      <c r="D177" s="2605"/>
      <c r="E177" s="2606">
        <f>SUM(E178:E190)</f>
        <v>0</v>
      </c>
      <c r="F177" s="2607"/>
      <c r="G177" s="2620"/>
      <c r="H177" s="2621"/>
      <c r="I177" s="1121">
        <f>IF(E177=0,0,J177/E177)</f>
        <v>0</v>
      </c>
      <c r="J177" s="1122">
        <f>SUM(J178:J190)</f>
        <v>0</v>
      </c>
      <c r="K177" s="2622">
        <f>IF(E177=0,0,M177/E177*100)</f>
        <v>0</v>
      </c>
      <c r="L177" s="2623"/>
      <c r="M177" s="1318">
        <f>SUM(M178:M190)</f>
        <v>0</v>
      </c>
      <c r="N177" s="503"/>
      <c r="O177" s="178">
        <f>IF(H177="",G177,H177)</f>
        <v>0</v>
      </c>
      <c r="P177" s="366"/>
      <c r="Q177" s="135"/>
      <c r="R177" s="136"/>
      <c r="S177" s="129"/>
      <c r="T177" s="129"/>
      <c r="U177" s="129"/>
      <c r="V177" s="129"/>
      <c r="W177" s="129"/>
      <c r="X177" s="129"/>
      <c r="Y177" s="129"/>
      <c r="Z177" s="133"/>
      <c r="AA177" s="133"/>
      <c r="AB177" s="133"/>
      <c r="AC177" s="133"/>
      <c r="AD177" s="133"/>
      <c r="AE177" s="133"/>
      <c r="AF177" s="222"/>
      <c r="AG177" s="222"/>
      <c r="AH177" s="222"/>
      <c r="AI177" s="176"/>
      <c r="AJ177" s="176"/>
      <c r="AK177" s="176"/>
      <c r="AL177" s="176"/>
      <c r="AM177" s="176"/>
      <c r="AN177" s="176"/>
      <c r="AO177" s="176"/>
      <c r="AP177" s="176"/>
      <c r="AQ177" s="176"/>
      <c r="AR177" s="176"/>
      <c r="AS177" s="176"/>
      <c r="AT177" s="176"/>
      <c r="AU177" s="176"/>
      <c r="AV177" s="176"/>
      <c r="AW177" s="176"/>
      <c r="AX177" s="176"/>
      <c r="AY177" s="176"/>
      <c r="AZ177" s="176"/>
      <c r="BA177" s="176"/>
      <c r="BB177" s="176"/>
      <c r="BC177" s="176"/>
      <c r="BD177" s="176"/>
      <c r="BE177" s="176"/>
      <c r="BF177" s="176"/>
      <c r="BG177" s="176"/>
      <c r="BH177" s="176"/>
      <c r="BI177" s="176"/>
      <c r="BJ177" s="176"/>
      <c r="BK177" s="176"/>
      <c r="BL177" s="176"/>
      <c r="BM177" s="176"/>
      <c r="BN177" s="176"/>
      <c r="BO177" s="176"/>
    </row>
    <row r="178" spans="1:67" s="36" customFormat="1" ht="10.5" customHeight="1" x14ac:dyDescent="0.2">
      <c r="A178" s="1042" t="s">
        <v>680</v>
      </c>
      <c r="B178" s="2624"/>
      <c r="C178" s="2625"/>
      <c r="D178" s="2626"/>
      <c r="E178" s="2386"/>
      <c r="F178" s="2387"/>
      <c r="G178" s="1056">
        <v>25</v>
      </c>
      <c r="H178" s="1057"/>
      <c r="I178" s="1079">
        <f t="shared" ref="I178:I191" si="47">IF($O178&gt;0,-PMT(($I$9),$O178,1),0)</f>
        <v>5.2735988908240251E-2</v>
      </c>
      <c r="J178" s="1080">
        <f t="shared" ref="J178:J190" si="48">ROUND(E178*I178,0)</f>
        <v>0</v>
      </c>
      <c r="K178" s="1060">
        <v>4</v>
      </c>
      <c r="L178" s="1304"/>
      <c r="M178" s="1085">
        <f t="shared" ref="M178:M191" si="49">ROUND(E178/100*IF(ISBLANK(L178),K178,L178),0)</f>
        <v>0</v>
      </c>
      <c r="N178" s="503"/>
      <c r="O178" s="365">
        <f t="shared" ref="O178:O191" si="50">IF(ISBLANK(H178),G178,H178)</f>
        <v>25</v>
      </c>
      <c r="P178" s="366"/>
      <c r="Q178" s="135"/>
      <c r="R178" s="136"/>
      <c r="S178" s="129"/>
      <c r="T178" s="129"/>
      <c r="U178" s="129"/>
      <c r="V178" s="129"/>
      <c r="W178" s="129"/>
      <c r="X178" s="129"/>
      <c r="Y178" s="129"/>
      <c r="Z178" s="133"/>
      <c r="AA178" s="133"/>
      <c r="AB178" s="133"/>
      <c r="AC178" s="133"/>
      <c r="AD178" s="133"/>
      <c r="AE178" s="133"/>
      <c r="AF178" s="222"/>
      <c r="AG178" s="222"/>
      <c r="AH178" s="222"/>
      <c r="AI178" s="176"/>
      <c r="AJ178" s="176"/>
      <c r="AK178" s="176"/>
      <c r="AL178" s="176"/>
      <c r="AM178" s="176"/>
      <c r="AN178" s="176"/>
      <c r="AO178" s="176"/>
      <c r="AP178" s="176"/>
      <c r="AQ178" s="176"/>
      <c r="AR178" s="176"/>
      <c r="AS178" s="176"/>
      <c r="AT178" s="176"/>
      <c r="AU178" s="176"/>
      <c r="AV178" s="176"/>
      <c r="AW178" s="176"/>
      <c r="AX178" s="176"/>
      <c r="AY178" s="176"/>
      <c r="AZ178" s="176"/>
      <c r="BA178" s="176"/>
      <c r="BB178" s="176"/>
      <c r="BC178" s="176"/>
      <c r="BD178" s="176"/>
      <c r="BE178" s="176"/>
      <c r="BF178" s="176"/>
      <c r="BG178" s="176"/>
      <c r="BH178" s="176"/>
      <c r="BI178" s="176"/>
      <c r="BJ178" s="176"/>
      <c r="BK178" s="176"/>
      <c r="BL178" s="176"/>
      <c r="BM178" s="176"/>
      <c r="BN178" s="176"/>
      <c r="BO178" s="176"/>
    </row>
    <row r="179" spans="1:67" s="36" customFormat="1" ht="10.5" customHeight="1" x14ac:dyDescent="0.2">
      <c r="A179" s="1043" t="s">
        <v>317</v>
      </c>
      <c r="B179" s="2594"/>
      <c r="C179" s="2595"/>
      <c r="D179" s="2596"/>
      <c r="E179" s="2395"/>
      <c r="F179" s="2396"/>
      <c r="G179" s="1058">
        <v>25</v>
      </c>
      <c r="H179" s="1059"/>
      <c r="I179" s="1081">
        <f t="shared" si="47"/>
        <v>5.2735988908240251E-2</v>
      </c>
      <c r="J179" s="1082">
        <f t="shared" si="48"/>
        <v>0</v>
      </c>
      <c r="K179" s="1061">
        <v>2</v>
      </c>
      <c r="L179" s="1305"/>
      <c r="M179" s="1086">
        <f t="shared" si="49"/>
        <v>0</v>
      </c>
      <c r="N179" s="503"/>
      <c r="O179" s="365">
        <f t="shared" si="50"/>
        <v>25</v>
      </c>
      <c r="P179" s="366"/>
      <c r="Q179" s="135"/>
      <c r="R179" s="136"/>
      <c r="S179" s="129"/>
      <c r="T179" s="129"/>
      <c r="U179" s="129"/>
      <c r="V179" s="129"/>
      <c r="W179" s="129"/>
      <c r="X179" s="129"/>
      <c r="Y179" s="129"/>
      <c r="Z179" s="133"/>
      <c r="AA179" s="133"/>
      <c r="AB179" s="133"/>
      <c r="AC179" s="133"/>
      <c r="AD179" s="133"/>
      <c r="AE179" s="133"/>
      <c r="AF179" s="222"/>
      <c r="AG179" s="222"/>
      <c r="AH179" s="222"/>
      <c r="AI179" s="176"/>
      <c r="AJ179" s="176"/>
      <c r="AK179" s="176"/>
      <c r="AL179" s="176"/>
      <c r="AM179" s="176"/>
      <c r="AN179" s="176"/>
      <c r="AO179" s="176"/>
      <c r="AP179" s="176"/>
      <c r="AQ179" s="176"/>
      <c r="AR179" s="176"/>
      <c r="AS179" s="176"/>
      <c r="AT179" s="176"/>
      <c r="AU179" s="176"/>
      <c r="AV179" s="176"/>
      <c r="AW179" s="176"/>
      <c r="AX179" s="176"/>
      <c r="AY179" s="176"/>
      <c r="AZ179" s="176"/>
      <c r="BA179" s="176"/>
      <c r="BB179" s="176"/>
      <c r="BC179" s="176"/>
      <c r="BD179" s="176"/>
      <c r="BE179" s="176"/>
      <c r="BF179" s="176"/>
      <c r="BG179" s="176"/>
      <c r="BH179" s="176"/>
      <c r="BI179" s="176"/>
      <c r="BJ179" s="176"/>
      <c r="BK179" s="176"/>
      <c r="BL179" s="176"/>
      <c r="BM179" s="176"/>
      <c r="BN179" s="176"/>
      <c r="BO179" s="176"/>
    </row>
    <row r="180" spans="1:67" s="36" customFormat="1" ht="10.5" customHeight="1" x14ac:dyDescent="0.2">
      <c r="A180" s="1043" t="s">
        <v>318</v>
      </c>
      <c r="B180" s="2594"/>
      <c r="C180" s="2595"/>
      <c r="D180" s="2596"/>
      <c r="E180" s="2395"/>
      <c r="F180" s="2396"/>
      <c r="G180" s="1058">
        <v>15</v>
      </c>
      <c r="H180" s="1059"/>
      <c r="I180" s="1081">
        <f t="shared" si="47"/>
        <v>7.9288524964265278E-2</v>
      </c>
      <c r="J180" s="1082">
        <f t="shared" si="48"/>
        <v>0</v>
      </c>
      <c r="K180" s="1061">
        <v>1</v>
      </c>
      <c r="L180" s="1305"/>
      <c r="M180" s="1086">
        <f t="shared" si="49"/>
        <v>0</v>
      </c>
      <c r="N180" s="503"/>
      <c r="O180" s="365">
        <f t="shared" si="50"/>
        <v>15</v>
      </c>
      <c r="P180" s="366"/>
      <c r="Q180" s="135"/>
      <c r="R180" s="136"/>
      <c r="S180" s="129"/>
      <c r="T180" s="129"/>
      <c r="U180" s="129"/>
      <c r="V180" s="129"/>
      <c r="W180" s="129"/>
      <c r="X180" s="129"/>
      <c r="Y180" s="129"/>
      <c r="Z180" s="133"/>
      <c r="AA180" s="133"/>
      <c r="AB180" s="133"/>
      <c r="AC180" s="133"/>
      <c r="AD180" s="133"/>
      <c r="AE180" s="133"/>
      <c r="AF180" s="222"/>
      <c r="AG180" s="222"/>
      <c r="AH180" s="222"/>
      <c r="AI180" s="176"/>
      <c r="AJ180" s="176"/>
      <c r="AK180" s="176"/>
      <c r="AL180" s="176"/>
      <c r="AM180" s="176"/>
      <c r="AN180" s="176"/>
      <c r="AO180" s="176"/>
      <c r="AP180" s="176"/>
      <c r="AQ180" s="176"/>
      <c r="AR180" s="176"/>
      <c r="AS180" s="176"/>
      <c r="AT180" s="176"/>
      <c r="AU180" s="176"/>
      <c r="AV180" s="176"/>
      <c r="AW180" s="176"/>
      <c r="AX180" s="176"/>
      <c r="AY180" s="176"/>
      <c r="AZ180" s="176"/>
      <c r="BA180" s="176"/>
      <c r="BB180" s="176"/>
      <c r="BC180" s="176"/>
      <c r="BD180" s="176"/>
      <c r="BE180" s="176"/>
      <c r="BF180" s="176"/>
      <c r="BG180" s="176"/>
      <c r="BH180" s="176"/>
      <c r="BI180" s="176"/>
      <c r="BJ180" s="176"/>
      <c r="BK180" s="176"/>
      <c r="BL180" s="176"/>
      <c r="BM180" s="176"/>
      <c r="BN180" s="176"/>
      <c r="BO180" s="176"/>
    </row>
    <row r="181" spans="1:67" s="36" customFormat="1" ht="10.5" customHeight="1" x14ac:dyDescent="0.2">
      <c r="A181" s="1043" t="s">
        <v>319</v>
      </c>
      <c r="B181" s="2594"/>
      <c r="C181" s="2595"/>
      <c r="D181" s="2596"/>
      <c r="E181" s="2395"/>
      <c r="F181" s="2396"/>
      <c r="G181" s="1058">
        <v>40</v>
      </c>
      <c r="H181" s="1059"/>
      <c r="I181" s="1081">
        <f t="shared" si="47"/>
        <v>3.8177378061076156E-2</v>
      </c>
      <c r="J181" s="1082">
        <f t="shared" si="48"/>
        <v>0</v>
      </c>
      <c r="K181" s="1061">
        <v>1</v>
      </c>
      <c r="L181" s="1305"/>
      <c r="M181" s="1086">
        <f t="shared" si="49"/>
        <v>0</v>
      </c>
      <c r="N181" s="503"/>
      <c r="O181" s="365">
        <f t="shared" si="50"/>
        <v>40</v>
      </c>
      <c r="P181" s="366"/>
      <c r="Q181" s="135"/>
      <c r="R181" s="136"/>
      <c r="S181" s="129"/>
      <c r="T181" s="129"/>
      <c r="U181" s="129"/>
      <c r="V181" s="129"/>
      <c r="W181" s="129"/>
      <c r="X181" s="129"/>
      <c r="Y181" s="129"/>
      <c r="Z181" s="133"/>
      <c r="AA181" s="133"/>
      <c r="AB181" s="133"/>
      <c r="AC181" s="133"/>
      <c r="AD181" s="133"/>
      <c r="AE181" s="133"/>
      <c r="AF181" s="222"/>
      <c r="AG181" s="222"/>
      <c r="AH181" s="222"/>
      <c r="AI181" s="176"/>
      <c r="AJ181" s="176"/>
      <c r="AK181" s="176"/>
      <c r="AL181" s="176"/>
      <c r="AM181" s="176"/>
      <c r="AN181" s="176"/>
      <c r="AO181" s="176"/>
      <c r="AP181" s="176"/>
      <c r="AQ181" s="176"/>
      <c r="AR181" s="176"/>
      <c r="AS181" s="176"/>
      <c r="AT181" s="176"/>
      <c r="AU181" s="176"/>
      <c r="AV181" s="176"/>
      <c r="AW181" s="176"/>
      <c r="AX181" s="176"/>
      <c r="AY181" s="176"/>
      <c r="AZ181" s="176"/>
      <c r="BA181" s="176"/>
      <c r="BB181" s="176"/>
      <c r="BC181" s="176"/>
      <c r="BD181" s="176"/>
      <c r="BE181" s="176"/>
      <c r="BF181" s="176"/>
      <c r="BG181" s="176"/>
      <c r="BH181" s="176"/>
      <c r="BI181" s="176"/>
      <c r="BJ181" s="176"/>
      <c r="BK181" s="176"/>
      <c r="BL181" s="176"/>
      <c r="BM181" s="176"/>
      <c r="BN181" s="176"/>
      <c r="BO181" s="176"/>
    </row>
    <row r="182" spans="1:67" s="36" customFormat="1" ht="10.5" customHeight="1" x14ac:dyDescent="0.2">
      <c r="A182" s="1043" t="s">
        <v>274</v>
      </c>
      <c r="B182" s="2594"/>
      <c r="C182" s="2595"/>
      <c r="D182" s="2596"/>
      <c r="E182" s="2395"/>
      <c r="F182" s="2396"/>
      <c r="G182" s="1058">
        <v>30</v>
      </c>
      <c r="H182" s="1059"/>
      <c r="I182" s="1081">
        <f t="shared" si="47"/>
        <v>4.6199342169092869E-2</v>
      </c>
      <c r="J182" s="1082">
        <f t="shared" si="48"/>
        <v>0</v>
      </c>
      <c r="K182" s="1061"/>
      <c r="L182" s="1305"/>
      <c r="M182" s="1086">
        <f t="shared" si="49"/>
        <v>0</v>
      </c>
      <c r="N182" s="503"/>
      <c r="O182" s="365">
        <f t="shared" si="50"/>
        <v>30</v>
      </c>
      <c r="P182" s="366"/>
      <c r="Q182" s="135"/>
      <c r="R182" s="136"/>
      <c r="S182" s="129"/>
      <c r="T182" s="129"/>
      <c r="U182" s="129"/>
      <c r="V182" s="129"/>
      <c r="W182" s="129"/>
      <c r="X182" s="129"/>
      <c r="Y182" s="129"/>
      <c r="Z182" s="133"/>
      <c r="AA182" s="133"/>
      <c r="AB182" s="133"/>
      <c r="AC182" s="133"/>
      <c r="AD182" s="133"/>
      <c r="AE182" s="133"/>
      <c r="AF182" s="222"/>
      <c r="AG182" s="222"/>
      <c r="AH182" s="222"/>
      <c r="AI182" s="176"/>
      <c r="AJ182" s="176"/>
      <c r="AK182" s="176"/>
      <c r="AL182" s="176"/>
      <c r="AM182" s="176"/>
      <c r="AN182" s="176"/>
      <c r="AO182" s="176"/>
      <c r="AP182" s="176"/>
      <c r="AQ182" s="176"/>
      <c r="AR182" s="176"/>
      <c r="AS182" s="176"/>
      <c r="AT182" s="176"/>
      <c r="AU182" s="176"/>
      <c r="AV182" s="176"/>
      <c r="AW182" s="176"/>
      <c r="AX182" s="176"/>
      <c r="AY182" s="176"/>
      <c r="AZ182" s="176"/>
      <c r="BA182" s="176"/>
      <c r="BB182" s="176"/>
      <c r="BC182" s="176"/>
      <c r="BD182" s="176"/>
      <c r="BE182" s="176"/>
      <c r="BF182" s="176"/>
      <c r="BG182" s="176"/>
      <c r="BH182" s="176"/>
      <c r="BI182" s="176"/>
      <c r="BJ182" s="176"/>
      <c r="BK182" s="176"/>
      <c r="BL182" s="176"/>
      <c r="BM182" s="176"/>
      <c r="BN182" s="176"/>
      <c r="BO182" s="176"/>
    </row>
    <row r="183" spans="1:67" s="36" customFormat="1" ht="10.5" customHeight="1" x14ac:dyDescent="0.2">
      <c r="A183" s="1055"/>
      <c r="B183" s="2594"/>
      <c r="C183" s="2595"/>
      <c r="D183" s="2596"/>
      <c r="E183" s="2395"/>
      <c r="F183" s="2396"/>
      <c r="G183" s="2590"/>
      <c r="H183" s="2591"/>
      <c r="I183" s="1081">
        <f t="shared" si="47"/>
        <v>0</v>
      </c>
      <c r="J183" s="1082">
        <f t="shared" si="48"/>
        <v>0</v>
      </c>
      <c r="K183" s="2588"/>
      <c r="L183" s="2589"/>
      <c r="M183" s="1086">
        <f t="shared" si="49"/>
        <v>0</v>
      </c>
      <c r="N183" s="503"/>
      <c r="O183" s="365">
        <f t="shared" si="50"/>
        <v>0</v>
      </c>
      <c r="P183" s="366"/>
      <c r="Q183" s="135"/>
      <c r="R183" s="136"/>
      <c r="S183" s="129"/>
      <c r="T183" s="129"/>
      <c r="U183" s="129"/>
      <c r="V183" s="129"/>
      <c r="W183" s="129"/>
      <c r="X183" s="129"/>
      <c r="Y183" s="129"/>
      <c r="Z183" s="133"/>
      <c r="AA183" s="133"/>
      <c r="AB183" s="133"/>
      <c r="AC183" s="133"/>
      <c r="AD183" s="133"/>
      <c r="AE183" s="133"/>
      <c r="AF183" s="222"/>
      <c r="AG183" s="222"/>
      <c r="AH183" s="222"/>
      <c r="AI183" s="176"/>
      <c r="AJ183" s="176"/>
      <c r="AK183" s="176"/>
      <c r="AL183" s="176"/>
      <c r="AM183" s="176"/>
      <c r="AN183" s="176"/>
      <c r="AO183" s="176"/>
      <c r="AP183" s="176"/>
      <c r="AQ183" s="176"/>
      <c r="AR183" s="176"/>
      <c r="AS183" s="176"/>
      <c r="AT183" s="176"/>
      <c r="AU183" s="176"/>
      <c r="AV183" s="176"/>
      <c r="AW183" s="176"/>
      <c r="AX183" s="176"/>
      <c r="AY183" s="176"/>
      <c r="AZ183" s="176"/>
      <c r="BA183" s="176"/>
      <c r="BB183" s="176"/>
      <c r="BC183" s="176"/>
      <c r="BD183" s="176"/>
      <c r="BE183" s="176"/>
      <c r="BF183" s="176"/>
      <c r="BG183" s="176"/>
      <c r="BH183" s="176"/>
      <c r="BI183" s="176"/>
      <c r="BJ183" s="176"/>
      <c r="BK183" s="176"/>
      <c r="BL183" s="176"/>
      <c r="BM183" s="176"/>
      <c r="BN183" s="176"/>
      <c r="BO183" s="176"/>
    </row>
    <row r="184" spans="1:67" s="36" customFormat="1" ht="10.5" customHeight="1" x14ac:dyDescent="0.2">
      <c r="A184" s="1055"/>
      <c r="B184" s="2594"/>
      <c r="C184" s="2595"/>
      <c r="D184" s="2596"/>
      <c r="E184" s="2395"/>
      <c r="F184" s="2396"/>
      <c r="G184" s="2590"/>
      <c r="H184" s="2591"/>
      <c r="I184" s="1081">
        <f t="shared" si="47"/>
        <v>0</v>
      </c>
      <c r="J184" s="1082">
        <f t="shared" si="48"/>
        <v>0</v>
      </c>
      <c r="K184" s="2588"/>
      <c r="L184" s="2589"/>
      <c r="M184" s="1086">
        <f t="shared" si="49"/>
        <v>0</v>
      </c>
      <c r="N184" s="503"/>
      <c r="O184" s="365">
        <f t="shared" si="50"/>
        <v>0</v>
      </c>
      <c r="P184" s="366"/>
      <c r="Q184" s="135"/>
      <c r="R184" s="136"/>
      <c r="S184" s="129"/>
      <c r="T184" s="129"/>
      <c r="U184" s="129"/>
      <c r="V184" s="129"/>
      <c r="W184" s="129"/>
      <c r="X184" s="129"/>
      <c r="Y184" s="129"/>
      <c r="Z184" s="133"/>
      <c r="AA184" s="133"/>
      <c r="AB184" s="133"/>
      <c r="AC184" s="133"/>
      <c r="AD184" s="133"/>
      <c r="AE184" s="133"/>
      <c r="AF184" s="222"/>
      <c r="AG184" s="222"/>
      <c r="AH184" s="222"/>
      <c r="AI184" s="176"/>
      <c r="AJ184" s="176"/>
      <c r="AK184" s="176"/>
      <c r="AL184" s="176"/>
      <c r="AM184" s="176"/>
      <c r="AN184" s="176"/>
      <c r="AO184" s="176"/>
      <c r="AP184" s="176"/>
      <c r="AQ184" s="176"/>
      <c r="AR184" s="176"/>
      <c r="AS184" s="176"/>
      <c r="AT184" s="176"/>
      <c r="AU184" s="176"/>
      <c r="AV184" s="176"/>
      <c r="AW184" s="176"/>
      <c r="AX184" s="176"/>
      <c r="AY184" s="176"/>
      <c r="AZ184" s="176"/>
      <c r="BA184" s="176"/>
      <c r="BB184" s="176"/>
      <c r="BC184" s="176"/>
      <c r="BD184" s="176"/>
      <c r="BE184" s="176"/>
      <c r="BF184" s="176"/>
      <c r="BG184" s="176"/>
      <c r="BH184" s="176"/>
      <c r="BI184" s="176"/>
      <c r="BJ184" s="176"/>
      <c r="BK184" s="176"/>
      <c r="BL184" s="176"/>
      <c r="BM184" s="176"/>
      <c r="BN184" s="176"/>
      <c r="BO184" s="176"/>
    </row>
    <row r="185" spans="1:67" s="36" customFormat="1" ht="10.5" customHeight="1" x14ac:dyDescent="0.2">
      <c r="A185" s="1055"/>
      <c r="B185" s="2594"/>
      <c r="C185" s="2595"/>
      <c r="D185" s="2596"/>
      <c r="E185" s="2395"/>
      <c r="F185" s="2396"/>
      <c r="G185" s="2590"/>
      <c r="H185" s="2591"/>
      <c r="I185" s="1081">
        <f t="shared" si="47"/>
        <v>0</v>
      </c>
      <c r="J185" s="1082">
        <f t="shared" si="48"/>
        <v>0</v>
      </c>
      <c r="K185" s="2588"/>
      <c r="L185" s="2589"/>
      <c r="M185" s="1086">
        <f t="shared" si="49"/>
        <v>0</v>
      </c>
      <c r="N185" s="503"/>
      <c r="O185" s="365">
        <f t="shared" si="50"/>
        <v>0</v>
      </c>
      <c r="P185" s="366"/>
      <c r="Q185" s="135"/>
      <c r="R185" s="136"/>
      <c r="S185" s="129"/>
      <c r="T185" s="129"/>
      <c r="U185" s="129"/>
      <c r="V185" s="129"/>
      <c r="W185" s="129"/>
      <c r="X185" s="129"/>
      <c r="Y185" s="129"/>
      <c r="Z185" s="133"/>
      <c r="AA185" s="133"/>
      <c r="AB185" s="133"/>
      <c r="AC185" s="133"/>
      <c r="AD185" s="133"/>
      <c r="AE185" s="133"/>
      <c r="AF185" s="222"/>
      <c r="AG185" s="222"/>
      <c r="AH185" s="222"/>
      <c r="AI185" s="176"/>
      <c r="AJ185" s="176"/>
      <c r="AK185" s="176"/>
      <c r="AL185" s="176"/>
      <c r="AM185" s="176"/>
      <c r="AN185" s="176"/>
      <c r="AO185" s="176"/>
      <c r="AP185" s="176"/>
      <c r="AQ185" s="176"/>
      <c r="AR185" s="176"/>
      <c r="AS185" s="176"/>
      <c r="AT185" s="176"/>
      <c r="AU185" s="176"/>
      <c r="AV185" s="176"/>
      <c r="AW185" s="176"/>
      <c r="AX185" s="176"/>
      <c r="AY185" s="176"/>
      <c r="AZ185" s="176"/>
      <c r="BA185" s="176"/>
      <c r="BB185" s="176"/>
      <c r="BC185" s="176"/>
      <c r="BD185" s="176"/>
      <c r="BE185" s="176"/>
      <c r="BF185" s="176"/>
      <c r="BG185" s="176"/>
      <c r="BH185" s="176"/>
      <c r="BI185" s="176"/>
      <c r="BJ185" s="176"/>
      <c r="BK185" s="176"/>
      <c r="BL185" s="176"/>
      <c r="BM185" s="176"/>
      <c r="BN185" s="176"/>
      <c r="BO185" s="176"/>
    </row>
    <row r="186" spans="1:67" s="36" customFormat="1" ht="10.5" customHeight="1" x14ac:dyDescent="0.2">
      <c r="A186" s="1055"/>
      <c r="B186" s="2594"/>
      <c r="C186" s="2595"/>
      <c r="D186" s="2596"/>
      <c r="E186" s="2395"/>
      <c r="F186" s="2396"/>
      <c r="G186" s="2590"/>
      <c r="H186" s="2591"/>
      <c r="I186" s="1081">
        <f t="shared" si="47"/>
        <v>0</v>
      </c>
      <c r="J186" s="1082">
        <f t="shared" si="48"/>
        <v>0</v>
      </c>
      <c r="K186" s="2588"/>
      <c r="L186" s="2589"/>
      <c r="M186" s="1086">
        <f t="shared" si="49"/>
        <v>0</v>
      </c>
      <c r="N186" s="503"/>
      <c r="O186" s="365">
        <f t="shared" si="50"/>
        <v>0</v>
      </c>
      <c r="P186" s="366"/>
      <c r="Q186" s="135"/>
      <c r="R186" s="136"/>
      <c r="S186" s="129"/>
      <c r="T186" s="129"/>
      <c r="U186" s="129"/>
      <c r="V186" s="129"/>
      <c r="W186" s="129"/>
      <c r="X186" s="129"/>
      <c r="Y186" s="129"/>
      <c r="Z186" s="133"/>
      <c r="AA186" s="133"/>
      <c r="AB186" s="133"/>
      <c r="AC186" s="133"/>
      <c r="AD186" s="133"/>
      <c r="AE186" s="133"/>
      <c r="AF186" s="222"/>
      <c r="AG186" s="222"/>
      <c r="AH186" s="222"/>
      <c r="AI186" s="176"/>
      <c r="AJ186" s="176"/>
      <c r="AK186" s="176"/>
      <c r="AL186" s="176"/>
      <c r="AM186" s="176"/>
      <c r="AN186" s="176"/>
      <c r="AO186" s="176"/>
      <c r="AP186" s="176"/>
      <c r="AQ186" s="176"/>
      <c r="AR186" s="176"/>
      <c r="AS186" s="176"/>
      <c r="AT186" s="176"/>
      <c r="AU186" s="176"/>
      <c r="AV186" s="176"/>
      <c r="AW186" s="176"/>
      <c r="AX186" s="176"/>
      <c r="AY186" s="176"/>
      <c r="AZ186" s="176"/>
      <c r="BA186" s="176"/>
      <c r="BB186" s="176"/>
      <c r="BC186" s="176"/>
      <c r="BD186" s="176"/>
      <c r="BE186" s="176"/>
      <c r="BF186" s="176"/>
      <c r="BG186" s="176"/>
      <c r="BH186" s="176"/>
      <c r="BI186" s="176"/>
      <c r="BJ186" s="176"/>
      <c r="BK186" s="176"/>
      <c r="BL186" s="176"/>
      <c r="BM186" s="176"/>
      <c r="BN186" s="176"/>
      <c r="BO186" s="176"/>
    </row>
    <row r="187" spans="1:67" s="36" customFormat="1" ht="10.5" customHeight="1" x14ac:dyDescent="0.2">
      <c r="A187" s="1055"/>
      <c r="B187" s="2594"/>
      <c r="C187" s="2595"/>
      <c r="D187" s="2596"/>
      <c r="E187" s="2395"/>
      <c r="F187" s="2396"/>
      <c r="G187" s="2590"/>
      <c r="H187" s="2591"/>
      <c r="I187" s="1081">
        <f t="shared" si="47"/>
        <v>0</v>
      </c>
      <c r="J187" s="1082">
        <f t="shared" si="48"/>
        <v>0</v>
      </c>
      <c r="K187" s="2588"/>
      <c r="L187" s="2589"/>
      <c r="M187" s="1086">
        <f t="shared" si="49"/>
        <v>0</v>
      </c>
      <c r="N187" s="503"/>
      <c r="O187" s="365">
        <f t="shared" si="50"/>
        <v>0</v>
      </c>
      <c r="P187" s="366"/>
      <c r="Q187" s="135"/>
      <c r="R187" s="136"/>
      <c r="S187" s="129"/>
      <c r="T187" s="129"/>
      <c r="U187" s="129"/>
      <c r="V187" s="129"/>
      <c r="W187" s="129"/>
      <c r="X187" s="129"/>
      <c r="Y187" s="129"/>
      <c r="Z187" s="133"/>
      <c r="AA187" s="133"/>
      <c r="AB187" s="133"/>
      <c r="AC187" s="133"/>
      <c r="AD187" s="133"/>
      <c r="AE187" s="133"/>
      <c r="AF187" s="222"/>
      <c r="AG187" s="222"/>
      <c r="AH187" s="222"/>
      <c r="AI187" s="176"/>
      <c r="AJ187" s="176"/>
      <c r="AK187" s="176"/>
      <c r="AL187" s="176"/>
      <c r="AM187" s="176"/>
      <c r="AN187" s="176"/>
      <c r="AO187" s="176"/>
      <c r="AP187" s="176"/>
      <c r="AQ187" s="176"/>
      <c r="AR187" s="176"/>
      <c r="AS187" s="176"/>
      <c r="AT187" s="176"/>
      <c r="AU187" s="176"/>
      <c r="AV187" s="176"/>
      <c r="AW187" s="176"/>
      <c r="AX187" s="176"/>
      <c r="AY187" s="176"/>
      <c r="AZ187" s="176"/>
      <c r="BA187" s="176"/>
      <c r="BB187" s="176"/>
      <c r="BC187" s="176"/>
      <c r="BD187" s="176"/>
      <c r="BE187" s="176"/>
      <c r="BF187" s="176"/>
      <c r="BG187" s="176"/>
      <c r="BH187" s="176"/>
      <c r="BI187" s="176"/>
      <c r="BJ187" s="176"/>
      <c r="BK187" s="176"/>
      <c r="BL187" s="176"/>
      <c r="BM187" s="176"/>
      <c r="BN187" s="176"/>
      <c r="BO187" s="176"/>
    </row>
    <row r="188" spans="1:67" s="36" customFormat="1" ht="10.5" customHeight="1" x14ac:dyDescent="0.2">
      <c r="A188" s="1055"/>
      <c r="B188" s="2594"/>
      <c r="C188" s="2595"/>
      <c r="D188" s="2596"/>
      <c r="E188" s="2395"/>
      <c r="F188" s="2396"/>
      <c r="G188" s="2590"/>
      <c r="H188" s="2591"/>
      <c r="I188" s="1081">
        <f t="shared" si="47"/>
        <v>0</v>
      </c>
      <c r="J188" s="1082">
        <f t="shared" si="48"/>
        <v>0</v>
      </c>
      <c r="K188" s="2588"/>
      <c r="L188" s="2589"/>
      <c r="M188" s="1086">
        <f t="shared" si="49"/>
        <v>0</v>
      </c>
      <c r="N188" s="503"/>
      <c r="O188" s="365">
        <f t="shared" si="50"/>
        <v>0</v>
      </c>
      <c r="P188" s="366"/>
      <c r="Q188" s="135"/>
      <c r="R188" s="136"/>
      <c r="S188" s="129"/>
      <c r="T188" s="129"/>
      <c r="U188" s="129"/>
      <c r="V188" s="129"/>
      <c r="W188" s="129"/>
      <c r="X188" s="129"/>
      <c r="Y188" s="129"/>
      <c r="Z188" s="133"/>
      <c r="AA188" s="133"/>
      <c r="AB188" s="133"/>
      <c r="AC188" s="133"/>
      <c r="AD188" s="133"/>
      <c r="AE188" s="133"/>
      <c r="AF188" s="222"/>
      <c r="AG188" s="222"/>
      <c r="AH188" s="222"/>
      <c r="AI188" s="176"/>
      <c r="AJ188" s="176"/>
      <c r="AK188" s="176"/>
      <c r="AL188" s="176"/>
      <c r="AM188" s="176"/>
      <c r="AN188" s="176"/>
      <c r="AO188" s="176"/>
      <c r="AP188" s="176"/>
      <c r="AQ188" s="176"/>
      <c r="AR188" s="176"/>
      <c r="AS188" s="176"/>
      <c r="AT188" s="176"/>
      <c r="AU188" s="176"/>
      <c r="AV188" s="176"/>
      <c r="AW188" s="176"/>
      <c r="AX188" s="176"/>
      <c r="AY188" s="176"/>
      <c r="AZ188" s="176"/>
      <c r="BA188" s="176"/>
      <c r="BB188" s="176"/>
      <c r="BC188" s="176"/>
      <c r="BD188" s="176"/>
      <c r="BE188" s="176"/>
      <c r="BF188" s="176"/>
      <c r="BG188" s="176"/>
      <c r="BH188" s="176"/>
      <c r="BI188" s="176"/>
      <c r="BJ188" s="176"/>
      <c r="BK188" s="176"/>
      <c r="BL188" s="176"/>
      <c r="BM188" s="176"/>
      <c r="BN188" s="176"/>
      <c r="BO188" s="176"/>
    </row>
    <row r="189" spans="1:67" s="36" customFormat="1" ht="10.5" customHeight="1" x14ac:dyDescent="0.2">
      <c r="A189" s="1055"/>
      <c r="B189" s="2594"/>
      <c r="C189" s="2595"/>
      <c r="D189" s="2596"/>
      <c r="E189" s="2395"/>
      <c r="F189" s="2396"/>
      <c r="G189" s="2590"/>
      <c r="H189" s="2591"/>
      <c r="I189" s="1081">
        <f t="shared" si="47"/>
        <v>0</v>
      </c>
      <c r="J189" s="1082">
        <f t="shared" si="48"/>
        <v>0</v>
      </c>
      <c r="K189" s="2588"/>
      <c r="L189" s="2589"/>
      <c r="M189" s="1086">
        <f t="shared" si="49"/>
        <v>0</v>
      </c>
      <c r="N189" s="503"/>
      <c r="O189" s="365">
        <f t="shared" si="50"/>
        <v>0</v>
      </c>
      <c r="P189" s="366"/>
      <c r="Q189" s="135"/>
      <c r="R189" s="136"/>
      <c r="S189" s="129"/>
      <c r="T189" s="129"/>
      <c r="U189" s="129"/>
      <c r="V189" s="129"/>
      <c r="W189" s="129"/>
      <c r="X189" s="129"/>
      <c r="Y189" s="129"/>
      <c r="Z189" s="133"/>
      <c r="AA189" s="133"/>
      <c r="AB189" s="133"/>
      <c r="AC189" s="133"/>
      <c r="AD189" s="133"/>
      <c r="AE189" s="133"/>
      <c r="AF189" s="222"/>
      <c r="AG189" s="222"/>
      <c r="AH189" s="222"/>
      <c r="AI189" s="176"/>
      <c r="AJ189" s="176"/>
      <c r="AK189" s="176"/>
      <c r="AL189" s="176"/>
      <c r="AM189" s="176"/>
      <c r="AN189" s="176"/>
      <c r="AO189" s="176"/>
      <c r="AP189" s="176"/>
      <c r="AQ189" s="176"/>
      <c r="AR189" s="176"/>
      <c r="AS189" s="176"/>
      <c r="AT189" s="176"/>
      <c r="AU189" s="176"/>
      <c r="AV189" s="176"/>
      <c r="AW189" s="176"/>
      <c r="AX189" s="176"/>
      <c r="AY189" s="176"/>
      <c r="AZ189" s="176"/>
      <c r="BA189" s="176"/>
      <c r="BB189" s="176"/>
      <c r="BC189" s="176"/>
      <c r="BD189" s="176"/>
      <c r="BE189" s="176"/>
      <c r="BF189" s="176"/>
      <c r="BG189" s="176"/>
      <c r="BH189" s="176"/>
      <c r="BI189" s="176"/>
      <c r="BJ189" s="176"/>
      <c r="BK189" s="176"/>
      <c r="BL189" s="176"/>
      <c r="BM189" s="176"/>
      <c r="BN189" s="176"/>
      <c r="BO189" s="176"/>
    </row>
    <row r="190" spans="1:67" s="36" customFormat="1" ht="10.5" customHeight="1" x14ac:dyDescent="0.2">
      <c r="A190" s="1055"/>
      <c r="B190" s="2594"/>
      <c r="C190" s="2595"/>
      <c r="D190" s="2596"/>
      <c r="E190" s="2395"/>
      <c r="F190" s="2396"/>
      <c r="G190" s="2590"/>
      <c r="H190" s="2591"/>
      <c r="I190" s="1081">
        <f t="shared" si="47"/>
        <v>0</v>
      </c>
      <c r="J190" s="1082">
        <f t="shared" si="48"/>
        <v>0</v>
      </c>
      <c r="K190" s="2588"/>
      <c r="L190" s="2589"/>
      <c r="M190" s="1086">
        <f t="shared" si="49"/>
        <v>0</v>
      </c>
      <c r="N190" s="503"/>
      <c r="O190" s="365">
        <f t="shared" si="50"/>
        <v>0</v>
      </c>
      <c r="P190" s="366"/>
      <c r="Q190" s="135"/>
      <c r="R190" s="136"/>
      <c r="S190" s="129"/>
      <c r="T190" s="129"/>
      <c r="U190" s="129"/>
      <c r="V190" s="129"/>
      <c r="W190" s="129"/>
      <c r="X190" s="129"/>
      <c r="Y190" s="129"/>
      <c r="Z190" s="133"/>
      <c r="AA190" s="133"/>
      <c r="AB190" s="133"/>
      <c r="AC190" s="133"/>
      <c r="AD190" s="133"/>
      <c r="AE190" s="133"/>
      <c r="AF190" s="222"/>
      <c r="AG190" s="222"/>
      <c r="AH190" s="222"/>
      <c r="AI190" s="176"/>
      <c r="AJ190" s="176"/>
      <c r="AK190" s="176"/>
      <c r="AL190" s="176"/>
      <c r="AM190" s="176"/>
      <c r="AN190" s="176"/>
      <c r="AO190" s="176"/>
      <c r="AP190" s="176"/>
      <c r="AQ190" s="176"/>
      <c r="AR190" s="176"/>
      <c r="AS190" s="176"/>
      <c r="AT190" s="176"/>
      <c r="AU190" s="176"/>
      <c r="AV190" s="176"/>
      <c r="AW190" s="176"/>
      <c r="AX190" s="176"/>
      <c r="AY190" s="176"/>
      <c r="AZ190" s="176"/>
      <c r="BA190" s="176"/>
      <c r="BB190" s="176"/>
      <c r="BC190" s="176"/>
      <c r="BD190" s="176"/>
      <c r="BE190" s="176"/>
      <c r="BF190" s="176"/>
      <c r="BG190" s="176"/>
      <c r="BH190" s="176"/>
      <c r="BI190" s="176"/>
      <c r="BJ190" s="176"/>
      <c r="BK190" s="176"/>
      <c r="BL190" s="176"/>
      <c r="BM190" s="176"/>
      <c r="BN190" s="176"/>
      <c r="BO190" s="176"/>
    </row>
    <row r="191" spans="1:67" s="36" customFormat="1" ht="10.5" customHeight="1" x14ac:dyDescent="0.2">
      <c r="A191" s="1044"/>
      <c r="B191" s="2608"/>
      <c r="C191" s="2609"/>
      <c r="D191" s="2610"/>
      <c r="E191" s="2601"/>
      <c r="F191" s="2602"/>
      <c r="G191" s="1088"/>
      <c r="H191" s="1089"/>
      <c r="I191" s="1083">
        <f t="shared" si="47"/>
        <v>0</v>
      </c>
      <c r="J191" s="1084"/>
      <c r="K191" s="1087"/>
      <c r="L191" s="1307"/>
      <c r="M191" s="1317">
        <f t="shared" si="49"/>
        <v>0</v>
      </c>
      <c r="N191" s="503"/>
      <c r="O191" s="365">
        <f t="shared" si="50"/>
        <v>0</v>
      </c>
      <c r="P191" s="366"/>
      <c r="Q191" s="135"/>
      <c r="R191" s="136"/>
      <c r="S191" s="129"/>
      <c r="T191" s="129"/>
      <c r="U191" s="129"/>
      <c r="V191" s="129"/>
      <c r="W191" s="129"/>
      <c r="X191" s="129"/>
      <c r="Y191" s="129"/>
      <c r="Z191" s="133"/>
      <c r="AA191" s="133"/>
      <c r="AB191" s="133"/>
      <c r="AC191" s="133"/>
      <c r="AD191" s="133"/>
      <c r="AE191" s="133"/>
      <c r="AF191" s="222"/>
      <c r="AG191" s="222"/>
      <c r="AH191" s="222"/>
      <c r="AI191" s="176"/>
      <c r="AJ191" s="176"/>
      <c r="AK191" s="176"/>
      <c r="AL191" s="176"/>
      <c r="AM191" s="176"/>
      <c r="AN191" s="176"/>
      <c r="AO191" s="176"/>
      <c r="AP191" s="176"/>
      <c r="AQ191" s="176"/>
      <c r="AR191" s="176"/>
      <c r="AS191" s="176"/>
      <c r="AT191" s="176"/>
      <c r="AU191" s="176"/>
      <c r="AV191" s="176"/>
      <c r="AW191" s="176"/>
      <c r="AX191" s="176"/>
      <c r="AY191" s="176"/>
      <c r="AZ191" s="176"/>
      <c r="BA191" s="176"/>
      <c r="BB191" s="176"/>
      <c r="BC191" s="176"/>
      <c r="BD191" s="176"/>
      <c r="BE191" s="176"/>
      <c r="BF191" s="176"/>
      <c r="BG191" s="176"/>
      <c r="BH191" s="176"/>
      <c r="BI191" s="176"/>
      <c r="BJ191" s="176"/>
      <c r="BK191" s="176"/>
      <c r="BL191" s="176"/>
      <c r="BM191" s="176"/>
      <c r="BN191" s="176"/>
      <c r="BO191" s="176"/>
    </row>
    <row r="192" spans="1:67" s="36" customFormat="1" ht="10.5" customHeight="1" x14ac:dyDescent="0.2">
      <c r="A192" s="1120" t="s">
        <v>320</v>
      </c>
      <c r="B192" s="2603"/>
      <c r="C192" s="2604"/>
      <c r="D192" s="2605"/>
      <c r="E192" s="2606">
        <f>SUM(E193:E205)</f>
        <v>0</v>
      </c>
      <c r="F192" s="2607"/>
      <c r="G192" s="2620"/>
      <c r="H192" s="2621"/>
      <c r="I192" s="1121">
        <f>IF(E192=0,0,J192/E192)</f>
        <v>0</v>
      </c>
      <c r="J192" s="1122">
        <f>SUM(J193:J205)</f>
        <v>0</v>
      </c>
      <c r="K192" s="2622">
        <f>IF(E192=0,0,M192/E192*100)</f>
        <v>0</v>
      </c>
      <c r="L192" s="2623"/>
      <c r="M192" s="1318">
        <f>SUM(M193:M205)</f>
        <v>0</v>
      </c>
      <c r="N192" s="503"/>
      <c r="O192" s="178">
        <f>IF(H192="",G192,H192)</f>
        <v>0</v>
      </c>
      <c r="P192" s="366"/>
      <c r="Q192" s="135"/>
      <c r="R192" s="136"/>
      <c r="S192" s="129"/>
      <c r="T192" s="129"/>
      <c r="U192" s="129"/>
      <c r="V192" s="129"/>
      <c r="W192" s="129"/>
      <c r="X192" s="129"/>
      <c r="Y192" s="129"/>
      <c r="Z192" s="133"/>
      <c r="AA192" s="133"/>
      <c r="AB192" s="133"/>
      <c r="AC192" s="133"/>
      <c r="AD192" s="133"/>
      <c r="AE192" s="133"/>
      <c r="AF192" s="222"/>
      <c r="AG192" s="222"/>
      <c r="AH192" s="222"/>
      <c r="AI192" s="176"/>
      <c r="AJ192" s="176"/>
      <c r="AK192" s="176"/>
      <c r="AL192" s="176"/>
      <c r="AM192" s="176"/>
      <c r="AN192" s="176"/>
      <c r="AO192" s="176"/>
      <c r="AP192" s="176"/>
      <c r="AQ192" s="176"/>
      <c r="AR192" s="176"/>
      <c r="AS192" s="176"/>
      <c r="AT192" s="176"/>
      <c r="AU192" s="176"/>
      <c r="AV192" s="176"/>
      <c r="AW192" s="176"/>
      <c r="AX192" s="176"/>
      <c r="AY192" s="176"/>
      <c r="AZ192" s="176"/>
      <c r="BA192" s="176"/>
      <c r="BB192" s="176"/>
      <c r="BC192" s="176"/>
      <c r="BD192" s="176"/>
      <c r="BE192" s="176"/>
      <c r="BF192" s="176"/>
      <c r="BG192" s="176"/>
      <c r="BH192" s="176"/>
      <c r="BI192" s="176"/>
      <c r="BJ192" s="176"/>
      <c r="BK192" s="176"/>
      <c r="BL192" s="176"/>
      <c r="BM192" s="176"/>
      <c r="BN192" s="176"/>
      <c r="BO192" s="176"/>
    </row>
    <row r="193" spans="1:67" s="36" customFormat="1" ht="10.5" customHeight="1" x14ac:dyDescent="0.2">
      <c r="A193" s="1042" t="s">
        <v>321</v>
      </c>
      <c r="B193" s="2624"/>
      <c r="C193" s="2625"/>
      <c r="D193" s="2626"/>
      <c r="E193" s="2386"/>
      <c r="F193" s="2387"/>
      <c r="G193" s="1056">
        <v>30</v>
      </c>
      <c r="H193" s="1057"/>
      <c r="I193" s="1079">
        <f t="shared" ref="I193:I206" si="51">IF($O193&gt;0,-PMT(($I$9),$O193,1),0)</f>
        <v>4.6199342169092869E-2</v>
      </c>
      <c r="J193" s="1080">
        <f t="shared" ref="J193:J205" si="52">ROUND(E193*I193,0)</f>
        <v>0</v>
      </c>
      <c r="K193" s="1060">
        <v>1.5</v>
      </c>
      <c r="L193" s="1304"/>
      <c r="M193" s="1085">
        <f t="shared" ref="M193:M206" si="53">ROUND(E193/100*IF(ISBLANK(L193),K193,L193),0)</f>
        <v>0</v>
      </c>
      <c r="N193" s="503"/>
      <c r="O193" s="365">
        <f t="shared" ref="O193:O206" si="54">IF(ISBLANK(H193),G193,H193)</f>
        <v>30</v>
      </c>
      <c r="P193" s="366"/>
      <c r="Q193" s="135"/>
      <c r="R193" s="136"/>
      <c r="S193" s="129"/>
      <c r="T193" s="129"/>
      <c r="U193" s="129"/>
      <c r="V193" s="129"/>
      <c r="W193" s="129"/>
      <c r="X193" s="129"/>
      <c r="Y193" s="129"/>
      <c r="Z193" s="133"/>
      <c r="AA193" s="133"/>
      <c r="AB193" s="133"/>
      <c r="AC193" s="133"/>
      <c r="AD193" s="133"/>
      <c r="AE193" s="133"/>
      <c r="AF193" s="222"/>
      <c r="AG193" s="222"/>
      <c r="AH193" s="222"/>
      <c r="AI193" s="176"/>
      <c r="AJ193" s="176"/>
      <c r="AK193" s="176"/>
      <c r="AL193" s="176"/>
      <c r="AM193" s="176"/>
      <c r="AN193" s="176"/>
      <c r="AO193" s="176"/>
      <c r="AP193" s="176"/>
      <c r="AQ193" s="176"/>
      <c r="AR193" s="176"/>
      <c r="AS193" s="176"/>
      <c r="AT193" s="176"/>
      <c r="AU193" s="176"/>
      <c r="AV193" s="176"/>
      <c r="AW193" s="176"/>
      <c r="AX193" s="176"/>
      <c r="AY193" s="176"/>
      <c r="AZ193" s="176"/>
      <c r="BA193" s="176"/>
      <c r="BB193" s="176"/>
      <c r="BC193" s="176"/>
      <c r="BD193" s="176"/>
      <c r="BE193" s="176"/>
      <c r="BF193" s="176"/>
      <c r="BG193" s="176"/>
      <c r="BH193" s="176"/>
      <c r="BI193" s="176"/>
      <c r="BJ193" s="176"/>
      <c r="BK193" s="176"/>
      <c r="BL193" s="176"/>
      <c r="BM193" s="176"/>
      <c r="BN193" s="176"/>
      <c r="BO193" s="176"/>
    </row>
    <row r="194" spans="1:67" s="36" customFormat="1" ht="10.5" customHeight="1" x14ac:dyDescent="0.2">
      <c r="A194" s="1043" t="s">
        <v>322</v>
      </c>
      <c r="B194" s="2594"/>
      <c r="C194" s="2595"/>
      <c r="D194" s="2596"/>
      <c r="E194" s="2395"/>
      <c r="F194" s="2396"/>
      <c r="G194" s="1058">
        <v>30</v>
      </c>
      <c r="H194" s="1059"/>
      <c r="I194" s="1081">
        <f t="shared" si="51"/>
        <v>4.6199342169092869E-2</v>
      </c>
      <c r="J194" s="1082">
        <f t="shared" si="52"/>
        <v>0</v>
      </c>
      <c r="K194" s="1061">
        <v>1</v>
      </c>
      <c r="L194" s="1305"/>
      <c r="M194" s="1086">
        <f t="shared" si="53"/>
        <v>0</v>
      </c>
      <c r="N194" s="503"/>
      <c r="O194" s="365">
        <f t="shared" si="54"/>
        <v>30</v>
      </c>
      <c r="P194" s="366"/>
      <c r="Q194" s="135"/>
      <c r="R194" s="136"/>
      <c r="S194" s="129"/>
      <c r="T194" s="129"/>
      <c r="U194" s="129"/>
      <c r="V194" s="129"/>
      <c r="W194" s="129"/>
      <c r="X194" s="129"/>
      <c r="Y194" s="129"/>
      <c r="Z194" s="133"/>
      <c r="AA194" s="133"/>
      <c r="AB194" s="133"/>
      <c r="AC194" s="133"/>
      <c r="AD194" s="133"/>
      <c r="AE194" s="133"/>
      <c r="AF194" s="222"/>
      <c r="AG194" s="222"/>
      <c r="AH194" s="222"/>
      <c r="AI194" s="176"/>
      <c r="AJ194" s="176"/>
      <c r="AK194" s="176"/>
      <c r="AL194" s="176"/>
      <c r="AM194" s="176"/>
      <c r="AN194" s="176"/>
      <c r="AO194" s="176"/>
      <c r="AP194" s="176"/>
      <c r="AQ194" s="176"/>
      <c r="AR194" s="176"/>
      <c r="AS194" s="176"/>
      <c r="AT194" s="176"/>
      <c r="AU194" s="176"/>
      <c r="AV194" s="176"/>
      <c r="AW194" s="176"/>
      <c r="AX194" s="176"/>
      <c r="AY194" s="176"/>
      <c r="AZ194" s="176"/>
      <c r="BA194" s="176"/>
      <c r="BB194" s="176"/>
      <c r="BC194" s="176"/>
      <c r="BD194" s="176"/>
      <c r="BE194" s="176"/>
      <c r="BF194" s="176"/>
      <c r="BG194" s="176"/>
      <c r="BH194" s="176"/>
      <c r="BI194" s="176"/>
      <c r="BJ194" s="176"/>
      <c r="BK194" s="176"/>
      <c r="BL194" s="176"/>
      <c r="BM194" s="176"/>
      <c r="BN194" s="176"/>
      <c r="BO194" s="176"/>
    </row>
    <row r="195" spans="1:67" s="36" customFormat="1" ht="10.5" customHeight="1" x14ac:dyDescent="0.2">
      <c r="A195" s="1043" t="s">
        <v>323</v>
      </c>
      <c r="B195" s="2594"/>
      <c r="C195" s="2595"/>
      <c r="D195" s="2596"/>
      <c r="E195" s="2395"/>
      <c r="F195" s="2396"/>
      <c r="G195" s="1058">
        <v>30</v>
      </c>
      <c r="H195" s="1059"/>
      <c r="I195" s="1081">
        <f t="shared" si="51"/>
        <v>4.6199342169092869E-2</v>
      </c>
      <c r="J195" s="1082">
        <f t="shared" si="52"/>
        <v>0</v>
      </c>
      <c r="K195" s="1061">
        <v>0.5</v>
      </c>
      <c r="L195" s="1305"/>
      <c r="M195" s="1086">
        <f t="shared" si="53"/>
        <v>0</v>
      </c>
      <c r="N195" s="503"/>
      <c r="O195" s="365">
        <f t="shared" si="54"/>
        <v>30</v>
      </c>
      <c r="P195" s="366"/>
      <c r="Q195" s="135"/>
      <c r="R195" s="136"/>
      <c r="S195" s="129"/>
      <c r="T195" s="129"/>
      <c r="U195" s="129"/>
      <c r="V195" s="129"/>
      <c r="W195" s="129"/>
      <c r="X195" s="129"/>
      <c r="Y195" s="129"/>
      <c r="Z195" s="133"/>
      <c r="AA195" s="133"/>
      <c r="AB195" s="133"/>
      <c r="AC195" s="133"/>
      <c r="AD195" s="133"/>
      <c r="AE195" s="133"/>
      <c r="AF195" s="222"/>
      <c r="AG195" s="222"/>
      <c r="AH195" s="222"/>
      <c r="AI195" s="176"/>
      <c r="AJ195" s="176"/>
      <c r="AK195" s="176"/>
      <c r="AL195" s="176"/>
      <c r="AM195" s="176"/>
      <c r="AN195" s="176"/>
      <c r="AO195" s="176"/>
      <c r="AP195" s="176"/>
      <c r="AQ195" s="176"/>
      <c r="AR195" s="176"/>
      <c r="AS195" s="176"/>
      <c r="AT195" s="176"/>
      <c r="AU195" s="176"/>
      <c r="AV195" s="176"/>
      <c r="AW195" s="176"/>
      <c r="AX195" s="176"/>
      <c r="AY195" s="176"/>
      <c r="AZ195" s="176"/>
      <c r="BA195" s="176"/>
      <c r="BB195" s="176"/>
      <c r="BC195" s="176"/>
      <c r="BD195" s="176"/>
      <c r="BE195" s="176"/>
      <c r="BF195" s="176"/>
      <c r="BG195" s="176"/>
      <c r="BH195" s="176"/>
      <c r="BI195" s="176"/>
      <c r="BJ195" s="176"/>
      <c r="BK195" s="176"/>
      <c r="BL195" s="176"/>
      <c r="BM195" s="176"/>
      <c r="BN195" s="176"/>
      <c r="BO195" s="176"/>
    </row>
    <row r="196" spans="1:67" s="36" customFormat="1" ht="10.5" customHeight="1" x14ac:dyDescent="0.2">
      <c r="A196" s="1043" t="s">
        <v>324</v>
      </c>
      <c r="B196" s="2594"/>
      <c r="C196" s="2595"/>
      <c r="D196" s="2596"/>
      <c r="E196" s="2395"/>
      <c r="F196" s="2396"/>
      <c r="G196" s="1058">
        <v>30</v>
      </c>
      <c r="H196" s="1059"/>
      <c r="I196" s="1081">
        <f t="shared" si="51"/>
        <v>4.6199342169092869E-2</v>
      </c>
      <c r="J196" s="1082">
        <f t="shared" si="52"/>
        <v>0</v>
      </c>
      <c r="K196" s="1061">
        <v>0.5</v>
      </c>
      <c r="L196" s="1305"/>
      <c r="M196" s="1086">
        <f t="shared" si="53"/>
        <v>0</v>
      </c>
      <c r="N196" s="503"/>
      <c r="O196" s="365">
        <f t="shared" si="54"/>
        <v>30</v>
      </c>
      <c r="P196" s="366"/>
      <c r="Q196" s="135"/>
      <c r="R196" s="136"/>
      <c r="S196" s="129"/>
      <c r="T196" s="129"/>
      <c r="U196" s="129"/>
      <c r="V196" s="129"/>
      <c r="W196" s="129"/>
      <c r="X196" s="129"/>
      <c r="Y196" s="129"/>
      <c r="Z196" s="133"/>
      <c r="AA196" s="133"/>
      <c r="AB196" s="133"/>
      <c r="AC196" s="133"/>
      <c r="AD196" s="133"/>
      <c r="AE196" s="133"/>
      <c r="AF196" s="222"/>
      <c r="AG196" s="222"/>
      <c r="AH196" s="222"/>
      <c r="AI196" s="176"/>
      <c r="AJ196" s="176"/>
      <c r="AK196" s="176"/>
      <c r="AL196" s="176"/>
      <c r="AM196" s="176"/>
      <c r="AN196" s="176"/>
      <c r="AO196" s="176"/>
      <c r="AP196" s="176"/>
      <c r="AQ196" s="176"/>
      <c r="AR196" s="176"/>
      <c r="AS196" s="176"/>
      <c r="AT196" s="176"/>
      <c r="AU196" s="176"/>
      <c r="AV196" s="176"/>
      <c r="AW196" s="176"/>
      <c r="AX196" s="176"/>
      <c r="AY196" s="176"/>
      <c r="AZ196" s="176"/>
      <c r="BA196" s="176"/>
      <c r="BB196" s="176"/>
      <c r="BC196" s="176"/>
      <c r="BD196" s="176"/>
      <c r="BE196" s="176"/>
      <c r="BF196" s="176"/>
      <c r="BG196" s="176"/>
      <c r="BH196" s="176"/>
      <c r="BI196" s="176"/>
      <c r="BJ196" s="176"/>
      <c r="BK196" s="176"/>
      <c r="BL196" s="176"/>
      <c r="BM196" s="176"/>
      <c r="BN196" s="176"/>
      <c r="BO196" s="176"/>
    </row>
    <row r="197" spans="1:67" s="36" customFormat="1" ht="10.5" customHeight="1" x14ac:dyDescent="0.2">
      <c r="A197" s="1043" t="s">
        <v>325</v>
      </c>
      <c r="B197" s="2594"/>
      <c r="C197" s="2595"/>
      <c r="D197" s="2596"/>
      <c r="E197" s="2395"/>
      <c r="F197" s="2396"/>
      <c r="G197" s="1058">
        <v>15</v>
      </c>
      <c r="H197" s="1059"/>
      <c r="I197" s="1081">
        <f t="shared" si="51"/>
        <v>7.9288524964265278E-2</v>
      </c>
      <c r="J197" s="1082">
        <f t="shared" si="52"/>
        <v>0</v>
      </c>
      <c r="K197" s="1061">
        <v>2</v>
      </c>
      <c r="L197" s="1305"/>
      <c r="M197" s="1086">
        <f t="shared" si="53"/>
        <v>0</v>
      </c>
      <c r="N197" s="503"/>
      <c r="O197" s="365">
        <f t="shared" si="54"/>
        <v>15</v>
      </c>
      <c r="P197" s="366"/>
      <c r="Q197" s="135"/>
      <c r="R197" s="136"/>
      <c r="S197" s="129"/>
      <c r="T197" s="129"/>
      <c r="U197" s="129"/>
      <c r="V197" s="129"/>
      <c r="W197" s="129"/>
      <c r="X197" s="129"/>
      <c r="Y197" s="129"/>
      <c r="Z197" s="133"/>
      <c r="AA197" s="133"/>
      <c r="AB197" s="133"/>
      <c r="AC197" s="133"/>
      <c r="AD197" s="133"/>
      <c r="AE197" s="133"/>
      <c r="AF197" s="222"/>
      <c r="AG197" s="222"/>
      <c r="AH197" s="222"/>
      <c r="AI197" s="176"/>
      <c r="AJ197" s="176"/>
      <c r="AK197" s="176"/>
      <c r="AL197" s="176"/>
      <c r="AM197" s="176"/>
      <c r="AN197" s="176"/>
      <c r="AO197" s="176"/>
      <c r="AP197" s="176"/>
      <c r="AQ197" s="176"/>
      <c r="AR197" s="176"/>
      <c r="AS197" s="176"/>
      <c r="AT197" s="176"/>
      <c r="AU197" s="176"/>
      <c r="AV197" s="176"/>
      <c r="AW197" s="176"/>
      <c r="AX197" s="176"/>
      <c r="AY197" s="176"/>
      <c r="AZ197" s="176"/>
      <c r="BA197" s="176"/>
      <c r="BB197" s="176"/>
      <c r="BC197" s="176"/>
      <c r="BD197" s="176"/>
      <c r="BE197" s="176"/>
      <c r="BF197" s="176"/>
      <c r="BG197" s="176"/>
      <c r="BH197" s="176"/>
      <c r="BI197" s="176"/>
      <c r="BJ197" s="176"/>
      <c r="BK197" s="176"/>
      <c r="BL197" s="176"/>
      <c r="BM197" s="176"/>
      <c r="BN197" s="176"/>
      <c r="BO197" s="176"/>
    </row>
    <row r="198" spans="1:67" s="36" customFormat="1" ht="10.5" customHeight="1" x14ac:dyDescent="0.2">
      <c r="A198" s="1043" t="s">
        <v>399</v>
      </c>
      <c r="B198" s="2594"/>
      <c r="C198" s="2595"/>
      <c r="D198" s="2596"/>
      <c r="E198" s="2395"/>
      <c r="F198" s="2396"/>
      <c r="G198" s="1058">
        <v>15</v>
      </c>
      <c r="H198" s="1059"/>
      <c r="I198" s="1081">
        <f t="shared" si="51"/>
        <v>7.9288524964265278E-2</v>
      </c>
      <c r="J198" s="1082">
        <f t="shared" si="52"/>
        <v>0</v>
      </c>
      <c r="K198" s="1061">
        <v>1.5</v>
      </c>
      <c r="L198" s="1305"/>
      <c r="M198" s="1086">
        <f t="shared" si="53"/>
        <v>0</v>
      </c>
      <c r="N198" s="503"/>
      <c r="O198" s="365">
        <f t="shared" si="54"/>
        <v>15</v>
      </c>
      <c r="P198" s="366"/>
      <c r="Q198" s="135"/>
      <c r="R198" s="136"/>
      <c r="S198" s="129"/>
      <c r="T198" s="129"/>
      <c r="U198" s="129"/>
      <c r="V198" s="129"/>
      <c r="W198" s="129"/>
      <c r="X198" s="129"/>
      <c r="Y198" s="129"/>
      <c r="Z198" s="133"/>
      <c r="AA198" s="133"/>
      <c r="AB198" s="133"/>
      <c r="AC198" s="133"/>
      <c r="AD198" s="133"/>
      <c r="AE198" s="133"/>
      <c r="AF198" s="222"/>
      <c r="AG198" s="222"/>
      <c r="AH198" s="222"/>
      <c r="AI198" s="176"/>
      <c r="AJ198" s="176"/>
      <c r="AK198" s="176"/>
      <c r="AL198" s="176"/>
      <c r="AM198" s="176"/>
      <c r="AN198" s="176"/>
      <c r="AO198" s="176"/>
      <c r="AP198" s="176"/>
      <c r="AQ198" s="176"/>
      <c r="AR198" s="176"/>
      <c r="AS198" s="176"/>
      <c r="AT198" s="176"/>
      <c r="AU198" s="176"/>
      <c r="AV198" s="176"/>
      <c r="AW198" s="176"/>
      <c r="AX198" s="176"/>
      <c r="AY198" s="176"/>
      <c r="AZ198" s="176"/>
      <c r="BA198" s="176"/>
      <c r="BB198" s="176"/>
      <c r="BC198" s="176"/>
      <c r="BD198" s="176"/>
      <c r="BE198" s="176"/>
      <c r="BF198" s="176"/>
      <c r="BG198" s="176"/>
      <c r="BH198" s="176"/>
      <c r="BI198" s="176"/>
      <c r="BJ198" s="176"/>
      <c r="BK198" s="176"/>
      <c r="BL198" s="176"/>
      <c r="BM198" s="176"/>
      <c r="BN198" s="176"/>
      <c r="BO198" s="176"/>
    </row>
    <row r="199" spans="1:67" s="36" customFormat="1" ht="10.5" customHeight="1" x14ac:dyDescent="0.2">
      <c r="A199" s="1055"/>
      <c r="B199" s="2594"/>
      <c r="C199" s="2595"/>
      <c r="D199" s="2596"/>
      <c r="E199" s="2395"/>
      <c r="F199" s="2396"/>
      <c r="G199" s="2590"/>
      <c r="H199" s="2591"/>
      <c r="I199" s="1081">
        <f t="shared" si="51"/>
        <v>0</v>
      </c>
      <c r="J199" s="1082">
        <f t="shared" si="52"/>
        <v>0</v>
      </c>
      <c r="K199" s="2588"/>
      <c r="L199" s="2589"/>
      <c r="M199" s="1086">
        <f t="shared" si="53"/>
        <v>0</v>
      </c>
      <c r="N199" s="503"/>
      <c r="O199" s="365">
        <f t="shared" si="54"/>
        <v>0</v>
      </c>
      <c r="P199" s="366"/>
      <c r="Q199" s="135"/>
      <c r="R199" s="136"/>
      <c r="S199" s="129"/>
      <c r="T199" s="129"/>
      <c r="U199" s="129"/>
      <c r="V199" s="129"/>
      <c r="W199" s="129"/>
      <c r="X199" s="129"/>
      <c r="Y199" s="129"/>
      <c r="Z199" s="133"/>
      <c r="AA199" s="133"/>
      <c r="AB199" s="133"/>
      <c r="AC199" s="133"/>
      <c r="AD199" s="133"/>
      <c r="AE199" s="133"/>
      <c r="AF199" s="222"/>
      <c r="AG199" s="222"/>
      <c r="AH199" s="222"/>
      <c r="AI199" s="176"/>
      <c r="AJ199" s="176"/>
      <c r="AK199" s="176"/>
      <c r="AL199" s="176"/>
      <c r="AM199" s="176"/>
      <c r="AN199" s="176"/>
      <c r="AO199" s="176"/>
      <c r="AP199" s="176"/>
      <c r="AQ199" s="176"/>
      <c r="AR199" s="176"/>
      <c r="AS199" s="176"/>
      <c r="AT199" s="176"/>
      <c r="AU199" s="176"/>
      <c r="AV199" s="176"/>
      <c r="AW199" s="176"/>
      <c r="AX199" s="176"/>
      <c r="AY199" s="176"/>
      <c r="AZ199" s="176"/>
      <c r="BA199" s="176"/>
      <c r="BB199" s="176"/>
      <c r="BC199" s="176"/>
      <c r="BD199" s="176"/>
      <c r="BE199" s="176"/>
      <c r="BF199" s="176"/>
      <c r="BG199" s="176"/>
      <c r="BH199" s="176"/>
      <c r="BI199" s="176"/>
      <c r="BJ199" s="176"/>
      <c r="BK199" s="176"/>
      <c r="BL199" s="176"/>
      <c r="BM199" s="176"/>
      <c r="BN199" s="176"/>
      <c r="BO199" s="176"/>
    </row>
    <row r="200" spans="1:67" s="36" customFormat="1" ht="10.5" customHeight="1" x14ac:dyDescent="0.2">
      <c r="A200" s="1055"/>
      <c r="B200" s="2594"/>
      <c r="C200" s="2595"/>
      <c r="D200" s="2596"/>
      <c r="E200" s="2395"/>
      <c r="F200" s="2396"/>
      <c r="G200" s="2590"/>
      <c r="H200" s="2591"/>
      <c r="I200" s="1081">
        <f t="shared" si="51"/>
        <v>0</v>
      </c>
      <c r="J200" s="1082">
        <f t="shared" si="52"/>
        <v>0</v>
      </c>
      <c r="K200" s="2588"/>
      <c r="L200" s="2589"/>
      <c r="M200" s="1086">
        <f t="shared" si="53"/>
        <v>0</v>
      </c>
      <c r="N200" s="503"/>
      <c r="O200" s="365">
        <f t="shared" si="54"/>
        <v>0</v>
      </c>
      <c r="P200" s="366"/>
      <c r="Q200" s="135"/>
      <c r="R200" s="136"/>
      <c r="S200" s="129"/>
      <c r="T200" s="129"/>
      <c r="U200" s="129"/>
      <c r="V200" s="129"/>
      <c r="W200" s="129"/>
      <c r="X200" s="129"/>
      <c r="Y200" s="129"/>
      <c r="Z200" s="133"/>
      <c r="AA200" s="133"/>
      <c r="AB200" s="133"/>
      <c r="AC200" s="133"/>
      <c r="AD200" s="133"/>
      <c r="AE200" s="133"/>
      <c r="AF200" s="222"/>
      <c r="AG200" s="222"/>
      <c r="AH200" s="222"/>
      <c r="AI200" s="176"/>
      <c r="AJ200" s="176"/>
      <c r="AK200" s="176"/>
      <c r="AL200" s="176"/>
      <c r="AM200" s="176"/>
      <c r="AN200" s="176"/>
      <c r="AO200" s="176"/>
      <c r="AP200" s="176"/>
      <c r="AQ200" s="176"/>
      <c r="AR200" s="176"/>
      <c r="AS200" s="176"/>
      <c r="AT200" s="176"/>
      <c r="AU200" s="176"/>
      <c r="AV200" s="176"/>
      <c r="AW200" s="176"/>
      <c r="AX200" s="176"/>
      <c r="AY200" s="176"/>
      <c r="AZ200" s="176"/>
      <c r="BA200" s="176"/>
      <c r="BB200" s="176"/>
      <c r="BC200" s="176"/>
      <c r="BD200" s="176"/>
      <c r="BE200" s="176"/>
      <c r="BF200" s="176"/>
      <c r="BG200" s="176"/>
      <c r="BH200" s="176"/>
      <c r="BI200" s="176"/>
      <c r="BJ200" s="176"/>
      <c r="BK200" s="176"/>
      <c r="BL200" s="176"/>
      <c r="BM200" s="176"/>
      <c r="BN200" s="176"/>
      <c r="BO200" s="176"/>
    </row>
    <row r="201" spans="1:67" s="36" customFormat="1" ht="10.5" customHeight="1" x14ac:dyDescent="0.2">
      <c r="A201" s="1055"/>
      <c r="B201" s="2594"/>
      <c r="C201" s="2595"/>
      <c r="D201" s="2596"/>
      <c r="E201" s="2395"/>
      <c r="F201" s="2396"/>
      <c r="G201" s="2590"/>
      <c r="H201" s="2591"/>
      <c r="I201" s="1081">
        <f t="shared" si="51"/>
        <v>0</v>
      </c>
      <c r="J201" s="1082">
        <f t="shared" si="52"/>
        <v>0</v>
      </c>
      <c r="K201" s="2588"/>
      <c r="L201" s="2589"/>
      <c r="M201" s="1086">
        <f t="shared" si="53"/>
        <v>0</v>
      </c>
      <c r="N201" s="503"/>
      <c r="O201" s="365">
        <f t="shared" si="54"/>
        <v>0</v>
      </c>
      <c r="P201" s="366"/>
      <c r="Q201" s="135"/>
      <c r="R201" s="136"/>
      <c r="S201" s="129"/>
      <c r="T201" s="129"/>
      <c r="U201" s="129"/>
      <c r="V201" s="129"/>
      <c r="W201" s="129"/>
      <c r="X201" s="129"/>
      <c r="Y201" s="129"/>
      <c r="Z201" s="133"/>
      <c r="AA201" s="133"/>
      <c r="AB201" s="133"/>
      <c r="AC201" s="133"/>
      <c r="AD201" s="133"/>
      <c r="AE201" s="133"/>
      <c r="AF201" s="222"/>
      <c r="AG201" s="222"/>
      <c r="AH201" s="222"/>
      <c r="AI201" s="176"/>
      <c r="AJ201" s="176"/>
      <c r="AK201" s="176"/>
      <c r="AL201" s="176"/>
      <c r="AM201" s="176"/>
      <c r="AN201" s="176"/>
      <c r="AO201" s="176"/>
      <c r="AP201" s="176"/>
      <c r="AQ201" s="176"/>
      <c r="AR201" s="176"/>
      <c r="AS201" s="176"/>
      <c r="AT201" s="176"/>
      <c r="AU201" s="176"/>
      <c r="AV201" s="176"/>
      <c r="AW201" s="176"/>
      <c r="AX201" s="176"/>
      <c r="AY201" s="176"/>
      <c r="AZ201" s="176"/>
      <c r="BA201" s="176"/>
      <c r="BB201" s="176"/>
      <c r="BC201" s="176"/>
      <c r="BD201" s="176"/>
      <c r="BE201" s="176"/>
      <c r="BF201" s="176"/>
      <c r="BG201" s="176"/>
      <c r="BH201" s="176"/>
      <c r="BI201" s="176"/>
      <c r="BJ201" s="176"/>
      <c r="BK201" s="176"/>
      <c r="BL201" s="176"/>
      <c r="BM201" s="176"/>
      <c r="BN201" s="176"/>
      <c r="BO201" s="176"/>
    </row>
    <row r="202" spans="1:67" s="36" customFormat="1" ht="10.5" customHeight="1" x14ac:dyDescent="0.2">
      <c r="A202" s="1055"/>
      <c r="B202" s="2594"/>
      <c r="C202" s="2595"/>
      <c r="D202" s="2596"/>
      <c r="E202" s="2395"/>
      <c r="F202" s="2396"/>
      <c r="G202" s="2590"/>
      <c r="H202" s="2591"/>
      <c r="I202" s="1081">
        <f t="shared" si="51"/>
        <v>0</v>
      </c>
      <c r="J202" s="1082">
        <f t="shared" si="52"/>
        <v>0</v>
      </c>
      <c r="K202" s="2588"/>
      <c r="L202" s="2589"/>
      <c r="M202" s="1086">
        <f t="shared" si="53"/>
        <v>0</v>
      </c>
      <c r="N202" s="503"/>
      <c r="O202" s="365">
        <f t="shared" si="54"/>
        <v>0</v>
      </c>
      <c r="P202" s="366"/>
      <c r="Q202" s="135"/>
      <c r="R202" s="136"/>
      <c r="S202" s="129"/>
      <c r="T202" s="129"/>
      <c r="U202" s="129"/>
      <c r="V202" s="129"/>
      <c r="W202" s="129"/>
      <c r="X202" s="129"/>
      <c r="Y202" s="129"/>
      <c r="Z202" s="133"/>
      <c r="AA202" s="133"/>
      <c r="AB202" s="133"/>
      <c r="AC202" s="133"/>
      <c r="AD202" s="133"/>
      <c r="AE202" s="133"/>
      <c r="AF202" s="222"/>
      <c r="AG202" s="222"/>
      <c r="AH202" s="222"/>
      <c r="AI202" s="176"/>
      <c r="AJ202" s="176"/>
      <c r="AK202" s="176"/>
      <c r="AL202" s="176"/>
      <c r="AM202" s="176"/>
      <c r="AN202" s="176"/>
      <c r="AO202" s="176"/>
      <c r="AP202" s="176"/>
      <c r="AQ202" s="176"/>
      <c r="AR202" s="176"/>
      <c r="AS202" s="176"/>
      <c r="AT202" s="176"/>
      <c r="AU202" s="176"/>
      <c r="AV202" s="176"/>
      <c r="AW202" s="176"/>
      <c r="AX202" s="176"/>
      <c r="AY202" s="176"/>
      <c r="AZ202" s="176"/>
      <c r="BA202" s="176"/>
      <c r="BB202" s="176"/>
      <c r="BC202" s="176"/>
      <c r="BD202" s="176"/>
      <c r="BE202" s="176"/>
      <c r="BF202" s="176"/>
      <c r="BG202" s="176"/>
      <c r="BH202" s="176"/>
      <c r="BI202" s="176"/>
      <c r="BJ202" s="176"/>
      <c r="BK202" s="176"/>
      <c r="BL202" s="176"/>
      <c r="BM202" s="176"/>
      <c r="BN202" s="176"/>
      <c r="BO202" s="176"/>
    </row>
    <row r="203" spans="1:67" s="36" customFormat="1" ht="10.5" customHeight="1" x14ac:dyDescent="0.2">
      <c r="A203" s="1055"/>
      <c r="B203" s="2594"/>
      <c r="C203" s="2595"/>
      <c r="D203" s="2596"/>
      <c r="E203" s="2395"/>
      <c r="F203" s="2396"/>
      <c r="G203" s="2590"/>
      <c r="H203" s="2591"/>
      <c r="I203" s="1081">
        <f t="shared" si="51"/>
        <v>0</v>
      </c>
      <c r="J203" s="1082">
        <f t="shared" si="52"/>
        <v>0</v>
      </c>
      <c r="K203" s="2588"/>
      <c r="L203" s="2589"/>
      <c r="M203" s="1086">
        <f t="shared" si="53"/>
        <v>0</v>
      </c>
      <c r="N203" s="503"/>
      <c r="O203" s="365">
        <f t="shared" si="54"/>
        <v>0</v>
      </c>
      <c r="P203" s="366"/>
      <c r="Q203" s="135"/>
      <c r="R203" s="136"/>
      <c r="S203" s="129"/>
      <c r="T203" s="129"/>
      <c r="U203" s="129"/>
      <c r="V203" s="129"/>
      <c r="W203" s="129"/>
      <c r="X203" s="129"/>
      <c r="Y203" s="129"/>
      <c r="Z203" s="133"/>
      <c r="AA203" s="133"/>
      <c r="AB203" s="133"/>
      <c r="AC203" s="133"/>
      <c r="AD203" s="133"/>
      <c r="AE203" s="133"/>
      <c r="AF203" s="222"/>
      <c r="AG203" s="222"/>
      <c r="AH203" s="222"/>
      <c r="AI203" s="176"/>
      <c r="AJ203" s="176"/>
      <c r="AK203" s="176"/>
      <c r="AL203" s="176"/>
      <c r="AM203" s="176"/>
      <c r="AN203" s="176"/>
      <c r="AO203" s="176"/>
      <c r="AP203" s="176"/>
      <c r="AQ203" s="176"/>
      <c r="AR203" s="176"/>
      <c r="AS203" s="176"/>
      <c r="AT203" s="176"/>
      <c r="AU203" s="176"/>
      <c r="AV203" s="176"/>
      <c r="AW203" s="176"/>
      <c r="AX203" s="176"/>
      <c r="AY203" s="176"/>
      <c r="AZ203" s="176"/>
      <c r="BA203" s="176"/>
      <c r="BB203" s="176"/>
      <c r="BC203" s="176"/>
      <c r="BD203" s="176"/>
      <c r="BE203" s="176"/>
      <c r="BF203" s="176"/>
      <c r="BG203" s="176"/>
      <c r="BH203" s="176"/>
      <c r="BI203" s="176"/>
      <c r="BJ203" s="176"/>
      <c r="BK203" s="176"/>
      <c r="BL203" s="176"/>
      <c r="BM203" s="176"/>
      <c r="BN203" s="176"/>
      <c r="BO203" s="176"/>
    </row>
    <row r="204" spans="1:67" s="36" customFormat="1" ht="10.5" customHeight="1" x14ac:dyDescent="0.2">
      <c r="A204" s="1055"/>
      <c r="B204" s="2594"/>
      <c r="C204" s="2595"/>
      <c r="D204" s="2596"/>
      <c r="E204" s="2395"/>
      <c r="F204" s="2396"/>
      <c r="G204" s="2590"/>
      <c r="H204" s="2591"/>
      <c r="I204" s="1081">
        <f t="shared" si="51"/>
        <v>0</v>
      </c>
      <c r="J204" s="1082">
        <f t="shared" si="52"/>
        <v>0</v>
      </c>
      <c r="K204" s="2588"/>
      <c r="L204" s="2589"/>
      <c r="M204" s="1086">
        <f t="shared" si="53"/>
        <v>0</v>
      </c>
      <c r="N204" s="503"/>
      <c r="O204" s="365">
        <f t="shared" si="54"/>
        <v>0</v>
      </c>
      <c r="P204" s="366"/>
      <c r="Q204" s="135"/>
      <c r="R204" s="136"/>
      <c r="S204" s="129"/>
      <c r="T204" s="129"/>
      <c r="U204" s="129"/>
      <c r="V204" s="129"/>
      <c r="W204" s="129"/>
      <c r="X204" s="129"/>
      <c r="Y204" s="129"/>
      <c r="Z204" s="133"/>
      <c r="AA204" s="133"/>
      <c r="AB204" s="133"/>
      <c r="AC204" s="133"/>
      <c r="AD204" s="133"/>
      <c r="AE204" s="133"/>
      <c r="AF204" s="222"/>
      <c r="AG204" s="222"/>
      <c r="AH204" s="222"/>
      <c r="AI204" s="176"/>
      <c r="AJ204" s="176"/>
      <c r="AK204" s="176"/>
      <c r="AL204" s="176"/>
      <c r="AM204" s="176"/>
      <c r="AN204" s="176"/>
      <c r="AO204" s="176"/>
      <c r="AP204" s="176"/>
      <c r="AQ204" s="176"/>
      <c r="AR204" s="176"/>
      <c r="AS204" s="176"/>
      <c r="AT204" s="176"/>
      <c r="AU204" s="176"/>
      <c r="AV204" s="176"/>
      <c r="AW204" s="176"/>
      <c r="AX204" s="176"/>
      <c r="AY204" s="176"/>
      <c r="AZ204" s="176"/>
      <c r="BA204" s="176"/>
      <c r="BB204" s="176"/>
      <c r="BC204" s="176"/>
      <c r="BD204" s="176"/>
      <c r="BE204" s="176"/>
      <c r="BF204" s="176"/>
      <c r="BG204" s="176"/>
      <c r="BH204" s="176"/>
      <c r="BI204" s="176"/>
      <c r="BJ204" s="176"/>
      <c r="BK204" s="176"/>
      <c r="BL204" s="176"/>
      <c r="BM204" s="176"/>
      <c r="BN204" s="176"/>
      <c r="BO204" s="176"/>
    </row>
    <row r="205" spans="1:67" s="36" customFormat="1" ht="10.5" customHeight="1" x14ac:dyDescent="0.2">
      <c r="A205" s="1055"/>
      <c r="B205" s="2594"/>
      <c r="C205" s="2595"/>
      <c r="D205" s="2596"/>
      <c r="E205" s="2395"/>
      <c r="F205" s="2396"/>
      <c r="G205" s="2590"/>
      <c r="H205" s="2591"/>
      <c r="I205" s="1081">
        <f t="shared" si="51"/>
        <v>0</v>
      </c>
      <c r="J205" s="1082">
        <f t="shared" si="52"/>
        <v>0</v>
      </c>
      <c r="K205" s="2588"/>
      <c r="L205" s="2589"/>
      <c r="M205" s="1086">
        <f t="shared" si="53"/>
        <v>0</v>
      </c>
      <c r="N205" s="503"/>
      <c r="O205" s="365">
        <f t="shared" si="54"/>
        <v>0</v>
      </c>
      <c r="P205" s="366"/>
      <c r="Q205" s="135"/>
      <c r="R205" s="136"/>
      <c r="S205" s="129"/>
      <c r="T205" s="129"/>
      <c r="U205" s="129"/>
      <c r="V205" s="129"/>
      <c r="W205" s="129"/>
      <c r="X205" s="129"/>
      <c r="Y205" s="129"/>
      <c r="Z205" s="133"/>
      <c r="AA205" s="133"/>
      <c r="AB205" s="133"/>
      <c r="AC205" s="133"/>
      <c r="AD205" s="133"/>
      <c r="AE205" s="133"/>
      <c r="AF205" s="222"/>
      <c r="AG205" s="222"/>
      <c r="AH205" s="222"/>
      <c r="AI205" s="176"/>
      <c r="AJ205" s="176"/>
      <c r="AK205" s="176"/>
      <c r="AL205" s="176"/>
      <c r="AM205" s="176"/>
      <c r="AN205" s="176"/>
      <c r="AO205" s="176"/>
      <c r="AP205" s="176"/>
      <c r="AQ205" s="176"/>
      <c r="AR205" s="176"/>
      <c r="AS205" s="176"/>
      <c r="AT205" s="176"/>
      <c r="AU205" s="176"/>
      <c r="AV205" s="176"/>
      <c r="AW205" s="176"/>
      <c r="AX205" s="176"/>
      <c r="AY205" s="176"/>
      <c r="AZ205" s="176"/>
      <c r="BA205" s="176"/>
      <c r="BB205" s="176"/>
      <c r="BC205" s="176"/>
      <c r="BD205" s="176"/>
      <c r="BE205" s="176"/>
      <c r="BF205" s="176"/>
      <c r="BG205" s="176"/>
      <c r="BH205" s="176"/>
      <c r="BI205" s="176"/>
      <c r="BJ205" s="176"/>
      <c r="BK205" s="176"/>
      <c r="BL205" s="176"/>
      <c r="BM205" s="176"/>
      <c r="BN205" s="176"/>
      <c r="BO205" s="176"/>
    </row>
    <row r="206" spans="1:67" s="36" customFormat="1" ht="10.5" customHeight="1" x14ac:dyDescent="0.2">
      <c r="A206" s="1044"/>
      <c r="B206" s="2608"/>
      <c r="C206" s="2609"/>
      <c r="D206" s="2610"/>
      <c r="E206" s="2601"/>
      <c r="F206" s="2602"/>
      <c r="G206" s="1088"/>
      <c r="H206" s="1089"/>
      <c r="I206" s="1083">
        <f t="shared" si="51"/>
        <v>0</v>
      </c>
      <c r="J206" s="1084"/>
      <c r="K206" s="1087"/>
      <c r="L206" s="1307"/>
      <c r="M206" s="1317">
        <f t="shared" si="53"/>
        <v>0</v>
      </c>
      <c r="N206" s="503"/>
      <c r="O206" s="365">
        <f t="shared" si="54"/>
        <v>0</v>
      </c>
      <c r="P206" s="366"/>
      <c r="Q206" s="135"/>
      <c r="R206" s="136"/>
      <c r="S206" s="129"/>
      <c r="T206" s="129"/>
      <c r="U206" s="129"/>
      <c r="V206" s="129"/>
      <c r="W206" s="129"/>
      <c r="X206" s="129"/>
      <c r="Y206" s="129"/>
      <c r="Z206" s="133"/>
      <c r="AA206" s="133"/>
      <c r="AB206" s="133"/>
      <c r="AC206" s="133"/>
      <c r="AD206" s="133"/>
      <c r="AE206" s="133"/>
      <c r="AF206" s="222"/>
      <c r="AG206" s="222"/>
      <c r="AH206" s="222"/>
      <c r="AI206" s="176"/>
      <c r="AJ206" s="176"/>
      <c r="AK206" s="176"/>
      <c r="AL206" s="176"/>
      <c r="AM206" s="176"/>
      <c r="AN206" s="176"/>
      <c r="AO206" s="176"/>
      <c r="AP206" s="176"/>
      <c r="AQ206" s="176"/>
      <c r="AR206" s="176"/>
      <c r="AS206" s="176"/>
      <c r="AT206" s="176"/>
      <c r="AU206" s="176"/>
      <c r="AV206" s="176"/>
      <c r="AW206" s="176"/>
      <c r="AX206" s="176"/>
      <c r="AY206" s="176"/>
      <c r="AZ206" s="176"/>
      <c r="BA206" s="176"/>
      <c r="BB206" s="176"/>
      <c r="BC206" s="176"/>
      <c r="BD206" s="176"/>
      <c r="BE206" s="176"/>
      <c r="BF206" s="176"/>
      <c r="BG206" s="176"/>
      <c r="BH206" s="176"/>
      <c r="BI206" s="176"/>
      <c r="BJ206" s="176"/>
      <c r="BK206" s="176"/>
      <c r="BL206" s="176"/>
      <c r="BM206" s="176"/>
      <c r="BN206" s="176"/>
      <c r="BO206" s="176"/>
    </row>
    <row r="207" spans="1:67" s="36" customFormat="1" ht="10.5" customHeight="1" x14ac:dyDescent="0.2">
      <c r="A207" s="1120" t="s">
        <v>326</v>
      </c>
      <c r="B207" s="2603"/>
      <c r="C207" s="2604"/>
      <c r="D207" s="2605"/>
      <c r="E207" s="2606">
        <f>SUM(E208:E220)</f>
        <v>0</v>
      </c>
      <c r="F207" s="2607"/>
      <c r="G207" s="2620"/>
      <c r="H207" s="2621"/>
      <c r="I207" s="1121">
        <f>IF(E207=0,0,J207/E207)</f>
        <v>0</v>
      </c>
      <c r="J207" s="1122">
        <f>SUM(J208:J220)</f>
        <v>0</v>
      </c>
      <c r="K207" s="2622">
        <f>IF(E207=0,0,M207/E207*100)</f>
        <v>0</v>
      </c>
      <c r="L207" s="2623"/>
      <c r="M207" s="1318">
        <f>SUM(M208:M220)</f>
        <v>0</v>
      </c>
      <c r="N207" s="503"/>
      <c r="O207" s="178">
        <f>IF(H207="",G207,H207)</f>
        <v>0</v>
      </c>
      <c r="P207" s="366"/>
      <c r="Q207" s="135"/>
      <c r="R207" s="136"/>
      <c r="S207" s="129"/>
      <c r="T207" s="129"/>
      <c r="U207" s="129"/>
      <c r="V207" s="129"/>
      <c r="W207" s="129"/>
      <c r="X207" s="129"/>
      <c r="Y207" s="129"/>
      <c r="Z207" s="133"/>
      <c r="AA207" s="133"/>
      <c r="AB207" s="133"/>
      <c r="AC207" s="133"/>
      <c r="AD207" s="133"/>
      <c r="AE207" s="133"/>
      <c r="AF207" s="222"/>
      <c r="AG207" s="222"/>
      <c r="AH207" s="222"/>
      <c r="AI207" s="176"/>
      <c r="AJ207" s="176"/>
      <c r="AK207" s="176"/>
      <c r="AL207" s="176"/>
      <c r="AM207" s="176"/>
      <c r="AN207" s="176"/>
      <c r="AO207" s="176"/>
      <c r="AP207" s="176"/>
      <c r="AQ207" s="176"/>
      <c r="AR207" s="176"/>
      <c r="AS207" s="176"/>
      <c r="AT207" s="176"/>
      <c r="AU207" s="176"/>
      <c r="AV207" s="176"/>
      <c r="AW207" s="176"/>
      <c r="AX207" s="176"/>
      <c r="AY207" s="176"/>
      <c r="AZ207" s="176"/>
      <c r="BA207" s="176"/>
      <c r="BB207" s="176"/>
      <c r="BC207" s="176"/>
      <c r="BD207" s="176"/>
      <c r="BE207" s="176"/>
      <c r="BF207" s="176"/>
      <c r="BG207" s="176"/>
      <c r="BH207" s="176"/>
      <c r="BI207" s="176"/>
      <c r="BJ207" s="176"/>
      <c r="BK207" s="176"/>
      <c r="BL207" s="176"/>
      <c r="BM207" s="176"/>
      <c r="BN207" s="176"/>
      <c r="BO207" s="176"/>
    </row>
    <row r="208" spans="1:67" s="36" customFormat="1" ht="10.5" customHeight="1" x14ac:dyDescent="0.2">
      <c r="A208" s="1042" t="s">
        <v>327</v>
      </c>
      <c r="B208" s="2624"/>
      <c r="C208" s="2625"/>
      <c r="D208" s="2626"/>
      <c r="E208" s="2386"/>
      <c r="F208" s="2387"/>
      <c r="G208" s="1056">
        <v>30</v>
      </c>
      <c r="H208" s="1057"/>
      <c r="I208" s="1079">
        <f t="shared" ref="I208:I221" si="55">IF($O208&gt;0,-PMT(($I$9),$O208,1),0)</f>
        <v>4.6199342169092869E-2</v>
      </c>
      <c r="J208" s="1080">
        <f t="shared" ref="J208:J220" si="56">ROUND(E208*I208,0)</f>
        <v>0</v>
      </c>
      <c r="K208" s="1060">
        <v>0.5</v>
      </c>
      <c r="L208" s="1304"/>
      <c r="M208" s="1085">
        <f t="shared" ref="M208:M221" si="57">ROUND(E208/100*IF(ISBLANK(L208),K208,L208),0)</f>
        <v>0</v>
      </c>
      <c r="N208" s="503"/>
      <c r="O208" s="365">
        <f t="shared" ref="O208:O221" si="58">IF(ISBLANK(H208),G208,H208)</f>
        <v>30</v>
      </c>
      <c r="P208" s="366"/>
      <c r="Q208" s="135"/>
      <c r="R208" s="136"/>
      <c r="S208" s="129"/>
      <c r="T208" s="129"/>
      <c r="U208" s="129"/>
      <c r="V208" s="129"/>
      <c r="W208" s="129"/>
      <c r="X208" s="129"/>
      <c r="Y208" s="129"/>
      <c r="Z208" s="133"/>
      <c r="AA208" s="133"/>
      <c r="AB208" s="133"/>
      <c r="AC208" s="133"/>
      <c r="AD208" s="133"/>
      <c r="AE208" s="133"/>
      <c r="AF208" s="222"/>
      <c r="AG208" s="222"/>
      <c r="AH208" s="222"/>
      <c r="AI208" s="176"/>
      <c r="AJ208" s="176"/>
      <c r="AK208" s="176"/>
      <c r="AL208" s="176"/>
      <c r="AM208" s="176"/>
      <c r="AN208" s="176"/>
      <c r="AO208" s="176"/>
      <c r="AP208" s="176"/>
      <c r="AQ208" s="176"/>
      <c r="AR208" s="176"/>
      <c r="AS208" s="176"/>
      <c r="AT208" s="176"/>
      <c r="AU208" s="176"/>
      <c r="AV208" s="176"/>
      <c r="AW208" s="176"/>
      <c r="AX208" s="176"/>
      <c r="AY208" s="176"/>
      <c r="AZ208" s="176"/>
      <c r="BA208" s="176"/>
      <c r="BB208" s="176"/>
      <c r="BC208" s="176"/>
      <c r="BD208" s="176"/>
      <c r="BE208" s="176"/>
      <c r="BF208" s="176"/>
      <c r="BG208" s="176"/>
      <c r="BH208" s="176"/>
      <c r="BI208" s="176"/>
      <c r="BJ208" s="176"/>
      <c r="BK208" s="176"/>
      <c r="BL208" s="176"/>
      <c r="BM208" s="176"/>
      <c r="BN208" s="176"/>
      <c r="BO208" s="176"/>
    </row>
    <row r="209" spans="1:67" s="36" customFormat="1" ht="10.5" customHeight="1" x14ac:dyDescent="0.2">
      <c r="A209" s="1043" t="s">
        <v>328</v>
      </c>
      <c r="B209" s="2594"/>
      <c r="C209" s="2595"/>
      <c r="D209" s="2596"/>
      <c r="E209" s="2395"/>
      <c r="F209" s="2396"/>
      <c r="G209" s="1058">
        <v>30</v>
      </c>
      <c r="H209" s="1059"/>
      <c r="I209" s="1081">
        <f t="shared" si="55"/>
        <v>4.6199342169092869E-2</v>
      </c>
      <c r="J209" s="1082">
        <f t="shared" si="56"/>
        <v>0</v>
      </c>
      <c r="K209" s="1061">
        <v>1.5</v>
      </c>
      <c r="L209" s="1305"/>
      <c r="M209" s="1086">
        <f t="shared" si="57"/>
        <v>0</v>
      </c>
      <c r="N209" s="503"/>
      <c r="O209" s="365">
        <f t="shared" si="58"/>
        <v>30</v>
      </c>
      <c r="P209" s="366"/>
      <c r="Q209" s="135"/>
      <c r="R209" s="136"/>
      <c r="S209" s="129"/>
      <c r="T209" s="129"/>
      <c r="U209" s="129"/>
      <c r="V209" s="129"/>
      <c r="W209" s="129"/>
      <c r="X209" s="129"/>
      <c r="Y209" s="129"/>
      <c r="Z209" s="133"/>
      <c r="AA209" s="133"/>
      <c r="AB209" s="133"/>
      <c r="AC209" s="133"/>
      <c r="AD209" s="133"/>
      <c r="AE209" s="133"/>
      <c r="AF209" s="222"/>
      <c r="AG209" s="222"/>
      <c r="AH209" s="222"/>
      <c r="AI209" s="176"/>
      <c r="AJ209" s="176"/>
      <c r="AK209" s="176"/>
      <c r="AL209" s="176"/>
      <c r="AM209" s="176"/>
      <c r="AN209" s="176"/>
      <c r="AO209" s="176"/>
      <c r="AP209" s="176"/>
      <c r="AQ209" s="176"/>
      <c r="AR209" s="176"/>
      <c r="AS209" s="176"/>
      <c r="AT209" s="176"/>
      <c r="AU209" s="176"/>
      <c r="AV209" s="176"/>
      <c r="AW209" s="176"/>
      <c r="AX209" s="176"/>
      <c r="AY209" s="176"/>
      <c r="AZ209" s="176"/>
      <c r="BA209" s="176"/>
      <c r="BB209" s="176"/>
      <c r="BC209" s="176"/>
      <c r="BD209" s="176"/>
      <c r="BE209" s="176"/>
      <c r="BF209" s="176"/>
      <c r="BG209" s="176"/>
      <c r="BH209" s="176"/>
      <c r="BI209" s="176"/>
      <c r="BJ209" s="176"/>
      <c r="BK209" s="176"/>
      <c r="BL209" s="176"/>
      <c r="BM209" s="176"/>
      <c r="BN209" s="176"/>
      <c r="BO209" s="176"/>
    </row>
    <row r="210" spans="1:67" s="36" customFormat="1" ht="10.5" customHeight="1" x14ac:dyDescent="0.2">
      <c r="A210" s="1043" t="s">
        <v>329</v>
      </c>
      <c r="B210" s="2594"/>
      <c r="C210" s="2595"/>
      <c r="D210" s="2596"/>
      <c r="E210" s="2395"/>
      <c r="F210" s="2396"/>
      <c r="G210" s="1058">
        <v>30</v>
      </c>
      <c r="H210" s="1059"/>
      <c r="I210" s="1081">
        <f t="shared" si="55"/>
        <v>4.6199342169092869E-2</v>
      </c>
      <c r="J210" s="1082">
        <f t="shared" si="56"/>
        <v>0</v>
      </c>
      <c r="K210" s="1061">
        <v>1.5</v>
      </c>
      <c r="L210" s="1305"/>
      <c r="M210" s="1086">
        <f t="shared" si="57"/>
        <v>0</v>
      </c>
      <c r="N210" s="503"/>
      <c r="O210" s="365">
        <f t="shared" si="58"/>
        <v>30</v>
      </c>
      <c r="P210" s="366"/>
      <c r="Q210" s="135"/>
      <c r="R210" s="136"/>
      <c r="S210" s="129"/>
      <c r="T210" s="129"/>
      <c r="U210" s="129"/>
      <c r="V210" s="129"/>
      <c r="W210" s="129"/>
      <c r="X210" s="129"/>
      <c r="Y210" s="129"/>
      <c r="Z210" s="133"/>
      <c r="AA210" s="133"/>
      <c r="AB210" s="133"/>
      <c r="AC210" s="133"/>
      <c r="AD210" s="133"/>
      <c r="AE210" s="133"/>
      <c r="AF210" s="222"/>
      <c r="AG210" s="222"/>
      <c r="AH210" s="222"/>
      <c r="AI210" s="176"/>
      <c r="AJ210" s="176"/>
      <c r="AK210" s="176"/>
      <c r="AL210" s="176"/>
      <c r="AM210" s="176"/>
      <c r="AN210" s="176"/>
      <c r="AO210" s="176"/>
      <c r="AP210" s="176"/>
      <c r="AQ210" s="176"/>
      <c r="AR210" s="176"/>
      <c r="AS210" s="176"/>
      <c r="AT210" s="176"/>
      <c r="AU210" s="176"/>
      <c r="AV210" s="176"/>
      <c r="AW210" s="176"/>
      <c r="AX210" s="176"/>
      <c r="AY210" s="176"/>
      <c r="AZ210" s="176"/>
      <c r="BA210" s="176"/>
      <c r="BB210" s="176"/>
      <c r="BC210" s="176"/>
      <c r="BD210" s="176"/>
      <c r="BE210" s="176"/>
      <c r="BF210" s="176"/>
      <c r="BG210" s="176"/>
      <c r="BH210" s="176"/>
      <c r="BI210" s="176"/>
      <c r="BJ210" s="176"/>
      <c r="BK210" s="176"/>
      <c r="BL210" s="176"/>
      <c r="BM210" s="176"/>
      <c r="BN210" s="176"/>
      <c r="BO210" s="176"/>
    </row>
    <row r="211" spans="1:67" s="36" customFormat="1" ht="10.5" customHeight="1" x14ac:dyDescent="0.2">
      <c r="A211" s="1043" t="s">
        <v>400</v>
      </c>
      <c r="B211" s="2594"/>
      <c r="C211" s="2595"/>
      <c r="D211" s="2596"/>
      <c r="E211" s="2395"/>
      <c r="F211" s="2396"/>
      <c r="G211" s="1058">
        <v>30</v>
      </c>
      <c r="H211" s="1059"/>
      <c r="I211" s="1081">
        <f t="shared" si="55"/>
        <v>4.6199342169092869E-2</v>
      </c>
      <c r="J211" s="1082">
        <f t="shared" si="56"/>
        <v>0</v>
      </c>
      <c r="K211" s="1061">
        <v>1.5</v>
      </c>
      <c r="L211" s="1305"/>
      <c r="M211" s="1086">
        <f t="shared" si="57"/>
        <v>0</v>
      </c>
      <c r="N211" s="503"/>
      <c r="O211" s="365">
        <f t="shared" si="58"/>
        <v>30</v>
      </c>
      <c r="P211" s="366"/>
      <c r="Q211" s="135"/>
      <c r="R211" s="136"/>
      <c r="S211" s="129"/>
      <c r="T211" s="129"/>
      <c r="U211" s="129"/>
      <c r="V211" s="129"/>
      <c r="W211" s="129"/>
      <c r="X211" s="129"/>
      <c r="Y211" s="129"/>
      <c r="Z211" s="133"/>
      <c r="AA211" s="133"/>
      <c r="AB211" s="133"/>
      <c r="AC211" s="133"/>
      <c r="AD211" s="133"/>
      <c r="AE211" s="133"/>
      <c r="AF211" s="222"/>
      <c r="AG211" s="222"/>
      <c r="AH211" s="222"/>
      <c r="AI211" s="176"/>
      <c r="AJ211" s="176"/>
      <c r="AK211" s="176"/>
      <c r="AL211" s="176"/>
      <c r="AM211" s="176"/>
      <c r="AN211" s="176"/>
      <c r="AO211" s="176"/>
      <c r="AP211" s="176"/>
      <c r="AQ211" s="176"/>
      <c r="AR211" s="176"/>
      <c r="AS211" s="176"/>
      <c r="AT211" s="176"/>
      <c r="AU211" s="176"/>
      <c r="AV211" s="176"/>
      <c r="AW211" s="176"/>
      <c r="AX211" s="176"/>
      <c r="AY211" s="176"/>
      <c r="AZ211" s="176"/>
      <c r="BA211" s="176"/>
      <c r="BB211" s="176"/>
      <c r="BC211" s="176"/>
      <c r="BD211" s="176"/>
      <c r="BE211" s="176"/>
      <c r="BF211" s="176"/>
      <c r="BG211" s="176"/>
      <c r="BH211" s="176"/>
      <c r="BI211" s="176"/>
      <c r="BJ211" s="176"/>
      <c r="BK211" s="176"/>
      <c r="BL211" s="176"/>
      <c r="BM211" s="176"/>
      <c r="BN211" s="176"/>
      <c r="BO211" s="176"/>
    </row>
    <row r="212" spans="1:67" s="36" customFormat="1" ht="10.5" customHeight="1" x14ac:dyDescent="0.2">
      <c r="A212" s="1043" t="s">
        <v>401</v>
      </c>
      <c r="B212" s="2594"/>
      <c r="C212" s="2595"/>
      <c r="D212" s="2596"/>
      <c r="E212" s="2395"/>
      <c r="F212" s="2396"/>
      <c r="G212" s="1058">
        <v>30</v>
      </c>
      <c r="H212" s="1059"/>
      <c r="I212" s="1081">
        <f t="shared" si="55"/>
        <v>4.6199342169092869E-2</v>
      </c>
      <c r="J212" s="1082">
        <f t="shared" si="56"/>
        <v>0</v>
      </c>
      <c r="K212" s="1061">
        <v>1.5</v>
      </c>
      <c r="L212" s="1305"/>
      <c r="M212" s="1086">
        <f t="shared" si="57"/>
        <v>0</v>
      </c>
      <c r="N212" s="503"/>
      <c r="O212" s="365">
        <f t="shared" si="58"/>
        <v>30</v>
      </c>
      <c r="P212" s="366"/>
      <c r="Q212" s="135"/>
      <c r="R212" s="136"/>
      <c r="S212" s="129"/>
      <c r="T212" s="129"/>
      <c r="U212" s="129"/>
      <c r="V212" s="129"/>
      <c r="W212" s="129"/>
      <c r="X212" s="129"/>
      <c r="Y212" s="129"/>
      <c r="Z212" s="133"/>
      <c r="AA212" s="133"/>
      <c r="AB212" s="133"/>
      <c r="AC212" s="133"/>
      <c r="AD212" s="133"/>
      <c r="AE212" s="133"/>
      <c r="AF212" s="222"/>
      <c r="AG212" s="222"/>
      <c r="AH212" s="222"/>
      <c r="AI212" s="176"/>
      <c r="AJ212" s="176"/>
      <c r="AK212" s="176"/>
      <c r="AL212" s="176"/>
      <c r="AM212" s="176"/>
      <c r="AN212" s="176"/>
      <c r="AO212" s="176"/>
      <c r="AP212" s="176"/>
      <c r="AQ212" s="176"/>
      <c r="AR212" s="176"/>
      <c r="AS212" s="176"/>
      <c r="AT212" s="176"/>
      <c r="AU212" s="176"/>
      <c r="AV212" s="176"/>
      <c r="AW212" s="176"/>
      <c r="AX212" s="176"/>
      <c r="AY212" s="176"/>
      <c r="AZ212" s="176"/>
      <c r="BA212" s="176"/>
      <c r="BB212" s="176"/>
      <c r="BC212" s="176"/>
      <c r="BD212" s="176"/>
      <c r="BE212" s="176"/>
      <c r="BF212" s="176"/>
      <c r="BG212" s="176"/>
      <c r="BH212" s="176"/>
      <c r="BI212" s="176"/>
      <c r="BJ212" s="176"/>
      <c r="BK212" s="176"/>
      <c r="BL212" s="176"/>
      <c r="BM212" s="176"/>
      <c r="BN212" s="176"/>
      <c r="BO212" s="176"/>
    </row>
    <row r="213" spans="1:67" s="36" customFormat="1" ht="10.5" customHeight="1" x14ac:dyDescent="0.2">
      <c r="A213" s="1055"/>
      <c r="B213" s="2594"/>
      <c r="C213" s="2595"/>
      <c r="D213" s="2596"/>
      <c r="E213" s="2395"/>
      <c r="F213" s="2396"/>
      <c r="G213" s="2590"/>
      <c r="H213" s="2591"/>
      <c r="I213" s="1081">
        <f t="shared" si="55"/>
        <v>0</v>
      </c>
      <c r="J213" s="1082">
        <f t="shared" si="56"/>
        <v>0</v>
      </c>
      <c r="K213" s="2588"/>
      <c r="L213" s="2589"/>
      <c r="M213" s="1086">
        <f t="shared" si="57"/>
        <v>0</v>
      </c>
      <c r="N213" s="503"/>
      <c r="O213" s="365">
        <f t="shared" si="58"/>
        <v>0</v>
      </c>
      <c r="P213" s="366"/>
      <c r="Q213" s="135"/>
      <c r="R213" s="136"/>
      <c r="S213" s="129"/>
      <c r="T213" s="129"/>
      <c r="U213" s="129"/>
      <c r="V213" s="129"/>
      <c r="W213" s="129"/>
      <c r="X213" s="129"/>
      <c r="Y213" s="129"/>
      <c r="Z213" s="133"/>
      <c r="AA213" s="133"/>
      <c r="AB213" s="133"/>
      <c r="AC213" s="133"/>
      <c r="AD213" s="133"/>
      <c r="AE213" s="133"/>
      <c r="AF213" s="222"/>
      <c r="AG213" s="222"/>
      <c r="AH213" s="222"/>
      <c r="AI213" s="176"/>
      <c r="AJ213" s="176"/>
      <c r="AK213" s="176"/>
      <c r="AL213" s="176"/>
      <c r="AM213" s="176"/>
      <c r="AN213" s="176"/>
      <c r="AO213" s="176"/>
      <c r="AP213" s="176"/>
      <c r="AQ213" s="176"/>
      <c r="AR213" s="176"/>
      <c r="AS213" s="176"/>
      <c r="AT213" s="176"/>
      <c r="AU213" s="176"/>
      <c r="AV213" s="176"/>
      <c r="AW213" s="176"/>
      <c r="AX213" s="176"/>
      <c r="AY213" s="176"/>
      <c r="AZ213" s="176"/>
      <c r="BA213" s="176"/>
      <c r="BB213" s="176"/>
      <c r="BC213" s="176"/>
      <c r="BD213" s="176"/>
      <c r="BE213" s="176"/>
      <c r="BF213" s="176"/>
      <c r="BG213" s="176"/>
      <c r="BH213" s="176"/>
      <c r="BI213" s="176"/>
      <c r="BJ213" s="176"/>
      <c r="BK213" s="176"/>
      <c r="BL213" s="176"/>
      <c r="BM213" s="176"/>
      <c r="BN213" s="176"/>
      <c r="BO213" s="176"/>
    </row>
    <row r="214" spans="1:67" s="36" customFormat="1" ht="10.5" customHeight="1" x14ac:dyDescent="0.2">
      <c r="A214" s="1055"/>
      <c r="B214" s="2594"/>
      <c r="C214" s="2595"/>
      <c r="D214" s="2596"/>
      <c r="E214" s="2395"/>
      <c r="F214" s="2396"/>
      <c r="G214" s="2590"/>
      <c r="H214" s="2591"/>
      <c r="I214" s="1081">
        <f t="shared" si="55"/>
        <v>0</v>
      </c>
      <c r="J214" s="1082">
        <f t="shared" si="56"/>
        <v>0</v>
      </c>
      <c r="K214" s="2588"/>
      <c r="L214" s="2589"/>
      <c r="M214" s="1086">
        <f t="shared" si="57"/>
        <v>0</v>
      </c>
      <c r="N214" s="503"/>
      <c r="O214" s="365">
        <f t="shared" si="58"/>
        <v>0</v>
      </c>
      <c r="P214" s="366"/>
      <c r="Q214" s="135"/>
      <c r="R214" s="136"/>
      <c r="S214" s="129"/>
      <c r="T214" s="129"/>
      <c r="U214" s="129"/>
      <c r="V214" s="129"/>
      <c r="W214" s="129"/>
      <c r="X214" s="129"/>
      <c r="Y214" s="129"/>
      <c r="Z214" s="133"/>
      <c r="AA214" s="133"/>
      <c r="AB214" s="133"/>
      <c r="AC214" s="133"/>
      <c r="AD214" s="133"/>
      <c r="AE214" s="133"/>
      <c r="AF214" s="222"/>
      <c r="AG214" s="222"/>
      <c r="AH214" s="222"/>
      <c r="AI214" s="176"/>
      <c r="AJ214" s="176"/>
      <c r="AK214" s="176"/>
      <c r="AL214" s="176"/>
      <c r="AM214" s="176"/>
      <c r="AN214" s="176"/>
      <c r="AO214" s="176"/>
      <c r="AP214" s="176"/>
      <c r="AQ214" s="176"/>
      <c r="AR214" s="176"/>
      <c r="AS214" s="176"/>
      <c r="AT214" s="176"/>
      <c r="AU214" s="176"/>
      <c r="AV214" s="176"/>
      <c r="AW214" s="176"/>
      <c r="AX214" s="176"/>
      <c r="AY214" s="176"/>
      <c r="AZ214" s="176"/>
      <c r="BA214" s="176"/>
      <c r="BB214" s="176"/>
      <c r="BC214" s="176"/>
      <c r="BD214" s="176"/>
      <c r="BE214" s="176"/>
      <c r="BF214" s="176"/>
      <c r="BG214" s="176"/>
      <c r="BH214" s="176"/>
      <c r="BI214" s="176"/>
      <c r="BJ214" s="176"/>
      <c r="BK214" s="176"/>
      <c r="BL214" s="176"/>
      <c r="BM214" s="176"/>
      <c r="BN214" s="176"/>
      <c r="BO214" s="176"/>
    </row>
    <row r="215" spans="1:67" s="36" customFormat="1" ht="10.5" customHeight="1" x14ac:dyDescent="0.2">
      <c r="A215" s="1055"/>
      <c r="B215" s="2594"/>
      <c r="C215" s="2595"/>
      <c r="D215" s="2596"/>
      <c r="E215" s="2395"/>
      <c r="F215" s="2396"/>
      <c r="G215" s="2590"/>
      <c r="H215" s="2591"/>
      <c r="I215" s="1081">
        <f t="shared" si="55"/>
        <v>0</v>
      </c>
      <c r="J215" s="1082">
        <f t="shared" si="56"/>
        <v>0</v>
      </c>
      <c r="K215" s="2588"/>
      <c r="L215" s="2589"/>
      <c r="M215" s="1086">
        <f t="shared" si="57"/>
        <v>0</v>
      </c>
      <c r="N215" s="503"/>
      <c r="O215" s="365">
        <f t="shared" si="58"/>
        <v>0</v>
      </c>
      <c r="P215" s="366"/>
      <c r="Q215" s="135"/>
      <c r="R215" s="136"/>
      <c r="S215" s="129"/>
      <c r="T215" s="129"/>
      <c r="U215" s="129"/>
      <c r="V215" s="129"/>
      <c r="W215" s="129"/>
      <c r="X215" s="129"/>
      <c r="Y215" s="129"/>
      <c r="Z215" s="133"/>
      <c r="AA215" s="133"/>
      <c r="AB215" s="133"/>
      <c r="AC215" s="133"/>
      <c r="AD215" s="133"/>
      <c r="AE215" s="133"/>
      <c r="AF215" s="222"/>
      <c r="AG215" s="222"/>
      <c r="AH215" s="222"/>
      <c r="AI215" s="176"/>
      <c r="AJ215" s="176"/>
      <c r="AK215" s="176"/>
      <c r="AL215" s="176"/>
      <c r="AM215" s="176"/>
      <c r="AN215" s="176"/>
      <c r="AO215" s="176"/>
      <c r="AP215" s="176"/>
      <c r="AQ215" s="176"/>
      <c r="AR215" s="176"/>
      <c r="AS215" s="176"/>
      <c r="AT215" s="176"/>
      <c r="AU215" s="176"/>
      <c r="AV215" s="176"/>
      <c r="AW215" s="176"/>
      <c r="AX215" s="176"/>
      <c r="AY215" s="176"/>
      <c r="AZ215" s="176"/>
      <c r="BA215" s="176"/>
      <c r="BB215" s="176"/>
      <c r="BC215" s="176"/>
      <c r="BD215" s="176"/>
      <c r="BE215" s="176"/>
      <c r="BF215" s="176"/>
      <c r="BG215" s="176"/>
      <c r="BH215" s="176"/>
      <c r="BI215" s="176"/>
      <c r="BJ215" s="176"/>
      <c r="BK215" s="176"/>
      <c r="BL215" s="176"/>
      <c r="BM215" s="176"/>
      <c r="BN215" s="176"/>
      <c r="BO215" s="176"/>
    </row>
    <row r="216" spans="1:67" s="36" customFormat="1" ht="10.5" customHeight="1" x14ac:dyDescent="0.2">
      <c r="A216" s="1055"/>
      <c r="B216" s="2594"/>
      <c r="C216" s="2595"/>
      <c r="D216" s="2596"/>
      <c r="E216" s="2395"/>
      <c r="F216" s="2396"/>
      <c r="G216" s="2590"/>
      <c r="H216" s="2591"/>
      <c r="I216" s="1081">
        <f t="shared" si="55"/>
        <v>0</v>
      </c>
      <c r="J216" s="1082">
        <f t="shared" si="56"/>
        <v>0</v>
      </c>
      <c r="K216" s="2588"/>
      <c r="L216" s="2589"/>
      <c r="M216" s="1086">
        <f t="shared" si="57"/>
        <v>0</v>
      </c>
      <c r="N216" s="503"/>
      <c r="O216" s="365">
        <f t="shared" si="58"/>
        <v>0</v>
      </c>
      <c r="P216" s="366"/>
      <c r="Q216" s="135"/>
      <c r="R216" s="136"/>
      <c r="S216" s="129"/>
      <c r="T216" s="129"/>
      <c r="U216" s="129"/>
      <c r="V216" s="129"/>
      <c r="W216" s="129"/>
      <c r="X216" s="129"/>
      <c r="Y216" s="129"/>
      <c r="Z216" s="133"/>
      <c r="AA216" s="133"/>
      <c r="AB216" s="133"/>
      <c r="AC216" s="133"/>
      <c r="AD216" s="133"/>
      <c r="AE216" s="133"/>
      <c r="AF216" s="222"/>
      <c r="AG216" s="222"/>
      <c r="AH216" s="222"/>
      <c r="AI216" s="176"/>
      <c r="AJ216" s="176"/>
      <c r="AK216" s="176"/>
      <c r="AL216" s="176"/>
      <c r="AM216" s="176"/>
      <c r="AN216" s="176"/>
      <c r="AO216" s="176"/>
      <c r="AP216" s="176"/>
      <c r="AQ216" s="176"/>
      <c r="AR216" s="176"/>
      <c r="AS216" s="176"/>
      <c r="AT216" s="176"/>
      <c r="AU216" s="176"/>
      <c r="AV216" s="176"/>
      <c r="AW216" s="176"/>
      <c r="AX216" s="176"/>
      <c r="AY216" s="176"/>
      <c r="AZ216" s="176"/>
      <c r="BA216" s="176"/>
      <c r="BB216" s="176"/>
      <c r="BC216" s="176"/>
      <c r="BD216" s="176"/>
      <c r="BE216" s="176"/>
      <c r="BF216" s="176"/>
      <c r="BG216" s="176"/>
      <c r="BH216" s="176"/>
      <c r="BI216" s="176"/>
      <c r="BJ216" s="176"/>
      <c r="BK216" s="176"/>
      <c r="BL216" s="176"/>
      <c r="BM216" s="176"/>
      <c r="BN216" s="176"/>
      <c r="BO216" s="176"/>
    </row>
    <row r="217" spans="1:67" s="36" customFormat="1" ht="10.5" customHeight="1" x14ac:dyDescent="0.2">
      <c r="A217" s="1055"/>
      <c r="B217" s="2594"/>
      <c r="C217" s="2595"/>
      <c r="D217" s="2596"/>
      <c r="E217" s="2395"/>
      <c r="F217" s="2396"/>
      <c r="G217" s="2590"/>
      <c r="H217" s="2591"/>
      <c r="I217" s="1081">
        <f t="shared" si="55"/>
        <v>0</v>
      </c>
      <c r="J217" s="1082">
        <f t="shared" si="56"/>
        <v>0</v>
      </c>
      <c r="K217" s="2588"/>
      <c r="L217" s="2589"/>
      <c r="M217" s="1086">
        <f t="shared" si="57"/>
        <v>0</v>
      </c>
      <c r="N217" s="503"/>
      <c r="O217" s="365">
        <f t="shared" si="58"/>
        <v>0</v>
      </c>
      <c r="P217" s="366"/>
      <c r="Q217" s="135"/>
      <c r="R217" s="136"/>
      <c r="S217" s="129"/>
      <c r="T217" s="129"/>
      <c r="U217" s="129"/>
      <c r="V217" s="129"/>
      <c r="W217" s="129"/>
      <c r="X217" s="129"/>
      <c r="Y217" s="129"/>
      <c r="Z217" s="133"/>
      <c r="AA217" s="133"/>
      <c r="AB217" s="133"/>
      <c r="AC217" s="133"/>
      <c r="AD217" s="133"/>
      <c r="AE217" s="133"/>
      <c r="AF217" s="222"/>
      <c r="AG217" s="222"/>
      <c r="AH217" s="222"/>
      <c r="AI217" s="176"/>
      <c r="AJ217" s="176"/>
      <c r="AK217" s="176"/>
      <c r="AL217" s="176"/>
      <c r="AM217" s="176"/>
      <c r="AN217" s="176"/>
      <c r="AO217" s="176"/>
      <c r="AP217" s="176"/>
      <c r="AQ217" s="176"/>
      <c r="AR217" s="176"/>
      <c r="AS217" s="176"/>
      <c r="AT217" s="176"/>
      <c r="AU217" s="176"/>
      <c r="AV217" s="176"/>
      <c r="AW217" s="176"/>
      <c r="AX217" s="176"/>
      <c r="AY217" s="176"/>
      <c r="AZ217" s="176"/>
      <c r="BA217" s="176"/>
      <c r="BB217" s="176"/>
      <c r="BC217" s="176"/>
      <c r="BD217" s="176"/>
      <c r="BE217" s="176"/>
      <c r="BF217" s="176"/>
      <c r="BG217" s="176"/>
      <c r="BH217" s="176"/>
      <c r="BI217" s="176"/>
      <c r="BJ217" s="176"/>
      <c r="BK217" s="176"/>
      <c r="BL217" s="176"/>
      <c r="BM217" s="176"/>
      <c r="BN217" s="176"/>
      <c r="BO217" s="176"/>
    </row>
    <row r="218" spans="1:67" s="36" customFormat="1" ht="10.5" customHeight="1" x14ac:dyDescent="0.2">
      <c r="A218" s="1055"/>
      <c r="B218" s="2594"/>
      <c r="C218" s="2595"/>
      <c r="D218" s="2596"/>
      <c r="E218" s="2395"/>
      <c r="F218" s="2396"/>
      <c r="G218" s="2590"/>
      <c r="H218" s="2591"/>
      <c r="I218" s="1081">
        <f t="shared" si="55"/>
        <v>0</v>
      </c>
      <c r="J218" s="1082">
        <f t="shared" si="56"/>
        <v>0</v>
      </c>
      <c r="K218" s="2588"/>
      <c r="L218" s="2589"/>
      <c r="M218" s="1086">
        <f t="shared" si="57"/>
        <v>0</v>
      </c>
      <c r="N218" s="503"/>
      <c r="O218" s="365">
        <f t="shared" si="58"/>
        <v>0</v>
      </c>
      <c r="P218" s="366"/>
      <c r="Q218" s="135"/>
      <c r="R218" s="136"/>
      <c r="S218" s="129"/>
      <c r="T218" s="129"/>
      <c r="U218" s="129"/>
      <c r="V218" s="129"/>
      <c r="W218" s="129"/>
      <c r="X218" s="129"/>
      <c r="Y218" s="129"/>
      <c r="Z218" s="133"/>
      <c r="AA218" s="133"/>
      <c r="AB218" s="133"/>
      <c r="AC218" s="133"/>
      <c r="AD218" s="133"/>
      <c r="AE218" s="133"/>
      <c r="AF218" s="222"/>
      <c r="AG218" s="222"/>
      <c r="AH218" s="222"/>
      <c r="AI218" s="176"/>
      <c r="AJ218" s="176"/>
      <c r="AK218" s="176"/>
      <c r="AL218" s="176"/>
      <c r="AM218" s="176"/>
      <c r="AN218" s="176"/>
      <c r="AO218" s="176"/>
      <c r="AP218" s="176"/>
      <c r="AQ218" s="176"/>
      <c r="AR218" s="176"/>
      <c r="AS218" s="176"/>
      <c r="AT218" s="176"/>
      <c r="AU218" s="176"/>
      <c r="AV218" s="176"/>
      <c r="AW218" s="176"/>
      <c r="AX218" s="176"/>
      <c r="AY218" s="176"/>
      <c r="AZ218" s="176"/>
      <c r="BA218" s="176"/>
      <c r="BB218" s="176"/>
      <c r="BC218" s="176"/>
      <c r="BD218" s="176"/>
      <c r="BE218" s="176"/>
      <c r="BF218" s="176"/>
      <c r="BG218" s="176"/>
      <c r="BH218" s="176"/>
      <c r="BI218" s="176"/>
      <c r="BJ218" s="176"/>
      <c r="BK218" s="176"/>
      <c r="BL218" s="176"/>
      <c r="BM218" s="176"/>
      <c r="BN218" s="176"/>
      <c r="BO218" s="176"/>
    </row>
    <row r="219" spans="1:67" s="36" customFormat="1" ht="10.5" customHeight="1" x14ac:dyDescent="0.2">
      <c r="A219" s="1055"/>
      <c r="B219" s="2594"/>
      <c r="C219" s="2595"/>
      <c r="D219" s="2596"/>
      <c r="E219" s="2395"/>
      <c r="F219" s="2396"/>
      <c r="G219" s="2590"/>
      <c r="H219" s="2591"/>
      <c r="I219" s="1081">
        <f t="shared" si="55"/>
        <v>0</v>
      </c>
      <c r="J219" s="1082">
        <f t="shared" si="56"/>
        <v>0</v>
      </c>
      <c r="K219" s="2588"/>
      <c r="L219" s="2589"/>
      <c r="M219" s="1086">
        <f t="shared" si="57"/>
        <v>0</v>
      </c>
      <c r="N219" s="503"/>
      <c r="O219" s="365">
        <f t="shared" si="58"/>
        <v>0</v>
      </c>
      <c r="P219" s="366"/>
      <c r="Q219" s="135"/>
      <c r="R219" s="136"/>
      <c r="S219" s="129"/>
      <c r="T219" s="129"/>
      <c r="U219" s="129"/>
      <c r="V219" s="129"/>
      <c r="W219" s="129"/>
      <c r="X219" s="129"/>
      <c r="Y219" s="129"/>
      <c r="Z219" s="133"/>
      <c r="AA219" s="133"/>
      <c r="AB219" s="133"/>
      <c r="AC219" s="133"/>
      <c r="AD219" s="133"/>
      <c r="AE219" s="133"/>
      <c r="AF219" s="222"/>
      <c r="AG219" s="222"/>
      <c r="AH219" s="222"/>
      <c r="AI219" s="176"/>
      <c r="AJ219" s="176"/>
      <c r="AK219" s="176"/>
      <c r="AL219" s="176"/>
      <c r="AM219" s="176"/>
      <c r="AN219" s="176"/>
      <c r="AO219" s="176"/>
      <c r="AP219" s="176"/>
      <c r="AQ219" s="176"/>
      <c r="AR219" s="176"/>
      <c r="AS219" s="176"/>
      <c r="AT219" s="176"/>
      <c r="AU219" s="176"/>
      <c r="AV219" s="176"/>
      <c r="AW219" s="176"/>
      <c r="AX219" s="176"/>
      <c r="AY219" s="176"/>
      <c r="AZ219" s="176"/>
      <c r="BA219" s="176"/>
      <c r="BB219" s="176"/>
      <c r="BC219" s="176"/>
      <c r="BD219" s="176"/>
      <c r="BE219" s="176"/>
      <c r="BF219" s="176"/>
      <c r="BG219" s="176"/>
      <c r="BH219" s="176"/>
      <c r="BI219" s="176"/>
      <c r="BJ219" s="176"/>
      <c r="BK219" s="176"/>
      <c r="BL219" s="176"/>
      <c r="BM219" s="176"/>
      <c r="BN219" s="176"/>
      <c r="BO219" s="176"/>
    </row>
    <row r="220" spans="1:67" s="36" customFormat="1" ht="10.5" customHeight="1" x14ac:dyDescent="0.2">
      <c r="A220" s="1055"/>
      <c r="B220" s="2594"/>
      <c r="C220" s="2595"/>
      <c r="D220" s="2596"/>
      <c r="E220" s="2395"/>
      <c r="F220" s="2396"/>
      <c r="G220" s="2590"/>
      <c r="H220" s="2591"/>
      <c r="I220" s="1081">
        <f t="shared" si="55"/>
        <v>0</v>
      </c>
      <c r="J220" s="1082">
        <f t="shared" si="56"/>
        <v>0</v>
      </c>
      <c r="K220" s="2588"/>
      <c r="L220" s="2589"/>
      <c r="M220" s="1086">
        <f t="shared" si="57"/>
        <v>0</v>
      </c>
      <c r="N220" s="503"/>
      <c r="O220" s="365">
        <f t="shared" si="58"/>
        <v>0</v>
      </c>
      <c r="P220" s="366"/>
      <c r="Q220" s="135"/>
      <c r="R220" s="136"/>
      <c r="S220" s="129"/>
      <c r="T220" s="129"/>
      <c r="U220" s="129"/>
      <c r="V220" s="129"/>
      <c r="W220" s="129"/>
      <c r="X220" s="129"/>
      <c r="Y220" s="129"/>
      <c r="Z220" s="133"/>
      <c r="AA220" s="133"/>
      <c r="AB220" s="133"/>
      <c r="AC220" s="133"/>
      <c r="AD220" s="133"/>
      <c r="AE220" s="133"/>
      <c r="AF220" s="222"/>
      <c r="AG220" s="222"/>
      <c r="AH220" s="222"/>
      <c r="AI220" s="176"/>
      <c r="AJ220" s="176"/>
      <c r="AK220" s="176"/>
      <c r="AL220" s="176"/>
      <c r="AM220" s="176"/>
      <c r="AN220" s="176"/>
      <c r="AO220" s="176"/>
      <c r="AP220" s="176"/>
      <c r="AQ220" s="176"/>
      <c r="AR220" s="176"/>
      <c r="AS220" s="176"/>
      <c r="AT220" s="176"/>
      <c r="AU220" s="176"/>
      <c r="AV220" s="176"/>
      <c r="AW220" s="176"/>
      <c r="AX220" s="176"/>
      <c r="AY220" s="176"/>
      <c r="AZ220" s="176"/>
      <c r="BA220" s="176"/>
      <c r="BB220" s="176"/>
      <c r="BC220" s="176"/>
      <c r="BD220" s="176"/>
      <c r="BE220" s="176"/>
      <c r="BF220" s="176"/>
      <c r="BG220" s="176"/>
      <c r="BH220" s="176"/>
      <c r="BI220" s="176"/>
      <c r="BJ220" s="176"/>
      <c r="BK220" s="176"/>
      <c r="BL220" s="176"/>
      <c r="BM220" s="176"/>
      <c r="BN220" s="176"/>
      <c r="BO220" s="176"/>
    </row>
    <row r="221" spans="1:67" s="36" customFormat="1" ht="10.5" customHeight="1" x14ac:dyDescent="0.2">
      <c r="A221" s="1044"/>
      <c r="B221" s="2608"/>
      <c r="C221" s="2609"/>
      <c r="D221" s="2610"/>
      <c r="E221" s="2601"/>
      <c r="F221" s="2602"/>
      <c r="G221" s="1088"/>
      <c r="H221" s="1089"/>
      <c r="I221" s="1083">
        <f t="shared" si="55"/>
        <v>0</v>
      </c>
      <c r="J221" s="1084"/>
      <c r="K221" s="1087"/>
      <c r="L221" s="1307"/>
      <c r="M221" s="1317">
        <f t="shared" si="57"/>
        <v>0</v>
      </c>
      <c r="N221" s="503"/>
      <c r="O221" s="365">
        <f t="shared" si="58"/>
        <v>0</v>
      </c>
      <c r="P221" s="366"/>
      <c r="Q221" s="135"/>
      <c r="R221" s="136"/>
      <c r="S221" s="129"/>
      <c r="T221" s="129"/>
      <c r="U221" s="129"/>
      <c r="V221" s="129"/>
      <c r="W221" s="129"/>
      <c r="X221" s="129"/>
      <c r="Y221" s="129"/>
      <c r="Z221" s="133"/>
      <c r="AA221" s="133"/>
      <c r="AB221" s="133"/>
      <c r="AC221" s="133"/>
      <c r="AD221" s="133"/>
      <c r="AE221" s="133"/>
      <c r="AF221" s="222"/>
      <c r="AG221" s="222"/>
      <c r="AH221" s="222"/>
      <c r="AI221" s="176"/>
      <c r="AJ221" s="176"/>
      <c r="AK221" s="176"/>
      <c r="AL221" s="176"/>
      <c r="AM221" s="176"/>
      <c r="AN221" s="176"/>
      <c r="AO221" s="176"/>
      <c r="AP221" s="176"/>
      <c r="AQ221" s="176"/>
      <c r="AR221" s="176"/>
      <c r="AS221" s="176"/>
      <c r="AT221" s="176"/>
      <c r="AU221" s="176"/>
      <c r="AV221" s="176"/>
      <c r="AW221" s="176"/>
      <c r="AX221" s="176"/>
      <c r="AY221" s="176"/>
      <c r="AZ221" s="176"/>
      <c r="BA221" s="176"/>
      <c r="BB221" s="176"/>
      <c r="BC221" s="176"/>
      <c r="BD221" s="176"/>
      <c r="BE221" s="176"/>
      <c r="BF221" s="176"/>
      <c r="BG221" s="176"/>
      <c r="BH221" s="176"/>
      <c r="BI221" s="176"/>
      <c r="BJ221" s="176"/>
      <c r="BK221" s="176"/>
      <c r="BL221" s="176"/>
      <c r="BM221" s="176"/>
      <c r="BN221" s="176"/>
      <c r="BO221" s="176"/>
    </row>
    <row r="222" spans="1:67" s="36" customFormat="1" ht="10.5" customHeight="1" x14ac:dyDescent="0.2">
      <c r="A222" s="1120" t="s">
        <v>330</v>
      </c>
      <c r="B222" s="2603"/>
      <c r="C222" s="2604"/>
      <c r="D222" s="2605"/>
      <c r="E222" s="2606">
        <f>SUM(E223:E235)</f>
        <v>0</v>
      </c>
      <c r="F222" s="2607"/>
      <c r="G222" s="2620"/>
      <c r="H222" s="2621"/>
      <c r="I222" s="1121">
        <f>IF(E222=0,0,J222/E222)</f>
        <v>0</v>
      </c>
      <c r="J222" s="1122">
        <f>SUM(J223:J235)</f>
        <v>0</v>
      </c>
      <c r="K222" s="2622">
        <f>IF(E222=0,0,M222/E222*100)</f>
        <v>0</v>
      </c>
      <c r="L222" s="2623"/>
      <c r="M222" s="1318">
        <f>SUM(M223:M235)</f>
        <v>0</v>
      </c>
      <c r="N222" s="503"/>
      <c r="O222" s="178">
        <f>IF(H222="",G222,H222)</f>
        <v>0</v>
      </c>
      <c r="P222" s="366"/>
      <c r="Q222" s="135"/>
      <c r="R222" s="136"/>
      <c r="S222" s="129"/>
      <c r="T222" s="129"/>
      <c r="U222" s="129"/>
      <c r="V222" s="129"/>
      <c r="W222" s="129"/>
      <c r="X222" s="129"/>
      <c r="Y222" s="129"/>
      <c r="Z222" s="133"/>
      <c r="AA222" s="133"/>
      <c r="AB222" s="133"/>
      <c r="AC222" s="133"/>
      <c r="AD222" s="133"/>
      <c r="AE222" s="133"/>
      <c r="AF222" s="222"/>
      <c r="AG222" s="222"/>
      <c r="AH222" s="222"/>
      <c r="AI222" s="176"/>
      <c r="AJ222" s="176"/>
      <c r="AK222" s="176"/>
      <c r="AL222" s="176"/>
      <c r="AM222" s="176"/>
      <c r="AN222" s="176"/>
      <c r="AO222" s="176"/>
      <c r="AP222" s="176"/>
      <c r="AQ222" s="176"/>
      <c r="AR222" s="176"/>
      <c r="AS222" s="176"/>
      <c r="AT222" s="176"/>
      <c r="AU222" s="176"/>
      <c r="AV222" s="176"/>
      <c r="AW222" s="176"/>
      <c r="AX222" s="176"/>
      <c r="AY222" s="176"/>
      <c r="AZ222" s="176"/>
      <c r="BA222" s="176"/>
      <c r="BB222" s="176"/>
      <c r="BC222" s="176"/>
      <c r="BD222" s="176"/>
      <c r="BE222" s="176"/>
      <c r="BF222" s="176"/>
      <c r="BG222" s="176"/>
      <c r="BH222" s="176"/>
      <c r="BI222" s="176"/>
      <c r="BJ222" s="176"/>
      <c r="BK222" s="176"/>
      <c r="BL222" s="176"/>
      <c r="BM222" s="176"/>
      <c r="BN222" s="176"/>
      <c r="BO222" s="176"/>
    </row>
    <row r="223" spans="1:67" s="36" customFormat="1" ht="10.5" customHeight="1" x14ac:dyDescent="0.2">
      <c r="A223" s="1042" t="s">
        <v>331</v>
      </c>
      <c r="B223" s="2624"/>
      <c r="C223" s="2625"/>
      <c r="D223" s="2626"/>
      <c r="E223" s="2386"/>
      <c r="F223" s="2387"/>
      <c r="G223" s="1056">
        <v>30</v>
      </c>
      <c r="H223" s="1057"/>
      <c r="I223" s="1079">
        <f t="shared" ref="I223:I236" si="59">IF($O223&gt;0,-PMT(($I$9),$O223,1),0)</f>
        <v>4.6199342169092869E-2</v>
      </c>
      <c r="J223" s="1080">
        <f t="shared" ref="J223:J235" si="60">ROUND(E223*I223,0)</f>
        <v>0</v>
      </c>
      <c r="K223" s="1060">
        <v>1.5</v>
      </c>
      <c r="L223" s="1304"/>
      <c r="M223" s="1085">
        <f t="shared" ref="M223:M236" si="61">ROUND(E223/100*IF(ISBLANK(L223),K223,L223),0)</f>
        <v>0</v>
      </c>
      <c r="N223" s="503"/>
      <c r="O223" s="365">
        <f t="shared" ref="O223:O236" si="62">IF(ISBLANK(H223),G223,H223)</f>
        <v>30</v>
      </c>
      <c r="P223" s="366"/>
      <c r="Q223" s="135"/>
      <c r="R223" s="136"/>
      <c r="S223" s="129"/>
      <c r="T223" s="129"/>
      <c r="U223" s="129"/>
      <c r="V223" s="129"/>
      <c r="W223" s="129"/>
      <c r="X223" s="129"/>
      <c r="Y223" s="129"/>
      <c r="Z223" s="133"/>
      <c r="AA223" s="133"/>
      <c r="AB223" s="133"/>
      <c r="AC223" s="133"/>
      <c r="AD223" s="133"/>
      <c r="AE223" s="133"/>
      <c r="AF223" s="222"/>
      <c r="AG223" s="222"/>
      <c r="AH223" s="222"/>
      <c r="AI223" s="176"/>
      <c r="AJ223" s="176"/>
      <c r="AK223" s="176"/>
      <c r="AL223" s="176"/>
      <c r="AM223" s="176"/>
      <c r="AN223" s="176"/>
      <c r="AO223" s="176"/>
      <c r="AP223" s="176"/>
      <c r="AQ223" s="176"/>
      <c r="AR223" s="176"/>
      <c r="AS223" s="176"/>
      <c r="AT223" s="176"/>
      <c r="AU223" s="176"/>
      <c r="AV223" s="176"/>
      <c r="AW223" s="176"/>
      <c r="AX223" s="176"/>
      <c r="AY223" s="176"/>
      <c r="AZ223" s="176"/>
      <c r="BA223" s="176"/>
      <c r="BB223" s="176"/>
      <c r="BC223" s="176"/>
      <c r="BD223" s="176"/>
      <c r="BE223" s="176"/>
      <c r="BF223" s="176"/>
      <c r="BG223" s="176"/>
      <c r="BH223" s="176"/>
      <c r="BI223" s="176"/>
      <c r="BJ223" s="176"/>
      <c r="BK223" s="176"/>
      <c r="BL223" s="176"/>
      <c r="BM223" s="176"/>
      <c r="BN223" s="176"/>
      <c r="BO223" s="176"/>
    </row>
    <row r="224" spans="1:67" s="36" customFormat="1" ht="10.5" customHeight="1" x14ac:dyDescent="0.2">
      <c r="A224" s="1043" t="s">
        <v>332</v>
      </c>
      <c r="B224" s="2594"/>
      <c r="C224" s="2595"/>
      <c r="D224" s="2596"/>
      <c r="E224" s="2395"/>
      <c r="F224" s="2396"/>
      <c r="G224" s="1058">
        <v>30</v>
      </c>
      <c r="H224" s="1059"/>
      <c r="I224" s="1081">
        <f t="shared" si="59"/>
        <v>4.6199342169092869E-2</v>
      </c>
      <c r="J224" s="1082">
        <f t="shared" si="60"/>
        <v>0</v>
      </c>
      <c r="K224" s="1061">
        <v>2</v>
      </c>
      <c r="L224" s="1305"/>
      <c r="M224" s="1086">
        <f t="shared" si="61"/>
        <v>0</v>
      </c>
      <c r="N224" s="503"/>
      <c r="O224" s="365">
        <f t="shared" si="62"/>
        <v>30</v>
      </c>
      <c r="P224" s="366"/>
      <c r="Q224" s="135"/>
      <c r="R224" s="136"/>
      <c r="S224" s="129"/>
      <c r="T224" s="129"/>
      <c r="U224" s="129"/>
      <c r="V224" s="129"/>
      <c r="W224" s="129"/>
      <c r="X224" s="129"/>
      <c r="Y224" s="129"/>
      <c r="Z224" s="133"/>
      <c r="AA224" s="133"/>
      <c r="AB224" s="133"/>
      <c r="AC224" s="133"/>
      <c r="AD224" s="133"/>
      <c r="AE224" s="133"/>
      <c r="AF224" s="222"/>
      <c r="AG224" s="222"/>
      <c r="AH224" s="222"/>
      <c r="AI224" s="176"/>
      <c r="AJ224" s="176"/>
      <c r="AK224" s="176"/>
      <c r="AL224" s="176"/>
      <c r="AM224" s="176"/>
      <c r="AN224" s="176"/>
      <c r="AO224" s="176"/>
      <c r="AP224" s="176"/>
      <c r="AQ224" s="176"/>
      <c r="AR224" s="176"/>
      <c r="AS224" s="176"/>
      <c r="AT224" s="176"/>
      <c r="AU224" s="176"/>
      <c r="AV224" s="176"/>
      <c r="AW224" s="176"/>
      <c r="AX224" s="176"/>
      <c r="AY224" s="176"/>
      <c r="AZ224" s="176"/>
      <c r="BA224" s="176"/>
      <c r="BB224" s="176"/>
      <c r="BC224" s="176"/>
      <c r="BD224" s="176"/>
      <c r="BE224" s="176"/>
      <c r="BF224" s="176"/>
      <c r="BG224" s="176"/>
      <c r="BH224" s="176"/>
      <c r="BI224" s="176"/>
      <c r="BJ224" s="176"/>
      <c r="BK224" s="176"/>
      <c r="BL224" s="176"/>
      <c r="BM224" s="176"/>
      <c r="BN224" s="176"/>
      <c r="BO224" s="176"/>
    </row>
    <row r="225" spans="1:67" s="36" customFormat="1" ht="10.5" customHeight="1" x14ac:dyDescent="0.2">
      <c r="A225" s="1043" t="s">
        <v>333</v>
      </c>
      <c r="B225" s="2594"/>
      <c r="C225" s="2595"/>
      <c r="D225" s="2596"/>
      <c r="E225" s="2395"/>
      <c r="F225" s="2396"/>
      <c r="G225" s="1058">
        <v>30</v>
      </c>
      <c r="H225" s="1059"/>
      <c r="I225" s="1081">
        <f t="shared" si="59"/>
        <v>4.6199342169092869E-2</v>
      </c>
      <c r="J225" s="1082">
        <f t="shared" si="60"/>
        <v>0</v>
      </c>
      <c r="K225" s="1061">
        <v>2</v>
      </c>
      <c r="L225" s="1305"/>
      <c r="M225" s="1086">
        <f t="shared" si="61"/>
        <v>0</v>
      </c>
      <c r="N225" s="503"/>
      <c r="O225" s="365">
        <f t="shared" si="62"/>
        <v>30</v>
      </c>
      <c r="P225" s="366"/>
      <c r="Q225" s="135"/>
      <c r="R225" s="136"/>
      <c r="S225" s="129"/>
      <c r="T225" s="129"/>
      <c r="U225" s="129"/>
      <c r="V225" s="129"/>
      <c r="W225" s="129"/>
      <c r="X225" s="129"/>
      <c r="Y225" s="129"/>
      <c r="Z225" s="133"/>
      <c r="AA225" s="133"/>
      <c r="AB225" s="133"/>
      <c r="AC225" s="133"/>
      <c r="AD225" s="133"/>
      <c r="AE225" s="133"/>
      <c r="AF225" s="222"/>
      <c r="AG225" s="222"/>
      <c r="AH225" s="222"/>
      <c r="AI225" s="176"/>
      <c r="AJ225" s="176"/>
      <c r="AK225" s="176"/>
      <c r="AL225" s="176"/>
      <c r="AM225" s="176"/>
      <c r="AN225" s="176"/>
      <c r="AO225" s="176"/>
      <c r="AP225" s="176"/>
      <c r="AQ225" s="176"/>
      <c r="AR225" s="176"/>
      <c r="AS225" s="176"/>
      <c r="AT225" s="176"/>
      <c r="AU225" s="176"/>
      <c r="AV225" s="176"/>
      <c r="AW225" s="176"/>
      <c r="AX225" s="176"/>
      <c r="AY225" s="176"/>
      <c r="AZ225" s="176"/>
      <c r="BA225" s="176"/>
      <c r="BB225" s="176"/>
      <c r="BC225" s="176"/>
      <c r="BD225" s="176"/>
      <c r="BE225" s="176"/>
      <c r="BF225" s="176"/>
      <c r="BG225" s="176"/>
      <c r="BH225" s="176"/>
      <c r="BI225" s="176"/>
      <c r="BJ225" s="176"/>
      <c r="BK225" s="176"/>
      <c r="BL225" s="176"/>
      <c r="BM225" s="176"/>
      <c r="BN225" s="176"/>
      <c r="BO225" s="176"/>
    </row>
    <row r="226" spans="1:67" s="36" customFormat="1" ht="10.5" customHeight="1" x14ac:dyDescent="0.2">
      <c r="A226" s="1043" t="s">
        <v>334</v>
      </c>
      <c r="B226" s="2594"/>
      <c r="C226" s="2595"/>
      <c r="D226" s="2596"/>
      <c r="E226" s="2395"/>
      <c r="F226" s="2396"/>
      <c r="G226" s="1058">
        <v>30</v>
      </c>
      <c r="H226" s="1059"/>
      <c r="I226" s="1081">
        <f t="shared" si="59"/>
        <v>4.6199342169092869E-2</v>
      </c>
      <c r="J226" s="1082">
        <f t="shared" si="60"/>
        <v>0</v>
      </c>
      <c r="K226" s="1061">
        <v>0.5</v>
      </c>
      <c r="L226" s="1305"/>
      <c r="M226" s="1086">
        <f t="shared" si="61"/>
        <v>0</v>
      </c>
      <c r="N226" s="503"/>
      <c r="O226" s="365">
        <f t="shared" si="62"/>
        <v>30</v>
      </c>
      <c r="P226" s="366"/>
      <c r="Q226" s="135"/>
      <c r="R226" s="136"/>
      <c r="S226" s="129"/>
      <c r="T226" s="129"/>
      <c r="U226" s="129"/>
      <c r="V226" s="129"/>
      <c r="W226" s="129"/>
      <c r="X226" s="129"/>
      <c r="Y226" s="129"/>
      <c r="Z226" s="133"/>
      <c r="AA226" s="133"/>
      <c r="AB226" s="133"/>
      <c r="AC226" s="133"/>
      <c r="AD226" s="133"/>
      <c r="AE226" s="133"/>
      <c r="AF226" s="222"/>
      <c r="AG226" s="222"/>
      <c r="AH226" s="222"/>
      <c r="AI226" s="176"/>
      <c r="AJ226" s="176"/>
      <c r="AK226" s="176"/>
      <c r="AL226" s="176"/>
      <c r="AM226" s="176"/>
      <c r="AN226" s="176"/>
      <c r="AO226" s="176"/>
      <c r="AP226" s="176"/>
      <c r="AQ226" s="176"/>
      <c r="AR226" s="176"/>
      <c r="AS226" s="176"/>
      <c r="AT226" s="176"/>
      <c r="AU226" s="176"/>
      <c r="AV226" s="176"/>
      <c r="AW226" s="176"/>
      <c r="AX226" s="176"/>
      <c r="AY226" s="176"/>
      <c r="AZ226" s="176"/>
      <c r="BA226" s="176"/>
      <c r="BB226" s="176"/>
      <c r="BC226" s="176"/>
      <c r="BD226" s="176"/>
      <c r="BE226" s="176"/>
      <c r="BF226" s="176"/>
      <c r="BG226" s="176"/>
      <c r="BH226" s="176"/>
      <c r="BI226" s="176"/>
      <c r="BJ226" s="176"/>
      <c r="BK226" s="176"/>
      <c r="BL226" s="176"/>
      <c r="BM226" s="176"/>
      <c r="BN226" s="176"/>
      <c r="BO226" s="176"/>
    </row>
    <row r="227" spans="1:67" s="36" customFormat="1" ht="10.5" customHeight="1" x14ac:dyDescent="0.2">
      <c r="A227" s="1055"/>
      <c r="B227" s="2594"/>
      <c r="C227" s="2595"/>
      <c r="D227" s="2596"/>
      <c r="E227" s="2395"/>
      <c r="F227" s="2396"/>
      <c r="G227" s="2590"/>
      <c r="H227" s="2591"/>
      <c r="I227" s="1081">
        <f t="shared" si="59"/>
        <v>0</v>
      </c>
      <c r="J227" s="1082">
        <f t="shared" si="60"/>
        <v>0</v>
      </c>
      <c r="K227" s="2588"/>
      <c r="L227" s="2589"/>
      <c r="M227" s="1086">
        <f t="shared" si="61"/>
        <v>0</v>
      </c>
      <c r="N227" s="503"/>
      <c r="O227" s="365">
        <f t="shared" si="62"/>
        <v>0</v>
      </c>
      <c r="P227" s="366"/>
      <c r="Q227" s="135"/>
      <c r="R227" s="136"/>
      <c r="S227" s="129"/>
      <c r="T227" s="129"/>
      <c r="U227" s="129"/>
      <c r="V227" s="129"/>
      <c r="W227" s="129"/>
      <c r="X227" s="129"/>
      <c r="Y227" s="129"/>
      <c r="Z227" s="133"/>
      <c r="AA227" s="133"/>
      <c r="AB227" s="133"/>
      <c r="AC227" s="133"/>
      <c r="AD227" s="133"/>
      <c r="AE227" s="133"/>
      <c r="AF227" s="222"/>
      <c r="AG227" s="222"/>
      <c r="AH227" s="222"/>
      <c r="AI227" s="176"/>
      <c r="AJ227" s="176"/>
      <c r="AK227" s="176"/>
      <c r="AL227" s="176"/>
      <c r="AM227" s="176"/>
      <c r="AN227" s="176"/>
      <c r="AO227" s="176"/>
      <c r="AP227" s="176"/>
      <c r="AQ227" s="176"/>
      <c r="AR227" s="176"/>
      <c r="AS227" s="176"/>
      <c r="AT227" s="176"/>
      <c r="AU227" s="176"/>
      <c r="AV227" s="176"/>
      <c r="AW227" s="176"/>
      <c r="AX227" s="176"/>
      <c r="AY227" s="176"/>
      <c r="AZ227" s="176"/>
      <c r="BA227" s="176"/>
      <c r="BB227" s="176"/>
      <c r="BC227" s="176"/>
      <c r="BD227" s="176"/>
      <c r="BE227" s="176"/>
      <c r="BF227" s="176"/>
      <c r="BG227" s="176"/>
      <c r="BH227" s="176"/>
      <c r="BI227" s="176"/>
      <c r="BJ227" s="176"/>
      <c r="BK227" s="176"/>
      <c r="BL227" s="176"/>
      <c r="BM227" s="176"/>
      <c r="BN227" s="176"/>
      <c r="BO227" s="176"/>
    </row>
    <row r="228" spans="1:67" s="36" customFormat="1" ht="10.5" customHeight="1" x14ac:dyDescent="0.2">
      <c r="A228" s="1055"/>
      <c r="B228" s="2594"/>
      <c r="C228" s="2595"/>
      <c r="D228" s="2596"/>
      <c r="E228" s="2395"/>
      <c r="F228" s="2396"/>
      <c r="G228" s="2590"/>
      <c r="H228" s="2591"/>
      <c r="I228" s="1081">
        <f t="shared" si="59"/>
        <v>0</v>
      </c>
      <c r="J228" s="1082">
        <f t="shared" si="60"/>
        <v>0</v>
      </c>
      <c r="K228" s="2588"/>
      <c r="L228" s="2589"/>
      <c r="M228" s="1086">
        <f t="shared" si="61"/>
        <v>0</v>
      </c>
      <c r="N228" s="503"/>
      <c r="O228" s="365">
        <f t="shared" si="62"/>
        <v>0</v>
      </c>
      <c r="P228" s="366"/>
      <c r="Q228" s="135"/>
      <c r="R228" s="136"/>
      <c r="S228" s="129"/>
      <c r="T228" s="129"/>
      <c r="U228" s="129"/>
      <c r="V228" s="129"/>
      <c r="W228" s="129"/>
      <c r="X228" s="129"/>
      <c r="Y228" s="129"/>
      <c r="Z228" s="133"/>
      <c r="AA228" s="133"/>
      <c r="AB228" s="133"/>
      <c r="AC228" s="133"/>
      <c r="AD228" s="133"/>
      <c r="AE228" s="133"/>
      <c r="AF228" s="222"/>
      <c r="AG228" s="222"/>
      <c r="AH228" s="222"/>
      <c r="AI228" s="176"/>
      <c r="AJ228" s="176"/>
      <c r="AK228" s="176"/>
      <c r="AL228" s="176"/>
      <c r="AM228" s="176"/>
      <c r="AN228" s="176"/>
      <c r="AO228" s="176"/>
      <c r="AP228" s="176"/>
      <c r="AQ228" s="176"/>
      <c r="AR228" s="176"/>
      <c r="AS228" s="176"/>
      <c r="AT228" s="176"/>
      <c r="AU228" s="176"/>
      <c r="AV228" s="176"/>
      <c r="AW228" s="176"/>
      <c r="AX228" s="176"/>
      <c r="AY228" s="176"/>
      <c r="AZ228" s="176"/>
      <c r="BA228" s="176"/>
      <c r="BB228" s="176"/>
      <c r="BC228" s="176"/>
      <c r="BD228" s="176"/>
      <c r="BE228" s="176"/>
      <c r="BF228" s="176"/>
      <c r="BG228" s="176"/>
      <c r="BH228" s="176"/>
      <c r="BI228" s="176"/>
      <c r="BJ228" s="176"/>
      <c r="BK228" s="176"/>
      <c r="BL228" s="176"/>
      <c r="BM228" s="176"/>
      <c r="BN228" s="176"/>
      <c r="BO228" s="176"/>
    </row>
    <row r="229" spans="1:67" s="36" customFormat="1" ht="10.5" customHeight="1" x14ac:dyDescent="0.2">
      <c r="A229" s="1055"/>
      <c r="B229" s="2594"/>
      <c r="C229" s="2595"/>
      <c r="D229" s="2596"/>
      <c r="E229" s="2395"/>
      <c r="F229" s="2396"/>
      <c r="G229" s="2590"/>
      <c r="H229" s="2591"/>
      <c r="I229" s="1081">
        <f t="shared" si="59"/>
        <v>0</v>
      </c>
      <c r="J229" s="1082">
        <f t="shared" si="60"/>
        <v>0</v>
      </c>
      <c r="K229" s="2588"/>
      <c r="L229" s="2589"/>
      <c r="M229" s="1086">
        <f t="shared" si="61"/>
        <v>0</v>
      </c>
      <c r="N229" s="503"/>
      <c r="O229" s="365">
        <f t="shared" si="62"/>
        <v>0</v>
      </c>
      <c r="P229" s="366"/>
      <c r="Q229" s="135"/>
      <c r="R229" s="136"/>
      <c r="S229" s="129"/>
      <c r="T229" s="129"/>
      <c r="U229" s="129"/>
      <c r="V229" s="129"/>
      <c r="W229" s="129"/>
      <c r="X229" s="129"/>
      <c r="Y229" s="129"/>
      <c r="Z229" s="133"/>
      <c r="AA229" s="133"/>
      <c r="AB229" s="133"/>
      <c r="AC229" s="133"/>
      <c r="AD229" s="133"/>
      <c r="AE229" s="133"/>
      <c r="AF229" s="222"/>
      <c r="AG229" s="222"/>
      <c r="AH229" s="222"/>
      <c r="AI229" s="176"/>
      <c r="AJ229" s="176"/>
      <c r="AK229" s="176"/>
      <c r="AL229" s="176"/>
      <c r="AM229" s="176"/>
      <c r="AN229" s="176"/>
      <c r="AO229" s="176"/>
      <c r="AP229" s="176"/>
      <c r="AQ229" s="176"/>
      <c r="AR229" s="176"/>
      <c r="AS229" s="176"/>
      <c r="AT229" s="176"/>
      <c r="AU229" s="176"/>
      <c r="AV229" s="176"/>
      <c r="AW229" s="176"/>
      <c r="AX229" s="176"/>
      <c r="AY229" s="176"/>
      <c r="AZ229" s="176"/>
      <c r="BA229" s="176"/>
      <c r="BB229" s="176"/>
      <c r="BC229" s="176"/>
      <c r="BD229" s="176"/>
      <c r="BE229" s="176"/>
      <c r="BF229" s="176"/>
      <c r="BG229" s="176"/>
      <c r="BH229" s="176"/>
      <c r="BI229" s="176"/>
      <c r="BJ229" s="176"/>
      <c r="BK229" s="176"/>
      <c r="BL229" s="176"/>
      <c r="BM229" s="176"/>
      <c r="BN229" s="176"/>
      <c r="BO229" s="176"/>
    </row>
    <row r="230" spans="1:67" s="36" customFormat="1" ht="10.5" customHeight="1" x14ac:dyDescent="0.2">
      <c r="A230" s="1055"/>
      <c r="B230" s="2594"/>
      <c r="C230" s="2595"/>
      <c r="D230" s="2596"/>
      <c r="E230" s="2395"/>
      <c r="F230" s="2396"/>
      <c r="G230" s="2590"/>
      <c r="H230" s="2591"/>
      <c r="I230" s="1081">
        <f t="shared" si="59"/>
        <v>0</v>
      </c>
      <c r="J230" s="1082">
        <f t="shared" si="60"/>
        <v>0</v>
      </c>
      <c r="K230" s="2588"/>
      <c r="L230" s="2589"/>
      <c r="M230" s="1086">
        <f t="shared" si="61"/>
        <v>0</v>
      </c>
      <c r="N230" s="503"/>
      <c r="O230" s="365">
        <f t="shared" si="62"/>
        <v>0</v>
      </c>
      <c r="P230" s="366"/>
      <c r="Q230" s="135"/>
      <c r="R230" s="136"/>
      <c r="S230" s="129"/>
      <c r="T230" s="129"/>
      <c r="U230" s="129"/>
      <c r="V230" s="129"/>
      <c r="W230" s="129"/>
      <c r="X230" s="129"/>
      <c r="Y230" s="129"/>
      <c r="Z230" s="133"/>
      <c r="AA230" s="133"/>
      <c r="AB230" s="133"/>
      <c r="AC230" s="133"/>
      <c r="AD230" s="133"/>
      <c r="AE230" s="133"/>
      <c r="AF230" s="222"/>
      <c r="AG230" s="222"/>
      <c r="AH230" s="222"/>
      <c r="AI230" s="176"/>
      <c r="AJ230" s="176"/>
      <c r="AK230" s="176"/>
      <c r="AL230" s="176"/>
      <c r="AM230" s="176"/>
      <c r="AN230" s="176"/>
      <c r="AO230" s="176"/>
      <c r="AP230" s="176"/>
      <c r="AQ230" s="176"/>
      <c r="AR230" s="176"/>
      <c r="AS230" s="176"/>
      <c r="AT230" s="176"/>
      <c r="AU230" s="176"/>
      <c r="AV230" s="176"/>
      <c r="AW230" s="176"/>
      <c r="AX230" s="176"/>
      <c r="AY230" s="176"/>
      <c r="AZ230" s="176"/>
      <c r="BA230" s="176"/>
      <c r="BB230" s="176"/>
      <c r="BC230" s="176"/>
      <c r="BD230" s="176"/>
      <c r="BE230" s="176"/>
      <c r="BF230" s="176"/>
      <c r="BG230" s="176"/>
      <c r="BH230" s="176"/>
      <c r="BI230" s="176"/>
      <c r="BJ230" s="176"/>
      <c r="BK230" s="176"/>
      <c r="BL230" s="176"/>
      <c r="BM230" s="176"/>
      <c r="BN230" s="176"/>
      <c r="BO230" s="176"/>
    </row>
    <row r="231" spans="1:67" s="36" customFormat="1" ht="10.5" customHeight="1" x14ac:dyDescent="0.2">
      <c r="A231" s="1055"/>
      <c r="B231" s="2594"/>
      <c r="C231" s="2595"/>
      <c r="D231" s="2596"/>
      <c r="E231" s="2395"/>
      <c r="F231" s="2396"/>
      <c r="G231" s="2590"/>
      <c r="H231" s="2591"/>
      <c r="I231" s="1081">
        <f t="shared" si="59"/>
        <v>0</v>
      </c>
      <c r="J231" s="1082">
        <f t="shared" si="60"/>
        <v>0</v>
      </c>
      <c r="K231" s="2588"/>
      <c r="L231" s="2589"/>
      <c r="M231" s="1086">
        <f t="shared" si="61"/>
        <v>0</v>
      </c>
      <c r="N231" s="503"/>
      <c r="O231" s="365">
        <f t="shared" si="62"/>
        <v>0</v>
      </c>
      <c r="P231" s="366"/>
      <c r="Q231" s="135"/>
      <c r="R231" s="136"/>
      <c r="S231" s="129"/>
      <c r="T231" s="129"/>
      <c r="U231" s="129"/>
      <c r="V231" s="129"/>
      <c r="W231" s="129"/>
      <c r="X231" s="129"/>
      <c r="Y231" s="129"/>
      <c r="Z231" s="133"/>
      <c r="AA231" s="133"/>
      <c r="AB231" s="133"/>
      <c r="AC231" s="133"/>
      <c r="AD231" s="133"/>
      <c r="AE231" s="133"/>
      <c r="AF231" s="222"/>
      <c r="AG231" s="222"/>
      <c r="AH231" s="222"/>
      <c r="AI231" s="176"/>
      <c r="AJ231" s="176"/>
      <c r="AK231" s="176"/>
      <c r="AL231" s="176"/>
      <c r="AM231" s="176"/>
      <c r="AN231" s="176"/>
      <c r="AO231" s="176"/>
      <c r="AP231" s="176"/>
      <c r="AQ231" s="176"/>
      <c r="AR231" s="176"/>
      <c r="AS231" s="176"/>
      <c r="AT231" s="176"/>
      <c r="AU231" s="176"/>
      <c r="AV231" s="176"/>
      <c r="AW231" s="176"/>
      <c r="AX231" s="176"/>
      <c r="AY231" s="176"/>
      <c r="AZ231" s="176"/>
      <c r="BA231" s="176"/>
      <c r="BB231" s="176"/>
      <c r="BC231" s="176"/>
      <c r="BD231" s="176"/>
      <c r="BE231" s="176"/>
      <c r="BF231" s="176"/>
      <c r="BG231" s="176"/>
      <c r="BH231" s="176"/>
      <c r="BI231" s="176"/>
      <c r="BJ231" s="176"/>
      <c r="BK231" s="176"/>
      <c r="BL231" s="176"/>
      <c r="BM231" s="176"/>
      <c r="BN231" s="176"/>
      <c r="BO231" s="176"/>
    </row>
    <row r="232" spans="1:67" s="36" customFormat="1" ht="10.5" customHeight="1" x14ac:dyDescent="0.2">
      <c r="A232" s="1055"/>
      <c r="B232" s="2594"/>
      <c r="C232" s="2595"/>
      <c r="D232" s="2596"/>
      <c r="E232" s="2395"/>
      <c r="F232" s="2396"/>
      <c r="G232" s="2590"/>
      <c r="H232" s="2591"/>
      <c r="I232" s="1081">
        <f t="shared" si="59"/>
        <v>0</v>
      </c>
      <c r="J232" s="1082">
        <f t="shared" si="60"/>
        <v>0</v>
      </c>
      <c r="K232" s="2588"/>
      <c r="L232" s="2589"/>
      <c r="M232" s="1086">
        <f t="shared" si="61"/>
        <v>0</v>
      </c>
      <c r="N232" s="503"/>
      <c r="O232" s="365">
        <f t="shared" si="62"/>
        <v>0</v>
      </c>
      <c r="P232" s="366"/>
      <c r="Q232" s="135"/>
      <c r="R232" s="136"/>
      <c r="S232" s="129"/>
      <c r="T232" s="129"/>
      <c r="U232" s="129"/>
      <c r="V232" s="129"/>
      <c r="W232" s="129"/>
      <c r="X232" s="129"/>
      <c r="Y232" s="129"/>
      <c r="Z232" s="133"/>
      <c r="AA232" s="133"/>
      <c r="AB232" s="133"/>
      <c r="AC232" s="133"/>
      <c r="AD232" s="133"/>
      <c r="AE232" s="133"/>
      <c r="AF232" s="222"/>
      <c r="AG232" s="222"/>
      <c r="AH232" s="222"/>
      <c r="AI232" s="176"/>
      <c r="AJ232" s="176"/>
      <c r="AK232" s="176"/>
      <c r="AL232" s="176"/>
      <c r="AM232" s="176"/>
      <c r="AN232" s="176"/>
      <c r="AO232" s="176"/>
      <c r="AP232" s="176"/>
      <c r="AQ232" s="176"/>
      <c r="AR232" s="176"/>
      <c r="AS232" s="176"/>
      <c r="AT232" s="176"/>
      <c r="AU232" s="176"/>
      <c r="AV232" s="176"/>
      <c r="AW232" s="176"/>
      <c r="AX232" s="176"/>
      <c r="AY232" s="176"/>
      <c r="AZ232" s="176"/>
      <c r="BA232" s="176"/>
      <c r="BB232" s="176"/>
      <c r="BC232" s="176"/>
      <c r="BD232" s="176"/>
      <c r="BE232" s="176"/>
      <c r="BF232" s="176"/>
      <c r="BG232" s="176"/>
      <c r="BH232" s="176"/>
      <c r="BI232" s="176"/>
      <c r="BJ232" s="176"/>
      <c r="BK232" s="176"/>
      <c r="BL232" s="176"/>
      <c r="BM232" s="176"/>
      <c r="BN232" s="176"/>
      <c r="BO232" s="176"/>
    </row>
    <row r="233" spans="1:67" s="36" customFormat="1" ht="10.5" customHeight="1" x14ac:dyDescent="0.2">
      <c r="A233" s="1055"/>
      <c r="B233" s="2594"/>
      <c r="C233" s="2595"/>
      <c r="D233" s="2596"/>
      <c r="E233" s="2395"/>
      <c r="F233" s="2396"/>
      <c r="G233" s="2590"/>
      <c r="H233" s="2591"/>
      <c r="I233" s="1081">
        <f t="shared" si="59"/>
        <v>0</v>
      </c>
      <c r="J233" s="1082">
        <f t="shared" si="60"/>
        <v>0</v>
      </c>
      <c r="K233" s="2588"/>
      <c r="L233" s="2589"/>
      <c r="M233" s="1086">
        <f t="shared" si="61"/>
        <v>0</v>
      </c>
      <c r="N233" s="503"/>
      <c r="O233" s="365">
        <f t="shared" si="62"/>
        <v>0</v>
      </c>
      <c r="P233" s="366"/>
      <c r="Q233" s="135"/>
      <c r="R233" s="136"/>
      <c r="S233" s="129"/>
      <c r="T233" s="129"/>
      <c r="U233" s="129"/>
      <c r="V233" s="129"/>
      <c r="W233" s="129"/>
      <c r="X233" s="129"/>
      <c r="Y233" s="129"/>
      <c r="Z233" s="133"/>
      <c r="AA233" s="133"/>
      <c r="AB233" s="133"/>
      <c r="AC233" s="133"/>
      <c r="AD233" s="133"/>
      <c r="AE233" s="133"/>
      <c r="AF233" s="222"/>
      <c r="AG233" s="222"/>
      <c r="AH233" s="222"/>
      <c r="AI233" s="176"/>
      <c r="AJ233" s="176"/>
      <c r="AK233" s="176"/>
      <c r="AL233" s="176"/>
      <c r="AM233" s="176"/>
      <c r="AN233" s="176"/>
      <c r="AO233" s="176"/>
      <c r="AP233" s="176"/>
      <c r="AQ233" s="176"/>
      <c r="AR233" s="176"/>
      <c r="AS233" s="176"/>
      <c r="AT233" s="176"/>
      <c r="AU233" s="176"/>
      <c r="AV233" s="176"/>
      <c r="AW233" s="176"/>
      <c r="AX233" s="176"/>
      <c r="AY233" s="176"/>
      <c r="AZ233" s="176"/>
      <c r="BA233" s="176"/>
      <c r="BB233" s="176"/>
      <c r="BC233" s="176"/>
      <c r="BD233" s="176"/>
      <c r="BE233" s="176"/>
      <c r="BF233" s="176"/>
      <c r="BG233" s="176"/>
      <c r="BH233" s="176"/>
      <c r="BI233" s="176"/>
      <c r="BJ233" s="176"/>
      <c r="BK233" s="176"/>
      <c r="BL233" s="176"/>
      <c r="BM233" s="176"/>
      <c r="BN233" s="176"/>
      <c r="BO233" s="176"/>
    </row>
    <row r="234" spans="1:67" s="36" customFormat="1" ht="10.5" customHeight="1" x14ac:dyDescent="0.2">
      <c r="A234" s="1055"/>
      <c r="B234" s="2594"/>
      <c r="C234" s="2595"/>
      <c r="D234" s="2596"/>
      <c r="E234" s="2395"/>
      <c r="F234" s="2396"/>
      <c r="G234" s="2590"/>
      <c r="H234" s="2591"/>
      <c r="I234" s="1081">
        <f t="shared" si="59"/>
        <v>0</v>
      </c>
      <c r="J234" s="1082">
        <f t="shared" si="60"/>
        <v>0</v>
      </c>
      <c r="K234" s="2588"/>
      <c r="L234" s="2589"/>
      <c r="M234" s="1086">
        <f t="shared" si="61"/>
        <v>0</v>
      </c>
      <c r="N234" s="503"/>
      <c r="O234" s="365">
        <f t="shared" si="62"/>
        <v>0</v>
      </c>
      <c r="P234" s="366"/>
      <c r="Q234" s="135"/>
      <c r="R234" s="136"/>
      <c r="S234" s="129"/>
      <c r="T234" s="129"/>
      <c r="U234" s="129"/>
      <c r="V234" s="129"/>
      <c r="W234" s="129"/>
      <c r="X234" s="129"/>
      <c r="Y234" s="129"/>
      <c r="Z234" s="133"/>
      <c r="AA234" s="133"/>
      <c r="AB234" s="133"/>
      <c r="AC234" s="133"/>
      <c r="AD234" s="133"/>
      <c r="AE234" s="133"/>
      <c r="AF234" s="222"/>
      <c r="AG234" s="222"/>
      <c r="AH234" s="222"/>
      <c r="AI234" s="176"/>
      <c r="AJ234" s="176"/>
      <c r="AK234" s="176"/>
      <c r="AL234" s="176"/>
      <c r="AM234" s="176"/>
      <c r="AN234" s="176"/>
      <c r="AO234" s="176"/>
      <c r="AP234" s="176"/>
      <c r="AQ234" s="176"/>
      <c r="AR234" s="176"/>
      <c r="AS234" s="176"/>
      <c r="AT234" s="176"/>
      <c r="AU234" s="176"/>
      <c r="AV234" s="176"/>
      <c r="AW234" s="176"/>
      <c r="AX234" s="176"/>
      <c r="AY234" s="176"/>
      <c r="AZ234" s="176"/>
      <c r="BA234" s="176"/>
      <c r="BB234" s="176"/>
      <c r="BC234" s="176"/>
      <c r="BD234" s="176"/>
      <c r="BE234" s="176"/>
      <c r="BF234" s="176"/>
      <c r="BG234" s="176"/>
      <c r="BH234" s="176"/>
      <c r="BI234" s="176"/>
      <c r="BJ234" s="176"/>
      <c r="BK234" s="176"/>
      <c r="BL234" s="176"/>
      <c r="BM234" s="176"/>
      <c r="BN234" s="176"/>
      <c r="BO234" s="176"/>
    </row>
    <row r="235" spans="1:67" s="36" customFormat="1" ht="10.5" customHeight="1" x14ac:dyDescent="0.2">
      <c r="A235" s="1055"/>
      <c r="B235" s="2594"/>
      <c r="C235" s="2595"/>
      <c r="D235" s="2596"/>
      <c r="E235" s="2395"/>
      <c r="F235" s="2396"/>
      <c r="G235" s="2590"/>
      <c r="H235" s="2591"/>
      <c r="I235" s="1081">
        <f t="shared" si="59"/>
        <v>0</v>
      </c>
      <c r="J235" s="1082">
        <f t="shared" si="60"/>
        <v>0</v>
      </c>
      <c r="K235" s="2588"/>
      <c r="L235" s="2589"/>
      <c r="M235" s="1086">
        <f t="shared" si="61"/>
        <v>0</v>
      </c>
      <c r="N235" s="503"/>
      <c r="O235" s="365">
        <f t="shared" si="62"/>
        <v>0</v>
      </c>
      <c r="P235" s="366"/>
      <c r="Q235" s="135"/>
      <c r="R235" s="136"/>
      <c r="S235" s="129"/>
      <c r="T235" s="129"/>
      <c r="U235" s="129"/>
      <c r="V235" s="129"/>
      <c r="W235" s="129"/>
      <c r="X235" s="129"/>
      <c r="Y235" s="129"/>
      <c r="Z235" s="133"/>
      <c r="AA235" s="133"/>
      <c r="AB235" s="133"/>
      <c r="AC235" s="133"/>
      <c r="AD235" s="133"/>
      <c r="AE235" s="133"/>
      <c r="AF235" s="222"/>
      <c r="AG235" s="222"/>
      <c r="AH235" s="222"/>
      <c r="AI235" s="176"/>
      <c r="AJ235" s="176"/>
      <c r="AK235" s="176"/>
      <c r="AL235" s="176"/>
      <c r="AM235" s="176"/>
      <c r="AN235" s="176"/>
      <c r="AO235" s="176"/>
      <c r="AP235" s="176"/>
      <c r="AQ235" s="176"/>
      <c r="AR235" s="176"/>
      <c r="AS235" s="176"/>
      <c r="AT235" s="176"/>
      <c r="AU235" s="176"/>
      <c r="AV235" s="176"/>
      <c r="AW235" s="176"/>
      <c r="AX235" s="176"/>
      <c r="AY235" s="176"/>
      <c r="AZ235" s="176"/>
      <c r="BA235" s="176"/>
      <c r="BB235" s="176"/>
      <c r="BC235" s="176"/>
      <c r="BD235" s="176"/>
      <c r="BE235" s="176"/>
      <c r="BF235" s="176"/>
      <c r="BG235" s="176"/>
      <c r="BH235" s="176"/>
      <c r="BI235" s="176"/>
      <c r="BJ235" s="176"/>
      <c r="BK235" s="176"/>
      <c r="BL235" s="176"/>
      <c r="BM235" s="176"/>
      <c r="BN235" s="176"/>
      <c r="BO235" s="176"/>
    </row>
    <row r="236" spans="1:67" s="36" customFormat="1" ht="10.5" customHeight="1" x14ac:dyDescent="0.2">
      <c r="A236" s="1044"/>
      <c r="B236" s="2608"/>
      <c r="C236" s="2609"/>
      <c r="D236" s="2610"/>
      <c r="E236" s="2601"/>
      <c r="F236" s="2602"/>
      <c r="G236" s="1088"/>
      <c r="H236" s="1089"/>
      <c r="I236" s="1083">
        <f t="shared" si="59"/>
        <v>0</v>
      </c>
      <c r="J236" s="1084"/>
      <c r="K236" s="1087"/>
      <c r="L236" s="1307"/>
      <c r="M236" s="1317">
        <f t="shared" si="61"/>
        <v>0</v>
      </c>
      <c r="N236" s="503"/>
      <c r="O236" s="365">
        <f t="shared" si="62"/>
        <v>0</v>
      </c>
      <c r="P236" s="366"/>
      <c r="Q236" s="135"/>
      <c r="R236" s="136"/>
      <c r="S236" s="129"/>
      <c r="T236" s="129"/>
      <c r="U236" s="129"/>
      <c r="V236" s="129"/>
      <c r="W236" s="129"/>
      <c r="X236" s="129"/>
      <c r="Y236" s="129"/>
      <c r="Z236" s="133"/>
      <c r="AA236" s="133"/>
      <c r="AB236" s="133"/>
      <c r="AC236" s="133"/>
      <c r="AD236" s="133"/>
      <c r="AE236" s="133"/>
      <c r="AF236" s="222"/>
      <c r="AG236" s="222"/>
      <c r="AH236" s="222"/>
      <c r="AI236" s="176"/>
      <c r="AJ236" s="176"/>
      <c r="AK236" s="176"/>
      <c r="AL236" s="176"/>
      <c r="AM236" s="176"/>
      <c r="AN236" s="176"/>
      <c r="AO236" s="176"/>
      <c r="AP236" s="176"/>
      <c r="AQ236" s="176"/>
      <c r="AR236" s="176"/>
      <c r="AS236" s="176"/>
      <c r="AT236" s="176"/>
      <c r="AU236" s="176"/>
      <c r="AV236" s="176"/>
      <c r="AW236" s="176"/>
      <c r="AX236" s="176"/>
      <c r="AY236" s="176"/>
      <c r="AZ236" s="176"/>
      <c r="BA236" s="176"/>
      <c r="BB236" s="176"/>
      <c r="BC236" s="176"/>
      <c r="BD236" s="176"/>
      <c r="BE236" s="176"/>
      <c r="BF236" s="176"/>
      <c r="BG236" s="176"/>
      <c r="BH236" s="176"/>
      <c r="BI236" s="176"/>
      <c r="BJ236" s="176"/>
      <c r="BK236" s="176"/>
      <c r="BL236" s="176"/>
      <c r="BM236" s="176"/>
      <c r="BN236" s="176"/>
      <c r="BO236" s="176"/>
    </row>
    <row r="237" spans="1:67" s="36" customFormat="1" ht="10.5" customHeight="1" x14ac:dyDescent="0.2">
      <c r="A237" s="1120" t="s">
        <v>335</v>
      </c>
      <c r="B237" s="2603"/>
      <c r="C237" s="2604"/>
      <c r="D237" s="2605"/>
      <c r="E237" s="2606">
        <f>SUM(E238:E250)</f>
        <v>0</v>
      </c>
      <c r="F237" s="2607"/>
      <c r="G237" s="2620"/>
      <c r="H237" s="2621"/>
      <c r="I237" s="1121">
        <f>IF(E237=0,0,J237/E237)</f>
        <v>0</v>
      </c>
      <c r="J237" s="1122">
        <f>SUM(J238:J250)</f>
        <v>0</v>
      </c>
      <c r="K237" s="2622">
        <f>IF(E237=0,0,M237/E237*100)</f>
        <v>0</v>
      </c>
      <c r="L237" s="2623"/>
      <c r="M237" s="1318">
        <f>SUM(M238:M250)</f>
        <v>0</v>
      </c>
      <c r="N237" s="503"/>
      <c r="O237" s="178">
        <f>IF(H237="",G237,H237)</f>
        <v>0</v>
      </c>
      <c r="P237" s="366"/>
      <c r="Q237" s="135"/>
      <c r="R237" s="136"/>
      <c r="S237" s="129"/>
      <c r="T237" s="129"/>
      <c r="U237" s="129"/>
      <c r="V237" s="129"/>
      <c r="W237" s="129"/>
      <c r="X237" s="129"/>
      <c r="Y237" s="129"/>
      <c r="Z237" s="133"/>
      <c r="AA237" s="133"/>
      <c r="AB237" s="133"/>
      <c r="AC237" s="133"/>
      <c r="AD237" s="133"/>
      <c r="AE237" s="133"/>
      <c r="AF237" s="222"/>
      <c r="AG237" s="222"/>
      <c r="AH237" s="222"/>
      <c r="AI237" s="176"/>
      <c r="AJ237" s="176"/>
      <c r="AK237" s="176"/>
      <c r="AL237" s="176"/>
      <c r="AM237" s="176"/>
      <c r="AN237" s="176"/>
      <c r="AO237" s="176"/>
      <c r="AP237" s="176"/>
      <c r="AQ237" s="176"/>
      <c r="AR237" s="176"/>
      <c r="AS237" s="176"/>
      <c r="AT237" s="176"/>
      <c r="AU237" s="176"/>
      <c r="AV237" s="176"/>
      <c r="AW237" s="176"/>
      <c r="AX237" s="176"/>
      <c r="AY237" s="176"/>
      <c r="AZ237" s="176"/>
      <c r="BA237" s="176"/>
      <c r="BB237" s="176"/>
      <c r="BC237" s="176"/>
      <c r="BD237" s="176"/>
      <c r="BE237" s="176"/>
      <c r="BF237" s="176"/>
      <c r="BG237" s="176"/>
      <c r="BH237" s="176"/>
      <c r="BI237" s="176"/>
      <c r="BJ237" s="176"/>
      <c r="BK237" s="176"/>
      <c r="BL237" s="176"/>
      <c r="BM237" s="176"/>
      <c r="BN237" s="176"/>
      <c r="BO237" s="176"/>
    </row>
    <row r="238" spans="1:67" s="36" customFormat="1" ht="10.5" customHeight="1" x14ac:dyDescent="0.2">
      <c r="A238" s="1042" t="s">
        <v>336</v>
      </c>
      <c r="B238" s="2624"/>
      <c r="C238" s="2625"/>
      <c r="D238" s="2626"/>
      <c r="E238" s="2386"/>
      <c r="F238" s="2387"/>
      <c r="G238" s="1056">
        <v>30</v>
      </c>
      <c r="H238" s="1057"/>
      <c r="I238" s="1079">
        <f t="shared" ref="I238:I251" si="63">IF($O238&gt;0,-PMT(($I$9),$O238,1),0)</f>
        <v>4.6199342169092869E-2</v>
      </c>
      <c r="J238" s="1080">
        <f t="shared" ref="J238:J250" si="64">ROUND(E238*I238,0)</f>
        <v>0</v>
      </c>
      <c r="K238" s="1060">
        <v>1</v>
      </c>
      <c r="L238" s="1304"/>
      <c r="M238" s="1085">
        <f t="shared" ref="M238:M251" si="65">ROUND(E238/100*IF(ISBLANK(L238),K238,L238),0)</f>
        <v>0</v>
      </c>
      <c r="N238" s="503"/>
      <c r="O238" s="365">
        <f t="shared" ref="O238:O251" si="66">IF(ISBLANK(H238),G238,H238)</f>
        <v>30</v>
      </c>
      <c r="P238" s="366"/>
      <c r="Q238" s="135"/>
      <c r="R238" s="136"/>
      <c r="S238" s="129"/>
      <c r="T238" s="129"/>
      <c r="U238" s="129"/>
      <c r="V238" s="129"/>
      <c r="W238" s="129"/>
      <c r="X238" s="129"/>
      <c r="Y238" s="129"/>
      <c r="Z238" s="133"/>
      <c r="AA238" s="133"/>
      <c r="AB238" s="133"/>
      <c r="AC238" s="133"/>
      <c r="AD238" s="133"/>
      <c r="AE238" s="133"/>
      <c r="AF238" s="222"/>
      <c r="AG238" s="222"/>
      <c r="AH238" s="222"/>
      <c r="AI238" s="176"/>
      <c r="AJ238" s="176"/>
      <c r="AK238" s="176"/>
      <c r="AL238" s="176"/>
      <c r="AM238" s="176"/>
      <c r="AN238" s="176"/>
      <c r="AO238" s="176"/>
      <c r="AP238" s="176"/>
      <c r="AQ238" s="176"/>
      <c r="AR238" s="176"/>
      <c r="AS238" s="176"/>
      <c r="AT238" s="176"/>
      <c r="AU238" s="176"/>
      <c r="AV238" s="176"/>
      <c r="AW238" s="176"/>
      <c r="AX238" s="176"/>
      <c r="AY238" s="176"/>
      <c r="AZ238" s="176"/>
      <c r="BA238" s="176"/>
      <c r="BB238" s="176"/>
      <c r="BC238" s="176"/>
      <c r="BD238" s="176"/>
      <c r="BE238" s="176"/>
      <c r="BF238" s="176"/>
      <c r="BG238" s="176"/>
      <c r="BH238" s="176"/>
      <c r="BI238" s="176"/>
      <c r="BJ238" s="176"/>
      <c r="BK238" s="176"/>
      <c r="BL238" s="176"/>
      <c r="BM238" s="176"/>
      <c r="BN238" s="176"/>
      <c r="BO238" s="176"/>
    </row>
    <row r="239" spans="1:67" s="36" customFormat="1" ht="10.5" customHeight="1" x14ac:dyDescent="0.2">
      <c r="A239" s="1043" t="s">
        <v>337</v>
      </c>
      <c r="B239" s="2594"/>
      <c r="C239" s="2595"/>
      <c r="D239" s="2596"/>
      <c r="E239" s="2395"/>
      <c r="F239" s="2396"/>
      <c r="G239" s="1058">
        <v>30</v>
      </c>
      <c r="H239" s="1059"/>
      <c r="I239" s="1081">
        <f t="shared" si="63"/>
        <v>4.6199342169092869E-2</v>
      </c>
      <c r="J239" s="1082">
        <f t="shared" si="64"/>
        <v>0</v>
      </c>
      <c r="K239" s="1061">
        <v>1</v>
      </c>
      <c r="L239" s="1305"/>
      <c r="M239" s="1086">
        <f t="shared" si="65"/>
        <v>0</v>
      </c>
      <c r="N239" s="503"/>
      <c r="O239" s="365">
        <f t="shared" si="66"/>
        <v>30</v>
      </c>
      <c r="P239" s="366"/>
      <c r="Q239" s="135"/>
      <c r="R239" s="136"/>
      <c r="S239" s="129"/>
      <c r="T239" s="129"/>
      <c r="U239" s="129"/>
      <c r="V239" s="129"/>
      <c r="W239" s="129"/>
      <c r="X239" s="129"/>
      <c r="Y239" s="129"/>
      <c r="Z239" s="133"/>
      <c r="AA239" s="133"/>
      <c r="AB239" s="133"/>
      <c r="AC239" s="133"/>
      <c r="AD239" s="133"/>
      <c r="AE239" s="133"/>
      <c r="AF239" s="222"/>
      <c r="AG239" s="222"/>
      <c r="AH239" s="222"/>
      <c r="AI239" s="176"/>
      <c r="AJ239" s="176"/>
      <c r="AK239" s="176"/>
      <c r="AL239" s="176"/>
      <c r="AM239" s="176"/>
      <c r="AN239" s="176"/>
      <c r="AO239" s="176"/>
      <c r="AP239" s="176"/>
      <c r="AQ239" s="176"/>
      <c r="AR239" s="176"/>
      <c r="AS239" s="176"/>
      <c r="AT239" s="176"/>
      <c r="AU239" s="176"/>
      <c r="AV239" s="176"/>
      <c r="AW239" s="176"/>
      <c r="AX239" s="176"/>
      <c r="AY239" s="176"/>
      <c r="AZ239" s="176"/>
      <c r="BA239" s="176"/>
      <c r="BB239" s="176"/>
      <c r="BC239" s="176"/>
      <c r="BD239" s="176"/>
      <c r="BE239" s="176"/>
      <c r="BF239" s="176"/>
      <c r="BG239" s="176"/>
      <c r="BH239" s="176"/>
      <c r="BI239" s="176"/>
      <c r="BJ239" s="176"/>
      <c r="BK239" s="176"/>
      <c r="BL239" s="176"/>
      <c r="BM239" s="176"/>
      <c r="BN239" s="176"/>
      <c r="BO239" s="176"/>
    </row>
    <row r="240" spans="1:67" s="36" customFormat="1" ht="10.5" customHeight="1" x14ac:dyDescent="0.2">
      <c r="A240" s="1043" t="s">
        <v>338</v>
      </c>
      <c r="B240" s="2594"/>
      <c r="C240" s="2595"/>
      <c r="D240" s="2596"/>
      <c r="E240" s="2395"/>
      <c r="F240" s="2396"/>
      <c r="G240" s="1058">
        <v>30</v>
      </c>
      <c r="H240" s="1059"/>
      <c r="I240" s="1081">
        <f t="shared" si="63"/>
        <v>4.6199342169092869E-2</v>
      </c>
      <c r="J240" s="1082">
        <f t="shared" si="64"/>
        <v>0</v>
      </c>
      <c r="K240" s="1061">
        <v>1</v>
      </c>
      <c r="L240" s="1305"/>
      <c r="M240" s="1086">
        <f t="shared" si="65"/>
        <v>0</v>
      </c>
      <c r="N240" s="503"/>
      <c r="O240" s="365">
        <f t="shared" si="66"/>
        <v>30</v>
      </c>
      <c r="P240" s="366"/>
      <c r="Q240" s="135"/>
      <c r="R240" s="136"/>
      <c r="S240" s="129"/>
      <c r="T240" s="129"/>
      <c r="U240" s="129"/>
      <c r="V240" s="129"/>
      <c r="W240" s="129"/>
      <c r="X240" s="129"/>
      <c r="Y240" s="129"/>
      <c r="Z240" s="133"/>
      <c r="AA240" s="133"/>
      <c r="AB240" s="133"/>
      <c r="AC240" s="133"/>
      <c r="AD240" s="133"/>
      <c r="AE240" s="133"/>
      <c r="AF240" s="222"/>
      <c r="AG240" s="222"/>
      <c r="AH240" s="222"/>
      <c r="AI240" s="176"/>
      <c r="AJ240" s="176"/>
      <c r="AK240" s="176"/>
      <c r="AL240" s="176"/>
      <c r="AM240" s="176"/>
      <c r="AN240" s="176"/>
      <c r="AO240" s="176"/>
      <c r="AP240" s="176"/>
      <c r="AQ240" s="176"/>
      <c r="AR240" s="176"/>
      <c r="AS240" s="176"/>
      <c r="AT240" s="176"/>
      <c r="AU240" s="176"/>
      <c r="AV240" s="176"/>
      <c r="AW240" s="176"/>
      <c r="AX240" s="176"/>
      <c r="AY240" s="176"/>
      <c r="AZ240" s="176"/>
      <c r="BA240" s="176"/>
      <c r="BB240" s="176"/>
      <c r="BC240" s="176"/>
      <c r="BD240" s="176"/>
      <c r="BE240" s="176"/>
      <c r="BF240" s="176"/>
      <c r="BG240" s="176"/>
      <c r="BH240" s="176"/>
      <c r="BI240" s="176"/>
      <c r="BJ240" s="176"/>
      <c r="BK240" s="176"/>
      <c r="BL240" s="176"/>
      <c r="BM240" s="176"/>
      <c r="BN240" s="176"/>
      <c r="BO240" s="176"/>
    </row>
    <row r="241" spans="1:67" s="36" customFormat="1" ht="10.5" customHeight="1" x14ac:dyDescent="0.2">
      <c r="A241" s="1043" t="s">
        <v>339</v>
      </c>
      <c r="B241" s="2594"/>
      <c r="C241" s="2595"/>
      <c r="D241" s="2596"/>
      <c r="E241" s="2395"/>
      <c r="F241" s="2396"/>
      <c r="G241" s="1058">
        <v>30</v>
      </c>
      <c r="H241" s="1059"/>
      <c r="I241" s="1081">
        <f t="shared" si="63"/>
        <v>4.6199342169092869E-2</v>
      </c>
      <c r="J241" s="1082">
        <f t="shared" si="64"/>
        <v>0</v>
      </c>
      <c r="K241" s="1061">
        <v>1.5</v>
      </c>
      <c r="L241" s="1305"/>
      <c r="M241" s="1086">
        <f t="shared" si="65"/>
        <v>0</v>
      </c>
      <c r="N241" s="503"/>
      <c r="O241" s="365">
        <f t="shared" si="66"/>
        <v>30</v>
      </c>
      <c r="P241" s="366"/>
      <c r="Q241" s="135"/>
      <c r="R241" s="136"/>
      <c r="S241" s="129"/>
      <c r="T241" s="129"/>
      <c r="U241" s="129"/>
      <c r="V241" s="129"/>
      <c r="W241" s="129"/>
      <c r="X241" s="129"/>
      <c r="Y241" s="129"/>
      <c r="Z241" s="133"/>
      <c r="AA241" s="133"/>
      <c r="AB241" s="133"/>
      <c r="AC241" s="133"/>
      <c r="AD241" s="133"/>
      <c r="AE241" s="133"/>
      <c r="AF241" s="222"/>
      <c r="AG241" s="222"/>
      <c r="AH241" s="222"/>
      <c r="AI241" s="176"/>
      <c r="AJ241" s="176"/>
      <c r="AK241" s="176"/>
      <c r="AL241" s="176"/>
      <c r="AM241" s="176"/>
      <c r="AN241" s="176"/>
      <c r="AO241" s="176"/>
      <c r="AP241" s="176"/>
      <c r="AQ241" s="176"/>
      <c r="AR241" s="176"/>
      <c r="AS241" s="176"/>
      <c r="AT241" s="176"/>
      <c r="AU241" s="176"/>
      <c r="AV241" s="176"/>
      <c r="AW241" s="176"/>
      <c r="AX241" s="176"/>
      <c r="AY241" s="176"/>
      <c r="AZ241" s="176"/>
      <c r="BA241" s="176"/>
      <c r="BB241" s="176"/>
      <c r="BC241" s="176"/>
      <c r="BD241" s="176"/>
      <c r="BE241" s="176"/>
      <c r="BF241" s="176"/>
      <c r="BG241" s="176"/>
      <c r="BH241" s="176"/>
      <c r="BI241" s="176"/>
      <c r="BJ241" s="176"/>
      <c r="BK241" s="176"/>
      <c r="BL241" s="176"/>
      <c r="BM241" s="176"/>
      <c r="BN241" s="176"/>
      <c r="BO241" s="176"/>
    </row>
    <row r="242" spans="1:67" s="36" customFormat="1" ht="10.5" customHeight="1" x14ac:dyDescent="0.2">
      <c r="A242" s="1043" t="s">
        <v>340</v>
      </c>
      <c r="B242" s="2594"/>
      <c r="C242" s="2595"/>
      <c r="D242" s="2596"/>
      <c r="E242" s="2395"/>
      <c r="F242" s="2396"/>
      <c r="G242" s="1058">
        <v>30</v>
      </c>
      <c r="H242" s="1059"/>
      <c r="I242" s="1081">
        <f t="shared" si="63"/>
        <v>4.6199342169092869E-2</v>
      </c>
      <c r="J242" s="1082">
        <f t="shared" si="64"/>
        <v>0</v>
      </c>
      <c r="K242" s="1061">
        <v>1.5</v>
      </c>
      <c r="L242" s="1305"/>
      <c r="M242" s="1086">
        <f t="shared" si="65"/>
        <v>0</v>
      </c>
      <c r="N242" s="503"/>
      <c r="O242" s="365">
        <f t="shared" si="66"/>
        <v>30</v>
      </c>
      <c r="P242" s="366"/>
      <c r="Q242" s="135"/>
      <c r="R242" s="136"/>
      <c r="S242" s="129"/>
      <c r="T242" s="129"/>
      <c r="U242" s="129"/>
      <c r="V242" s="129"/>
      <c r="W242" s="129"/>
      <c r="X242" s="129"/>
      <c r="Y242" s="129"/>
      <c r="Z242" s="133"/>
      <c r="AA242" s="133"/>
      <c r="AB242" s="133"/>
      <c r="AC242" s="133"/>
      <c r="AD242" s="133"/>
      <c r="AE242" s="133"/>
      <c r="AF242" s="222"/>
      <c r="AG242" s="222"/>
      <c r="AH242" s="222"/>
      <c r="AI242" s="176"/>
      <c r="AJ242" s="176"/>
      <c r="AK242" s="176"/>
      <c r="AL242" s="176"/>
      <c r="AM242" s="176"/>
      <c r="AN242" s="176"/>
      <c r="AO242" s="176"/>
      <c r="AP242" s="176"/>
      <c r="AQ242" s="176"/>
      <c r="AR242" s="176"/>
      <c r="AS242" s="176"/>
      <c r="AT242" s="176"/>
      <c r="AU242" s="176"/>
      <c r="AV242" s="176"/>
      <c r="AW242" s="176"/>
      <c r="AX242" s="176"/>
      <c r="AY242" s="176"/>
      <c r="AZ242" s="176"/>
      <c r="BA242" s="176"/>
      <c r="BB242" s="176"/>
      <c r="BC242" s="176"/>
      <c r="BD242" s="176"/>
      <c r="BE242" s="176"/>
      <c r="BF242" s="176"/>
      <c r="BG242" s="176"/>
      <c r="BH242" s="176"/>
      <c r="BI242" s="176"/>
      <c r="BJ242" s="176"/>
      <c r="BK242" s="176"/>
      <c r="BL242" s="176"/>
      <c r="BM242" s="176"/>
      <c r="BN242" s="176"/>
      <c r="BO242" s="176"/>
    </row>
    <row r="243" spans="1:67" s="36" customFormat="1" ht="10.5" customHeight="1" x14ac:dyDescent="0.2">
      <c r="A243" s="1043" t="s">
        <v>292</v>
      </c>
      <c r="B243" s="2594"/>
      <c r="C243" s="2595"/>
      <c r="D243" s="2596"/>
      <c r="E243" s="2395"/>
      <c r="F243" s="2396"/>
      <c r="G243" s="1058">
        <v>20</v>
      </c>
      <c r="H243" s="1059"/>
      <c r="I243" s="1081">
        <f t="shared" si="63"/>
        <v>6.2642070767998229E-2</v>
      </c>
      <c r="J243" s="1082">
        <f t="shared" si="64"/>
        <v>0</v>
      </c>
      <c r="K243" s="1061">
        <v>2</v>
      </c>
      <c r="L243" s="1305"/>
      <c r="M243" s="1086">
        <f t="shared" si="65"/>
        <v>0</v>
      </c>
      <c r="N243" s="503"/>
      <c r="O243" s="365">
        <f t="shared" si="66"/>
        <v>20</v>
      </c>
      <c r="P243" s="366"/>
      <c r="Q243" s="135"/>
      <c r="R243" s="136"/>
      <c r="S243" s="129"/>
      <c r="T243" s="129"/>
      <c r="U243" s="129"/>
      <c r="V243" s="129"/>
      <c r="W243" s="129"/>
      <c r="X243" s="129"/>
      <c r="Y243" s="129"/>
      <c r="Z243" s="133"/>
      <c r="AA243" s="133"/>
      <c r="AB243" s="133"/>
      <c r="AC243" s="133"/>
      <c r="AD243" s="133"/>
      <c r="AE243" s="133"/>
      <c r="AF243" s="222"/>
      <c r="AG243" s="222"/>
      <c r="AH243" s="222"/>
      <c r="AI243" s="176"/>
      <c r="AJ243" s="176"/>
      <c r="AK243" s="176"/>
      <c r="AL243" s="176"/>
      <c r="AM243" s="176"/>
      <c r="AN243" s="176"/>
      <c r="AO243" s="176"/>
      <c r="AP243" s="176"/>
      <c r="AQ243" s="176"/>
      <c r="AR243" s="176"/>
      <c r="AS243" s="176"/>
      <c r="AT243" s="176"/>
      <c r="AU243" s="176"/>
      <c r="AV243" s="176"/>
      <c r="AW243" s="176"/>
      <c r="AX243" s="176"/>
      <c r="AY243" s="176"/>
      <c r="AZ243" s="176"/>
      <c r="BA243" s="176"/>
      <c r="BB243" s="176"/>
      <c r="BC243" s="176"/>
      <c r="BD243" s="176"/>
      <c r="BE243" s="176"/>
      <c r="BF243" s="176"/>
      <c r="BG243" s="176"/>
      <c r="BH243" s="176"/>
      <c r="BI243" s="176"/>
      <c r="BJ243" s="176"/>
      <c r="BK243" s="176"/>
      <c r="BL243" s="176"/>
      <c r="BM243" s="176"/>
      <c r="BN243" s="176"/>
      <c r="BO243" s="176"/>
    </row>
    <row r="244" spans="1:67" s="36" customFormat="1" ht="10.5" customHeight="1" x14ac:dyDescent="0.2">
      <c r="A244" s="1043" t="s">
        <v>273</v>
      </c>
      <c r="B244" s="2594"/>
      <c r="C244" s="2595"/>
      <c r="D244" s="2596"/>
      <c r="E244" s="2395"/>
      <c r="F244" s="2396"/>
      <c r="G244" s="1058">
        <v>20</v>
      </c>
      <c r="H244" s="1059"/>
      <c r="I244" s="1081">
        <f t="shared" si="63"/>
        <v>6.2642070767998229E-2</v>
      </c>
      <c r="J244" s="1082">
        <f t="shared" si="64"/>
        <v>0</v>
      </c>
      <c r="K244" s="1061">
        <v>8</v>
      </c>
      <c r="L244" s="1305"/>
      <c r="M244" s="1086">
        <f t="shared" si="65"/>
        <v>0</v>
      </c>
      <c r="N244" s="503"/>
      <c r="O244" s="365">
        <f t="shared" si="66"/>
        <v>20</v>
      </c>
      <c r="P244" s="366"/>
      <c r="Q244" s="135"/>
      <c r="R244" s="136"/>
      <c r="S244" s="129"/>
      <c r="T244" s="129"/>
      <c r="U244" s="129"/>
      <c r="V244" s="129"/>
      <c r="W244" s="129"/>
      <c r="X244" s="129"/>
      <c r="Y244" s="129"/>
      <c r="Z244" s="133"/>
      <c r="AA244" s="133"/>
      <c r="AB244" s="133"/>
      <c r="AC244" s="133"/>
      <c r="AD244" s="133"/>
      <c r="AE244" s="133"/>
      <c r="AF244" s="222"/>
      <c r="AG244" s="222"/>
      <c r="AH244" s="222"/>
      <c r="AI244" s="176"/>
      <c r="AJ244" s="176"/>
      <c r="AK244" s="176"/>
      <c r="AL244" s="176"/>
      <c r="AM244" s="176"/>
      <c r="AN244" s="176"/>
      <c r="AO244" s="176"/>
      <c r="AP244" s="176"/>
      <c r="AQ244" s="176"/>
      <c r="AR244" s="176"/>
      <c r="AS244" s="176"/>
      <c r="AT244" s="176"/>
      <c r="AU244" s="176"/>
      <c r="AV244" s="176"/>
      <c r="AW244" s="176"/>
      <c r="AX244" s="176"/>
      <c r="AY244" s="176"/>
      <c r="AZ244" s="176"/>
      <c r="BA244" s="176"/>
      <c r="BB244" s="176"/>
      <c r="BC244" s="176"/>
      <c r="BD244" s="176"/>
      <c r="BE244" s="176"/>
      <c r="BF244" s="176"/>
      <c r="BG244" s="176"/>
      <c r="BH244" s="176"/>
      <c r="BI244" s="176"/>
      <c r="BJ244" s="176"/>
      <c r="BK244" s="176"/>
      <c r="BL244" s="176"/>
      <c r="BM244" s="176"/>
      <c r="BN244" s="176"/>
      <c r="BO244" s="176"/>
    </row>
    <row r="245" spans="1:67" s="36" customFormat="1" ht="10.5" customHeight="1" x14ac:dyDescent="0.2">
      <c r="A245" s="1043" t="s">
        <v>274</v>
      </c>
      <c r="B245" s="2594"/>
      <c r="C245" s="2595"/>
      <c r="D245" s="2596"/>
      <c r="E245" s="2395"/>
      <c r="F245" s="2396"/>
      <c r="G245" s="1058">
        <v>30</v>
      </c>
      <c r="H245" s="1059"/>
      <c r="I245" s="1081">
        <f t="shared" si="63"/>
        <v>4.6199342169092869E-2</v>
      </c>
      <c r="J245" s="1082">
        <f t="shared" si="64"/>
        <v>0</v>
      </c>
      <c r="K245" s="1061"/>
      <c r="L245" s="1305"/>
      <c r="M245" s="1086">
        <f t="shared" si="65"/>
        <v>0</v>
      </c>
      <c r="N245" s="503"/>
      <c r="O245" s="365">
        <f t="shared" si="66"/>
        <v>30</v>
      </c>
      <c r="P245" s="366"/>
      <c r="Q245" s="135"/>
      <c r="R245" s="136"/>
      <c r="S245" s="129"/>
      <c r="T245" s="129"/>
      <c r="U245" s="129"/>
      <c r="V245" s="129"/>
      <c r="W245" s="129"/>
      <c r="X245" s="129"/>
      <c r="Y245" s="129"/>
      <c r="Z245" s="133"/>
      <c r="AA245" s="133"/>
      <c r="AB245" s="133"/>
      <c r="AC245" s="133"/>
      <c r="AD245" s="133"/>
      <c r="AE245" s="133"/>
      <c r="AF245" s="222"/>
      <c r="AG245" s="222"/>
      <c r="AH245" s="222"/>
      <c r="AI245" s="176"/>
      <c r="AJ245" s="176"/>
      <c r="AK245" s="176"/>
      <c r="AL245" s="176"/>
      <c r="AM245" s="176"/>
      <c r="AN245" s="176"/>
      <c r="AO245" s="176"/>
      <c r="AP245" s="176"/>
      <c r="AQ245" s="176"/>
      <c r="AR245" s="176"/>
      <c r="AS245" s="176"/>
      <c r="AT245" s="176"/>
      <c r="AU245" s="176"/>
      <c r="AV245" s="176"/>
      <c r="AW245" s="176"/>
      <c r="AX245" s="176"/>
      <c r="AY245" s="176"/>
      <c r="AZ245" s="176"/>
      <c r="BA245" s="176"/>
      <c r="BB245" s="176"/>
      <c r="BC245" s="176"/>
      <c r="BD245" s="176"/>
      <c r="BE245" s="176"/>
      <c r="BF245" s="176"/>
      <c r="BG245" s="176"/>
      <c r="BH245" s="176"/>
      <c r="BI245" s="176"/>
      <c r="BJ245" s="176"/>
      <c r="BK245" s="176"/>
      <c r="BL245" s="176"/>
      <c r="BM245" s="176"/>
      <c r="BN245" s="176"/>
      <c r="BO245" s="176"/>
    </row>
    <row r="246" spans="1:67" s="36" customFormat="1" ht="10.5" customHeight="1" x14ac:dyDescent="0.2">
      <c r="A246" s="1055"/>
      <c r="B246" s="2594"/>
      <c r="C246" s="2595"/>
      <c r="D246" s="2596"/>
      <c r="E246" s="2395"/>
      <c r="F246" s="2396"/>
      <c r="G246" s="2590"/>
      <c r="H246" s="2591"/>
      <c r="I246" s="1081">
        <f t="shared" si="63"/>
        <v>0</v>
      </c>
      <c r="J246" s="1082">
        <f t="shared" si="64"/>
        <v>0</v>
      </c>
      <c r="K246" s="2588"/>
      <c r="L246" s="2589"/>
      <c r="M246" s="1086">
        <f t="shared" si="65"/>
        <v>0</v>
      </c>
      <c r="N246" s="503"/>
      <c r="O246" s="365">
        <f t="shared" si="66"/>
        <v>0</v>
      </c>
      <c r="P246" s="366"/>
      <c r="Q246" s="135"/>
      <c r="R246" s="136"/>
      <c r="S246" s="129"/>
      <c r="T246" s="129"/>
      <c r="U246" s="129"/>
      <c r="V246" s="129"/>
      <c r="W246" s="129"/>
      <c r="X246" s="129"/>
      <c r="Y246" s="129"/>
      <c r="Z246" s="133"/>
      <c r="AA246" s="133"/>
      <c r="AB246" s="133"/>
      <c r="AC246" s="133"/>
      <c r="AD246" s="133"/>
      <c r="AE246" s="133"/>
      <c r="AF246" s="222"/>
      <c r="AG246" s="222"/>
      <c r="AH246" s="222"/>
      <c r="AI246" s="176"/>
      <c r="AJ246" s="176"/>
      <c r="AK246" s="176"/>
      <c r="AL246" s="176"/>
      <c r="AM246" s="176"/>
      <c r="AN246" s="176"/>
      <c r="AO246" s="176"/>
      <c r="AP246" s="176"/>
      <c r="AQ246" s="176"/>
      <c r="AR246" s="176"/>
      <c r="AS246" s="176"/>
      <c r="AT246" s="176"/>
      <c r="AU246" s="176"/>
      <c r="AV246" s="176"/>
      <c r="AW246" s="176"/>
      <c r="AX246" s="176"/>
      <c r="AY246" s="176"/>
      <c r="AZ246" s="176"/>
      <c r="BA246" s="176"/>
      <c r="BB246" s="176"/>
      <c r="BC246" s="176"/>
      <c r="BD246" s="176"/>
      <c r="BE246" s="176"/>
      <c r="BF246" s="176"/>
      <c r="BG246" s="176"/>
      <c r="BH246" s="176"/>
      <c r="BI246" s="176"/>
      <c r="BJ246" s="176"/>
      <c r="BK246" s="176"/>
      <c r="BL246" s="176"/>
      <c r="BM246" s="176"/>
      <c r="BN246" s="176"/>
      <c r="BO246" s="176"/>
    </row>
    <row r="247" spans="1:67" s="36" customFormat="1" ht="10.5" customHeight="1" x14ac:dyDescent="0.2">
      <c r="A247" s="1055"/>
      <c r="B247" s="2594"/>
      <c r="C247" s="2595"/>
      <c r="D247" s="2596"/>
      <c r="E247" s="2395"/>
      <c r="F247" s="2396"/>
      <c r="G247" s="2590"/>
      <c r="H247" s="2591"/>
      <c r="I247" s="1081">
        <f t="shared" si="63"/>
        <v>0</v>
      </c>
      <c r="J247" s="1082">
        <f t="shared" si="64"/>
        <v>0</v>
      </c>
      <c r="K247" s="2588"/>
      <c r="L247" s="2589"/>
      <c r="M247" s="1086">
        <f t="shared" si="65"/>
        <v>0</v>
      </c>
      <c r="N247" s="503"/>
      <c r="O247" s="365">
        <f t="shared" si="66"/>
        <v>0</v>
      </c>
      <c r="P247" s="366"/>
      <c r="Q247" s="135"/>
      <c r="R247" s="136"/>
      <c r="S247" s="129"/>
      <c r="T247" s="129"/>
      <c r="U247" s="129"/>
      <c r="V247" s="129"/>
      <c r="W247" s="129"/>
      <c r="X247" s="129"/>
      <c r="Y247" s="129"/>
      <c r="Z247" s="133"/>
      <c r="AA247" s="133"/>
      <c r="AB247" s="133"/>
      <c r="AC247" s="133"/>
      <c r="AD247" s="133"/>
      <c r="AE247" s="133"/>
      <c r="AF247" s="222"/>
      <c r="AG247" s="222"/>
      <c r="AH247" s="222"/>
      <c r="AI247" s="176"/>
      <c r="AJ247" s="176"/>
      <c r="AK247" s="176"/>
      <c r="AL247" s="176"/>
      <c r="AM247" s="176"/>
      <c r="AN247" s="176"/>
      <c r="AO247" s="176"/>
      <c r="AP247" s="176"/>
      <c r="AQ247" s="176"/>
      <c r="AR247" s="176"/>
      <c r="AS247" s="176"/>
      <c r="AT247" s="176"/>
      <c r="AU247" s="176"/>
      <c r="AV247" s="176"/>
      <c r="AW247" s="176"/>
      <c r="AX247" s="176"/>
      <c r="AY247" s="176"/>
      <c r="AZ247" s="176"/>
      <c r="BA247" s="176"/>
      <c r="BB247" s="176"/>
      <c r="BC247" s="176"/>
      <c r="BD247" s="176"/>
      <c r="BE247" s="176"/>
      <c r="BF247" s="176"/>
      <c r="BG247" s="176"/>
      <c r="BH247" s="176"/>
      <c r="BI247" s="176"/>
      <c r="BJ247" s="176"/>
      <c r="BK247" s="176"/>
      <c r="BL247" s="176"/>
      <c r="BM247" s="176"/>
      <c r="BN247" s="176"/>
      <c r="BO247" s="176"/>
    </row>
    <row r="248" spans="1:67" s="36" customFormat="1" ht="10.5" customHeight="1" x14ac:dyDescent="0.2">
      <c r="A248" s="1055"/>
      <c r="B248" s="2594"/>
      <c r="C248" s="2595"/>
      <c r="D248" s="2596"/>
      <c r="E248" s="2395"/>
      <c r="F248" s="2396"/>
      <c r="G248" s="2590"/>
      <c r="H248" s="2591"/>
      <c r="I248" s="1081">
        <f t="shared" si="63"/>
        <v>0</v>
      </c>
      <c r="J248" s="1082">
        <f t="shared" si="64"/>
        <v>0</v>
      </c>
      <c r="K248" s="2588"/>
      <c r="L248" s="2589"/>
      <c r="M248" s="1086">
        <f t="shared" si="65"/>
        <v>0</v>
      </c>
      <c r="N248" s="503"/>
      <c r="O248" s="365">
        <f t="shared" si="66"/>
        <v>0</v>
      </c>
      <c r="P248" s="366"/>
      <c r="Q248" s="135"/>
      <c r="R248" s="136"/>
      <c r="S248" s="129"/>
      <c r="T248" s="129"/>
      <c r="U248" s="129"/>
      <c r="V248" s="129"/>
      <c r="W248" s="129"/>
      <c r="X248" s="129"/>
      <c r="Y248" s="129"/>
      <c r="Z248" s="133"/>
      <c r="AA248" s="133"/>
      <c r="AB248" s="133"/>
      <c r="AC248" s="133"/>
      <c r="AD248" s="133"/>
      <c r="AE248" s="133"/>
      <c r="AF248" s="222"/>
      <c r="AG248" s="222"/>
      <c r="AH248" s="222"/>
      <c r="AI248" s="176"/>
      <c r="AJ248" s="176"/>
      <c r="AK248" s="176"/>
      <c r="AL248" s="176"/>
      <c r="AM248" s="176"/>
      <c r="AN248" s="176"/>
      <c r="AO248" s="176"/>
      <c r="AP248" s="176"/>
      <c r="AQ248" s="176"/>
      <c r="AR248" s="176"/>
      <c r="AS248" s="176"/>
      <c r="AT248" s="176"/>
      <c r="AU248" s="176"/>
      <c r="AV248" s="176"/>
      <c r="AW248" s="176"/>
      <c r="AX248" s="176"/>
      <c r="AY248" s="176"/>
      <c r="AZ248" s="176"/>
      <c r="BA248" s="176"/>
      <c r="BB248" s="176"/>
      <c r="BC248" s="176"/>
      <c r="BD248" s="176"/>
      <c r="BE248" s="176"/>
      <c r="BF248" s="176"/>
      <c r="BG248" s="176"/>
      <c r="BH248" s="176"/>
      <c r="BI248" s="176"/>
      <c r="BJ248" s="176"/>
      <c r="BK248" s="176"/>
      <c r="BL248" s="176"/>
      <c r="BM248" s="176"/>
      <c r="BN248" s="176"/>
      <c r="BO248" s="176"/>
    </row>
    <row r="249" spans="1:67" s="36" customFormat="1" ht="10.5" customHeight="1" x14ac:dyDescent="0.2">
      <c r="A249" s="1055"/>
      <c r="B249" s="2594"/>
      <c r="C249" s="2595"/>
      <c r="D249" s="2596"/>
      <c r="E249" s="2395"/>
      <c r="F249" s="2396"/>
      <c r="G249" s="2590"/>
      <c r="H249" s="2591"/>
      <c r="I249" s="1081">
        <f t="shared" si="63"/>
        <v>0</v>
      </c>
      <c r="J249" s="1082">
        <f t="shared" si="64"/>
        <v>0</v>
      </c>
      <c r="K249" s="2588"/>
      <c r="L249" s="2589"/>
      <c r="M249" s="1086">
        <f t="shared" si="65"/>
        <v>0</v>
      </c>
      <c r="N249" s="503"/>
      <c r="O249" s="365">
        <f t="shared" si="66"/>
        <v>0</v>
      </c>
      <c r="P249" s="366"/>
      <c r="Q249" s="135"/>
      <c r="R249" s="136"/>
      <c r="S249" s="129"/>
      <c r="T249" s="129"/>
      <c r="U249" s="129"/>
      <c r="V249" s="129"/>
      <c r="W249" s="129"/>
      <c r="X249" s="129"/>
      <c r="Y249" s="129"/>
      <c r="Z249" s="133"/>
      <c r="AA249" s="133"/>
      <c r="AB249" s="133"/>
      <c r="AC249" s="133"/>
      <c r="AD249" s="133"/>
      <c r="AE249" s="133"/>
      <c r="AF249" s="222"/>
      <c r="AG249" s="222"/>
      <c r="AH249" s="222"/>
      <c r="AI249" s="176"/>
      <c r="AJ249" s="176"/>
      <c r="AK249" s="176"/>
      <c r="AL249" s="176"/>
      <c r="AM249" s="176"/>
      <c r="AN249" s="176"/>
      <c r="AO249" s="176"/>
      <c r="AP249" s="176"/>
      <c r="AQ249" s="176"/>
      <c r="AR249" s="176"/>
      <c r="AS249" s="176"/>
      <c r="AT249" s="176"/>
      <c r="AU249" s="176"/>
      <c r="AV249" s="176"/>
      <c r="AW249" s="176"/>
      <c r="AX249" s="176"/>
      <c r="AY249" s="176"/>
      <c r="AZ249" s="176"/>
      <c r="BA249" s="176"/>
      <c r="BB249" s="176"/>
      <c r="BC249" s="176"/>
      <c r="BD249" s="176"/>
      <c r="BE249" s="176"/>
      <c r="BF249" s="176"/>
      <c r="BG249" s="176"/>
      <c r="BH249" s="176"/>
      <c r="BI249" s="176"/>
      <c r="BJ249" s="176"/>
      <c r="BK249" s="176"/>
      <c r="BL249" s="176"/>
      <c r="BM249" s="176"/>
      <c r="BN249" s="176"/>
      <c r="BO249" s="176"/>
    </row>
    <row r="250" spans="1:67" s="36" customFormat="1" ht="10.5" customHeight="1" x14ac:dyDescent="0.2">
      <c r="A250" s="1055"/>
      <c r="B250" s="2594"/>
      <c r="C250" s="2595"/>
      <c r="D250" s="2596"/>
      <c r="E250" s="2395"/>
      <c r="F250" s="2396"/>
      <c r="G250" s="2590"/>
      <c r="H250" s="2591"/>
      <c r="I250" s="1081">
        <f t="shared" si="63"/>
        <v>0</v>
      </c>
      <c r="J250" s="1082">
        <f t="shared" si="64"/>
        <v>0</v>
      </c>
      <c r="K250" s="2588"/>
      <c r="L250" s="2589"/>
      <c r="M250" s="1086">
        <f t="shared" si="65"/>
        <v>0</v>
      </c>
      <c r="N250" s="503"/>
      <c r="O250" s="365">
        <f t="shared" si="66"/>
        <v>0</v>
      </c>
      <c r="P250" s="366"/>
      <c r="Q250" s="135"/>
      <c r="R250" s="136"/>
      <c r="S250" s="129"/>
      <c r="T250" s="129"/>
      <c r="U250" s="129"/>
      <c r="V250" s="129"/>
      <c r="W250" s="129"/>
      <c r="X250" s="129"/>
      <c r="Y250" s="129"/>
      <c r="Z250" s="133"/>
      <c r="AA250" s="133"/>
      <c r="AB250" s="133"/>
      <c r="AC250" s="133"/>
      <c r="AD250" s="133"/>
      <c r="AE250" s="133"/>
      <c r="AF250" s="222"/>
      <c r="AG250" s="222"/>
      <c r="AH250" s="222"/>
      <c r="AI250" s="176"/>
      <c r="AJ250" s="176"/>
      <c r="AK250" s="176"/>
      <c r="AL250" s="176"/>
      <c r="AM250" s="176"/>
      <c r="AN250" s="176"/>
      <c r="AO250" s="176"/>
      <c r="AP250" s="176"/>
      <c r="AQ250" s="176"/>
      <c r="AR250" s="176"/>
      <c r="AS250" s="176"/>
      <c r="AT250" s="176"/>
      <c r="AU250" s="176"/>
      <c r="AV250" s="176"/>
      <c r="AW250" s="176"/>
      <c r="AX250" s="176"/>
      <c r="AY250" s="176"/>
      <c r="AZ250" s="176"/>
      <c r="BA250" s="176"/>
      <c r="BB250" s="176"/>
      <c r="BC250" s="176"/>
      <c r="BD250" s="176"/>
      <c r="BE250" s="176"/>
      <c r="BF250" s="176"/>
      <c r="BG250" s="176"/>
      <c r="BH250" s="176"/>
      <c r="BI250" s="176"/>
      <c r="BJ250" s="176"/>
      <c r="BK250" s="176"/>
      <c r="BL250" s="176"/>
      <c r="BM250" s="176"/>
      <c r="BN250" s="176"/>
      <c r="BO250" s="176"/>
    </row>
    <row r="251" spans="1:67" s="36" customFormat="1" ht="10.5" customHeight="1" x14ac:dyDescent="0.2">
      <c r="A251" s="1044"/>
      <c r="B251" s="2608"/>
      <c r="C251" s="2609"/>
      <c r="D251" s="2610"/>
      <c r="E251" s="2601"/>
      <c r="F251" s="2602"/>
      <c r="G251" s="1088"/>
      <c r="H251" s="1089"/>
      <c r="I251" s="1083">
        <f t="shared" si="63"/>
        <v>0</v>
      </c>
      <c r="J251" s="1084"/>
      <c r="K251" s="1087"/>
      <c r="L251" s="1307"/>
      <c r="M251" s="1317">
        <f t="shared" si="65"/>
        <v>0</v>
      </c>
      <c r="N251" s="503"/>
      <c r="O251" s="365">
        <f t="shared" si="66"/>
        <v>0</v>
      </c>
      <c r="P251" s="366"/>
      <c r="Q251" s="135"/>
      <c r="R251" s="136"/>
      <c r="S251" s="129"/>
      <c r="T251" s="129"/>
      <c r="U251" s="129"/>
      <c r="V251" s="129"/>
      <c r="W251" s="129"/>
      <c r="X251" s="129"/>
      <c r="Y251" s="129"/>
      <c r="Z251" s="133"/>
      <c r="AA251" s="133"/>
      <c r="AB251" s="133"/>
      <c r="AC251" s="133"/>
      <c r="AD251" s="133"/>
      <c r="AE251" s="133"/>
      <c r="AF251" s="222"/>
      <c r="AG251" s="222"/>
      <c r="AH251" s="222"/>
      <c r="AI251" s="176"/>
      <c r="AJ251" s="176"/>
      <c r="AK251" s="176"/>
      <c r="AL251" s="176"/>
      <c r="AM251" s="176"/>
      <c r="AN251" s="176"/>
      <c r="AO251" s="176"/>
      <c r="AP251" s="176"/>
      <c r="AQ251" s="176"/>
      <c r="AR251" s="176"/>
      <c r="AS251" s="176"/>
      <c r="AT251" s="176"/>
      <c r="AU251" s="176"/>
      <c r="AV251" s="176"/>
      <c r="AW251" s="176"/>
      <c r="AX251" s="176"/>
      <c r="AY251" s="176"/>
      <c r="AZ251" s="176"/>
      <c r="BA251" s="176"/>
      <c r="BB251" s="176"/>
      <c r="BC251" s="176"/>
      <c r="BD251" s="176"/>
      <c r="BE251" s="176"/>
      <c r="BF251" s="176"/>
      <c r="BG251" s="176"/>
      <c r="BH251" s="176"/>
      <c r="BI251" s="176"/>
      <c r="BJ251" s="176"/>
      <c r="BK251" s="176"/>
      <c r="BL251" s="176"/>
      <c r="BM251" s="176"/>
      <c r="BN251" s="176"/>
      <c r="BO251" s="176"/>
    </row>
    <row r="252" spans="1:67" s="36" customFormat="1" ht="10.5" customHeight="1" x14ac:dyDescent="0.2">
      <c r="A252" s="1120" t="s">
        <v>341</v>
      </c>
      <c r="B252" s="2603"/>
      <c r="C252" s="2604"/>
      <c r="D252" s="2605"/>
      <c r="E252" s="2606">
        <f>SUM(E253:E265)</f>
        <v>0</v>
      </c>
      <c r="F252" s="2607"/>
      <c r="G252" s="2620"/>
      <c r="H252" s="2621"/>
      <c r="I252" s="1121">
        <f>IF(E252=0,0,J252/E252)</f>
        <v>0</v>
      </c>
      <c r="J252" s="1122">
        <f>SUM(J253:J265)</f>
        <v>0</v>
      </c>
      <c r="K252" s="2622">
        <f>IF(E252=0,0,M252/E252*100)</f>
        <v>0</v>
      </c>
      <c r="L252" s="2623"/>
      <c r="M252" s="1318">
        <f>SUM(M253:M265)</f>
        <v>0</v>
      </c>
      <c r="N252" s="503"/>
      <c r="O252" s="178">
        <f>IF(H252="",G252,H252)</f>
        <v>0</v>
      </c>
      <c r="P252" s="366"/>
      <c r="Q252" s="135"/>
      <c r="R252" s="136"/>
      <c r="S252" s="129"/>
      <c r="T252" s="129"/>
      <c r="U252" s="129"/>
      <c r="V252" s="129"/>
      <c r="W252" s="129"/>
      <c r="X252" s="129"/>
      <c r="Y252" s="129"/>
      <c r="Z252" s="133"/>
      <c r="AA252" s="133"/>
      <c r="AB252" s="133"/>
      <c r="AC252" s="133"/>
      <c r="AD252" s="133"/>
      <c r="AE252" s="133"/>
      <c r="AF252" s="222"/>
      <c r="AG252" s="222"/>
      <c r="AH252" s="222"/>
      <c r="AI252" s="176"/>
      <c r="AJ252" s="176"/>
      <c r="AK252" s="176"/>
      <c r="AL252" s="176"/>
      <c r="AM252" s="176"/>
      <c r="AN252" s="176"/>
      <c r="AO252" s="176"/>
      <c r="AP252" s="176"/>
      <c r="AQ252" s="176"/>
      <c r="AR252" s="176"/>
      <c r="AS252" s="176"/>
      <c r="AT252" s="176"/>
      <c r="AU252" s="176"/>
      <c r="AV252" s="176"/>
      <c r="AW252" s="176"/>
      <c r="AX252" s="176"/>
      <c r="AY252" s="176"/>
      <c r="AZ252" s="176"/>
      <c r="BA252" s="176"/>
      <c r="BB252" s="176"/>
      <c r="BC252" s="176"/>
      <c r="BD252" s="176"/>
      <c r="BE252" s="176"/>
      <c r="BF252" s="176"/>
      <c r="BG252" s="176"/>
      <c r="BH252" s="176"/>
      <c r="BI252" s="176"/>
      <c r="BJ252" s="176"/>
      <c r="BK252" s="176"/>
      <c r="BL252" s="176"/>
      <c r="BM252" s="176"/>
      <c r="BN252" s="176"/>
      <c r="BO252" s="176"/>
    </row>
    <row r="253" spans="1:67" s="36" customFormat="1" ht="10.5" customHeight="1" x14ac:dyDescent="0.2">
      <c r="A253" s="1042" t="s">
        <v>342</v>
      </c>
      <c r="B253" s="2624"/>
      <c r="C253" s="2625"/>
      <c r="D253" s="2626"/>
      <c r="E253" s="2386"/>
      <c r="F253" s="2387"/>
      <c r="G253" s="1056">
        <v>15</v>
      </c>
      <c r="H253" s="1057"/>
      <c r="I253" s="1079">
        <f t="shared" ref="I253:I266" si="67">IF($O253&gt;0,-PMT(($I$9),$O253,1),0)</f>
        <v>7.9288524964265278E-2</v>
      </c>
      <c r="J253" s="1080">
        <f t="shared" ref="J253:J265" si="68">ROUND(E253*I253,0)</f>
        <v>0</v>
      </c>
      <c r="K253" s="1060">
        <v>1.5</v>
      </c>
      <c r="L253" s="1304"/>
      <c r="M253" s="1085">
        <f t="shared" ref="M253:M266" si="69">ROUND(E253/100*IF(ISBLANK(L253),K253,L253),0)</f>
        <v>0</v>
      </c>
      <c r="N253" s="503"/>
      <c r="O253" s="365">
        <f t="shared" ref="O253:O266" si="70">IF(ISBLANK(H253),G253,H253)</f>
        <v>15</v>
      </c>
      <c r="P253" s="366"/>
      <c r="Q253" s="135"/>
      <c r="R253" s="136"/>
      <c r="S253" s="129"/>
      <c r="T253" s="129"/>
      <c r="U253" s="129"/>
      <c r="V253" s="129"/>
      <c r="W253" s="129"/>
      <c r="X253" s="129"/>
      <c r="Y253" s="129"/>
      <c r="Z253" s="133"/>
      <c r="AA253" s="133"/>
      <c r="AB253" s="133"/>
      <c r="AC253" s="133"/>
      <c r="AD253" s="133"/>
      <c r="AE253" s="133"/>
      <c r="AF253" s="222"/>
      <c r="AG253" s="222"/>
      <c r="AH253" s="222"/>
      <c r="AI253" s="176"/>
      <c r="AJ253" s="176"/>
      <c r="AK253" s="176"/>
      <c r="AL253" s="176"/>
      <c r="AM253" s="176"/>
      <c r="AN253" s="176"/>
      <c r="AO253" s="176"/>
      <c r="AP253" s="176"/>
      <c r="AQ253" s="176"/>
      <c r="AR253" s="176"/>
      <c r="AS253" s="176"/>
      <c r="AT253" s="176"/>
      <c r="AU253" s="176"/>
      <c r="AV253" s="176"/>
      <c r="AW253" s="176"/>
      <c r="AX253" s="176"/>
      <c r="AY253" s="176"/>
      <c r="AZ253" s="176"/>
      <c r="BA253" s="176"/>
      <c r="BB253" s="176"/>
      <c r="BC253" s="176"/>
      <c r="BD253" s="176"/>
      <c r="BE253" s="176"/>
      <c r="BF253" s="176"/>
      <c r="BG253" s="176"/>
      <c r="BH253" s="176"/>
      <c r="BI253" s="176"/>
      <c r="BJ253" s="176"/>
      <c r="BK253" s="176"/>
      <c r="BL253" s="176"/>
      <c r="BM253" s="176"/>
      <c r="BN253" s="176"/>
      <c r="BO253" s="176"/>
    </row>
    <row r="254" spans="1:67" s="36" customFormat="1" ht="10.5" customHeight="1" x14ac:dyDescent="0.2">
      <c r="A254" s="1043" t="s">
        <v>343</v>
      </c>
      <c r="B254" s="2594"/>
      <c r="C254" s="2595"/>
      <c r="D254" s="2596"/>
      <c r="E254" s="2395"/>
      <c r="F254" s="2396"/>
      <c r="G254" s="1058">
        <v>15</v>
      </c>
      <c r="H254" s="1059"/>
      <c r="I254" s="1081">
        <f t="shared" si="67"/>
        <v>7.9288524964265278E-2</v>
      </c>
      <c r="J254" s="1082">
        <f t="shared" si="68"/>
        <v>0</v>
      </c>
      <c r="K254" s="1061">
        <v>1</v>
      </c>
      <c r="L254" s="1305"/>
      <c r="M254" s="1086">
        <f t="shared" si="69"/>
        <v>0</v>
      </c>
      <c r="N254" s="503"/>
      <c r="O254" s="365">
        <f t="shared" si="70"/>
        <v>15</v>
      </c>
      <c r="P254" s="366"/>
      <c r="Q254" s="135"/>
      <c r="R254" s="136"/>
      <c r="S254" s="129"/>
      <c r="T254" s="129"/>
      <c r="U254" s="129"/>
      <c r="V254" s="129"/>
      <c r="W254" s="129"/>
      <c r="X254" s="129"/>
      <c r="Y254" s="129"/>
      <c r="Z254" s="133"/>
      <c r="AA254" s="133"/>
      <c r="AB254" s="133"/>
      <c r="AC254" s="133"/>
      <c r="AD254" s="133"/>
      <c r="AE254" s="133"/>
      <c r="AF254" s="222"/>
      <c r="AG254" s="222"/>
      <c r="AH254" s="222"/>
      <c r="AI254" s="176"/>
      <c r="AJ254" s="176"/>
      <c r="AK254" s="176"/>
      <c r="AL254" s="176"/>
      <c r="AM254" s="176"/>
      <c r="AN254" s="176"/>
      <c r="AO254" s="176"/>
      <c r="AP254" s="176"/>
      <c r="AQ254" s="176"/>
      <c r="AR254" s="176"/>
      <c r="AS254" s="176"/>
      <c r="AT254" s="176"/>
      <c r="AU254" s="176"/>
      <c r="AV254" s="176"/>
      <c r="AW254" s="176"/>
      <c r="AX254" s="176"/>
      <c r="AY254" s="176"/>
      <c r="AZ254" s="176"/>
      <c r="BA254" s="176"/>
      <c r="BB254" s="176"/>
      <c r="BC254" s="176"/>
      <c r="BD254" s="176"/>
      <c r="BE254" s="176"/>
      <c r="BF254" s="176"/>
      <c r="BG254" s="176"/>
      <c r="BH254" s="176"/>
      <c r="BI254" s="176"/>
      <c r="BJ254" s="176"/>
      <c r="BK254" s="176"/>
      <c r="BL254" s="176"/>
      <c r="BM254" s="176"/>
      <c r="BN254" s="176"/>
      <c r="BO254" s="176"/>
    </row>
    <row r="255" spans="1:67" s="36" customFormat="1" ht="10.5" customHeight="1" x14ac:dyDescent="0.2">
      <c r="A255" s="1043" t="s">
        <v>344</v>
      </c>
      <c r="B255" s="2594"/>
      <c r="C255" s="2595"/>
      <c r="D255" s="2596"/>
      <c r="E255" s="2395"/>
      <c r="F255" s="2396"/>
      <c r="G255" s="1058">
        <v>15</v>
      </c>
      <c r="H255" s="1059"/>
      <c r="I255" s="1081">
        <f t="shared" si="67"/>
        <v>7.9288524964265278E-2</v>
      </c>
      <c r="J255" s="1082">
        <f t="shared" si="68"/>
        <v>0</v>
      </c>
      <c r="K255" s="1061">
        <v>1.5</v>
      </c>
      <c r="L255" s="1305"/>
      <c r="M255" s="1086">
        <f t="shared" si="69"/>
        <v>0</v>
      </c>
      <c r="N255" s="503"/>
      <c r="O255" s="365">
        <f t="shared" si="70"/>
        <v>15</v>
      </c>
      <c r="P255" s="366"/>
      <c r="Q255" s="135"/>
      <c r="R255" s="136"/>
      <c r="S255" s="129"/>
      <c r="T255" s="129"/>
      <c r="U255" s="129"/>
      <c r="V255" s="129"/>
      <c r="W255" s="129"/>
      <c r="X255" s="129"/>
      <c r="Y255" s="129"/>
      <c r="Z255" s="133"/>
      <c r="AA255" s="133"/>
      <c r="AB255" s="133"/>
      <c r="AC255" s="133"/>
      <c r="AD255" s="133"/>
      <c r="AE255" s="133"/>
      <c r="AF255" s="222"/>
      <c r="AG255" s="222"/>
      <c r="AH255" s="222"/>
      <c r="AI255" s="176"/>
      <c r="AJ255" s="176"/>
      <c r="AK255" s="176"/>
      <c r="AL255" s="176"/>
      <c r="AM255" s="176"/>
      <c r="AN255" s="176"/>
      <c r="AO255" s="176"/>
      <c r="AP255" s="176"/>
      <c r="AQ255" s="176"/>
      <c r="AR255" s="176"/>
      <c r="AS255" s="176"/>
      <c r="AT255" s="176"/>
      <c r="AU255" s="176"/>
      <c r="AV255" s="176"/>
      <c r="AW255" s="176"/>
      <c r="AX255" s="176"/>
      <c r="AY255" s="176"/>
      <c r="AZ255" s="176"/>
      <c r="BA255" s="176"/>
      <c r="BB255" s="176"/>
      <c r="BC255" s="176"/>
      <c r="BD255" s="176"/>
      <c r="BE255" s="176"/>
      <c r="BF255" s="176"/>
      <c r="BG255" s="176"/>
      <c r="BH255" s="176"/>
      <c r="BI255" s="176"/>
      <c r="BJ255" s="176"/>
      <c r="BK255" s="176"/>
      <c r="BL255" s="176"/>
      <c r="BM255" s="176"/>
      <c r="BN255" s="176"/>
      <c r="BO255" s="176"/>
    </row>
    <row r="256" spans="1:67" s="36" customFormat="1" ht="10.5" customHeight="1" x14ac:dyDescent="0.2">
      <c r="A256" s="1043" t="s">
        <v>345</v>
      </c>
      <c r="B256" s="2594"/>
      <c r="C256" s="2595"/>
      <c r="D256" s="2596"/>
      <c r="E256" s="2395"/>
      <c r="F256" s="2396"/>
      <c r="G256" s="1058">
        <v>15</v>
      </c>
      <c r="H256" s="1059"/>
      <c r="I256" s="1081">
        <f t="shared" si="67"/>
        <v>7.9288524964265278E-2</v>
      </c>
      <c r="J256" s="1082">
        <f t="shared" si="68"/>
        <v>0</v>
      </c>
      <c r="K256" s="1061">
        <v>0</v>
      </c>
      <c r="L256" s="1305"/>
      <c r="M256" s="1086">
        <f t="shared" si="69"/>
        <v>0</v>
      </c>
      <c r="N256" s="503"/>
      <c r="O256" s="365">
        <f t="shared" si="70"/>
        <v>15</v>
      </c>
      <c r="P256" s="366"/>
      <c r="Q256" s="135"/>
      <c r="R256" s="136"/>
      <c r="S256" s="129"/>
      <c r="T256" s="129"/>
      <c r="U256" s="129"/>
      <c r="V256" s="129"/>
      <c r="W256" s="129"/>
      <c r="X256" s="129"/>
      <c r="Y256" s="129"/>
      <c r="Z256" s="133"/>
      <c r="AA256" s="133"/>
      <c r="AB256" s="133"/>
      <c r="AC256" s="133"/>
      <c r="AD256" s="133"/>
      <c r="AE256" s="133"/>
      <c r="AF256" s="222"/>
      <c r="AG256" s="222"/>
      <c r="AH256" s="222"/>
      <c r="AI256" s="176"/>
      <c r="AJ256" s="176"/>
      <c r="AK256" s="176"/>
      <c r="AL256" s="176"/>
      <c r="AM256" s="176"/>
      <c r="AN256" s="176"/>
      <c r="AO256" s="176"/>
      <c r="AP256" s="176"/>
      <c r="AQ256" s="176"/>
      <c r="AR256" s="176"/>
      <c r="AS256" s="176"/>
      <c r="AT256" s="176"/>
      <c r="AU256" s="176"/>
      <c r="AV256" s="176"/>
      <c r="AW256" s="176"/>
      <c r="AX256" s="176"/>
      <c r="AY256" s="176"/>
      <c r="AZ256" s="176"/>
      <c r="BA256" s="176"/>
      <c r="BB256" s="176"/>
      <c r="BC256" s="176"/>
      <c r="BD256" s="176"/>
      <c r="BE256" s="176"/>
      <c r="BF256" s="176"/>
      <c r="BG256" s="176"/>
      <c r="BH256" s="176"/>
      <c r="BI256" s="176"/>
      <c r="BJ256" s="176"/>
      <c r="BK256" s="176"/>
      <c r="BL256" s="176"/>
      <c r="BM256" s="176"/>
      <c r="BN256" s="176"/>
      <c r="BO256" s="176"/>
    </row>
    <row r="257" spans="1:67" s="36" customFormat="1" ht="10.5" customHeight="1" x14ac:dyDescent="0.2">
      <c r="A257" s="1055"/>
      <c r="B257" s="2594"/>
      <c r="C257" s="2595"/>
      <c r="D257" s="2596"/>
      <c r="E257" s="2395"/>
      <c r="F257" s="2396"/>
      <c r="G257" s="2590"/>
      <c r="H257" s="2591"/>
      <c r="I257" s="1081">
        <f t="shared" si="67"/>
        <v>0</v>
      </c>
      <c r="J257" s="1082">
        <f t="shared" si="68"/>
        <v>0</v>
      </c>
      <c r="K257" s="2588"/>
      <c r="L257" s="2589"/>
      <c r="M257" s="1086">
        <f t="shared" si="69"/>
        <v>0</v>
      </c>
      <c r="N257" s="503"/>
      <c r="O257" s="365">
        <f t="shared" si="70"/>
        <v>0</v>
      </c>
      <c r="P257" s="366"/>
      <c r="Q257" s="135"/>
      <c r="R257" s="136"/>
      <c r="S257" s="129"/>
      <c r="T257" s="129"/>
      <c r="U257" s="129"/>
      <c r="V257" s="129"/>
      <c r="W257" s="129"/>
      <c r="X257" s="129"/>
      <c r="Y257" s="129"/>
      <c r="Z257" s="133"/>
      <c r="AA257" s="133"/>
      <c r="AB257" s="133"/>
      <c r="AC257" s="133"/>
      <c r="AD257" s="133"/>
      <c r="AE257" s="133"/>
      <c r="AF257" s="222"/>
      <c r="AG257" s="222"/>
      <c r="AH257" s="222"/>
      <c r="AI257" s="176"/>
      <c r="AJ257" s="176"/>
      <c r="AK257" s="176"/>
      <c r="AL257" s="176"/>
      <c r="AM257" s="176"/>
      <c r="AN257" s="176"/>
      <c r="AO257" s="176"/>
      <c r="AP257" s="176"/>
      <c r="AQ257" s="176"/>
      <c r="AR257" s="176"/>
      <c r="AS257" s="176"/>
      <c r="AT257" s="176"/>
      <c r="AU257" s="176"/>
      <c r="AV257" s="176"/>
      <c r="AW257" s="176"/>
      <c r="AX257" s="176"/>
      <c r="AY257" s="176"/>
      <c r="AZ257" s="176"/>
      <c r="BA257" s="176"/>
      <c r="BB257" s="176"/>
      <c r="BC257" s="176"/>
      <c r="BD257" s="176"/>
      <c r="BE257" s="176"/>
      <c r="BF257" s="176"/>
      <c r="BG257" s="176"/>
      <c r="BH257" s="176"/>
      <c r="BI257" s="176"/>
      <c r="BJ257" s="176"/>
      <c r="BK257" s="176"/>
      <c r="BL257" s="176"/>
      <c r="BM257" s="176"/>
      <c r="BN257" s="176"/>
      <c r="BO257" s="176"/>
    </row>
    <row r="258" spans="1:67" s="36" customFormat="1" ht="10.5" customHeight="1" x14ac:dyDescent="0.2">
      <c r="A258" s="1055"/>
      <c r="B258" s="2594"/>
      <c r="C258" s="2595"/>
      <c r="D258" s="2596"/>
      <c r="E258" s="2395"/>
      <c r="F258" s="2396"/>
      <c r="G258" s="2590"/>
      <c r="H258" s="2591"/>
      <c r="I258" s="1081">
        <f t="shared" si="67"/>
        <v>0</v>
      </c>
      <c r="J258" s="1082">
        <f t="shared" si="68"/>
        <v>0</v>
      </c>
      <c r="K258" s="2588"/>
      <c r="L258" s="2589"/>
      <c r="M258" s="1086">
        <f t="shared" si="69"/>
        <v>0</v>
      </c>
      <c r="N258" s="503"/>
      <c r="O258" s="365">
        <f t="shared" si="70"/>
        <v>0</v>
      </c>
      <c r="P258" s="366"/>
      <c r="Q258" s="135"/>
      <c r="R258" s="136"/>
      <c r="S258" s="129"/>
      <c r="T258" s="129"/>
      <c r="U258" s="129"/>
      <c r="V258" s="129"/>
      <c r="W258" s="129"/>
      <c r="X258" s="129"/>
      <c r="Y258" s="129"/>
      <c r="Z258" s="133"/>
      <c r="AA258" s="133"/>
      <c r="AB258" s="133"/>
      <c r="AC258" s="133"/>
      <c r="AD258" s="133"/>
      <c r="AE258" s="133"/>
      <c r="AF258" s="222"/>
      <c r="AG258" s="222"/>
      <c r="AH258" s="222"/>
      <c r="AI258" s="176"/>
      <c r="AJ258" s="176"/>
      <c r="AK258" s="176"/>
      <c r="AL258" s="176"/>
      <c r="AM258" s="176"/>
      <c r="AN258" s="176"/>
      <c r="AO258" s="176"/>
      <c r="AP258" s="176"/>
      <c r="AQ258" s="176"/>
      <c r="AR258" s="176"/>
      <c r="AS258" s="176"/>
      <c r="AT258" s="176"/>
      <c r="AU258" s="176"/>
      <c r="AV258" s="176"/>
      <c r="AW258" s="176"/>
      <c r="AX258" s="176"/>
      <c r="AY258" s="176"/>
      <c r="AZ258" s="176"/>
      <c r="BA258" s="176"/>
      <c r="BB258" s="176"/>
      <c r="BC258" s="176"/>
      <c r="BD258" s="176"/>
      <c r="BE258" s="176"/>
      <c r="BF258" s="176"/>
      <c r="BG258" s="176"/>
      <c r="BH258" s="176"/>
      <c r="BI258" s="176"/>
      <c r="BJ258" s="176"/>
      <c r="BK258" s="176"/>
      <c r="BL258" s="176"/>
      <c r="BM258" s="176"/>
      <c r="BN258" s="176"/>
      <c r="BO258" s="176"/>
    </row>
    <row r="259" spans="1:67" s="36" customFormat="1" ht="10.5" customHeight="1" x14ac:dyDescent="0.2">
      <c r="A259" s="1055"/>
      <c r="B259" s="2594"/>
      <c r="C259" s="2595"/>
      <c r="D259" s="2596"/>
      <c r="E259" s="2395"/>
      <c r="F259" s="2396"/>
      <c r="G259" s="2590"/>
      <c r="H259" s="2591"/>
      <c r="I259" s="1081">
        <f t="shared" si="67"/>
        <v>0</v>
      </c>
      <c r="J259" s="1082">
        <f t="shared" si="68"/>
        <v>0</v>
      </c>
      <c r="K259" s="2588"/>
      <c r="L259" s="2589"/>
      <c r="M259" s="1086">
        <f t="shared" si="69"/>
        <v>0</v>
      </c>
      <c r="N259" s="503"/>
      <c r="O259" s="365">
        <f t="shared" si="70"/>
        <v>0</v>
      </c>
      <c r="P259" s="366"/>
      <c r="Q259" s="135"/>
      <c r="R259" s="136"/>
      <c r="S259" s="129"/>
      <c r="T259" s="129"/>
      <c r="U259" s="129"/>
      <c r="V259" s="129"/>
      <c r="W259" s="129"/>
      <c r="X259" s="129"/>
      <c r="Y259" s="129"/>
      <c r="Z259" s="133"/>
      <c r="AA259" s="133"/>
      <c r="AB259" s="133"/>
      <c r="AC259" s="133"/>
      <c r="AD259" s="133"/>
      <c r="AE259" s="133"/>
      <c r="AF259" s="222"/>
      <c r="AG259" s="222"/>
      <c r="AH259" s="222"/>
      <c r="AI259" s="176"/>
      <c r="AJ259" s="176"/>
      <c r="AK259" s="176"/>
      <c r="AL259" s="176"/>
      <c r="AM259" s="176"/>
      <c r="AN259" s="176"/>
      <c r="AO259" s="176"/>
      <c r="AP259" s="176"/>
      <c r="AQ259" s="176"/>
      <c r="AR259" s="176"/>
      <c r="AS259" s="176"/>
      <c r="AT259" s="176"/>
      <c r="AU259" s="176"/>
      <c r="AV259" s="176"/>
      <c r="AW259" s="176"/>
      <c r="AX259" s="176"/>
      <c r="AY259" s="176"/>
      <c r="AZ259" s="176"/>
      <c r="BA259" s="176"/>
      <c r="BB259" s="176"/>
      <c r="BC259" s="176"/>
      <c r="BD259" s="176"/>
      <c r="BE259" s="176"/>
      <c r="BF259" s="176"/>
      <c r="BG259" s="176"/>
      <c r="BH259" s="176"/>
      <c r="BI259" s="176"/>
      <c r="BJ259" s="176"/>
      <c r="BK259" s="176"/>
      <c r="BL259" s="176"/>
      <c r="BM259" s="176"/>
      <c r="BN259" s="176"/>
      <c r="BO259" s="176"/>
    </row>
    <row r="260" spans="1:67" s="36" customFormat="1" ht="10.5" customHeight="1" x14ac:dyDescent="0.2">
      <c r="A260" s="1055"/>
      <c r="B260" s="2594"/>
      <c r="C260" s="2595"/>
      <c r="D260" s="2596"/>
      <c r="E260" s="2395"/>
      <c r="F260" s="2396"/>
      <c r="G260" s="2590"/>
      <c r="H260" s="2591"/>
      <c r="I260" s="1081">
        <f t="shared" si="67"/>
        <v>0</v>
      </c>
      <c r="J260" s="1082">
        <f t="shared" si="68"/>
        <v>0</v>
      </c>
      <c r="K260" s="2588"/>
      <c r="L260" s="2589"/>
      <c r="M260" s="1086">
        <f t="shared" si="69"/>
        <v>0</v>
      </c>
      <c r="N260" s="503"/>
      <c r="O260" s="365">
        <f t="shared" si="70"/>
        <v>0</v>
      </c>
      <c r="P260" s="366"/>
      <c r="Q260" s="135"/>
      <c r="R260" s="136"/>
      <c r="S260" s="129"/>
      <c r="T260" s="129"/>
      <c r="U260" s="129"/>
      <c r="V260" s="129"/>
      <c r="W260" s="129"/>
      <c r="X260" s="129"/>
      <c r="Y260" s="129"/>
      <c r="Z260" s="133"/>
      <c r="AA260" s="133"/>
      <c r="AB260" s="133"/>
      <c r="AC260" s="133"/>
      <c r="AD260" s="133"/>
      <c r="AE260" s="133"/>
      <c r="AF260" s="222"/>
      <c r="AG260" s="222"/>
      <c r="AH260" s="222"/>
      <c r="AI260" s="176"/>
      <c r="AJ260" s="176"/>
      <c r="AK260" s="176"/>
      <c r="AL260" s="176"/>
      <c r="AM260" s="176"/>
      <c r="AN260" s="176"/>
      <c r="AO260" s="176"/>
      <c r="AP260" s="176"/>
      <c r="AQ260" s="176"/>
      <c r="AR260" s="176"/>
      <c r="AS260" s="176"/>
      <c r="AT260" s="176"/>
      <c r="AU260" s="176"/>
      <c r="AV260" s="176"/>
      <c r="AW260" s="176"/>
      <c r="AX260" s="176"/>
      <c r="AY260" s="176"/>
      <c r="AZ260" s="176"/>
      <c r="BA260" s="176"/>
      <c r="BB260" s="176"/>
      <c r="BC260" s="176"/>
      <c r="BD260" s="176"/>
      <c r="BE260" s="176"/>
      <c r="BF260" s="176"/>
      <c r="BG260" s="176"/>
      <c r="BH260" s="176"/>
      <c r="BI260" s="176"/>
      <c r="BJ260" s="176"/>
      <c r="BK260" s="176"/>
      <c r="BL260" s="176"/>
      <c r="BM260" s="176"/>
      <c r="BN260" s="176"/>
      <c r="BO260" s="176"/>
    </row>
    <row r="261" spans="1:67" s="36" customFormat="1" ht="10.5" customHeight="1" x14ac:dyDescent="0.2">
      <c r="A261" s="1055"/>
      <c r="B261" s="2594"/>
      <c r="C261" s="2595"/>
      <c r="D261" s="2596"/>
      <c r="E261" s="2395"/>
      <c r="F261" s="2396"/>
      <c r="G261" s="2590"/>
      <c r="H261" s="2591"/>
      <c r="I261" s="1081">
        <f t="shared" si="67"/>
        <v>0</v>
      </c>
      <c r="J261" s="1082">
        <f t="shared" si="68"/>
        <v>0</v>
      </c>
      <c r="K261" s="2588"/>
      <c r="L261" s="2589"/>
      <c r="M261" s="1086">
        <f t="shared" si="69"/>
        <v>0</v>
      </c>
      <c r="N261" s="503"/>
      <c r="O261" s="365">
        <f t="shared" si="70"/>
        <v>0</v>
      </c>
      <c r="P261" s="366"/>
      <c r="Q261" s="135"/>
      <c r="R261" s="136"/>
      <c r="S261" s="129"/>
      <c r="T261" s="129"/>
      <c r="U261" s="129"/>
      <c r="V261" s="129"/>
      <c r="W261" s="129"/>
      <c r="X261" s="129"/>
      <c r="Y261" s="129"/>
      <c r="Z261" s="133"/>
      <c r="AA261" s="133"/>
      <c r="AB261" s="133"/>
      <c r="AC261" s="133"/>
      <c r="AD261" s="133"/>
      <c r="AE261" s="133"/>
      <c r="AF261" s="222"/>
      <c r="AG261" s="222"/>
      <c r="AH261" s="222"/>
      <c r="AI261" s="176"/>
      <c r="AJ261" s="176"/>
      <c r="AK261" s="176"/>
      <c r="AL261" s="176"/>
      <c r="AM261" s="176"/>
      <c r="AN261" s="176"/>
      <c r="AO261" s="176"/>
      <c r="AP261" s="176"/>
      <c r="AQ261" s="176"/>
      <c r="AR261" s="176"/>
      <c r="AS261" s="176"/>
      <c r="AT261" s="176"/>
      <c r="AU261" s="176"/>
      <c r="AV261" s="176"/>
      <c r="AW261" s="176"/>
      <c r="AX261" s="176"/>
      <c r="AY261" s="176"/>
      <c r="AZ261" s="176"/>
      <c r="BA261" s="176"/>
      <c r="BB261" s="176"/>
      <c r="BC261" s="176"/>
      <c r="BD261" s="176"/>
      <c r="BE261" s="176"/>
      <c r="BF261" s="176"/>
      <c r="BG261" s="176"/>
      <c r="BH261" s="176"/>
      <c r="BI261" s="176"/>
      <c r="BJ261" s="176"/>
      <c r="BK261" s="176"/>
      <c r="BL261" s="176"/>
      <c r="BM261" s="176"/>
      <c r="BN261" s="176"/>
      <c r="BO261" s="176"/>
    </row>
    <row r="262" spans="1:67" s="36" customFormat="1" ht="10.5" customHeight="1" x14ac:dyDescent="0.2">
      <c r="A262" s="1055"/>
      <c r="B262" s="2594"/>
      <c r="C262" s="2595"/>
      <c r="D262" s="2596"/>
      <c r="E262" s="2395"/>
      <c r="F262" s="2396"/>
      <c r="G262" s="2590"/>
      <c r="H262" s="2591"/>
      <c r="I262" s="1081">
        <f t="shared" si="67"/>
        <v>0</v>
      </c>
      <c r="J262" s="1082">
        <f t="shared" si="68"/>
        <v>0</v>
      </c>
      <c r="K262" s="2588"/>
      <c r="L262" s="2589"/>
      <c r="M262" s="1086">
        <f t="shared" si="69"/>
        <v>0</v>
      </c>
      <c r="N262" s="503"/>
      <c r="O262" s="365">
        <f t="shared" si="70"/>
        <v>0</v>
      </c>
      <c r="P262" s="366"/>
      <c r="Q262" s="135"/>
      <c r="R262" s="136"/>
      <c r="S262" s="129"/>
      <c r="T262" s="129"/>
      <c r="U262" s="129"/>
      <c r="V262" s="129"/>
      <c r="W262" s="129"/>
      <c r="X262" s="129"/>
      <c r="Y262" s="129"/>
      <c r="Z262" s="133"/>
      <c r="AA262" s="133"/>
      <c r="AB262" s="133"/>
      <c r="AC262" s="133"/>
      <c r="AD262" s="133"/>
      <c r="AE262" s="133"/>
      <c r="AF262" s="222"/>
      <c r="AG262" s="222"/>
      <c r="AH262" s="222"/>
      <c r="AI262" s="176"/>
      <c r="AJ262" s="176"/>
      <c r="AK262" s="176"/>
      <c r="AL262" s="176"/>
      <c r="AM262" s="176"/>
      <c r="AN262" s="176"/>
      <c r="AO262" s="176"/>
      <c r="AP262" s="176"/>
      <c r="AQ262" s="176"/>
      <c r="AR262" s="176"/>
      <c r="AS262" s="176"/>
      <c r="AT262" s="176"/>
      <c r="AU262" s="176"/>
      <c r="AV262" s="176"/>
      <c r="AW262" s="176"/>
      <c r="AX262" s="176"/>
      <c r="AY262" s="176"/>
      <c r="AZ262" s="176"/>
      <c r="BA262" s="176"/>
      <c r="BB262" s="176"/>
      <c r="BC262" s="176"/>
      <c r="BD262" s="176"/>
      <c r="BE262" s="176"/>
      <c r="BF262" s="176"/>
      <c r="BG262" s="176"/>
      <c r="BH262" s="176"/>
      <c r="BI262" s="176"/>
      <c r="BJ262" s="176"/>
      <c r="BK262" s="176"/>
      <c r="BL262" s="176"/>
      <c r="BM262" s="176"/>
      <c r="BN262" s="176"/>
      <c r="BO262" s="176"/>
    </row>
    <row r="263" spans="1:67" s="36" customFormat="1" ht="10.5" customHeight="1" x14ac:dyDescent="0.2">
      <c r="A263" s="1055"/>
      <c r="B263" s="2594"/>
      <c r="C263" s="2595"/>
      <c r="D263" s="2596"/>
      <c r="E263" s="2395"/>
      <c r="F263" s="2396"/>
      <c r="G263" s="2590"/>
      <c r="H263" s="2591"/>
      <c r="I263" s="1081">
        <f t="shared" si="67"/>
        <v>0</v>
      </c>
      <c r="J263" s="1082">
        <f t="shared" si="68"/>
        <v>0</v>
      </c>
      <c r="K263" s="2588"/>
      <c r="L263" s="2589"/>
      <c r="M263" s="1086">
        <f t="shared" si="69"/>
        <v>0</v>
      </c>
      <c r="N263" s="503"/>
      <c r="O263" s="365">
        <f t="shared" si="70"/>
        <v>0</v>
      </c>
      <c r="P263" s="366"/>
      <c r="Q263" s="135"/>
      <c r="R263" s="136"/>
      <c r="S263" s="129"/>
      <c r="T263" s="129"/>
      <c r="U263" s="129"/>
      <c r="V263" s="129"/>
      <c r="W263" s="129"/>
      <c r="X263" s="129"/>
      <c r="Y263" s="129"/>
      <c r="Z263" s="133"/>
      <c r="AA263" s="133"/>
      <c r="AB263" s="133"/>
      <c r="AC263" s="133"/>
      <c r="AD263" s="133"/>
      <c r="AE263" s="133"/>
      <c r="AF263" s="222"/>
      <c r="AG263" s="222"/>
      <c r="AH263" s="222"/>
      <c r="AI263" s="176"/>
      <c r="AJ263" s="176"/>
      <c r="AK263" s="176"/>
      <c r="AL263" s="176"/>
      <c r="AM263" s="176"/>
      <c r="AN263" s="176"/>
      <c r="AO263" s="176"/>
      <c r="AP263" s="176"/>
      <c r="AQ263" s="176"/>
      <c r="AR263" s="176"/>
      <c r="AS263" s="176"/>
      <c r="AT263" s="176"/>
      <c r="AU263" s="176"/>
      <c r="AV263" s="176"/>
      <c r="AW263" s="176"/>
      <c r="AX263" s="176"/>
      <c r="AY263" s="176"/>
      <c r="AZ263" s="176"/>
      <c r="BA263" s="176"/>
      <c r="BB263" s="176"/>
      <c r="BC263" s="176"/>
      <c r="BD263" s="176"/>
      <c r="BE263" s="176"/>
      <c r="BF263" s="176"/>
      <c r="BG263" s="176"/>
      <c r="BH263" s="176"/>
      <c r="BI263" s="176"/>
      <c r="BJ263" s="176"/>
      <c r="BK263" s="176"/>
      <c r="BL263" s="176"/>
      <c r="BM263" s="176"/>
      <c r="BN263" s="176"/>
      <c r="BO263" s="176"/>
    </row>
    <row r="264" spans="1:67" s="36" customFormat="1" ht="10.5" customHeight="1" x14ac:dyDescent="0.2">
      <c r="A264" s="1055"/>
      <c r="B264" s="2594"/>
      <c r="C264" s="2595"/>
      <c r="D264" s="2596"/>
      <c r="E264" s="2395"/>
      <c r="F264" s="2396"/>
      <c r="G264" s="2590"/>
      <c r="H264" s="2591"/>
      <c r="I264" s="1081">
        <f t="shared" si="67"/>
        <v>0</v>
      </c>
      <c r="J264" s="1082">
        <f t="shared" si="68"/>
        <v>0</v>
      </c>
      <c r="K264" s="2588"/>
      <c r="L264" s="2589"/>
      <c r="M264" s="1086">
        <f t="shared" si="69"/>
        <v>0</v>
      </c>
      <c r="N264" s="503"/>
      <c r="O264" s="365">
        <f t="shared" si="70"/>
        <v>0</v>
      </c>
      <c r="P264" s="366"/>
      <c r="Q264" s="135"/>
      <c r="R264" s="136"/>
      <c r="S264" s="129"/>
      <c r="T264" s="129"/>
      <c r="U264" s="129"/>
      <c r="V264" s="129"/>
      <c r="W264" s="129"/>
      <c r="X264" s="129"/>
      <c r="Y264" s="129"/>
      <c r="Z264" s="133"/>
      <c r="AA264" s="133"/>
      <c r="AB264" s="133"/>
      <c r="AC264" s="133"/>
      <c r="AD264" s="133"/>
      <c r="AE264" s="133"/>
      <c r="AF264" s="222"/>
      <c r="AG264" s="222"/>
      <c r="AH264" s="222"/>
      <c r="AI264" s="176"/>
      <c r="AJ264" s="176"/>
      <c r="AK264" s="176"/>
      <c r="AL264" s="176"/>
      <c r="AM264" s="176"/>
      <c r="AN264" s="176"/>
      <c r="AO264" s="176"/>
      <c r="AP264" s="176"/>
      <c r="AQ264" s="176"/>
      <c r="AR264" s="176"/>
      <c r="AS264" s="176"/>
      <c r="AT264" s="176"/>
      <c r="AU264" s="176"/>
      <c r="AV264" s="176"/>
      <c r="AW264" s="176"/>
      <c r="AX264" s="176"/>
      <c r="AY264" s="176"/>
      <c r="AZ264" s="176"/>
      <c r="BA264" s="176"/>
      <c r="BB264" s="176"/>
      <c r="BC264" s="176"/>
      <c r="BD264" s="176"/>
      <c r="BE264" s="176"/>
      <c r="BF264" s="176"/>
      <c r="BG264" s="176"/>
      <c r="BH264" s="176"/>
      <c r="BI264" s="176"/>
      <c r="BJ264" s="176"/>
      <c r="BK264" s="176"/>
      <c r="BL264" s="176"/>
      <c r="BM264" s="176"/>
      <c r="BN264" s="176"/>
      <c r="BO264" s="176"/>
    </row>
    <row r="265" spans="1:67" s="36" customFormat="1" ht="10.5" customHeight="1" x14ac:dyDescent="0.2">
      <c r="A265" s="1055"/>
      <c r="B265" s="2594"/>
      <c r="C265" s="2595"/>
      <c r="D265" s="2596"/>
      <c r="E265" s="2395"/>
      <c r="F265" s="2396"/>
      <c r="G265" s="2590"/>
      <c r="H265" s="2591"/>
      <c r="I265" s="1081">
        <f t="shared" si="67"/>
        <v>0</v>
      </c>
      <c r="J265" s="1082">
        <f t="shared" si="68"/>
        <v>0</v>
      </c>
      <c r="K265" s="2588"/>
      <c r="L265" s="2589"/>
      <c r="M265" s="1086">
        <f t="shared" si="69"/>
        <v>0</v>
      </c>
      <c r="N265" s="503"/>
      <c r="O265" s="365">
        <f t="shared" si="70"/>
        <v>0</v>
      </c>
      <c r="P265" s="366"/>
      <c r="Q265" s="135"/>
      <c r="R265" s="136"/>
      <c r="S265" s="129"/>
      <c r="T265" s="129"/>
      <c r="U265" s="129"/>
      <c r="V265" s="129"/>
      <c r="W265" s="129"/>
      <c r="X265" s="129"/>
      <c r="Y265" s="129"/>
      <c r="Z265" s="133"/>
      <c r="AA265" s="133"/>
      <c r="AB265" s="133"/>
      <c r="AC265" s="133"/>
      <c r="AD265" s="133"/>
      <c r="AE265" s="133"/>
      <c r="AF265" s="222"/>
      <c r="AG265" s="222"/>
      <c r="AH265" s="222"/>
      <c r="AI265" s="176"/>
      <c r="AJ265" s="176"/>
      <c r="AK265" s="176"/>
      <c r="AL265" s="176"/>
      <c r="AM265" s="176"/>
      <c r="AN265" s="176"/>
      <c r="AO265" s="176"/>
      <c r="AP265" s="176"/>
      <c r="AQ265" s="176"/>
      <c r="AR265" s="176"/>
      <c r="AS265" s="176"/>
      <c r="AT265" s="176"/>
      <c r="AU265" s="176"/>
      <c r="AV265" s="176"/>
      <c r="AW265" s="176"/>
      <c r="AX265" s="176"/>
      <c r="AY265" s="176"/>
      <c r="AZ265" s="176"/>
      <c r="BA265" s="176"/>
      <c r="BB265" s="176"/>
      <c r="BC265" s="176"/>
      <c r="BD265" s="176"/>
      <c r="BE265" s="176"/>
      <c r="BF265" s="176"/>
      <c r="BG265" s="176"/>
      <c r="BH265" s="176"/>
      <c r="BI265" s="176"/>
      <c r="BJ265" s="176"/>
      <c r="BK265" s="176"/>
      <c r="BL265" s="176"/>
      <c r="BM265" s="176"/>
      <c r="BN265" s="176"/>
      <c r="BO265" s="176"/>
    </row>
    <row r="266" spans="1:67" s="36" customFormat="1" ht="10.5" customHeight="1" x14ac:dyDescent="0.2">
      <c r="A266" s="1044"/>
      <c r="B266" s="2608"/>
      <c r="C266" s="2609"/>
      <c r="D266" s="2610"/>
      <c r="E266" s="2601"/>
      <c r="F266" s="2602"/>
      <c r="G266" s="1088"/>
      <c r="H266" s="1089"/>
      <c r="I266" s="1083">
        <f t="shared" si="67"/>
        <v>0</v>
      </c>
      <c r="J266" s="1084"/>
      <c r="K266" s="1087"/>
      <c r="L266" s="1307"/>
      <c r="M266" s="1317">
        <f t="shared" si="69"/>
        <v>0</v>
      </c>
      <c r="N266" s="503"/>
      <c r="O266" s="365">
        <f t="shared" si="70"/>
        <v>0</v>
      </c>
      <c r="P266" s="366"/>
      <c r="Q266" s="135"/>
      <c r="R266" s="136"/>
      <c r="S266" s="129"/>
      <c r="T266" s="129"/>
      <c r="U266" s="129"/>
      <c r="V266" s="129"/>
      <c r="W266" s="129"/>
      <c r="X266" s="129"/>
      <c r="Y266" s="129"/>
      <c r="Z266" s="133"/>
      <c r="AA266" s="133"/>
      <c r="AB266" s="133"/>
      <c r="AC266" s="133"/>
      <c r="AD266" s="133"/>
      <c r="AE266" s="133"/>
      <c r="AF266" s="222"/>
      <c r="AG266" s="222"/>
      <c r="AH266" s="222"/>
      <c r="AI266" s="176"/>
      <c r="AJ266" s="176"/>
      <c r="AK266" s="176"/>
      <c r="AL266" s="176"/>
      <c r="AM266" s="176"/>
      <c r="AN266" s="176"/>
      <c r="AO266" s="176"/>
      <c r="AP266" s="176"/>
      <c r="AQ266" s="176"/>
      <c r="AR266" s="176"/>
      <c r="AS266" s="176"/>
      <c r="AT266" s="176"/>
      <c r="AU266" s="176"/>
      <c r="AV266" s="176"/>
      <c r="AW266" s="176"/>
      <c r="AX266" s="176"/>
      <c r="AY266" s="176"/>
      <c r="AZ266" s="176"/>
      <c r="BA266" s="176"/>
      <c r="BB266" s="176"/>
      <c r="BC266" s="176"/>
      <c r="BD266" s="176"/>
      <c r="BE266" s="176"/>
      <c r="BF266" s="176"/>
      <c r="BG266" s="176"/>
      <c r="BH266" s="176"/>
      <c r="BI266" s="176"/>
      <c r="BJ266" s="176"/>
      <c r="BK266" s="176"/>
      <c r="BL266" s="176"/>
      <c r="BM266" s="176"/>
      <c r="BN266" s="176"/>
      <c r="BO266" s="176"/>
    </row>
    <row r="267" spans="1:67" s="36" customFormat="1" ht="10.5" customHeight="1" x14ac:dyDescent="0.2">
      <c r="A267" s="1120" t="s">
        <v>346</v>
      </c>
      <c r="B267" s="2603"/>
      <c r="C267" s="2604"/>
      <c r="D267" s="2605"/>
      <c r="E267" s="2606">
        <f>SUM(E268:E280)</f>
        <v>0</v>
      </c>
      <c r="F267" s="2607"/>
      <c r="G267" s="2620"/>
      <c r="H267" s="2621"/>
      <c r="I267" s="1121">
        <f>IF(E267=0,0,J267/E267)</f>
        <v>0</v>
      </c>
      <c r="J267" s="1122">
        <f>SUM(J268:J280)</f>
        <v>0</v>
      </c>
      <c r="K267" s="2622">
        <f>IF(E267=0,0,M267/E267*100)</f>
        <v>0</v>
      </c>
      <c r="L267" s="2623"/>
      <c r="M267" s="1318">
        <f>SUM(M268:M280)</f>
        <v>0</v>
      </c>
      <c r="N267" s="503"/>
      <c r="O267" s="178">
        <f>IF(H267="",G267,H267)</f>
        <v>0</v>
      </c>
      <c r="P267" s="366"/>
      <c r="Q267" s="135"/>
      <c r="R267" s="136"/>
      <c r="S267" s="129"/>
      <c r="T267" s="129"/>
      <c r="U267" s="129"/>
      <c r="V267" s="129"/>
      <c r="W267" s="129"/>
      <c r="X267" s="129"/>
      <c r="Y267" s="129"/>
      <c r="Z267" s="133"/>
      <c r="AA267" s="133"/>
      <c r="AB267" s="133"/>
      <c r="AC267" s="133"/>
      <c r="AD267" s="133"/>
      <c r="AE267" s="133"/>
      <c r="AF267" s="222"/>
      <c r="AG267" s="222"/>
      <c r="AH267" s="222"/>
      <c r="AI267" s="176"/>
      <c r="AJ267" s="176"/>
      <c r="AK267" s="176"/>
      <c r="AL267" s="176"/>
      <c r="AM267" s="176"/>
      <c r="AN267" s="176"/>
      <c r="AO267" s="176"/>
      <c r="AP267" s="176"/>
      <c r="AQ267" s="176"/>
      <c r="AR267" s="176"/>
      <c r="AS267" s="176"/>
      <c r="AT267" s="176"/>
      <c r="AU267" s="176"/>
      <c r="AV267" s="176"/>
      <c r="AW267" s="176"/>
      <c r="AX267" s="176"/>
      <c r="AY267" s="176"/>
      <c r="AZ267" s="176"/>
      <c r="BA267" s="176"/>
      <c r="BB267" s="176"/>
      <c r="BC267" s="176"/>
      <c r="BD267" s="176"/>
      <c r="BE267" s="176"/>
      <c r="BF267" s="176"/>
      <c r="BG267" s="176"/>
      <c r="BH267" s="176"/>
      <c r="BI267" s="176"/>
      <c r="BJ267" s="176"/>
      <c r="BK267" s="176"/>
      <c r="BL267" s="176"/>
      <c r="BM267" s="176"/>
      <c r="BN267" s="176"/>
      <c r="BO267" s="176"/>
    </row>
    <row r="268" spans="1:67" s="36" customFormat="1" ht="10.5" customHeight="1" x14ac:dyDescent="0.2">
      <c r="A268" s="1042" t="s">
        <v>347</v>
      </c>
      <c r="B268" s="2624"/>
      <c r="C268" s="2625"/>
      <c r="D268" s="2626"/>
      <c r="E268" s="2386"/>
      <c r="F268" s="2387"/>
      <c r="G268" s="1056">
        <v>15</v>
      </c>
      <c r="H268" s="1057"/>
      <c r="I268" s="1079">
        <f t="shared" ref="I268:I281" si="71">IF($O268&gt;0,-PMT(($I$9),$O268,1),0)</f>
        <v>7.9288524964265278E-2</v>
      </c>
      <c r="J268" s="1080">
        <f t="shared" ref="J268:J280" si="72">ROUND(E268*I268,0)</f>
        <v>0</v>
      </c>
      <c r="K268" s="1060">
        <v>0</v>
      </c>
      <c r="L268" s="1304"/>
      <c r="M268" s="1085">
        <f t="shared" ref="M268:M281" si="73">ROUND(E268/100*IF(ISBLANK(L268),K268,L268),0)</f>
        <v>0</v>
      </c>
      <c r="N268" s="503"/>
      <c r="O268" s="365">
        <f t="shared" ref="O268:O281" si="74">IF(ISBLANK(H268),G268,H268)</f>
        <v>15</v>
      </c>
      <c r="P268" s="366"/>
      <c r="Q268" s="135"/>
      <c r="R268" s="136"/>
      <c r="S268" s="129"/>
      <c r="T268" s="129"/>
      <c r="U268" s="129"/>
      <c r="V268" s="129"/>
      <c r="W268" s="129"/>
      <c r="X268" s="129"/>
      <c r="Y268" s="129"/>
      <c r="Z268" s="133"/>
      <c r="AA268" s="133"/>
      <c r="AB268" s="133"/>
      <c r="AC268" s="133"/>
      <c r="AD268" s="133"/>
      <c r="AE268" s="133"/>
      <c r="AF268" s="222"/>
      <c r="AG268" s="222"/>
      <c r="AH268" s="222"/>
      <c r="AI268" s="176"/>
      <c r="AJ268" s="176"/>
      <c r="AK268" s="176"/>
      <c r="AL268" s="176"/>
      <c r="AM268" s="176"/>
      <c r="AN268" s="176"/>
      <c r="AO268" s="176"/>
      <c r="AP268" s="176"/>
      <c r="AQ268" s="176"/>
      <c r="AR268" s="176"/>
      <c r="AS268" s="176"/>
      <c r="AT268" s="176"/>
      <c r="AU268" s="176"/>
      <c r="AV268" s="176"/>
      <c r="AW268" s="176"/>
      <c r="AX268" s="176"/>
      <c r="AY268" s="176"/>
      <c r="AZ268" s="176"/>
      <c r="BA268" s="176"/>
      <c r="BB268" s="176"/>
      <c r="BC268" s="176"/>
      <c r="BD268" s="176"/>
      <c r="BE268" s="176"/>
      <c r="BF268" s="176"/>
      <c r="BG268" s="176"/>
      <c r="BH268" s="176"/>
      <c r="BI268" s="176"/>
      <c r="BJ268" s="176"/>
      <c r="BK268" s="176"/>
      <c r="BL268" s="176"/>
      <c r="BM268" s="176"/>
      <c r="BN268" s="176"/>
      <c r="BO268" s="176"/>
    </row>
    <row r="269" spans="1:67" s="36" customFormat="1" ht="10.5" customHeight="1" x14ac:dyDescent="0.2">
      <c r="A269" s="1043" t="s">
        <v>348</v>
      </c>
      <c r="B269" s="2594"/>
      <c r="C269" s="2595"/>
      <c r="D269" s="2596"/>
      <c r="E269" s="2395"/>
      <c r="F269" s="2396"/>
      <c r="G269" s="1058">
        <v>15</v>
      </c>
      <c r="H269" s="1059"/>
      <c r="I269" s="1081">
        <f t="shared" si="71"/>
        <v>7.9288524964265278E-2</v>
      </c>
      <c r="J269" s="1082">
        <f t="shared" si="72"/>
        <v>0</v>
      </c>
      <c r="K269" s="1061">
        <v>0</v>
      </c>
      <c r="L269" s="1305"/>
      <c r="M269" s="1086">
        <f t="shared" si="73"/>
        <v>0</v>
      </c>
      <c r="N269" s="503"/>
      <c r="O269" s="365">
        <f t="shared" si="74"/>
        <v>15</v>
      </c>
      <c r="P269" s="366"/>
      <c r="Q269" s="135"/>
      <c r="R269" s="136"/>
      <c r="S269" s="129"/>
      <c r="T269" s="129"/>
      <c r="U269" s="129"/>
      <c r="V269" s="129"/>
      <c r="W269" s="129"/>
      <c r="X269" s="129"/>
      <c r="Y269" s="129"/>
      <c r="Z269" s="133"/>
      <c r="AA269" s="133"/>
      <c r="AB269" s="133"/>
      <c r="AC269" s="133"/>
      <c r="AD269" s="133"/>
      <c r="AE269" s="133"/>
      <c r="AF269" s="222"/>
      <c r="AG269" s="222"/>
      <c r="AH269" s="222"/>
      <c r="AI269" s="176"/>
      <c r="AJ269" s="176"/>
      <c r="AK269" s="176"/>
      <c r="AL269" s="176"/>
      <c r="AM269" s="176"/>
      <c r="AN269" s="176"/>
      <c r="AO269" s="176"/>
      <c r="AP269" s="176"/>
      <c r="AQ269" s="176"/>
      <c r="AR269" s="176"/>
      <c r="AS269" s="176"/>
      <c r="AT269" s="176"/>
      <c r="AU269" s="176"/>
      <c r="AV269" s="176"/>
      <c r="AW269" s="176"/>
      <c r="AX269" s="176"/>
      <c r="AY269" s="176"/>
      <c r="AZ269" s="176"/>
      <c r="BA269" s="176"/>
      <c r="BB269" s="176"/>
      <c r="BC269" s="176"/>
      <c r="BD269" s="176"/>
      <c r="BE269" s="176"/>
      <c r="BF269" s="176"/>
      <c r="BG269" s="176"/>
      <c r="BH269" s="176"/>
      <c r="BI269" s="176"/>
      <c r="BJ269" s="176"/>
      <c r="BK269" s="176"/>
      <c r="BL269" s="176"/>
      <c r="BM269" s="176"/>
      <c r="BN269" s="176"/>
      <c r="BO269" s="176"/>
    </row>
    <row r="270" spans="1:67" s="36" customFormat="1" ht="10.5" customHeight="1" x14ac:dyDescent="0.2">
      <c r="A270" s="1043" t="s">
        <v>349</v>
      </c>
      <c r="B270" s="2594"/>
      <c r="C270" s="2595"/>
      <c r="D270" s="2596"/>
      <c r="E270" s="2395"/>
      <c r="F270" s="2396"/>
      <c r="G270" s="1058">
        <v>20</v>
      </c>
      <c r="H270" s="1059"/>
      <c r="I270" s="1081">
        <f t="shared" si="71"/>
        <v>6.2642070767998229E-2</v>
      </c>
      <c r="J270" s="1082">
        <f t="shared" si="72"/>
        <v>0</v>
      </c>
      <c r="K270" s="1061">
        <v>1</v>
      </c>
      <c r="L270" s="1305"/>
      <c r="M270" s="1086">
        <f t="shared" si="73"/>
        <v>0</v>
      </c>
      <c r="N270" s="503"/>
      <c r="O270" s="365">
        <f t="shared" si="74"/>
        <v>20</v>
      </c>
      <c r="P270" s="366"/>
      <c r="Q270" s="135"/>
      <c r="R270" s="136"/>
      <c r="S270" s="129"/>
      <c r="T270" s="129"/>
      <c r="U270" s="129"/>
      <c r="V270" s="129"/>
      <c r="W270" s="129"/>
      <c r="X270" s="129"/>
      <c r="Y270" s="129"/>
      <c r="Z270" s="133"/>
      <c r="AA270" s="133"/>
      <c r="AB270" s="133"/>
      <c r="AC270" s="133"/>
      <c r="AD270" s="133"/>
      <c r="AE270" s="133"/>
      <c r="AF270" s="222"/>
      <c r="AG270" s="222"/>
      <c r="AH270" s="222"/>
      <c r="AI270" s="176"/>
      <c r="AJ270" s="176"/>
      <c r="AK270" s="176"/>
      <c r="AL270" s="176"/>
      <c r="AM270" s="176"/>
      <c r="AN270" s="176"/>
      <c r="AO270" s="176"/>
      <c r="AP270" s="176"/>
      <c r="AQ270" s="176"/>
      <c r="AR270" s="176"/>
      <c r="AS270" s="176"/>
      <c r="AT270" s="176"/>
      <c r="AU270" s="176"/>
      <c r="AV270" s="176"/>
      <c r="AW270" s="176"/>
      <c r="AX270" s="176"/>
      <c r="AY270" s="176"/>
      <c r="AZ270" s="176"/>
      <c r="BA270" s="176"/>
      <c r="BB270" s="176"/>
      <c r="BC270" s="176"/>
      <c r="BD270" s="176"/>
      <c r="BE270" s="176"/>
      <c r="BF270" s="176"/>
      <c r="BG270" s="176"/>
      <c r="BH270" s="176"/>
      <c r="BI270" s="176"/>
      <c r="BJ270" s="176"/>
      <c r="BK270" s="176"/>
      <c r="BL270" s="176"/>
      <c r="BM270" s="176"/>
      <c r="BN270" s="176"/>
      <c r="BO270" s="176"/>
    </row>
    <row r="271" spans="1:67" s="36" customFormat="1" ht="10.5" customHeight="1" x14ac:dyDescent="0.2">
      <c r="A271" s="1043" t="s">
        <v>350</v>
      </c>
      <c r="B271" s="2594"/>
      <c r="C271" s="2595"/>
      <c r="D271" s="2596"/>
      <c r="E271" s="2395"/>
      <c r="F271" s="2396"/>
      <c r="G271" s="1058">
        <v>30</v>
      </c>
      <c r="H271" s="1059"/>
      <c r="I271" s="1081">
        <f t="shared" si="71"/>
        <v>4.6199342169092869E-2</v>
      </c>
      <c r="J271" s="1082">
        <f t="shared" si="72"/>
        <v>0</v>
      </c>
      <c r="K271" s="1061">
        <v>0.5</v>
      </c>
      <c r="L271" s="1305"/>
      <c r="M271" s="1086">
        <f t="shared" si="73"/>
        <v>0</v>
      </c>
      <c r="N271" s="503"/>
      <c r="O271" s="365">
        <f t="shared" si="74"/>
        <v>30</v>
      </c>
      <c r="P271" s="366"/>
      <c r="Q271" s="135"/>
      <c r="R271" s="136"/>
      <c r="S271" s="129"/>
      <c r="T271" s="129"/>
      <c r="U271" s="129"/>
      <c r="V271" s="129"/>
      <c r="W271" s="129"/>
      <c r="X271" s="129"/>
      <c r="Y271" s="129"/>
      <c r="Z271" s="133"/>
      <c r="AA271" s="133"/>
      <c r="AB271" s="133"/>
      <c r="AC271" s="133"/>
      <c r="AD271" s="133"/>
      <c r="AE271" s="133"/>
      <c r="AF271" s="222"/>
      <c r="AG271" s="222"/>
      <c r="AH271" s="222"/>
      <c r="AI271" s="176"/>
      <c r="AJ271" s="176"/>
      <c r="AK271" s="176"/>
      <c r="AL271" s="176"/>
      <c r="AM271" s="176"/>
      <c r="AN271" s="176"/>
      <c r="AO271" s="176"/>
      <c r="AP271" s="176"/>
      <c r="AQ271" s="176"/>
      <c r="AR271" s="176"/>
      <c r="AS271" s="176"/>
      <c r="AT271" s="176"/>
      <c r="AU271" s="176"/>
      <c r="AV271" s="176"/>
      <c r="AW271" s="176"/>
      <c r="AX271" s="176"/>
      <c r="AY271" s="176"/>
      <c r="AZ271" s="176"/>
      <c r="BA271" s="176"/>
      <c r="BB271" s="176"/>
      <c r="BC271" s="176"/>
      <c r="BD271" s="176"/>
      <c r="BE271" s="176"/>
      <c r="BF271" s="176"/>
      <c r="BG271" s="176"/>
      <c r="BH271" s="176"/>
      <c r="BI271" s="176"/>
      <c r="BJ271" s="176"/>
      <c r="BK271" s="176"/>
      <c r="BL271" s="176"/>
      <c r="BM271" s="176"/>
      <c r="BN271" s="176"/>
      <c r="BO271" s="176"/>
    </row>
    <row r="272" spans="1:67" s="36" customFormat="1" ht="10.5" customHeight="1" x14ac:dyDescent="0.2">
      <c r="A272" s="1043" t="s">
        <v>231</v>
      </c>
      <c r="B272" s="2594"/>
      <c r="C272" s="2595"/>
      <c r="D272" s="2596"/>
      <c r="E272" s="2395"/>
      <c r="F272" s="2396"/>
      <c r="G272" s="1058">
        <v>15</v>
      </c>
      <c r="H272" s="1059"/>
      <c r="I272" s="1081">
        <f t="shared" si="71"/>
        <v>7.9288524964265278E-2</v>
      </c>
      <c r="J272" s="1082">
        <f t="shared" si="72"/>
        <v>0</v>
      </c>
      <c r="K272" s="1061">
        <v>2</v>
      </c>
      <c r="L272" s="1305"/>
      <c r="M272" s="1086">
        <f t="shared" si="73"/>
        <v>0</v>
      </c>
      <c r="N272" s="503"/>
      <c r="O272" s="365">
        <f t="shared" si="74"/>
        <v>15</v>
      </c>
      <c r="P272" s="366"/>
      <c r="Q272" s="135"/>
      <c r="R272" s="136"/>
      <c r="S272" s="129"/>
      <c r="T272" s="129"/>
      <c r="U272" s="129"/>
      <c r="V272" s="129"/>
      <c r="W272" s="129"/>
      <c r="X272" s="129"/>
      <c r="Y272" s="129"/>
      <c r="Z272" s="133"/>
      <c r="AA272" s="133"/>
      <c r="AB272" s="133"/>
      <c r="AC272" s="133"/>
      <c r="AD272" s="133"/>
      <c r="AE272" s="133"/>
      <c r="AF272" s="222"/>
      <c r="AG272" s="222"/>
      <c r="AH272" s="222"/>
      <c r="AI272" s="176"/>
      <c r="AJ272" s="176"/>
      <c r="AK272" s="176"/>
      <c r="AL272" s="176"/>
      <c r="AM272" s="176"/>
      <c r="AN272" s="176"/>
      <c r="AO272" s="176"/>
      <c r="AP272" s="176"/>
      <c r="AQ272" s="176"/>
      <c r="AR272" s="176"/>
      <c r="AS272" s="176"/>
      <c r="AT272" s="176"/>
      <c r="AU272" s="176"/>
      <c r="AV272" s="176"/>
      <c r="AW272" s="176"/>
      <c r="AX272" s="176"/>
      <c r="AY272" s="176"/>
      <c r="AZ272" s="176"/>
      <c r="BA272" s="176"/>
      <c r="BB272" s="176"/>
      <c r="BC272" s="176"/>
      <c r="BD272" s="176"/>
      <c r="BE272" s="176"/>
      <c r="BF272" s="176"/>
      <c r="BG272" s="176"/>
      <c r="BH272" s="176"/>
      <c r="BI272" s="176"/>
      <c r="BJ272" s="176"/>
      <c r="BK272" s="176"/>
      <c r="BL272" s="176"/>
      <c r="BM272" s="176"/>
      <c r="BN272" s="176"/>
      <c r="BO272" s="176"/>
    </row>
    <row r="273" spans="1:67" s="36" customFormat="1" ht="10.5" customHeight="1" x14ac:dyDescent="0.2">
      <c r="A273" s="1043" t="s">
        <v>351</v>
      </c>
      <c r="B273" s="2594"/>
      <c r="C273" s="2595"/>
      <c r="D273" s="2596"/>
      <c r="E273" s="2395"/>
      <c r="F273" s="2396"/>
      <c r="G273" s="1058">
        <v>20</v>
      </c>
      <c r="H273" s="1059"/>
      <c r="I273" s="1081">
        <f t="shared" si="71"/>
        <v>6.2642070767998229E-2</v>
      </c>
      <c r="J273" s="1082">
        <f t="shared" si="72"/>
        <v>0</v>
      </c>
      <c r="K273" s="1061">
        <v>1</v>
      </c>
      <c r="L273" s="1305"/>
      <c r="M273" s="1086">
        <f t="shared" si="73"/>
        <v>0</v>
      </c>
      <c r="N273" s="503"/>
      <c r="O273" s="365">
        <f t="shared" si="74"/>
        <v>20</v>
      </c>
      <c r="P273" s="366"/>
      <c r="Q273" s="135"/>
      <c r="R273" s="136"/>
      <c r="S273" s="129"/>
      <c r="T273" s="129"/>
      <c r="U273" s="129"/>
      <c r="V273" s="129"/>
      <c r="W273" s="129"/>
      <c r="X273" s="129"/>
      <c r="Y273" s="129"/>
      <c r="Z273" s="133"/>
      <c r="AA273" s="133"/>
      <c r="AB273" s="133"/>
      <c r="AC273" s="133"/>
      <c r="AD273" s="133"/>
      <c r="AE273" s="133"/>
      <c r="AF273" s="222"/>
      <c r="AG273" s="222"/>
      <c r="AH273" s="222"/>
      <c r="AI273" s="176"/>
      <c r="AJ273" s="176"/>
      <c r="AK273" s="176"/>
      <c r="AL273" s="176"/>
      <c r="AM273" s="176"/>
      <c r="AN273" s="176"/>
      <c r="AO273" s="176"/>
      <c r="AP273" s="176"/>
      <c r="AQ273" s="176"/>
      <c r="AR273" s="176"/>
      <c r="AS273" s="176"/>
      <c r="AT273" s="176"/>
      <c r="AU273" s="176"/>
      <c r="AV273" s="176"/>
      <c r="AW273" s="176"/>
      <c r="AX273" s="176"/>
      <c r="AY273" s="176"/>
      <c r="AZ273" s="176"/>
      <c r="BA273" s="176"/>
      <c r="BB273" s="176"/>
      <c r="BC273" s="176"/>
      <c r="BD273" s="176"/>
      <c r="BE273" s="176"/>
      <c r="BF273" s="176"/>
      <c r="BG273" s="176"/>
      <c r="BH273" s="176"/>
      <c r="BI273" s="176"/>
      <c r="BJ273" s="176"/>
      <c r="BK273" s="176"/>
      <c r="BL273" s="176"/>
      <c r="BM273" s="176"/>
      <c r="BN273" s="176"/>
      <c r="BO273" s="176"/>
    </row>
    <row r="274" spans="1:67" s="36" customFormat="1" ht="10.5" customHeight="1" x14ac:dyDescent="0.2">
      <c r="A274" s="1043" t="s">
        <v>352</v>
      </c>
      <c r="B274" s="2594"/>
      <c r="C274" s="2595"/>
      <c r="D274" s="2596"/>
      <c r="E274" s="2395"/>
      <c r="F274" s="2396"/>
      <c r="G274" s="1058">
        <v>20</v>
      </c>
      <c r="H274" s="1059"/>
      <c r="I274" s="1081">
        <f t="shared" si="71"/>
        <v>6.2642070767998229E-2</v>
      </c>
      <c r="J274" s="1082">
        <f t="shared" si="72"/>
        <v>0</v>
      </c>
      <c r="K274" s="1061">
        <v>1</v>
      </c>
      <c r="L274" s="1305"/>
      <c r="M274" s="1086">
        <f t="shared" si="73"/>
        <v>0</v>
      </c>
      <c r="N274" s="503"/>
      <c r="O274" s="365">
        <f t="shared" si="74"/>
        <v>20</v>
      </c>
      <c r="P274" s="366"/>
      <c r="Q274" s="135"/>
      <c r="R274" s="136"/>
      <c r="S274" s="129"/>
      <c r="T274" s="129"/>
      <c r="U274" s="129"/>
      <c r="V274" s="129"/>
      <c r="W274" s="129"/>
      <c r="X274" s="129"/>
      <c r="Y274" s="129"/>
      <c r="Z274" s="133"/>
      <c r="AA274" s="133"/>
      <c r="AB274" s="133"/>
      <c r="AC274" s="133"/>
      <c r="AD274" s="133"/>
      <c r="AE274" s="133"/>
      <c r="AF274" s="222"/>
      <c r="AG274" s="222"/>
      <c r="AH274" s="222"/>
      <c r="AI274" s="176"/>
      <c r="AJ274" s="176"/>
      <c r="AK274" s="176"/>
      <c r="AL274" s="176"/>
      <c r="AM274" s="176"/>
      <c r="AN274" s="176"/>
      <c r="AO274" s="176"/>
      <c r="AP274" s="176"/>
      <c r="AQ274" s="176"/>
      <c r="AR274" s="176"/>
      <c r="AS274" s="176"/>
      <c r="AT274" s="176"/>
      <c r="AU274" s="176"/>
      <c r="AV274" s="176"/>
      <c r="AW274" s="176"/>
      <c r="AX274" s="176"/>
      <c r="AY274" s="176"/>
      <c r="AZ274" s="176"/>
      <c r="BA274" s="176"/>
      <c r="BB274" s="176"/>
      <c r="BC274" s="176"/>
      <c r="BD274" s="176"/>
      <c r="BE274" s="176"/>
      <c r="BF274" s="176"/>
      <c r="BG274" s="176"/>
      <c r="BH274" s="176"/>
      <c r="BI274" s="176"/>
      <c r="BJ274" s="176"/>
      <c r="BK274" s="176"/>
      <c r="BL274" s="176"/>
      <c r="BM274" s="176"/>
      <c r="BN274" s="176"/>
      <c r="BO274" s="176"/>
    </row>
    <row r="275" spans="1:67" s="36" customFormat="1" ht="10.5" customHeight="1" x14ac:dyDescent="0.2">
      <c r="A275" s="1043" t="s">
        <v>353</v>
      </c>
      <c r="B275" s="2594"/>
      <c r="C275" s="2595"/>
      <c r="D275" s="2596"/>
      <c r="E275" s="2395"/>
      <c r="F275" s="2396"/>
      <c r="G275" s="1058">
        <v>15</v>
      </c>
      <c r="H275" s="1059"/>
      <c r="I275" s="1081">
        <f t="shared" si="71"/>
        <v>7.9288524964265278E-2</v>
      </c>
      <c r="J275" s="1082">
        <f t="shared" si="72"/>
        <v>0</v>
      </c>
      <c r="K275" s="1061">
        <v>2.5</v>
      </c>
      <c r="L275" s="1305"/>
      <c r="M275" s="1086">
        <f t="shared" si="73"/>
        <v>0</v>
      </c>
      <c r="N275" s="503"/>
      <c r="O275" s="365">
        <f t="shared" si="74"/>
        <v>15</v>
      </c>
      <c r="P275" s="366"/>
      <c r="Q275" s="135"/>
      <c r="R275" s="136"/>
      <c r="S275" s="129"/>
      <c r="T275" s="129"/>
      <c r="U275" s="129"/>
      <c r="V275" s="129"/>
      <c r="W275" s="129"/>
      <c r="X275" s="129"/>
      <c r="Y275" s="129"/>
      <c r="Z275" s="133"/>
      <c r="AA275" s="133"/>
      <c r="AB275" s="133"/>
      <c r="AC275" s="133"/>
      <c r="AD275" s="133"/>
      <c r="AE275" s="133"/>
      <c r="AF275" s="222"/>
      <c r="AG275" s="222"/>
      <c r="AH275" s="222"/>
      <c r="AI275" s="176"/>
      <c r="AJ275" s="176"/>
      <c r="AK275" s="176"/>
      <c r="AL275" s="176"/>
      <c r="AM275" s="176"/>
      <c r="AN275" s="176"/>
      <c r="AO275" s="176"/>
      <c r="AP275" s="176"/>
      <c r="AQ275" s="176"/>
      <c r="AR275" s="176"/>
      <c r="AS275" s="176"/>
      <c r="AT275" s="176"/>
      <c r="AU275" s="176"/>
      <c r="AV275" s="176"/>
      <c r="AW275" s="176"/>
      <c r="AX275" s="176"/>
      <c r="AY275" s="176"/>
      <c r="AZ275" s="176"/>
      <c r="BA275" s="176"/>
      <c r="BB275" s="176"/>
      <c r="BC275" s="176"/>
      <c r="BD275" s="176"/>
      <c r="BE275" s="176"/>
      <c r="BF275" s="176"/>
      <c r="BG275" s="176"/>
      <c r="BH275" s="176"/>
      <c r="BI275" s="176"/>
      <c r="BJ275" s="176"/>
      <c r="BK275" s="176"/>
      <c r="BL275" s="176"/>
      <c r="BM275" s="176"/>
      <c r="BN275" s="176"/>
      <c r="BO275" s="176"/>
    </row>
    <row r="276" spans="1:67" s="36" customFormat="1" ht="10.5" customHeight="1" x14ac:dyDescent="0.2">
      <c r="A276" s="1043" t="s">
        <v>354</v>
      </c>
      <c r="B276" s="2594"/>
      <c r="C276" s="2595"/>
      <c r="D276" s="2596"/>
      <c r="E276" s="2395"/>
      <c r="F276" s="2396"/>
      <c r="G276" s="1058">
        <v>15</v>
      </c>
      <c r="H276" s="1059"/>
      <c r="I276" s="1081">
        <f t="shared" si="71"/>
        <v>7.9288524964265278E-2</v>
      </c>
      <c r="J276" s="1082">
        <f t="shared" si="72"/>
        <v>0</v>
      </c>
      <c r="K276" s="1061">
        <v>2.5</v>
      </c>
      <c r="L276" s="1305"/>
      <c r="M276" s="1086">
        <f t="shared" si="73"/>
        <v>0</v>
      </c>
      <c r="N276" s="503"/>
      <c r="O276" s="365">
        <f t="shared" si="74"/>
        <v>15</v>
      </c>
      <c r="P276" s="366"/>
      <c r="Q276" s="135"/>
      <c r="R276" s="136"/>
      <c r="S276" s="129"/>
      <c r="T276" s="129"/>
      <c r="U276" s="129"/>
      <c r="V276" s="129"/>
      <c r="W276" s="129"/>
      <c r="X276" s="129"/>
      <c r="Y276" s="129"/>
      <c r="Z276" s="133"/>
      <c r="AA276" s="133"/>
      <c r="AB276" s="133"/>
      <c r="AC276" s="133"/>
      <c r="AD276" s="133"/>
      <c r="AE276" s="133"/>
      <c r="AF276" s="222"/>
      <c r="AG276" s="222"/>
      <c r="AH276" s="222"/>
      <c r="AI276" s="176"/>
      <c r="AJ276" s="176"/>
      <c r="AK276" s="176"/>
      <c r="AL276" s="176"/>
      <c r="AM276" s="176"/>
      <c r="AN276" s="176"/>
      <c r="AO276" s="176"/>
      <c r="AP276" s="176"/>
      <c r="AQ276" s="176"/>
      <c r="AR276" s="176"/>
      <c r="AS276" s="176"/>
      <c r="AT276" s="176"/>
      <c r="AU276" s="176"/>
      <c r="AV276" s="176"/>
      <c r="AW276" s="176"/>
      <c r="AX276" s="176"/>
      <c r="AY276" s="176"/>
      <c r="AZ276" s="176"/>
      <c r="BA276" s="176"/>
      <c r="BB276" s="176"/>
      <c r="BC276" s="176"/>
      <c r="BD276" s="176"/>
      <c r="BE276" s="176"/>
      <c r="BF276" s="176"/>
      <c r="BG276" s="176"/>
      <c r="BH276" s="176"/>
      <c r="BI276" s="176"/>
      <c r="BJ276" s="176"/>
      <c r="BK276" s="176"/>
      <c r="BL276" s="176"/>
      <c r="BM276" s="176"/>
      <c r="BN276" s="176"/>
      <c r="BO276" s="176"/>
    </row>
    <row r="277" spans="1:67" s="36" customFormat="1" ht="10.5" customHeight="1" x14ac:dyDescent="0.2">
      <c r="A277" s="1055"/>
      <c r="B277" s="2594"/>
      <c r="C277" s="2595"/>
      <c r="D277" s="2596"/>
      <c r="E277" s="2395"/>
      <c r="F277" s="2396"/>
      <c r="G277" s="2590"/>
      <c r="H277" s="2591"/>
      <c r="I277" s="1081">
        <f t="shared" si="71"/>
        <v>0</v>
      </c>
      <c r="J277" s="1082">
        <f t="shared" si="72"/>
        <v>0</v>
      </c>
      <c r="K277" s="2588"/>
      <c r="L277" s="2589"/>
      <c r="M277" s="1086">
        <f t="shared" si="73"/>
        <v>0</v>
      </c>
      <c r="N277" s="503"/>
      <c r="O277" s="365">
        <f t="shared" si="74"/>
        <v>0</v>
      </c>
      <c r="P277" s="366"/>
      <c r="Q277" s="135"/>
      <c r="R277" s="136"/>
      <c r="S277" s="129"/>
      <c r="T277" s="129"/>
      <c r="U277" s="129"/>
      <c r="V277" s="129"/>
      <c r="W277" s="129"/>
      <c r="X277" s="129"/>
      <c r="Y277" s="129"/>
      <c r="Z277" s="133"/>
      <c r="AA277" s="133"/>
      <c r="AB277" s="133"/>
      <c r="AC277" s="133"/>
      <c r="AD277" s="133"/>
      <c r="AE277" s="133"/>
      <c r="AF277" s="222"/>
      <c r="AG277" s="222"/>
      <c r="AH277" s="222"/>
      <c r="AI277" s="176"/>
      <c r="AJ277" s="176"/>
      <c r="AK277" s="176"/>
      <c r="AL277" s="176"/>
      <c r="AM277" s="176"/>
      <c r="AN277" s="176"/>
      <c r="AO277" s="176"/>
      <c r="AP277" s="176"/>
      <c r="AQ277" s="176"/>
      <c r="AR277" s="176"/>
      <c r="AS277" s="176"/>
      <c r="AT277" s="176"/>
      <c r="AU277" s="176"/>
      <c r="AV277" s="176"/>
      <c r="AW277" s="176"/>
      <c r="AX277" s="176"/>
      <c r="AY277" s="176"/>
      <c r="AZ277" s="176"/>
      <c r="BA277" s="176"/>
      <c r="BB277" s="176"/>
      <c r="BC277" s="176"/>
      <c r="BD277" s="176"/>
      <c r="BE277" s="176"/>
      <c r="BF277" s="176"/>
      <c r="BG277" s="176"/>
      <c r="BH277" s="176"/>
      <c r="BI277" s="176"/>
      <c r="BJ277" s="176"/>
      <c r="BK277" s="176"/>
      <c r="BL277" s="176"/>
      <c r="BM277" s="176"/>
      <c r="BN277" s="176"/>
      <c r="BO277" s="176"/>
    </row>
    <row r="278" spans="1:67" s="36" customFormat="1" ht="10.5" customHeight="1" x14ac:dyDescent="0.2">
      <c r="A278" s="1055"/>
      <c r="B278" s="2594"/>
      <c r="C278" s="2595"/>
      <c r="D278" s="2596"/>
      <c r="E278" s="2395"/>
      <c r="F278" s="2396"/>
      <c r="G278" s="2590"/>
      <c r="H278" s="2591"/>
      <c r="I278" s="1081">
        <f t="shared" si="71"/>
        <v>0</v>
      </c>
      <c r="J278" s="1082">
        <f t="shared" si="72"/>
        <v>0</v>
      </c>
      <c r="K278" s="2588"/>
      <c r="L278" s="2589"/>
      <c r="M278" s="1086">
        <f t="shared" si="73"/>
        <v>0</v>
      </c>
      <c r="N278" s="503"/>
      <c r="O278" s="365">
        <f t="shared" si="74"/>
        <v>0</v>
      </c>
      <c r="P278" s="366"/>
      <c r="Q278" s="135"/>
      <c r="R278" s="136"/>
      <c r="S278" s="129"/>
      <c r="T278" s="129"/>
      <c r="U278" s="129"/>
      <c r="V278" s="129"/>
      <c r="W278" s="129"/>
      <c r="X278" s="129"/>
      <c r="Y278" s="129"/>
      <c r="Z278" s="133"/>
      <c r="AA278" s="133"/>
      <c r="AB278" s="133"/>
      <c r="AC278" s="133"/>
      <c r="AD278" s="133"/>
      <c r="AE278" s="133"/>
      <c r="AF278" s="222"/>
      <c r="AG278" s="222"/>
      <c r="AH278" s="222"/>
      <c r="AI278" s="176"/>
      <c r="AJ278" s="176"/>
      <c r="AK278" s="176"/>
      <c r="AL278" s="176"/>
      <c r="AM278" s="176"/>
      <c r="AN278" s="176"/>
      <c r="AO278" s="176"/>
      <c r="AP278" s="176"/>
      <c r="AQ278" s="176"/>
      <c r="AR278" s="176"/>
      <c r="AS278" s="176"/>
      <c r="AT278" s="176"/>
      <c r="AU278" s="176"/>
      <c r="AV278" s="176"/>
      <c r="AW278" s="176"/>
      <c r="AX278" s="176"/>
      <c r="AY278" s="176"/>
      <c r="AZ278" s="176"/>
      <c r="BA278" s="176"/>
      <c r="BB278" s="176"/>
      <c r="BC278" s="176"/>
      <c r="BD278" s="176"/>
      <c r="BE278" s="176"/>
      <c r="BF278" s="176"/>
      <c r="BG278" s="176"/>
      <c r="BH278" s="176"/>
      <c r="BI278" s="176"/>
      <c r="BJ278" s="176"/>
      <c r="BK278" s="176"/>
      <c r="BL278" s="176"/>
      <c r="BM278" s="176"/>
      <c r="BN278" s="176"/>
      <c r="BO278" s="176"/>
    </row>
    <row r="279" spans="1:67" s="36" customFormat="1" ht="10.5" customHeight="1" x14ac:dyDescent="0.2">
      <c r="A279" s="1055"/>
      <c r="B279" s="2594"/>
      <c r="C279" s="2595"/>
      <c r="D279" s="2596"/>
      <c r="E279" s="2395"/>
      <c r="F279" s="2396"/>
      <c r="G279" s="2590"/>
      <c r="H279" s="2591"/>
      <c r="I279" s="1081">
        <f t="shared" si="71"/>
        <v>0</v>
      </c>
      <c r="J279" s="1082">
        <f t="shared" si="72"/>
        <v>0</v>
      </c>
      <c r="K279" s="2588"/>
      <c r="L279" s="2589"/>
      <c r="M279" s="1086">
        <f t="shared" si="73"/>
        <v>0</v>
      </c>
      <c r="N279" s="503"/>
      <c r="O279" s="365">
        <f t="shared" si="74"/>
        <v>0</v>
      </c>
      <c r="P279" s="366"/>
      <c r="Q279" s="135"/>
      <c r="R279" s="136"/>
      <c r="S279" s="129"/>
      <c r="T279" s="129"/>
      <c r="U279" s="129"/>
      <c r="V279" s="129"/>
      <c r="W279" s="129"/>
      <c r="X279" s="129"/>
      <c r="Y279" s="129"/>
      <c r="Z279" s="133"/>
      <c r="AA279" s="133"/>
      <c r="AB279" s="133"/>
      <c r="AC279" s="133"/>
      <c r="AD279" s="133"/>
      <c r="AE279" s="133"/>
      <c r="AF279" s="222"/>
      <c r="AG279" s="222"/>
      <c r="AH279" s="222"/>
      <c r="AI279" s="176"/>
      <c r="AJ279" s="176"/>
      <c r="AK279" s="176"/>
      <c r="AL279" s="176"/>
      <c r="AM279" s="176"/>
      <c r="AN279" s="176"/>
      <c r="AO279" s="176"/>
      <c r="AP279" s="176"/>
      <c r="AQ279" s="176"/>
      <c r="AR279" s="176"/>
      <c r="AS279" s="176"/>
      <c r="AT279" s="176"/>
      <c r="AU279" s="176"/>
      <c r="AV279" s="176"/>
      <c r="AW279" s="176"/>
      <c r="AX279" s="176"/>
      <c r="AY279" s="176"/>
      <c r="AZ279" s="176"/>
      <c r="BA279" s="176"/>
      <c r="BB279" s="176"/>
      <c r="BC279" s="176"/>
      <c r="BD279" s="176"/>
      <c r="BE279" s="176"/>
      <c r="BF279" s="176"/>
      <c r="BG279" s="176"/>
      <c r="BH279" s="176"/>
      <c r="BI279" s="176"/>
      <c r="BJ279" s="176"/>
      <c r="BK279" s="176"/>
      <c r="BL279" s="176"/>
      <c r="BM279" s="176"/>
      <c r="BN279" s="176"/>
      <c r="BO279" s="176"/>
    </row>
    <row r="280" spans="1:67" s="36" customFormat="1" ht="10.5" customHeight="1" x14ac:dyDescent="0.2">
      <c r="A280" s="1055"/>
      <c r="B280" s="2594"/>
      <c r="C280" s="2595"/>
      <c r="D280" s="2596"/>
      <c r="E280" s="2395"/>
      <c r="F280" s="2396"/>
      <c r="G280" s="2590"/>
      <c r="H280" s="2591"/>
      <c r="I280" s="1081">
        <f t="shared" si="71"/>
        <v>0</v>
      </c>
      <c r="J280" s="1082">
        <f t="shared" si="72"/>
        <v>0</v>
      </c>
      <c r="K280" s="2588"/>
      <c r="L280" s="2589"/>
      <c r="M280" s="1086">
        <f t="shared" si="73"/>
        <v>0</v>
      </c>
      <c r="N280" s="503"/>
      <c r="O280" s="365">
        <f t="shared" si="74"/>
        <v>0</v>
      </c>
      <c r="P280" s="366"/>
      <c r="Q280" s="135"/>
      <c r="R280" s="136"/>
      <c r="S280" s="129"/>
      <c r="T280" s="129"/>
      <c r="U280" s="129"/>
      <c r="V280" s="129"/>
      <c r="W280" s="129"/>
      <c r="X280" s="129"/>
      <c r="Y280" s="129"/>
      <c r="Z280" s="133"/>
      <c r="AA280" s="133"/>
      <c r="AB280" s="133"/>
      <c r="AC280" s="133"/>
      <c r="AD280" s="133"/>
      <c r="AE280" s="133"/>
      <c r="AF280" s="222"/>
      <c r="AG280" s="222"/>
      <c r="AH280" s="222"/>
      <c r="AI280" s="176"/>
      <c r="AJ280" s="176"/>
      <c r="AK280" s="176"/>
      <c r="AL280" s="176"/>
      <c r="AM280" s="176"/>
      <c r="AN280" s="176"/>
      <c r="AO280" s="176"/>
      <c r="AP280" s="176"/>
      <c r="AQ280" s="176"/>
      <c r="AR280" s="176"/>
      <c r="AS280" s="176"/>
      <c r="AT280" s="176"/>
      <c r="AU280" s="176"/>
      <c r="AV280" s="176"/>
      <c r="AW280" s="176"/>
      <c r="AX280" s="176"/>
      <c r="AY280" s="176"/>
      <c r="AZ280" s="176"/>
      <c r="BA280" s="176"/>
      <c r="BB280" s="176"/>
      <c r="BC280" s="176"/>
      <c r="BD280" s="176"/>
      <c r="BE280" s="176"/>
      <c r="BF280" s="176"/>
      <c r="BG280" s="176"/>
      <c r="BH280" s="176"/>
      <c r="BI280" s="176"/>
      <c r="BJ280" s="176"/>
      <c r="BK280" s="176"/>
      <c r="BL280" s="176"/>
      <c r="BM280" s="176"/>
      <c r="BN280" s="176"/>
      <c r="BO280" s="176"/>
    </row>
    <row r="281" spans="1:67" s="36" customFormat="1" ht="10.5" customHeight="1" x14ac:dyDescent="0.2">
      <c r="A281" s="1044"/>
      <c r="B281" s="2608"/>
      <c r="C281" s="2609"/>
      <c r="D281" s="2610"/>
      <c r="E281" s="2601"/>
      <c r="F281" s="2602"/>
      <c r="G281" s="1088"/>
      <c r="H281" s="1089"/>
      <c r="I281" s="1083">
        <f t="shared" si="71"/>
        <v>0</v>
      </c>
      <c r="J281" s="1084"/>
      <c r="K281" s="1087"/>
      <c r="L281" s="1307"/>
      <c r="M281" s="1317">
        <f t="shared" si="73"/>
        <v>0</v>
      </c>
      <c r="N281" s="503"/>
      <c r="O281" s="365">
        <f t="shared" si="74"/>
        <v>0</v>
      </c>
      <c r="P281" s="366"/>
      <c r="Q281" s="135"/>
      <c r="R281" s="136"/>
      <c r="S281" s="129"/>
      <c r="T281" s="129"/>
      <c r="U281" s="129"/>
      <c r="V281" s="129"/>
      <c r="W281" s="129"/>
      <c r="X281" s="129"/>
      <c r="Y281" s="129"/>
      <c r="Z281" s="133"/>
      <c r="AA281" s="133"/>
      <c r="AB281" s="133"/>
      <c r="AC281" s="133"/>
      <c r="AD281" s="133"/>
      <c r="AE281" s="133"/>
      <c r="AF281" s="222"/>
      <c r="AG281" s="222"/>
      <c r="AH281" s="222"/>
      <c r="AI281" s="176"/>
      <c r="AJ281" s="176"/>
      <c r="AK281" s="176"/>
      <c r="AL281" s="176"/>
      <c r="AM281" s="176"/>
      <c r="AN281" s="176"/>
      <c r="AO281" s="176"/>
      <c r="AP281" s="176"/>
      <c r="AQ281" s="176"/>
      <c r="AR281" s="176"/>
      <c r="AS281" s="176"/>
      <c r="AT281" s="176"/>
      <c r="AU281" s="176"/>
      <c r="AV281" s="176"/>
      <c r="AW281" s="176"/>
      <c r="AX281" s="176"/>
      <c r="AY281" s="176"/>
      <c r="AZ281" s="176"/>
      <c r="BA281" s="176"/>
      <c r="BB281" s="176"/>
      <c r="BC281" s="176"/>
      <c r="BD281" s="176"/>
      <c r="BE281" s="176"/>
      <c r="BF281" s="176"/>
      <c r="BG281" s="176"/>
      <c r="BH281" s="176"/>
      <c r="BI281" s="176"/>
      <c r="BJ281" s="176"/>
      <c r="BK281" s="176"/>
      <c r="BL281" s="176"/>
      <c r="BM281" s="176"/>
      <c r="BN281" s="176"/>
      <c r="BO281" s="176"/>
    </row>
    <row r="282" spans="1:67" s="36" customFormat="1" ht="10.5" customHeight="1" x14ac:dyDescent="0.2">
      <c r="A282" s="1120" t="s">
        <v>355</v>
      </c>
      <c r="B282" s="2603"/>
      <c r="C282" s="2604"/>
      <c r="D282" s="2605"/>
      <c r="E282" s="2606">
        <f>SUM(E283:E295)</f>
        <v>0</v>
      </c>
      <c r="F282" s="2607"/>
      <c r="G282" s="2620"/>
      <c r="H282" s="2621"/>
      <c r="I282" s="1121">
        <f>IF(E282=0,0,J282/E282)</f>
        <v>0</v>
      </c>
      <c r="J282" s="1122">
        <f>SUM(J283:J295)</f>
        <v>0</v>
      </c>
      <c r="K282" s="2622">
        <f>IF(E282=0,0,M282/E282*100)</f>
        <v>0</v>
      </c>
      <c r="L282" s="2623"/>
      <c r="M282" s="1318">
        <f>SUM(M283:M295)</f>
        <v>0</v>
      </c>
      <c r="N282" s="503"/>
      <c r="O282" s="178">
        <f>IF(H282="",G282,H282)</f>
        <v>0</v>
      </c>
      <c r="P282" s="366"/>
      <c r="Q282" s="135"/>
      <c r="R282" s="136"/>
      <c r="S282" s="129"/>
      <c r="T282" s="129"/>
      <c r="U282" s="129"/>
      <c r="V282" s="129"/>
      <c r="W282" s="129"/>
      <c r="X282" s="129"/>
      <c r="Y282" s="129"/>
      <c r="Z282" s="133"/>
      <c r="AA282" s="133"/>
      <c r="AB282" s="133"/>
      <c r="AC282" s="133"/>
      <c r="AD282" s="133"/>
      <c r="AE282" s="133"/>
      <c r="AF282" s="222"/>
      <c r="AG282" s="222"/>
      <c r="AH282" s="222"/>
      <c r="AI282" s="176"/>
      <c r="AJ282" s="176"/>
      <c r="AK282" s="176"/>
      <c r="AL282" s="176"/>
      <c r="AM282" s="176"/>
      <c r="AN282" s="176"/>
      <c r="AO282" s="176"/>
      <c r="AP282" s="176"/>
      <c r="AQ282" s="176"/>
      <c r="AR282" s="176"/>
      <c r="AS282" s="176"/>
      <c r="AT282" s="176"/>
      <c r="AU282" s="176"/>
      <c r="AV282" s="176"/>
      <c r="AW282" s="176"/>
      <c r="AX282" s="176"/>
      <c r="AY282" s="176"/>
      <c r="AZ282" s="176"/>
      <c r="BA282" s="176"/>
      <c r="BB282" s="176"/>
      <c r="BC282" s="176"/>
      <c r="BD282" s="176"/>
      <c r="BE282" s="176"/>
      <c r="BF282" s="176"/>
      <c r="BG282" s="176"/>
      <c r="BH282" s="176"/>
      <c r="BI282" s="176"/>
      <c r="BJ282" s="176"/>
      <c r="BK282" s="176"/>
      <c r="BL282" s="176"/>
      <c r="BM282" s="176"/>
      <c r="BN282" s="176"/>
      <c r="BO282" s="176"/>
    </row>
    <row r="283" spans="1:67" s="36" customFormat="1" ht="10.5" customHeight="1" x14ac:dyDescent="0.2">
      <c r="A283" s="1042" t="s">
        <v>356</v>
      </c>
      <c r="B283" s="2624"/>
      <c r="C283" s="2625"/>
      <c r="D283" s="2626"/>
      <c r="E283" s="2386"/>
      <c r="F283" s="2387"/>
      <c r="G283" s="1056">
        <v>20</v>
      </c>
      <c r="H283" s="1057"/>
      <c r="I283" s="1079">
        <f t="shared" ref="I283:I296" si="75">IF($O283&gt;0,-PMT(($I$9),$O283,1),0)</f>
        <v>6.2642070767998229E-2</v>
      </c>
      <c r="J283" s="1080">
        <f t="shared" ref="J283:J295" si="76">ROUND(E283*I283,0)</f>
        <v>0</v>
      </c>
      <c r="K283" s="1060"/>
      <c r="L283" s="1304"/>
      <c r="M283" s="1085">
        <f t="shared" ref="M283:M296" si="77">ROUND(E283/100*IF(ISBLANK(L283),K283,L283),0)</f>
        <v>0</v>
      </c>
      <c r="N283" s="503"/>
      <c r="O283" s="365">
        <f t="shared" ref="O283:O296" si="78">IF(ISBLANK(H283),G283,H283)</f>
        <v>20</v>
      </c>
      <c r="P283" s="366"/>
      <c r="Q283" s="135"/>
      <c r="R283" s="136"/>
      <c r="S283" s="129"/>
      <c r="T283" s="129"/>
      <c r="U283" s="129"/>
      <c r="V283" s="129"/>
      <c r="W283" s="129"/>
      <c r="X283" s="129"/>
      <c r="Y283" s="129"/>
      <c r="Z283" s="133"/>
      <c r="AA283" s="133"/>
      <c r="AB283" s="133"/>
      <c r="AC283" s="133"/>
      <c r="AD283" s="133"/>
      <c r="AE283" s="133"/>
      <c r="AF283" s="222"/>
      <c r="AG283" s="222"/>
      <c r="AH283" s="222"/>
      <c r="AI283" s="176"/>
      <c r="AJ283" s="176"/>
      <c r="AK283" s="176"/>
      <c r="AL283" s="176"/>
      <c r="AM283" s="176"/>
      <c r="AN283" s="176"/>
      <c r="AO283" s="176"/>
      <c r="AP283" s="176"/>
      <c r="AQ283" s="176"/>
      <c r="AR283" s="176"/>
      <c r="AS283" s="176"/>
      <c r="AT283" s="176"/>
      <c r="AU283" s="176"/>
      <c r="AV283" s="176"/>
      <c r="AW283" s="176"/>
      <c r="AX283" s="176"/>
      <c r="AY283" s="176"/>
      <c r="AZ283" s="176"/>
      <c r="BA283" s="176"/>
      <c r="BB283" s="176"/>
      <c r="BC283" s="176"/>
      <c r="BD283" s="176"/>
      <c r="BE283" s="176"/>
      <c r="BF283" s="176"/>
      <c r="BG283" s="176"/>
      <c r="BH283" s="176"/>
      <c r="BI283" s="176"/>
      <c r="BJ283" s="176"/>
      <c r="BK283" s="176"/>
      <c r="BL283" s="176"/>
      <c r="BM283" s="176"/>
      <c r="BN283" s="176"/>
      <c r="BO283" s="176"/>
    </row>
    <row r="284" spans="1:67" s="36" customFormat="1" ht="10.5" customHeight="1" x14ac:dyDescent="0.2">
      <c r="A284" s="1043" t="s">
        <v>357</v>
      </c>
      <c r="B284" s="2594"/>
      <c r="C284" s="2595"/>
      <c r="D284" s="2596"/>
      <c r="E284" s="2395"/>
      <c r="F284" s="2396"/>
      <c r="G284" s="1058">
        <v>20</v>
      </c>
      <c r="H284" s="1059"/>
      <c r="I284" s="1081">
        <f t="shared" si="75"/>
        <v>6.2642070767998229E-2</v>
      </c>
      <c r="J284" s="1082">
        <f t="shared" si="76"/>
        <v>0</v>
      </c>
      <c r="K284" s="1061"/>
      <c r="L284" s="1305"/>
      <c r="M284" s="1086">
        <f t="shared" si="77"/>
        <v>0</v>
      </c>
      <c r="N284" s="503"/>
      <c r="O284" s="365">
        <f t="shared" si="78"/>
        <v>20</v>
      </c>
      <c r="P284" s="366"/>
      <c r="Q284" s="135"/>
      <c r="R284" s="136"/>
      <c r="S284" s="129"/>
      <c r="T284" s="129"/>
      <c r="U284" s="129"/>
      <c r="V284" s="129"/>
      <c r="W284" s="129"/>
      <c r="X284" s="129"/>
      <c r="Y284" s="129"/>
      <c r="Z284" s="133"/>
      <c r="AA284" s="133"/>
      <c r="AB284" s="133"/>
      <c r="AC284" s="133"/>
      <c r="AD284" s="133"/>
      <c r="AE284" s="133"/>
      <c r="AF284" s="222"/>
      <c r="AG284" s="222"/>
      <c r="AH284" s="222"/>
      <c r="AI284" s="176"/>
      <c r="AJ284" s="176"/>
      <c r="AK284" s="176"/>
      <c r="AL284" s="176"/>
      <c r="AM284" s="176"/>
      <c r="AN284" s="176"/>
      <c r="AO284" s="176"/>
      <c r="AP284" s="176"/>
      <c r="AQ284" s="176"/>
      <c r="AR284" s="176"/>
      <c r="AS284" s="176"/>
      <c r="AT284" s="176"/>
      <c r="AU284" s="176"/>
      <c r="AV284" s="176"/>
      <c r="AW284" s="176"/>
      <c r="AX284" s="176"/>
      <c r="AY284" s="176"/>
      <c r="AZ284" s="176"/>
      <c r="BA284" s="176"/>
      <c r="BB284" s="176"/>
      <c r="BC284" s="176"/>
      <c r="BD284" s="176"/>
      <c r="BE284" s="176"/>
      <c r="BF284" s="176"/>
      <c r="BG284" s="176"/>
      <c r="BH284" s="176"/>
      <c r="BI284" s="176"/>
      <c r="BJ284" s="176"/>
      <c r="BK284" s="176"/>
      <c r="BL284" s="176"/>
      <c r="BM284" s="176"/>
      <c r="BN284" s="176"/>
      <c r="BO284" s="176"/>
    </row>
    <row r="285" spans="1:67" s="36" customFormat="1" ht="10.5" customHeight="1" x14ac:dyDescent="0.2">
      <c r="A285" s="1043" t="s">
        <v>358</v>
      </c>
      <c r="B285" s="2594"/>
      <c r="C285" s="2595"/>
      <c r="D285" s="2596"/>
      <c r="E285" s="2395"/>
      <c r="F285" s="2396"/>
      <c r="G285" s="1058">
        <v>20</v>
      </c>
      <c r="H285" s="1059"/>
      <c r="I285" s="1081">
        <f t="shared" si="75"/>
        <v>6.2642070767998229E-2</v>
      </c>
      <c r="J285" s="1082">
        <f t="shared" si="76"/>
        <v>0</v>
      </c>
      <c r="K285" s="1061">
        <v>0.5</v>
      </c>
      <c r="L285" s="1305"/>
      <c r="M285" s="1086">
        <f t="shared" si="77"/>
        <v>0</v>
      </c>
      <c r="N285" s="503"/>
      <c r="O285" s="365">
        <f t="shared" si="78"/>
        <v>20</v>
      </c>
      <c r="P285" s="366"/>
      <c r="Q285" s="135"/>
      <c r="R285" s="136"/>
      <c r="S285" s="129"/>
      <c r="T285" s="129"/>
      <c r="U285" s="129"/>
      <c r="V285" s="129"/>
      <c r="W285" s="129"/>
      <c r="X285" s="129"/>
      <c r="Y285" s="129"/>
      <c r="Z285" s="133"/>
      <c r="AA285" s="133"/>
      <c r="AB285" s="133"/>
      <c r="AC285" s="133"/>
      <c r="AD285" s="133"/>
      <c r="AE285" s="133"/>
      <c r="AF285" s="222"/>
      <c r="AG285" s="222"/>
      <c r="AH285" s="222"/>
      <c r="AI285" s="176"/>
      <c r="AJ285" s="176"/>
      <c r="AK285" s="176"/>
      <c r="AL285" s="176"/>
      <c r="AM285" s="176"/>
      <c r="AN285" s="176"/>
      <c r="AO285" s="176"/>
      <c r="AP285" s="176"/>
      <c r="AQ285" s="176"/>
      <c r="AR285" s="176"/>
      <c r="AS285" s="176"/>
      <c r="AT285" s="176"/>
      <c r="AU285" s="176"/>
      <c r="AV285" s="176"/>
      <c r="AW285" s="176"/>
      <c r="AX285" s="176"/>
      <c r="AY285" s="176"/>
      <c r="AZ285" s="176"/>
      <c r="BA285" s="176"/>
      <c r="BB285" s="176"/>
      <c r="BC285" s="176"/>
      <c r="BD285" s="176"/>
      <c r="BE285" s="176"/>
      <c r="BF285" s="176"/>
      <c r="BG285" s="176"/>
      <c r="BH285" s="176"/>
      <c r="BI285" s="176"/>
      <c r="BJ285" s="176"/>
      <c r="BK285" s="176"/>
      <c r="BL285" s="176"/>
      <c r="BM285" s="176"/>
      <c r="BN285" s="176"/>
      <c r="BO285" s="176"/>
    </row>
    <row r="286" spans="1:67" s="36" customFormat="1" ht="10.5" customHeight="1" x14ac:dyDescent="0.2">
      <c r="A286" s="1043" t="s">
        <v>359</v>
      </c>
      <c r="B286" s="2594"/>
      <c r="C286" s="2595"/>
      <c r="D286" s="2596"/>
      <c r="E286" s="2395"/>
      <c r="F286" s="2396"/>
      <c r="G286" s="1058">
        <v>20</v>
      </c>
      <c r="H286" s="1059"/>
      <c r="I286" s="1081">
        <f t="shared" si="75"/>
        <v>6.2642070767998229E-2</v>
      </c>
      <c r="J286" s="1082">
        <f t="shared" si="76"/>
        <v>0</v>
      </c>
      <c r="K286" s="1061"/>
      <c r="L286" s="1305"/>
      <c r="M286" s="1086">
        <f t="shared" si="77"/>
        <v>0</v>
      </c>
      <c r="N286" s="503"/>
      <c r="O286" s="365">
        <f t="shared" si="78"/>
        <v>20</v>
      </c>
      <c r="P286" s="366"/>
      <c r="Q286" s="135"/>
      <c r="R286" s="136"/>
      <c r="S286" s="129"/>
      <c r="T286" s="129"/>
      <c r="U286" s="129"/>
      <c r="V286" s="129"/>
      <c r="W286" s="129"/>
      <c r="X286" s="129"/>
      <c r="Y286" s="129"/>
      <c r="Z286" s="133"/>
      <c r="AA286" s="133"/>
      <c r="AB286" s="133"/>
      <c r="AC286" s="133"/>
      <c r="AD286" s="133"/>
      <c r="AE286" s="133"/>
      <c r="AF286" s="222"/>
      <c r="AG286" s="222"/>
      <c r="AH286" s="222"/>
      <c r="AI286" s="176"/>
      <c r="AJ286" s="176"/>
      <c r="AK286" s="176"/>
      <c r="AL286" s="176"/>
      <c r="AM286" s="176"/>
      <c r="AN286" s="176"/>
      <c r="AO286" s="176"/>
      <c r="AP286" s="176"/>
      <c r="AQ286" s="176"/>
      <c r="AR286" s="176"/>
      <c r="AS286" s="176"/>
      <c r="AT286" s="176"/>
      <c r="AU286" s="176"/>
      <c r="AV286" s="176"/>
      <c r="AW286" s="176"/>
      <c r="AX286" s="176"/>
      <c r="AY286" s="176"/>
      <c r="AZ286" s="176"/>
      <c r="BA286" s="176"/>
      <c r="BB286" s="176"/>
      <c r="BC286" s="176"/>
      <c r="BD286" s="176"/>
      <c r="BE286" s="176"/>
      <c r="BF286" s="176"/>
      <c r="BG286" s="176"/>
      <c r="BH286" s="176"/>
      <c r="BI286" s="176"/>
      <c r="BJ286" s="176"/>
      <c r="BK286" s="176"/>
      <c r="BL286" s="176"/>
      <c r="BM286" s="176"/>
      <c r="BN286" s="176"/>
      <c r="BO286" s="176"/>
    </row>
    <row r="287" spans="1:67" s="36" customFormat="1" ht="10.5" customHeight="1" x14ac:dyDescent="0.2">
      <c r="A287" s="1043" t="s">
        <v>360</v>
      </c>
      <c r="B287" s="2594"/>
      <c r="C287" s="2595"/>
      <c r="D287" s="2596"/>
      <c r="E287" s="2395"/>
      <c r="F287" s="2396"/>
      <c r="G287" s="1058">
        <v>20</v>
      </c>
      <c r="H287" s="1059"/>
      <c r="I287" s="1081">
        <f t="shared" si="75"/>
        <v>6.2642070767998229E-2</v>
      </c>
      <c r="J287" s="1082">
        <f t="shared" si="76"/>
        <v>0</v>
      </c>
      <c r="K287" s="1061"/>
      <c r="L287" s="1305"/>
      <c r="M287" s="1086">
        <f t="shared" si="77"/>
        <v>0</v>
      </c>
      <c r="N287" s="503"/>
      <c r="O287" s="365">
        <f t="shared" si="78"/>
        <v>20</v>
      </c>
      <c r="P287" s="366"/>
      <c r="Q287" s="135"/>
      <c r="R287" s="136"/>
      <c r="S287" s="129"/>
      <c r="T287" s="129"/>
      <c r="U287" s="129"/>
      <c r="V287" s="129"/>
      <c r="W287" s="129"/>
      <c r="X287" s="129"/>
      <c r="Y287" s="129"/>
      <c r="Z287" s="133"/>
      <c r="AA287" s="133"/>
      <c r="AB287" s="133"/>
      <c r="AC287" s="133"/>
      <c r="AD287" s="133"/>
      <c r="AE287" s="133"/>
      <c r="AF287" s="222"/>
      <c r="AG287" s="222"/>
      <c r="AH287" s="222"/>
      <c r="AI287" s="176"/>
      <c r="AJ287" s="176"/>
      <c r="AK287" s="176"/>
      <c r="AL287" s="176"/>
      <c r="AM287" s="176"/>
      <c r="AN287" s="176"/>
      <c r="AO287" s="176"/>
      <c r="AP287" s="176"/>
      <c r="AQ287" s="176"/>
      <c r="AR287" s="176"/>
      <c r="AS287" s="176"/>
      <c r="AT287" s="176"/>
      <c r="AU287" s="176"/>
      <c r="AV287" s="176"/>
      <c r="AW287" s="176"/>
      <c r="AX287" s="176"/>
      <c r="AY287" s="176"/>
      <c r="AZ287" s="176"/>
      <c r="BA287" s="176"/>
      <c r="BB287" s="176"/>
      <c r="BC287" s="176"/>
      <c r="BD287" s="176"/>
      <c r="BE287" s="176"/>
      <c r="BF287" s="176"/>
      <c r="BG287" s="176"/>
      <c r="BH287" s="176"/>
      <c r="BI287" s="176"/>
      <c r="BJ287" s="176"/>
      <c r="BK287" s="176"/>
      <c r="BL287" s="176"/>
      <c r="BM287" s="176"/>
      <c r="BN287" s="176"/>
      <c r="BO287" s="176"/>
    </row>
    <row r="288" spans="1:67" s="36" customFormat="1" ht="10.5" customHeight="1" x14ac:dyDescent="0.2">
      <c r="A288" s="1043" t="s">
        <v>361</v>
      </c>
      <c r="B288" s="2594"/>
      <c r="C288" s="2595"/>
      <c r="D288" s="2596"/>
      <c r="E288" s="2395"/>
      <c r="F288" s="2396"/>
      <c r="G288" s="1058">
        <v>20</v>
      </c>
      <c r="H288" s="1059"/>
      <c r="I288" s="1081">
        <f t="shared" si="75"/>
        <v>6.2642070767998229E-2</v>
      </c>
      <c r="J288" s="1082">
        <f t="shared" si="76"/>
        <v>0</v>
      </c>
      <c r="K288" s="1061">
        <v>2</v>
      </c>
      <c r="L288" s="1305"/>
      <c r="M288" s="1086">
        <f t="shared" si="77"/>
        <v>0</v>
      </c>
      <c r="N288" s="503"/>
      <c r="O288" s="365">
        <f t="shared" si="78"/>
        <v>20</v>
      </c>
      <c r="P288" s="366"/>
      <c r="Q288" s="135"/>
      <c r="R288" s="136"/>
      <c r="S288" s="129"/>
      <c r="T288" s="129"/>
      <c r="U288" s="129"/>
      <c r="V288" s="129"/>
      <c r="W288" s="129"/>
      <c r="X288" s="129"/>
      <c r="Y288" s="129"/>
      <c r="Z288" s="133"/>
      <c r="AA288" s="133"/>
      <c r="AB288" s="133"/>
      <c r="AC288" s="133"/>
      <c r="AD288" s="133"/>
      <c r="AE288" s="133"/>
      <c r="AF288" s="222"/>
      <c r="AG288" s="222"/>
      <c r="AH288" s="222"/>
      <c r="AI288" s="176"/>
      <c r="AJ288" s="176"/>
      <c r="AK288" s="176"/>
      <c r="AL288" s="176"/>
      <c r="AM288" s="176"/>
      <c r="AN288" s="176"/>
      <c r="AO288" s="176"/>
      <c r="AP288" s="176"/>
      <c r="AQ288" s="176"/>
      <c r="AR288" s="176"/>
      <c r="AS288" s="176"/>
      <c r="AT288" s="176"/>
      <c r="AU288" s="176"/>
      <c r="AV288" s="176"/>
      <c r="AW288" s="176"/>
      <c r="AX288" s="176"/>
      <c r="AY288" s="176"/>
      <c r="AZ288" s="176"/>
      <c r="BA288" s="176"/>
      <c r="BB288" s="176"/>
      <c r="BC288" s="176"/>
      <c r="BD288" s="176"/>
      <c r="BE288" s="176"/>
      <c r="BF288" s="176"/>
      <c r="BG288" s="176"/>
      <c r="BH288" s="176"/>
      <c r="BI288" s="176"/>
      <c r="BJ288" s="176"/>
      <c r="BK288" s="176"/>
      <c r="BL288" s="176"/>
      <c r="BM288" s="176"/>
      <c r="BN288" s="176"/>
      <c r="BO288" s="176"/>
    </row>
    <row r="289" spans="1:67" s="36" customFormat="1" ht="10.5" customHeight="1" x14ac:dyDescent="0.2">
      <c r="A289" s="1043" t="s">
        <v>362</v>
      </c>
      <c r="B289" s="2594"/>
      <c r="C289" s="2595"/>
      <c r="D289" s="2596"/>
      <c r="E289" s="2395"/>
      <c r="F289" s="2396"/>
      <c r="G289" s="1058">
        <v>20</v>
      </c>
      <c r="H289" s="1059"/>
      <c r="I289" s="1081">
        <f t="shared" si="75"/>
        <v>6.2642070767998229E-2</v>
      </c>
      <c r="J289" s="1082">
        <f t="shared" si="76"/>
        <v>0</v>
      </c>
      <c r="K289" s="1061"/>
      <c r="L289" s="1305"/>
      <c r="M289" s="1086">
        <f t="shared" si="77"/>
        <v>0</v>
      </c>
      <c r="N289" s="503"/>
      <c r="O289" s="365">
        <f t="shared" si="78"/>
        <v>20</v>
      </c>
      <c r="P289" s="366"/>
      <c r="Q289" s="135"/>
      <c r="R289" s="136"/>
      <c r="S289" s="129"/>
      <c r="T289" s="129"/>
      <c r="U289" s="129"/>
      <c r="V289" s="129"/>
      <c r="W289" s="129"/>
      <c r="X289" s="129"/>
      <c r="Y289" s="129"/>
      <c r="Z289" s="133"/>
      <c r="AA289" s="133"/>
      <c r="AB289" s="133"/>
      <c r="AC289" s="133"/>
      <c r="AD289" s="133"/>
      <c r="AE289" s="133"/>
      <c r="AF289" s="222"/>
      <c r="AG289" s="222"/>
      <c r="AH289" s="222"/>
      <c r="AI289" s="176"/>
      <c r="AJ289" s="176"/>
      <c r="AK289" s="176"/>
      <c r="AL289" s="176"/>
      <c r="AM289" s="176"/>
      <c r="AN289" s="176"/>
      <c r="AO289" s="176"/>
      <c r="AP289" s="176"/>
      <c r="AQ289" s="176"/>
      <c r="AR289" s="176"/>
      <c r="AS289" s="176"/>
      <c r="AT289" s="176"/>
      <c r="AU289" s="176"/>
      <c r="AV289" s="176"/>
      <c r="AW289" s="176"/>
      <c r="AX289" s="176"/>
      <c r="AY289" s="176"/>
      <c r="AZ289" s="176"/>
      <c r="BA289" s="176"/>
      <c r="BB289" s="176"/>
      <c r="BC289" s="176"/>
      <c r="BD289" s="176"/>
      <c r="BE289" s="176"/>
      <c r="BF289" s="176"/>
      <c r="BG289" s="176"/>
      <c r="BH289" s="176"/>
      <c r="BI289" s="176"/>
      <c r="BJ289" s="176"/>
      <c r="BK289" s="176"/>
      <c r="BL289" s="176"/>
      <c r="BM289" s="176"/>
      <c r="BN289" s="176"/>
      <c r="BO289" s="176"/>
    </row>
    <row r="290" spans="1:67" s="36" customFormat="1" ht="10.5" customHeight="1" x14ac:dyDescent="0.2">
      <c r="A290" s="1043" t="s">
        <v>363</v>
      </c>
      <c r="B290" s="2594"/>
      <c r="C290" s="2595"/>
      <c r="D290" s="2596"/>
      <c r="E290" s="2395"/>
      <c r="F290" s="2396"/>
      <c r="G290" s="1058">
        <v>20</v>
      </c>
      <c r="H290" s="1059"/>
      <c r="I290" s="1081">
        <f t="shared" si="75"/>
        <v>6.2642070767998229E-2</v>
      </c>
      <c r="J290" s="1082">
        <f t="shared" si="76"/>
        <v>0</v>
      </c>
      <c r="K290" s="1061"/>
      <c r="L290" s="1305"/>
      <c r="M290" s="1086">
        <f t="shared" si="77"/>
        <v>0</v>
      </c>
      <c r="N290" s="503"/>
      <c r="O290" s="365">
        <f t="shared" si="78"/>
        <v>20</v>
      </c>
      <c r="P290" s="366"/>
      <c r="Q290" s="135"/>
      <c r="R290" s="136"/>
      <c r="S290" s="129"/>
      <c r="T290" s="129"/>
      <c r="U290" s="129"/>
      <c r="V290" s="129"/>
      <c r="W290" s="129"/>
      <c r="X290" s="129"/>
      <c r="Y290" s="129"/>
      <c r="Z290" s="133"/>
      <c r="AA290" s="133"/>
      <c r="AB290" s="133"/>
      <c r="AC290" s="133"/>
      <c r="AD290" s="133"/>
      <c r="AE290" s="133"/>
      <c r="AF290" s="222"/>
      <c r="AG290" s="222"/>
      <c r="AH290" s="222"/>
      <c r="AI290" s="176"/>
      <c r="AJ290" s="176"/>
      <c r="AK290" s="176"/>
      <c r="AL290" s="176"/>
      <c r="AM290" s="176"/>
      <c r="AN290" s="176"/>
      <c r="AO290" s="176"/>
      <c r="AP290" s="176"/>
      <c r="AQ290" s="176"/>
      <c r="AR290" s="176"/>
      <c r="AS290" s="176"/>
      <c r="AT290" s="176"/>
      <c r="AU290" s="176"/>
      <c r="AV290" s="176"/>
      <c r="AW290" s="176"/>
      <c r="AX290" s="176"/>
      <c r="AY290" s="176"/>
      <c r="AZ290" s="176"/>
      <c r="BA290" s="176"/>
      <c r="BB290" s="176"/>
      <c r="BC290" s="176"/>
      <c r="BD290" s="176"/>
      <c r="BE290" s="176"/>
      <c r="BF290" s="176"/>
      <c r="BG290" s="176"/>
      <c r="BH290" s="176"/>
      <c r="BI290" s="176"/>
      <c r="BJ290" s="176"/>
      <c r="BK290" s="176"/>
      <c r="BL290" s="176"/>
      <c r="BM290" s="176"/>
      <c r="BN290" s="176"/>
      <c r="BO290" s="176"/>
    </row>
    <row r="291" spans="1:67" s="36" customFormat="1" ht="10.5" customHeight="1" x14ac:dyDescent="0.2">
      <c r="A291" s="1055"/>
      <c r="B291" s="2594"/>
      <c r="C291" s="2595"/>
      <c r="D291" s="2596"/>
      <c r="E291" s="2395"/>
      <c r="F291" s="2396"/>
      <c r="G291" s="2590"/>
      <c r="H291" s="2591"/>
      <c r="I291" s="1081">
        <f t="shared" si="75"/>
        <v>0</v>
      </c>
      <c r="J291" s="1082">
        <f t="shared" si="76"/>
        <v>0</v>
      </c>
      <c r="K291" s="2588"/>
      <c r="L291" s="2589"/>
      <c r="M291" s="1086">
        <f t="shared" si="77"/>
        <v>0</v>
      </c>
      <c r="N291" s="503"/>
      <c r="O291" s="365">
        <f t="shared" si="78"/>
        <v>0</v>
      </c>
      <c r="P291" s="366"/>
      <c r="Q291" s="135"/>
      <c r="R291" s="136"/>
      <c r="S291" s="129"/>
      <c r="T291" s="129"/>
      <c r="U291" s="129"/>
      <c r="V291" s="129"/>
      <c r="W291" s="129"/>
      <c r="X291" s="129"/>
      <c r="Y291" s="129"/>
      <c r="Z291" s="133"/>
      <c r="AA291" s="133"/>
      <c r="AB291" s="133"/>
      <c r="AC291" s="133"/>
      <c r="AD291" s="133"/>
      <c r="AE291" s="133"/>
      <c r="AF291" s="222"/>
      <c r="AG291" s="222"/>
      <c r="AH291" s="222"/>
      <c r="AI291" s="176"/>
      <c r="AJ291" s="176"/>
      <c r="AK291" s="176"/>
      <c r="AL291" s="176"/>
      <c r="AM291" s="176"/>
      <c r="AN291" s="176"/>
      <c r="AO291" s="176"/>
      <c r="AP291" s="176"/>
      <c r="AQ291" s="176"/>
      <c r="AR291" s="176"/>
      <c r="AS291" s="176"/>
      <c r="AT291" s="176"/>
      <c r="AU291" s="176"/>
      <c r="AV291" s="176"/>
      <c r="AW291" s="176"/>
      <c r="AX291" s="176"/>
      <c r="AY291" s="176"/>
      <c r="AZ291" s="176"/>
      <c r="BA291" s="176"/>
      <c r="BB291" s="176"/>
      <c r="BC291" s="176"/>
      <c r="BD291" s="176"/>
      <c r="BE291" s="176"/>
      <c r="BF291" s="176"/>
      <c r="BG291" s="176"/>
      <c r="BH291" s="176"/>
      <c r="BI291" s="176"/>
      <c r="BJ291" s="176"/>
      <c r="BK291" s="176"/>
      <c r="BL291" s="176"/>
      <c r="BM291" s="176"/>
      <c r="BN291" s="176"/>
      <c r="BO291" s="176"/>
    </row>
    <row r="292" spans="1:67" s="36" customFormat="1" ht="10.5" customHeight="1" x14ac:dyDescent="0.2">
      <c r="A292" s="1055"/>
      <c r="B292" s="2594"/>
      <c r="C292" s="2595"/>
      <c r="D292" s="2596"/>
      <c r="E292" s="2395"/>
      <c r="F292" s="2396"/>
      <c r="G292" s="2590"/>
      <c r="H292" s="2591"/>
      <c r="I292" s="1081">
        <f t="shared" si="75"/>
        <v>0</v>
      </c>
      <c r="J292" s="1082">
        <f t="shared" si="76"/>
        <v>0</v>
      </c>
      <c r="K292" s="2588"/>
      <c r="L292" s="2589"/>
      <c r="M292" s="1086">
        <f t="shared" si="77"/>
        <v>0</v>
      </c>
      <c r="N292" s="503"/>
      <c r="O292" s="365">
        <f t="shared" si="78"/>
        <v>0</v>
      </c>
      <c r="P292" s="366"/>
      <c r="Q292" s="135"/>
      <c r="R292" s="136"/>
      <c r="S292" s="129"/>
      <c r="T292" s="129"/>
      <c r="U292" s="129"/>
      <c r="V292" s="129"/>
      <c r="W292" s="129"/>
      <c r="X292" s="129"/>
      <c r="Y292" s="129"/>
      <c r="Z292" s="133"/>
      <c r="AA292" s="133"/>
      <c r="AB292" s="133"/>
      <c r="AC292" s="133"/>
      <c r="AD292" s="133"/>
      <c r="AE292" s="133"/>
      <c r="AF292" s="222"/>
      <c r="AG292" s="222"/>
      <c r="AH292" s="222"/>
      <c r="AI292" s="176"/>
      <c r="AJ292" s="176"/>
      <c r="AK292" s="176"/>
      <c r="AL292" s="176"/>
      <c r="AM292" s="176"/>
      <c r="AN292" s="176"/>
      <c r="AO292" s="176"/>
      <c r="AP292" s="176"/>
      <c r="AQ292" s="176"/>
      <c r="AR292" s="176"/>
      <c r="AS292" s="176"/>
      <c r="AT292" s="176"/>
      <c r="AU292" s="176"/>
      <c r="AV292" s="176"/>
      <c r="AW292" s="176"/>
      <c r="AX292" s="176"/>
      <c r="AY292" s="176"/>
      <c r="AZ292" s="176"/>
      <c r="BA292" s="176"/>
      <c r="BB292" s="176"/>
      <c r="BC292" s="176"/>
      <c r="BD292" s="176"/>
      <c r="BE292" s="176"/>
      <c r="BF292" s="176"/>
      <c r="BG292" s="176"/>
      <c r="BH292" s="176"/>
      <c r="BI292" s="176"/>
      <c r="BJ292" s="176"/>
      <c r="BK292" s="176"/>
      <c r="BL292" s="176"/>
      <c r="BM292" s="176"/>
      <c r="BN292" s="176"/>
      <c r="BO292" s="176"/>
    </row>
    <row r="293" spans="1:67" s="36" customFormat="1" ht="10.5" customHeight="1" x14ac:dyDescent="0.2">
      <c r="A293" s="1055"/>
      <c r="B293" s="2594"/>
      <c r="C293" s="2595"/>
      <c r="D293" s="2596"/>
      <c r="E293" s="2395"/>
      <c r="F293" s="2396"/>
      <c r="G293" s="2590"/>
      <c r="H293" s="2591"/>
      <c r="I293" s="1081">
        <f t="shared" si="75"/>
        <v>0</v>
      </c>
      <c r="J293" s="1082">
        <f t="shared" si="76"/>
        <v>0</v>
      </c>
      <c r="K293" s="2588"/>
      <c r="L293" s="2589"/>
      <c r="M293" s="1086">
        <f t="shared" si="77"/>
        <v>0</v>
      </c>
      <c r="N293" s="503"/>
      <c r="O293" s="365">
        <f t="shared" si="78"/>
        <v>0</v>
      </c>
      <c r="P293" s="366"/>
      <c r="Q293" s="135"/>
      <c r="R293" s="136"/>
      <c r="S293" s="129"/>
      <c r="T293" s="129"/>
      <c r="U293" s="129"/>
      <c r="V293" s="129"/>
      <c r="W293" s="129"/>
      <c r="X293" s="129"/>
      <c r="Y293" s="129"/>
      <c r="Z293" s="133"/>
      <c r="AA293" s="133"/>
      <c r="AB293" s="133"/>
      <c r="AC293" s="133"/>
      <c r="AD293" s="133"/>
      <c r="AE293" s="133"/>
      <c r="AF293" s="222"/>
      <c r="AG293" s="222"/>
      <c r="AH293" s="222"/>
      <c r="AI293" s="176"/>
      <c r="AJ293" s="176"/>
      <c r="AK293" s="176"/>
      <c r="AL293" s="176"/>
      <c r="AM293" s="176"/>
      <c r="AN293" s="176"/>
      <c r="AO293" s="176"/>
      <c r="AP293" s="176"/>
      <c r="AQ293" s="176"/>
      <c r="AR293" s="176"/>
      <c r="AS293" s="176"/>
      <c r="AT293" s="176"/>
      <c r="AU293" s="176"/>
      <c r="AV293" s="176"/>
      <c r="AW293" s="176"/>
      <c r="AX293" s="176"/>
      <c r="AY293" s="176"/>
      <c r="AZ293" s="176"/>
      <c r="BA293" s="176"/>
      <c r="BB293" s="176"/>
      <c r="BC293" s="176"/>
      <c r="BD293" s="176"/>
      <c r="BE293" s="176"/>
      <c r="BF293" s="176"/>
      <c r="BG293" s="176"/>
      <c r="BH293" s="176"/>
      <c r="BI293" s="176"/>
      <c r="BJ293" s="176"/>
      <c r="BK293" s="176"/>
      <c r="BL293" s="176"/>
      <c r="BM293" s="176"/>
      <c r="BN293" s="176"/>
      <c r="BO293" s="176"/>
    </row>
    <row r="294" spans="1:67" s="36" customFormat="1" ht="10.5" customHeight="1" x14ac:dyDescent="0.2">
      <c r="A294" s="1055"/>
      <c r="B294" s="2594"/>
      <c r="C294" s="2595"/>
      <c r="D294" s="2596"/>
      <c r="E294" s="2395"/>
      <c r="F294" s="2396"/>
      <c r="G294" s="2590"/>
      <c r="H294" s="2591"/>
      <c r="I294" s="1081">
        <f t="shared" si="75"/>
        <v>0</v>
      </c>
      <c r="J294" s="1082">
        <f t="shared" si="76"/>
        <v>0</v>
      </c>
      <c r="K294" s="2588"/>
      <c r="L294" s="2589"/>
      <c r="M294" s="1086">
        <f t="shared" si="77"/>
        <v>0</v>
      </c>
      <c r="N294" s="503"/>
      <c r="O294" s="365">
        <f t="shared" si="78"/>
        <v>0</v>
      </c>
      <c r="P294" s="366"/>
      <c r="Q294" s="135"/>
      <c r="R294" s="136"/>
      <c r="S294" s="129"/>
      <c r="T294" s="129"/>
      <c r="U294" s="129"/>
      <c r="V294" s="129"/>
      <c r="W294" s="129"/>
      <c r="X294" s="129"/>
      <c r="Y294" s="129"/>
      <c r="Z294" s="133"/>
      <c r="AA294" s="133"/>
      <c r="AB294" s="133"/>
      <c r="AC294" s="133"/>
      <c r="AD294" s="133"/>
      <c r="AE294" s="133"/>
      <c r="AF294" s="222"/>
      <c r="AG294" s="222"/>
      <c r="AH294" s="222"/>
      <c r="AI294" s="176"/>
      <c r="AJ294" s="176"/>
      <c r="AK294" s="176"/>
      <c r="AL294" s="176"/>
      <c r="AM294" s="176"/>
      <c r="AN294" s="176"/>
      <c r="AO294" s="176"/>
      <c r="AP294" s="176"/>
      <c r="AQ294" s="176"/>
      <c r="AR294" s="176"/>
      <c r="AS294" s="176"/>
      <c r="AT294" s="176"/>
      <c r="AU294" s="176"/>
      <c r="AV294" s="176"/>
      <c r="AW294" s="176"/>
      <c r="AX294" s="176"/>
      <c r="AY294" s="176"/>
      <c r="AZ294" s="176"/>
      <c r="BA294" s="176"/>
      <c r="BB294" s="176"/>
      <c r="BC294" s="176"/>
      <c r="BD294" s="176"/>
      <c r="BE294" s="176"/>
      <c r="BF294" s="176"/>
      <c r="BG294" s="176"/>
      <c r="BH294" s="176"/>
      <c r="BI294" s="176"/>
      <c r="BJ294" s="176"/>
      <c r="BK294" s="176"/>
      <c r="BL294" s="176"/>
      <c r="BM294" s="176"/>
      <c r="BN294" s="176"/>
      <c r="BO294" s="176"/>
    </row>
    <row r="295" spans="1:67" s="36" customFormat="1" ht="10.5" customHeight="1" x14ac:dyDescent="0.2">
      <c r="A295" s="1055"/>
      <c r="B295" s="2594"/>
      <c r="C295" s="2595"/>
      <c r="D295" s="2596"/>
      <c r="E295" s="2395"/>
      <c r="F295" s="2396"/>
      <c r="G295" s="2590"/>
      <c r="H295" s="2591"/>
      <c r="I295" s="1081">
        <f t="shared" si="75"/>
        <v>0</v>
      </c>
      <c r="J295" s="1082">
        <f t="shared" si="76"/>
        <v>0</v>
      </c>
      <c r="K295" s="2588"/>
      <c r="L295" s="2589"/>
      <c r="M295" s="1086">
        <f t="shared" si="77"/>
        <v>0</v>
      </c>
      <c r="N295" s="503"/>
      <c r="O295" s="365">
        <f t="shared" si="78"/>
        <v>0</v>
      </c>
      <c r="P295" s="366"/>
      <c r="Q295" s="135"/>
      <c r="R295" s="136"/>
      <c r="S295" s="129"/>
      <c r="T295" s="129"/>
      <c r="U295" s="129"/>
      <c r="V295" s="129"/>
      <c r="W295" s="129"/>
      <c r="X295" s="129"/>
      <c r="Y295" s="129"/>
      <c r="Z295" s="133"/>
      <c r="AA295" s="133"/>
      <c r="AB295" s="133"/>
      <c r="AC295" s="133"/>
      <c r="AD295" s="133"/>
      <c r="AE295" s="133"/>
      <c r="AF295" s="222"/>
      <c r="AG295" s="222"/>
      <c r="AH295" s="222"/>
      <c r="AI295" s="176"/>
      <c r="AJ295" s="176"/>
      <c r="AK295" s="176"/>
      <c r="AL295" s="176"/>
      <c r="AM295" s="176"/>
      <c r="AN295" s="176"/>
      <c r="AO295" s="176"/>
      <c r="AP295" s="176"/>
      <c r="AQ295" s="176"/>
      <c r="AR295" s="176"/>
      <c r="AS295" s="176"/>
      <c r="AT295" s="176"/>
      <c r="AU295" s="176"/>
      <c r="AV295" s="176"/>
      <c r="AW295" s="176"/>
      <c r="AX295" s="176"/>
      <c r="AY295" s="176"/>
      <c r="AZ295" s="176"/>
      <c r="BA295" s="176"/>
      <c r="BB295" s="176"/>
      <c r="BC295" s="176"/>
      <c r="BD295" s="176"/>
      <c r="BE295" s="176"/>
      <c r="BF295" s="176"/>
      <c r="BG295" s="176"/>
      <c r="BH295" s="176"/>
      <c r="BI295" s="176"/>
      <c r="BJ295" s="176"/>
      <c r="BK295" s="176"/>
      <c r="BL295" s="176"/>
      <c r="BM295" s="176"/>
      <c r="BN295" s="176"/>
      <c r="BO295" s="176"/>
    </row>
    <row r="296" spans="1:67" s="36" customFormat="1" ht="10.5" customHeight="1" x14ac:dyDescent="0.2">
      <c r="A296" s="1044"/>
      <c r="B296" s="2608"/>
      <c r="C296" s="2609"/>
      <c r="D296" s="2610"/>
      <c r="E296" s="2601"/>
      <c r="F296" s="2602"/>
      <c r="G296" s="1088"/>
      <c r="H296" s="1089"/>
      <c r="I296" s="1083">
        <f t="shared" si="75"/>
        <v>0</v>
      </c>
      <c r="J296" s="1084"/>
      <c r="K296" s="1087"/>
      <c r="L296" s="1307"/>
      <c r="M296" s="1317">
        <f t="shared" si="77"/>
        <v>0</v>
      </c>
      <c r="N296" s="503"/>
      <c r="O296" s="365">
        <f t="shared" si="78"/>
        <v>0</v>
      </c>
      <c r="P296" s="366"/>
      <c r="Q296" s="135"/>
      <c r="R296" s="136"/>
      <c r="S296" s="129"/>
      <c r="T296" s="129"/>
      <c r="U296" s="129"/>
      <c r="V296" s="129"/>
      <c r="W296" s="129"/>
      <c r="X296" s="129"/>
      <c r="Y296" s="129"/>
      <c r="Z296" s="133"/>
      <c r="AA296" s="133"/>
      <c r="AB296" s="133"/>
      <c r="AC296" s="133"/>
      <c r="AD296" s="133"/>
      <c r="AE296" s="133"/>
      <c r="AF296" s="222"/>
      <c r="AG296" s="222"/>
      <c r="AH296" s="222"/>
      <c r="AI296" s="176"/>
      <c r="AJ296" s="176"/>
      <c r="AK296" s="176"/>
      <c r="AL296" s="176"/>
      <c r="AM296" s="176"/>
      <c r="AN296" s="176"/>
      <c r="AO296" s="176"/>
      <c r="AP296" s="176"/>
      <c r="AQ296" s="176"/>
      <c r="AR296" s="176"/>
      <c r="AS296" s="176"/>
      <c r="AT296" s="176"/>
      <c r="AU296" s="176"/>
      <c r="AV296" s="176"/>
      <c r="AW296" s="176"/>
      <c r="AX296" s="176"/>
      <c r="AY296" s="176"/>
      <c r="AZ296" s="176"/>
      <c r="BA296" s="176"/>
      <c r="BB296" s="176"/>
      <c r="BC296" s="176"/>
      <c r="BD296" s="176"/>
      <c r="BE296" s="176"/>
      <c r="BF296" s="176"/>
      <c r="BG296" s="176"/>
      <c r="BH296" s="176"/>
      <c r="BI296" s="176"/>
      <c r="BJ296" s="176"/>
      <c r="BK296" s="176"/>
      <c r="BL296" s="176"/>
      <c r="BM296" s="176"/>
      <c r="BN296" s="176"/>
      <c r="BO296" s="176"/>
    </row>
    <row r="297" spans="1:67" s="36" customFormat="1" ht="10.5" customHeight="1" x14ac:dyDescent="0.2">
      <c r="A297" s="1103" t="s">
        <v>364</v>
      </c>
      <c r="B297" s="2611"/>
      <c r="C297" s="2612"/>
      <c r="D297" s="2613"/>
      <c r="E297" s="2614">
        <f>SUM(E298:E310)</f>
        <v>0</v>
      </c>
      <c r="F297" s="2615"/>
      <c r="G297" s="2616"/>
      <c r="H297" s="2617"/>
      <c r="I297" s="1116">
        <f>IF(E297=0,0,J297/E297)</f>
        <v>0</v>
      </c>
      <c r="J297" s="1119">
        <f>SUM(J298:J310)</f>
        <v>0</v>
      </c>
      <c r="K297" s="2618">
        <f>IF(E297=0,0,M297/E297*100)</f>
        <v>0</v>
      </c>
      <c r="L297" s="2619"/>
      <c r="M297" s="1316">
        <f>SUM(M298:M310)</f>
        <v>0</v>
      </c>
      <c r="N297" s="503"/>
      <c r="O297" s="178">
        <f>IF(H297="",G297,H297)</f>
        <v>0</v>
      </c>
      <c r="P297" s="366"/>
      <c r="Q297" s="135"/>
      <c r="R297" s="136"/>
      <c r="S297" s="129"/>
      <c r="T297" s="129"/>
      <c r="U297" s="129"/>
      <c r="V297" s="129"/>
      <c r="W297" s="129"/>
      <c r="X297" s="129"/>
      <c r="Y297" s="129"/>
      <c r="Z297" s="133"/>
      <c r="AA297" s="133"/>
      <c r="AB297" s="133"/>
      <c r="AC297" s="133"/>
      <c r="AD297" s="133"/>
      <c r="AE297" s="133"/>
      <c r="AF297" s="222"/>
      <c r="AG297" s="222"/>
      <c r="AH297" s="222"/>
      <c r="AI297" s="176"/>
      <c r="AJ297" s="176"/>
      <c r="AK297" s="176"/>
      <c r="AL297" s="176"/>
      <c r="AM297" s="176"/>
      <c r="AN297" s="176"/>
      <c r="AO297" s="176"/>
      <c r="AP297" s="176"/>
      <c r="AQ297" s="176"/>
      <c r="AR297" s="176"/>
      <c r="AS297" s="176"/>
      <c r="AT297" s="176"/>
      <c r="AU297" s="176"/>
      <c r="AV297" s="176"/>
      <c r="AW297" s="176"/>
      <c r="AX297" s="176"/>
      <c r="AY297" s="176"/>
      <c r="AZ297" s="176"/>
      <c r="BA297" s="176"/>
      <c r="BB297" s="176"/>
      <c r="BC297" s="176"/>
      <c r="BD297" s="176"/>
      <c r="BE297" s="176"/>
      <c r="BF297" s="176"/>
      <c r="BG297" s="176"/>
      <c r="BH297" s="176"/>
      <c r="BI297" s="176"/>
      <c r="BJ297" s="176"/>
      <c r="BK297" s="176"/>
      <c r="BL297" s="176"/>
      <c r="BM297" s="176"/>
      <c r="BN297" s="176"/>
      <c r="BO297" s="176"/>
    </row>
    <row r="298" spans="1:67" s="36" customFormat="1" ht="10.5" customHeight="1" x14ac:dyDescent="0.2">
      <c r="A298" s="1055"/>
      <c r="B298" s="2594"/>
      <c r="C298" s="2595"/>
      <c r="D298" s="2596"/>
      <c r="E298" s="2395"/>
      <c r="F298" s="2396"/>
      <c r="G298" s="2590"/>
      <c r="H298" s="2591"/>
      <c r="I298" s="1081">
        <f t="shared" ref="I298:I311" si="79">IF($O298&gt;0,-PMT(($I$9),$O298,1),0)</f>
        <v>0</v>
      </c>
      <c r="J298" s="1082">
        <f t="shared" ref="J298:J310" si="80">ROUND(E298*I298,0)</f>
        <v>0</v>
      </c>
      <c r="K298" s="2588"/>
      <c r="L298" s="2589"/>
      <c r="M298" s="1086">
        <f t="shared" ref="M298:M311" si="81">ROUND(E298/100*IF(ISBLANK(L298),K298,L298),0)</f>
        <v>0</v>
      </c>
      <c r="N298" s="503"/>
      <c r="O298" s="365">
        <f t="shared" ref="O298:O311" si="82">IF(ISBLANK(H298),G298,H298)</f>
        <v>0</v>
      </c>
      <c r="P298" s="366"/>
      <c r="Q298" s="135"/>
      <c r="R298" s="136"/>
      <c r="S298" s="129"/>
      <c r="T298" s="129"/>
      <c r="U298" s="129"/>
      <c r="V298" s="129"/>
      <c r="W298" s="129"/>
      <c r="X298" s="129"/>
      <c r="Y298" s="129"/>
      <c r="Z298" s="133"/>
      <c r="AA298" s="133"/>
      <c r="AB298" s="133"/>
      <c r="AC298" s="133"/>
      <c r="AD298" s="133"/>
      <c r="AE298" s="133"/>
      <c r="AF298" s="222"/>
      <c r="AG298" s="222"/>
      <c r="AH298" s="222"/>
      <c r="AI298" s="176"/>
      <c r="AJ298" s="176"/>
      <c r="AK298" s="176"/>
      <c r="AL298" s="176"/>
      <c r="AM298" s="176"/>
      <c r="AN298" s="176"/>
      <c r="AO298" s="176"/>
      <c r="AP298" s="176"/>
      <c r="AQ298" s="176"/>
      <c r="AR298" s="176"/>
      <c r="AS298" s="176"/>
      <c r="AT298" s="176"/>
      <c r="AU298" s="176"/>
      <c r="AV298" s="176"/>
      <c r="AW298" s="176"/>
      <c r="AX298" s="176"/>
      <c r="AY298" s="176"/>
      <c r="AZ298" s="176"/>
      <c r="BA298" s="176"/>
      <c r="BB298" s="176"/>
      <c r="BC298" s="176"/>
      <c r="BD298" s="176"/>
      <c r="BE298" s="176"/>
      <c r="BF298" s="176"/>
      <c r="BG298" s="176"/>
      <c r="BH298" s="176"/>
      <c r="BI298" s="176"/>
      <c r="BJ298" s="176"/>
      <c r="BK298" s="176"/>
      <c r="BL298" s="176"/>
      <c r="BM298" s="176"/>
      <c r="BN298" s="176"/>
      <c r="BO298" s="176"/>
    </row>
    <row r="299" spans="1:67" s="36" customFormat="1" ht="10.5" customHeight="1" x14ac:dyDescent="0.2">
      <c r="A299" s="1055"/>
      <c r="B299" s="2594"/>
      <c r="C299" s="2595"/>
      <c r="D299" s="2596"/>
      <c r="E299" s="2395"/>
      <c r="F299" s="2396"/>
      <c r="G299" s="2590"/>
      <c r="H299" s="2591"/>
      <c r="I299" s="1081">
        <f t="shared" si="79"/>
        <v>0</v>
      </c>
      <c r="J299" s="1082">
        <f t="shared" si="80"/>
        <v>0</v>
      </c>
      <c r="K299" s="2588"/>
      <c r="L299" s="2589"/>
      <c r="M299" s="1086">
        <f t="shared" si="81"/>
        <v>0</v>
      </c>
      <c r="N299" s="503"/>
      <c r="O299" s="365">
        <f t="shared" si="82"/>
        <v>0</v>
      </c>
      <c r="P299" s="366"/>
      <c r="Q299" s="135"/>
      <c r="R299" s="136"/>
      <c r="S299" s="129"/>
      <c r="T299" s="129"/>
      <c r="U299" s="129"/>
      <c r="V299" s="129"/>
      <c r="W299" s="129"/>
      <c r="X299" s="129"/>
      <c r="Y299" s="129"/>
      <c r="Z299" s="133"/>
      <c r="AA299" s="133"/>
      <c r="AB299" s="133"/>
      <c r="AC299" s="133"/>
      <c r="AD299" s="133"/>
      <c r="AE299" s="133"/>
      <c r="AF299" s="222"/>
      <c r="AG299" s="222"/>
      <c r="AH299" s="222"/>
      <c r="AI299" s="176"/>
      <c r="AJ299" s="176"/>
      <c r="AK299" s="176"/>
      <c r="AL299" s="176"/>
      <c r="AM299" s="176"/>
      <c r="AN299" s="176"/>
      <c r="AO299" s="176"/>
      <c r="AP299" s="176"/>
      <c r="AQ299" s="176"/>
      <c r="AR299" s="176"/>
      <c r="AS299" s="176"/>
      <c r="AT299" s="176"/>
      <c r="AU299" s="176"/>
      <c r="AV299" s="176"/>
      <c r="AW299" s="176"/>
      <c r="AX299" s="176"/>
      <c r="AY299" s="176"/>
      <c r="AZ299" s="176"/>
      <c r="BA299" s="176"/>
      <c r="BB299" s="176"/>
      <c r="BC299" s="176"/>
      <c r="BD299" s="176"/>
      <c r="BE299" s="176"/>
      <c r="BF299" s="176"/>
      <c r="BG299" s="176"/>
      <c r="BH299" s="176"/>
      <c r="BI299" s="176"/>
      <c r="BJ299" s="176"/>
      <c r="BK299" s="176"/>
      <c r="BL299" s="176"/>
      <c r="BM299" s="176"/>
      <c r="BN299" s="176"/>
      <c r="BO299" s="176"/>
    </row>
    <row r="300" spans="1:67" s="36" customFormat="1" ht="10.5" customHeight="1" x14ac:dyDescent="0.2">
      <c r="A300" s="1055"/>
      <c r="B300" s="2594"/>
      <c r="C300" s="2595"/>
      <c r="D300" s="2596"/>
      <c r="E300" s="2395"/>
      <c r="F300" s="2396"/>
      <c r="G300" s="2590"/>
      <c r="H300" s="2591"/>
      <c r="I300" s="1081">
        <f t="shared" si="79"/>
        <v>0</v>
      </c>
      <c r="J300" s="1082">
        <f t="shared" si="80"/>
        <v>0</v>
      </c>
      <c r="K300" s="2588"/>
      <c r="L300" s="2589"/>
      <c r="M300" s="1086">
        <f t="shared" si="81"/>
        <v>0</v>
      </c>
      <c r="N300" s="503"/>
      <c r="O300" s="365">
        <f t="shared" si="82"/>
        <v>0</v>
      </c>
      <c r="P300" s="366"/>
      <c r="Q300" s="135"/>
      <c r="R300" s="136"/>
      <c r="S300" s="129"/>
      <c r="T300" s="129"/>
      <c r="U300" s="129"/>
      <c r="V300" s="129"/>
      <c r="W300" s="129"/>
      <c r="X300" s="129"/>
      <c r="Y300" s="129"/>
      <c r="Z300" s="133"/>
      <c r="AA300" s="133"/>
      <c r="AB300" s="133"/>
      <c r="AC300" s="133"/>
      <c r="AD300" s="133"/>
      <c r="AE300" s="133"/>
      <c r="AF300" s="222"/>
      <c r="AG300" s="222"/>
      <c r="AH300" s="222"/>
      <c r="AI300" s="176"/>
      <c r="AJ300" s="176"/>
      <c r="AK300" s="176"/>
      <c r="AL300" s="176"/>
      <c r="AM300" s="176"/>
      <c r="AN300" s="176"/>
      <c r="AO300" s="176"/>
      <c r="AP300" s="176"/>
      <c r="AQ300" s="176"/>
      <c r="AR300" s="176"/>
      <c r="AS300" s="176"/>
      <c r="AT300" s="176"/>
      <c r="AU300" s="176"/>
      <c r="AV300" s="176"/>
      <c r="AW300" s="176"/>
      <c r="AX300" s="176"/>
      <c r="AY300" s="176"/>
      <c r="AZ300" s="176"/>
      <c r="BA300" s="176"/>
      <c r="BB300" s="176"/>
      <c r="BC300" s="176"/>
      <c r="BD300" s="176"/>
      <c r="BE300" s="176"/>
      <c r="BF300" s="176"/>
      <c r="BG300" s="176"/>
      <c r="BH300" s="176"/>
      <c r="BI300" s="176"/>
      <c r="BJ300" s="176"/>
      <c r="BK300" s="176"/>
      <c r="BL300" s="176"/>
      <c r="BM300" s="176"/>
      <c r="BN300" s="176"/>
      <c r="BO300" s="176"/>
    </row>
    <row r="301" spans="1:67" s="36" customFormat="1" ht="10.5" customHeight="1" x14ac:dyDescent="0.2">
      <c r="A301" s="1055"/>
      <c r="B301" s="2594"/>
      <c r="C301" s="2595"/>
      <c r="D301" s="2596"/>
      <c r="E301" s="2395"/>
      <c r="F301" s="2396"/>
      <c r="G301" s="2590"/>
      <c r="H301" s="2591"/>
      <c r="I301" s="1081">
        <f t="shared" si="79"/>
        <v>0</v>
      </c>
      <c r="J301" s="1082">
        <f t="shared" si="80"/>
        <v>0</v>
      </c>
      <c r="K301" s="2588"/>
      <c r="L301" s="2589"/>
      <c r="M301" s="1086">
        <f t="shared" si="81"/>
        <v>0</v>
      </c>
      <c r="N301" s="503"/>
      <c r="O301" s="365">
        <f t="shared" si="82"/>
        <v>0</v>
      </c>
      <c r="P301" s="366"/>
      <c r="Q301" s="135"/>
      <c r="R301" s="136"/>
      <c r="S301" s="129"/>
      <c r="T301" s="129"/>
      <c r="U301" s="129"/>
      <c r="V301" s="129"/>
      <c r="W301" s="129"/>
      <c r="X301" s="129"/>
      <c r="Y301" s="129"/>
      <c r="Z301" s="133"/>
      <c r="AA301" s="133"/>
      <c r="AB301" s="133"/>
      <c r="AC301" s="133"/>
      <c r="AD301" s="133"/>
      <c r="AE301" s="133"/>
      <c r="AF301" s="222"/>
      <c r="AG301" s="222"/>
      <c r="AH301" s="222"/>
      <c r="AI301" s="176"/>
      <c r="AJ301" s="176"/>
      <c r="AK301" s="176"/>
      <c r="AL301" s="176"/>
      <c r="AM301" s="176"/>
      <c r="AN301" s="176"/>
      <c r="AO301" s="176"/>
      <c r="AP301" s="176"/>
      <c r="AQ301" s="176"/>
      <c r="AR301" s="176"/>
      <c r="AS301" s="176"/>
      <c r="AT301" s="176"/>
      <c r="AU301" s="176"/>
      <c r="AV301" s="176"/>
      <c r="AW301" s="176"/>
      <c r="AX301" s="176"/>
      <c r="AY301" s="176"/>
      <c r="AZ301" s="176"/>
      <c r="BA301" s="176"/>
      <c r="BB301" s="176"/>
      <c r="BC301" s="176"/>
      <c r="BD301" s="176"/>
      <c r="BE301" s="176"/>
      <c r="BF301" s="176"/>
      <c r="BG301" s="176"/>
      <c r="BH301" s="176"/>
      <c r="BI301" s="176"/>
      <c r="BJ301" s="176"/>
      <c r="BK301" s="176"/>
      <c r="BL301" s="176"/>
      <c r="BM301" s="176"/>
      <c r="BN301" s="176"/>
      <c r="BO301" s="176"/>
    </row>
    <row r="302" spans="1:67" s="36" customFormat="1" ht="10.5" customHeight="1" x14ac:dyDescent="0.2">
      <c r="A302" s="1055"/>
      <c r="B302" s="2594"/>
      <c r="C302" s="2595"/>
      <c r="D302" s="2596"/>
      <c r="E302" s="2395"/>
      <c r="F302" s="2396"/>
      <c r="G302" s="2590"/>
      <c r="H302" s="2591"/>
      <c r="I302" s="1081">
        <f t="shared" si="79"/>
        <v>0</v>
      </c>
      <c r="J302" s="1082">
        <f t="shared" si="80"/>
        <v>0</v>
      </c>
      <c r="K302" s="2588"/>
      <c r="L302" s="2589"/>
      <c r="M302" s="1086">
        <f t="shared" si="81"/>
        <v>0</v>
      </c>
      <c r="N302" s="503"/>
      <c r="O302" s="365">
        <f t="shared" si="82"/>
        <v>0</v>
      </c>
      <c r="P302" s="366"/>
      <c r="Q302" s="135"/>
      <c r="R302" s="136"/>
      <c r="S302" s="129"/>
      <c r="T302" s="129"/>
      <c r="U302" s="129"/>
      <c r="V302" s="129"/>
      <c r="W302" s="129"/>
      <c r="X302" s="129"/>
      <c r="Y302" s="129"/>
      <c r="Z302" s="133"/>
      <c r="AA302" s="133"/>
      <c r="AB302" s="133"/>
      <c r="AC302" s="133"/>
      <c r="AD302" s="133"/>
      <c r="AE302" s="133"/>
      <c r="AF302" s="222"/>
      <c r="AG302" s="222"/>
      <c r="AH302" s="222"/>
      <c r="AI302" s="176"/>
      <c r="AJ302" s="176"/>
      <c r="AK302" s="176"/>
      <c r="AL302" s="176"/>
      <c r="AM302" s="176"/>
      <c r="AN302" s="176"/>
      <c r="AO302" s="176"/>
      <c r="AP302" s="176"/>
      <c r="AQ302" s="176"/>
      <c r="AR302" s="176"/>
      <c r="AS302" s="176"/>
      <c r="AT302" s="176"/>
      <c r="AU302" s="176"/>
      <c r="AV302" s="176"/>
      <c r="AW302" s="176"/>
      <c r="AX302" s="176"/>
      <c r="AY302" s="176"/>
      <c r="AZ302" s="176"/>
      <c r="BA302" s="176"/>
      <c r="BB302" s="176"/>
      <c r="BC302" s="176"/>
      <c r="BD302" s="176"/>
      <c r="BE302" s="176"/>
      <c r="BF302" s="176"/>
      <c r="BG302" s="176"/>
      <c r="BH302" s="176"/>
      <c r="BI302" s="176"/>
      <c r="BJ302" s="176"/>
      <c r="BK302" s="176"/>
      <c r="BL302" s="176"/>
      <c r="BM302" s="176"/>
      <c r="BN302" s="176"/>
      <c r="BO302" s="176"/>
    </row>
    <row r="303" spans="1:67" s="36" customFormat="1" ht="10.5" customHeight="1" x14ac:dyDescent="0.2">
      <c r="A303" s="1055"/>
      <c r="B303" s="2594"/>
      <c r="C303" s="2595"/>
      <c r="D303" s="2596"/>
      <c r="E303" s="2395"/>
      <c r="F303" s="2396"/>
      <c r="G303" s="2590"/>
      <c r="H303" s="2591"/>
      <c r="I303" s="1081">
        <f t="shared" si="79"/>
        <v>0</v>
      </c>
      <c r="J303" s="1082">
        <f t="shared" si="80"/>
        <v>0</v>
      </c>
      <c r="K303" s="2588"/>
      <c r="L303" s="2589"/>
      <c r="M303" s="1086">
        <f t="shared" si="81"/>
        <v>0</v>
      </c>
      <c r="N303" s="503"/>
      <c r="O303" s="365">
        <f t="shared" si="82"/>
        <v>0</v>
      </c>
      <c r="P303" s="366"/>
      <c r="Q303" s="135"/>
      <c r="R303" s="136"/>
      <c r="S303" s="129"/>
      <c r="T303" s="129"/>
      <c r="U303" s="129"/>
      <c r="V303" s="129"/>
      <c r="W303" s="129"/>
      <c r="X303" s="129"/>
      <c r="Y303" s="129"/>
      <c r="Z303" s="133"/>
      <c r="AA303" s="133"/>
      <c r="AB303" s="133"/>
      <c r="AC303" s="133"/>
      <c r="AD303" s="133"/>
      <c r="AE303" s="133"/>
      <c r="AF303" s="222"/>
      <c r="AG303" s="222"/>
      <c r="AH303" s="222"/>
      <c r="AI303" s="176"/>
      <c r="AJ303" s="176"/>
      <c r="AK303" s="176"/>
      <c r="AL303" s="176"/>
      <c r="AM303" s="176"/>
      <c r="AN303" s="176"/>
      <c r="AO303" s="176"/>
      <c r="AP303" s="176"/>
      <c r="AQ303" s="176"/>
      <c r="AR303" s="176"/>
      <c r="AS303" s="176"/>
      <c r="AT303" s="176"/>
      <c r="AU303" s="176"/>
      <c r="AV303" s="176"/>
      <c r="AW303" s="176"/>
      <c r="AX303" s="176"/>
      <c r="AY303" s="176"/>
      <c r="AZ303" s="176"/>
      <c r="BA303" s="176"/>
      <c r="BB303" s="176"/>
      <c r="BC303" s="176"/>
      <c r="BD303" s="176"/>
      <c r="BE303" s="176"/>
      <c r="BF303" s="176"/>
      <c r="BG303" s="176"/>
      <c r="BH303" s="176"/>
      <c r="BI303" s="176"/>
      <c r="BJ303" s="176"/>
      <c r="BK303" s="176"/>
      <c r="BL303" s="176"/>
      <c r="BM303" s="176"/>
      <c r="BN303" s="176"/>
      <c r="BO303" s="176"/>
    </row>
    <row r="304" spans="1:67" s="36" customFormat="1" ht="10.5" customHeight="1" x14ac:dyDescent="0.2">
      <c r="A304" s="1055"/>
      <c r="B304" s="2594"/>
      <c r="C304" s="2595"/>
      <c r="D304" s="2596"/>
      <c r="E304" s="2395"/>
      <c r="F304" s="2396"/>
      <c r="G304" s="2590"/>
      <c r="H304" s="2591"/>
      <c r="I304" s="1081">
        <f t="shared" si="79"/>
        <v>0</v>
      </c>
      <c r="J304" s="1082">
        <f t="shared" si="80"/>
        <v>0</v>
      </c>
      <c r="K304" s="2588"/>
      <c r="L304" s="2589"/>
      <c r="M304" s="1086">
        <f t="shared" si="81"/>
        <v>0</v>
      </c>
      <c r="N304" s="503"/>
      <c r="O304" s="365">
        <f t="shared" si="82"/>
        <v>0</v>
      </c>
      <c r="P304" s="366"/>
      <c r="Q304" s="135"/>
      <c r="R304" s="136"/>
      <c r="S304" s="129"/>
      <c r="T304" s="129"/>
      <c r="U304" s="129"/>
      <c r="V304" s="129"/>
      <c r="W304" s="129"/>
      <c r="X304" s="129"/>
      <c r="Y304" s="129"/>
      <c r="Z304" s="133"/>
      <c r="AA304" s="133"/>
      <c r="AB304" s="133"/>
      <c r="AC304" s="133"/>
      <c r="AD304" s="133"/>
      <c r="AE304" s="133"/>
      <c r="AF304" s="222"/>
      <c r="AG304" s="222"/>
      <c r="AH304" s="222"/>
      <c r="AI304" s="176"/>
      <c r="AJ304" s="176"/>
      <c r="AK304" s="176"/>
      <c r="AL304" s="176"/>
      <c r="AM304" s="176"/>
      <c r="AN304" s="176"/>
      <c r="AO304" s="176"/>
      <c r="AP304" s="176"/>
      <c r="AQ304" s="176"/>
      <c r="AR304" s="176"/>
      <c r="AS304" s="176"/>
      <c r="AT304" s="176"/>
      <c r="AU304" s="176"/>
      <c r="AV304" s="176"/>
      <c r="AW304" s="176"/>
      <c r="AX304" s="176"/>
      <c r="AY304" s="176"/>
      <c r="AZ304" s="176"/>
      <c r="BA304" s="176"/>
      <c r="BB304" s="176"/>
      <c r="BC304" s="176"/>
      <c r="BD304" s="176"/>
      <c r="BE304" s="176"/>
      <c r="BF304" s="176"/>
      <c r="BG304" s="176"/>
      <c r="BH304" s="176"/>
      <c r="BI304" s="176"/>
      <c r="BJ304" s="176"/>
      <c r="BK304" s="176"/>
      <c r="BL304" s="176"/>
      <c r="BM304" s="176"/>
      <c r="BN304" s="176"/>
      <c r="BO304" s="176"/>
    </row>
    <row r="305" spans="1:67" s="36" customFormat="1" ht="10.5" customHeight="1" x14ac:dyDescent="0.2">
      <c r="A305" s="1055"/>
      <c r="B305" s="2594"/>
      <c r="C305" s="2595"/>
      <c r="D305" s="2596"/>
      <c r="E305" s="2395"/>
      <c r="F305" s="2396"/>
      <c r="G305" s="2590"/>
      <c r="H305" s="2591"/>
      <c r="I305" s="1081">
        <f t="shared" si="79"/>
        <v>0</v>
      </c>
      <c r="J305" s="1082">
        <f t="shared" si="80"/>
        <v>0</v>
      </c>
      <c r="K305" s="2588"/>
      <c r="L305" s="2589"/>
      <c r="M305" s="1086">
        <f t="shared" si="81"/>
        <v>0</v>
      </c>
      <c r="N305" s="503"/>
      <c r="O305" s="365">
        <f t="shared" si="82"/>
        <v>0</v>
      </c>
      <c r="P305" s="366"/>
      <c r="Q305" s="135"/>
      <c r="R305" s="136"/>
      <c r="S305" s="129"/>
      <c r="T305" s="129"/>
      <c r="U305" s="129"/>
      <c r="V305" s="129"/>
      <c r="W305" s="129"/>
      <c r="X305" s="129"/>
      <c r="Y305" s="129"/>
      <c r="Z305" s="133"/>
      <c r="AA305" s="133"/>
      <c r="AB305" s="133"/>
      <c r="AC305" s="133"/>
      <c r="AD305" s="133"/>
      <c r="AE305" s="133"/>
      <c r="AF305" s="222"/>
      <c r="AG305" s="222"/>
      <c r="AH305" s="222"/>
      <c r="AI305" s="176"/>
      <c r="AJ305" s="176"/>
      <c r="AK305" s="176"/>
      <c r="AL305" s="176"/>
      <c r="AM305" s="176"/>
      <c r="AN305" s="176"/>
      <c r="AO305" s="176"/>
      <c r="AP305" s="176"/>
      <c r="AQ305" s="176"/>
      <c r="AR305" s="176"/>
      <c r="AS305" s="176"/>
      <c r="AT305" s="176"/>
      <c r="AU305" s="176"/>
      <c r="AV305" s="176"/>
      <c r="AW305" s="176"/>
      <c r="AX305" s="176"/>
      <c r="AY305" s="176"/>
      <c r="AZ305" s="176"/>
      <c r="BA305" s="176"/>
      <c r="BB305" s="176"/>
      <c r="BC305" s="176"/>
      <c r="BD305" s="176"/>
      <c r="BE305" s="176"/>
      <c r="BF305" s="176"/>
      <c r="BG305" s="176"/>
      <c r="BH305" s="176"/>
      <c r="BI305" s="176"/>
      <c r="BJ305" s="176"/>
      <c r="BK305" s="176"/>
      <c r="BL305" s="176"/>
      <c r="BM305" s="176"/>
      <c r="BN305" s="176"/>
      <c r="BO305" s="176"/>
    </row>
    <row r="306" spans="1:67" s="36" customFormat="1" ht="10.5" customHeight="1" x14ac:dyDescent="0.2">
      <c r="A306" s="1055"/>
      <c r="B306" s="2594"/>
      <c r="C306" s="2595"/>
      <c r="D306" s="2596"/>
      <c r="E306" s="2395"/>
      <c r="F306" s="2396"/>
      <c r="G306" s="2590"/>
      <c r="H306" s="2591"/>
      <c r="I306" s="1081">
        <f t="shared" si="79"/>
        <v>0</v>
      </c>
      <c r="J306" s="1082">
        <f t="shared" si="80"/>
        <v>0</v>
      </c>
      <c r="K306" s="2588"/>
      <c r="L306" s="2589"/>
      <c r="M306" s="1086">
        <f t="shared" si="81"/>
        <v>0</v>
      </c>
      <c r="N306" s="503"/>
      <c r="O306" s="365">
        <f t="shared" si="82"/>
        <v>0</v>
      </c>
      <c r="P306" s="366"/>
      <c r="Q306" s="135"/>
      <c r="R306" s="136"/>
      <c r="S306" s="129"/>
      <c r="T306" s="129"/>
      <c r="U306" s="129"/>
      <c r="V306" s="129"/>
      <c r="W306" s="129"/>
      <c r="X306" s="129"/>
      <c r="Y306" s="129"/>
      <c r="Z306" s="133"/>
      <c r="AA306" s="133"/>
      <c r="AB306" s="133"/>
      <c r="AC306" s="133"/>
      <c r="AD306" s="133"/>
      <c r="AE306" s="133"/>
      <c r="AF306" s="222"/>
      <c r="AG306" s="222"/>
      <c r="AH306" s="222"/>
      <c r="AI306" s="176"/>
      <c r="AJ306" s="176"/>
      <c r="AK306" s="176"/>
      <c r="AL306" s="176"/>
      <c r="AM306" s="176"/>
      <c r="AN306" s="176"/>
      <c r="AO306" s="176"/>
      <c r="AP306" s="176"/>
      <c r="AQ306" s="176"/>
      <c r="AR306" s="176"/>
      <c r="AS306" s="176"/>
      <c r="AT306" s="176"/>
      <c r="AU306" s="176"/>
      <c r="AV306" s="176"/>
      <c r="AW306" s="176"/>
      <c r="AX306" s="176"/>
      <c r="AY306" s="176"/>
      <c r="AZ306" s="176"/>
      <c r="BA306" s="176"/>
      <c r="BB306" s="176"/>
      <c r="BC306" s="176"/>
      <c r="BD306" s="176"/>
      <c r="BE306" s="176"/>
      <c r="BF306" s="176"/>
      <c r="BG306" s="176"/>
      <c r="BH306" s="176"/>
      <c r="BI306" s="176"/>
      <c r="BJ306" s="176"/>
      <c r="BK306" s="176"/>
      <c r="BL306" s="176"/>
      <c r="BM306" s="176"/>
      <c r="BN306" s="176"/>
      <c r="BO306" s="176"/>
    </row>
    <row r="307" spans="1:67" s="36" customFormat="1" ht="10.5" customHeight="1" x14ac:dyDescent="0.2">
      <c r="A307" s="1055"/>
      <c r="B307" s="2594"/>
      <c r="C307" s="2595"/>
      <c r="D307" s="2596"/>
      <c r="E307" s="2395"/>
      <c r="F307" s="2396"/>
      <c r="G307" s="2590"/>
      <c r="H307" s="2591"/>
      <c r="I307" s="1081">
        <f t="shared" si="79"/>
        <v>0</v>
      </c>
      <c r="J307" s="1082">
        <f t="shared" si="80"/>
        <v>0</v>
      </c>
      <c r="K307" s="2588"/>
      <c r="L307" s="2589"/>
      <c r="M307" s="1086">
        <f t="shared" si="81"/>
        <v>0</v>
      </c>
      <c r="N307" s="503"/>
      <c r="O307" s="365">
        <f t="shared" si="82"/>
        <v>0</v>
      </c>
      <c r="P307" s="366"/>
      <c r="Q307" s="135"/>
      <c r="R307" s="136"/>
      <c r="S307" s="129"/>
      <c r="T307" s="129"/>
      <c r="U307" s="129"/>
      <c r="V307" s="129"/>
      <c r="W307" s="129"/>
      <c r="X307" s="129"/>
      <c r="Y307" s="129"/>
      <c r="Z307" s="133"/>
      <c r="AA307" s="133"/>
      <c r="AB307" s="133"/>
      <c r="AC307" s="133"/>
      <c r="AD307" s="133"/>
      <c r="AE307" s="133"/>
      <c r="AF307" s="222"/>
      <c r="AG307" s="222"/>
      <c r="AH307" s="222"/>
      <c r="AI307" s="176"/>
      <c r="AJ307" s="176"/>
      <c r="AK307" s="176"/>
      <c r="AL307" s="176"/>
      <c r="AM307" s="176"/>
      <c r="AN307" s="176"/>
      <c r="AO307" s="176"/>
      <c r="AP307" s="176"/>
      <c r="AQ307" s="176"/>
      <c r="AR307" s="176"/>
      <c r="AS307" s="176"/>
      <c r="AT307" s="176"/>
      <c r="AU307" s="176"/>
      <c r="AV307" s="176"/>
      <c r="AW307" s="176"/>
      <c r="AX307" s="176"/>
      <c r="AY307" s="176"/>
      <c r="AZ307" s="176"/>
      <c r="BA307" s="176"/>
      <c r="BB307" s="176"/>
      <c r="BC307" s="176"/>
      <c r="BD307" s="176"/>
      <c r="BE307" s="176"/>
      <c r="BF307" s="176"/>
      <c r="BG307" s="176"/>
      <c r="BH307" s="176"/>
      <c r="BI307" s="176"/>
      <c r="BJ307" s="176"/>
      <c r="BK307" s="176"/>
      <c r="BL307" s="176"/>
      <c r="BM307" s="176"/>
      <c r="BN307" s="176"/>
      <c r="BO307" s="176"/>
    </row>
    <row r="308" spans="1:67" s="36" customFormat="1" ht="10.5" customHeight="1" x14ac:dyDescent="0.2">
      <c r="A308" s="1055"/>
      <c r="B308" s="2594"/>
      <c r="C308" s="2595"/>
      <c r="D308" s="2596"/>
      <c r="E308" s="2395"/>
      <c r="F308" s="2396"/>
      <c r="G308" s="2590"/>
      <c r="H308" s="2591"/>
      <c r="I308" s="1081">
        <f t="shared" si="79"/>
        <v>0</v>
      </c>
      <c r="J308" s="1082">
        <f t="shared" si="80"/>
        <v>0</v>
      </c>
      <c r="K308" s="2588"/>
      <c r="L308" s="2589"/>
      <c r="M308" s="1086">
        <f t="shared" si="81"/>
        <v>0</v>
      </c>
      <c r="N308" s="503"/>
      <c r="O308" s="365">
        <f t="shared" si="82"/>
        <v>0</v>
      </c>
      <c r="P308" s="366"/>
      <c r="Q308" s="135"/>
      <c r="R308" s="136"/>
      <c r="S308" s="129"/>
      <c r="T308" s="129"/>
      <c r="U308" s="129"/>
      <c r="V308" s="129"/>
      <c r="W308" s="129"/>
      <c r="X308" s="129"/>
      <c r="Y308" s="129"/>
      <c r="Z308" s="133"/>
      <c r="AA308" s="133"/>
      <c r="AB308" s="133"/>
      <c r="AC308" s="133"/>
      <c r="AD308" s="133"/>
      <c r="AE308" s="133"/>
      <c r="AF308" s="222"/>
      <c r="AG308" s="222"/>
      <c r="AH308" s="222"/>
      <c r="AI308" s="176"/>
      <c r="AJ308" s="176"/>
      <c r="AK308" s="176"/>
      <c r="AL308" s="176"/>
      <c r="AM308" s="176"/>
      <c r="AN308" s="176"/>
      <c r="AO308" s="176"/>
      <c r="AP308" s="176"/>
      <c r="AQ308" s="176"/>
      <c r="AR308" s="176"/>
      <c r="AS308" s="176"/>
      <c r="AT308" s="176"/>
      <c r="AU308" s="176"/>
      <c r="AV308" s="176"/>
      <c r="AW308" s="176"/>
      <c r="AX308" s="176"/>
      <c r="AY308" s="176"/>
      <c r="AZ308" s="176"/>
      <c r="BA308" s="176"/>
      <c r="BB308" s="176"/>
      <c r="BC308" s="176"/>
      <c r="BD308" s="176"/>
      <c r="BE308" s="176"/>
      <c r="BF308" s="176"/>
      <c r="BG308" s="176"/>
      <c r="BH308" s="176"/>
      <c r="BI308" s="176"/>
      <c r="BJ308" s="176"/>
      <c r="BK308" s="176"/>
      <c r="BL308" s="176"/>
      <c r="BM308" s="176"/>
      <c r="BN308" s="176"/>
      <c r="BO308" s="176"/>
    </row>
    <row r="309" spans="1:67" s="36" customFormat="1" ht="10.5" customHeight="1" x14ac:dyDescent="0.2">
      <c r="A309" s="1055"/>
      <c r="B309" s="2594"/>
      <c r="C309" s="2595"/>
      <c r="D309" s="2596"/>
      <c r="E309" s="2395"/>
      <c r="F309" s="2396"/>
      <c r="G309" s="2590"/>
      <c r="H309" s="2591"/>
      <c r="I309" s="1081">
        <f t="shared" si="79"/>
        <v>0</v>
      </c>
      <c r="J309" s="1082">
        <f t="shared" si="80"/>
        <v>0</v>
      </c>
      <c r="K309" s="2588"/>
      <c r="L309" s="2589"/>
      <c r="M309" s="1086">
        <f t="shared" si="81"/>
        <v>0</v>
      </c>
      <c r="N309" s="503"/>
      <c r="O309" s="365">
        <f t="shared" si="82"/>
        <v>0</v>
      </c>
      <c r="P309" s="366"/>
      <c r="Q309" s="135"/>
      <c r="R309" s="136"/>
      <c r="S309" s="129"/>
      <c r="T309" s="129"/>
      <c r="U309" s="129"/>
      <c r="V309" s="129"/>
      <c r="W309" s="129"/>
      <c r="X309" s="129"/>
      <c r="Y309" s="129"/>
      <c r="Z309" s="133"/>
      <c r="AA309" s="133"/>
      <c r="AB309" s="133"/>
      <c r="AC309" s="133"/>
      <c r="AD309" s="133"/>
      <c r="AE309" s="133"/>
      <c r="AF309" s="222"/>
      <c r="AG309" s="222"/>
      <c r="AH309" s="222"/>
      <c r="AI309" s="176"/>
      <c r="AJ309" s="176"/>
      <c r="AK309" s="176"/>
      <c r="AL309" s="176"/>
      <c r="AM309" s="176"/>
      <c r="AN309" s="176"/>
      <c r="AO309" s="176"/>
      <c r="AP309" s="176"/>
      <c r="AQ309" s="176"/>
      <c r="AR309" s="176"/>
      <c r="AS309" s="176"/>
      <c r="AT309" s="176"/>
      <c r="AU309" s="176"/>
      <c r="AV309" s="176"/>
      <c r="AW309" s="176"/>
      <c r="AX309" s="176"/>
      <c r="AY309" s="176"/>
      <c r="AZ309" s="176"/>
      <c r="BA309" s="176"/>
      <c r="BB309" s="176"/>
      <c r="BC309" s="176"/>
      <c r="BD309" s="176"/>
      <c r="BE309" s="176"/>
      <c r="BF309" s="176"/>
      <c r="BG309" s="176"/>
      <c r="BH309" s="176"/>
      <c r="BI309" s="176"/>
      <c r="BJ309" s="176"/>
      <c r="BK309" s="176"/>
      <c r="BL309" s="176"/>
      <c r="BM309" s="176"/>
      <c r="BN309" s="176"/>
      <c r="BO309" s="176"/>
    </row>
    <row r="310" spans="1:67" s="36" customFormat="1" ht="10.5" customHeight="1" x14ac:dyDescent="0.2">
      <c r="A310" s="1055"/>
      <c r="B310" s="2594"/>
      <c r="C310" s="2595"/>
      <c r="D310" s="2596"/>
      <c r="E310" s="2395"/>
      <c r="F310" s="2396"/>
      <c r="G310" s="2590"/>
      <c r="H310" s="2591"/>
      <c r="I310" s="1081">
        <f t="shared" si="79"/>
        <v>0</v>
      </c>
      <c r="J310" s="1082">
        <f t="shared" si="80"/>
        <v>0</v>
      </c>
      <c r="K310" s="2588"/>
      <c r="L310" s="2589"/>
      <c r="M310" s="1086">
        <f t="shared" si="81"/>
        <v>0</v>
      </c>
      <c r="N310" s="503"/>
      <c r="O310" s="365">
        <f t="shared" si="82"/>
        <v>0</v>
      </c>
      <c r="P310" s="366"/>
      <c r="Q310" s="135"/>
      <c r="R310" s="136"/>
      <c r="S310" s="129"/>
      <c r="T310" s="129"/>
      <c r="U310" s="129"/>
      <c r="V310" s="129"/>
      <c r="W310" s="129"/>
      <c r="X310" s="129"/>
      <c r="Y310" s="129"/>
      <c r="Z310" s="133"/>
      <c r="AA310" s="133"/>
      <c r="AB310" s="133"/>
      <c r="AC310" s="133"/>
      <c r="AD310" s="133"/>
      <c r="AE310" s="133"/>
      <c r="AF310" s="222"/>
      <c r="AG310" s="222"/>
      <c r="AH310" s="222"/>
      <c r="AI310" s="176"/>
      <c r="AJ310" s="176"/>
      <c r="AK310" s="176"/>
      <c r="AL310" s="176"/>
      <c r="AM310" s="176"/>
      <c r="AN310" s="176"/>
      <c r="AO310" s="176"/>
      <c r="AP310" s="176"/>
      <c r="AQ310" s="176"/>
      <c r="AR310" s="176"/>
      <c r="AS310" s="176"/>
      <c r="AT310" s="176"/>
      <c r="AU310" s="176"/>
      <c r="AV310" s="176"/>
      <c r="AW310" s="176"/>
      <c r="AX310" s="176"/>
      <c r="AY310" s="176"/>
      <c r="AZ310" s="176"/>
      <c r="BA310" s="176"/>
      <c r="BB310" s="176"/>
      <c r="BC310" s="176"/>
      <c r="BD310" s="176"/>
      <c r="BE310" s="176"/>
      <c r="BF310" s="176"/>
      <c r="BG310" s="176"/>
      <c r="BH310" s="176"/>
      <c r="BI310" s="176"/>
      <c r="BJ310" s="176"/>
      <c r="BK310" s="176"/>
      <c r="BL310" s="176"/>
      <c r="BM310" s="176"/>
      <c r="BN310" s="176"/>
      <c r="BO310" s="176"/>
    </row>
    <row r="311" spans="1:67" s="36" customFormat="1" ht="10.5" customHeight="1" x14ac:dyDescent="0.2">
      <c r="A311" s="1044"/>
      <c r="B311" s="2608"/>
      <c r="C311" s="2609"/>
      <c r="D311" s="2610"/>
      <c r="E311" s="2601"/>
      <c r="F311" s="2602"/>
      <c r="G311" s="1088"/>
      <c r="H311" s="1089"/>
      <c r="I311" s="1083">
        <f t="shared" si="79"/>
        <v>0</v>
      </c>
      <c r="J311" s="1084"/>
      <c r="K311" s="1087"/>
      <c r="L311" s="1307"/>
      <c r="M311" s="1317">
        <f t="shared" si="81"/>
        <v>0</v>
      </c>
      <c r="N311" s="503"/>
      <c r="O311" s="365">
        <f t="shared" si="82"/>
        <v>0</v>
      </c>
      <c r="P311" s="366"/>
      <c r="Q311" s="135"/>
      <c r="R311" s="136"/>
      <c r="S311" s="129"/>
      <c r="T311" s="129"/>
      <c r="U311" s="129"/>
      <c r="V311" s="129"/>
      <c r="W311" s="129"/>
      <c r="X311" s="129"/>
      <c r="Y311" s="129"/>
      <c r="Z311" s="133"/>
      <c r="AA311" s="133"/>
      <c r="AB311" s="133"/>
      <c r="AC311" s="133"/>
      <c r="AD311" s="133"/>
      <c r="AE311" s="133"/>
      <c r="AF311" s="222"/>
      <c r="AG311" s="222"/>
      <c r="AH311" s="222"/>
      <c r="AI311" s="176"/>
      <c r="AJ311" s="176"/>
      <c r="AK311" s="176"/>
      <c r="AL311" s="176"/>
      <c r="AM311" s="176"/>
      <c r="AN311" s="176"/>
      <c r="AO311" s="176"/>
      <c r="AP311" s="176"/>
      <c r="AQ311" s="176"/>
      <c r="AR311" s="176"/>
      <c r="AS311" s="176"/>
      <c r="AT311" s="176"/>
      <c r="AU311" s="176"/>
      <c r="AV311" s="176"/>
      <c r="AW311" s="176"/>
      <c r="AX311" s="176"/>
      <c r="AY311" s="176"/>
      <c r="AZ311" s="176"/>
      <c r="BA311" s="176"/>
      <c r="BB311" s="176"/>
      <c r="BC311" s="176"/>
      <c r="BD311" s="176"/>
      <c r="BE311" s="176"/>
      <c r="BF311" s="176"/>
      <c r="BG311" s="176"/>
      <c r="BH311" s="176"/>
      <c r="BI311" s="176"/>
      <c r="BJ311" s="176"/>
      <c r="BK311" s="176"/>
      <c r="BL311" s="176"/>
      <c r="BM311" s="176"/>
      <c r="BN311" s="176"/>
      <c r="BO311" s="176"/>
    </row>
    <row r="312" spans="1:67" s="36" customFormat="1" ht="10.5" customHeight="1" x14ac:dyDescent="0.2">
      <c r="A312" s="1120" t="s">
        <v>365</v>
      </c>
      <c r="B312" s="2603"/>
      <c r="C312" s="2604"/>
      <c r="D312" s="2605"/>
      <c r="E312" s="2606">
        <f>SUM(E313:E325)</f>
        <v>0</v>
      </c>
      <c r="F312" s="2607"/>
      <c r="G312" s="2620"/>
      <c r="H312" s="2621"/>
      <c r="I312" s="1121">
        <f>IF(E312=0,0,J312/E312)</f>
        <v>0</v>
      </c>
      <c r="J312" s="1122">
        <f>SUM(J313:J325)</f>
        <v>0</v>
      </c>
      <c r="K312" s="2622">
        <f>IF(E312=0,0,M312/E312*100)</f>
        <v>0</v>
      </c>
      <c r="L312" s="2623"/>
      <c r="M312" s="1318">
        <f>SUM(M313:M325)</f>
        <v>0</v>
      </c>
      <c r="N312" s="503"/>
      <c r="O312" s="178">
        <f>IF(H312="",G312,H312)</f>
        <v>0</v>
      </c>
      <c r="P312" s="366"/>
      <c r="Q312" s="135"/>
      <c r="R312" s="136"/>
      <c r="S312" s="129"/>
      <c r="T312" s="129"/>
      <c r="U312" s="129"/>
      <c r="V312" s="129"/>
      <c r="W312" s="129"/>
      <c r="X312" s="129"/>
      <c r="Y312" s="129"/>
      <c r="Z312" s="133"/>
      <c r="AA312" s="133"/>
      <c r="AB312" s="133"/>
      <c r="AC312" s="133"/>
      <c r="AD312" s="133"/>
      <c r="AE312" s="133"/>
      <c r="AF312" s="222"/>
      <c r="AG312" s="222"/>
      <c r="AH312" s="222"/>
      <c r="AI312" s="176"/>
      <c r="AJ312" s="176"/>
      <c r="AK312" s="176"/>
      <c r="AL312" s="176"/>
      <c r="AM312" s="176"/>
      <c r="AN312" s="176"/>
      <c r="AO312" s="176"/>
      <c r="AP312" s="176"/>
      <c r="AQ312" s="176"/>
      <c r="AR312" s="176"/>
      <c r="AS312" s="176"/>
      <c r="AT312" s="176"/>
      <c r="AU312" s="176"/>
      <c r="AV312" s="176"/>
      <c r="AW312" s="176"/>
      <c r="AX312" s="176"/>
      <c r="AY312" s="176"/>
      <c r="AZ312" s="176"/>
      <c r="BA312" s="176"/>
      <c r="BB312" s="176"/>
      <c r="BC312" s="176"/>
      <c r="BD312" s="176"/>
      <c r="BE312" s="176"/>
      <c r="BF312" s="176"/>
      <c r="BG312" s="176"/>
      <c r="BH312" s="176"/>
      <c r="BI312" s="176"/>
      <c r="BJ312" s="176"/>
      <c r="BK312" s="176"/>
      <c r="BL312" s="176"/>
      <c r="BM312" s="176"/>
      <c r="BN312" s="176"/>
      <c r="BO312" s="176"/>
    </row>
    <row r="313" spans="1:67" s="36" customFormat="1" ht="10.5" customHeight="1" x14ac:dyDescent="0.2">
      <c r="A313" s="1042" t="s">
        <v>366</v>
      </c>
      <c r="B313" s="2624"/>
      <c r="C313" s="2625"/>
      <c r="D313" s="2626"/>
      <c r="E313" s="2386"/>
      <c r="F313" s="2387"/>
      <c r="G313" s="1056">
        <v>15</v>
      </c>
      <c r="H313" s="1057"/>
      <c r="I313" s="1079">
        <f t="shared" ref="I313:I326" si="83">IF($O313&gt;0,-PMT(($I$9),$O313,1),0)</f>
        <v>7.9288524964265278E-2</v>
      </c>
      <c r="J313" s="1080">
        <f t="shared" ref="J313:J325" si="84">ROUND(E313*I313,0)</f>
        <v>0</v>
      </c>
      <c r="K313" s="1060"/>
      <c r="L313" s="1304"/>
      <c r="M313" s="1085">
        <f t="shared" ref="M313:M326" si="85">ROUND(E313/100*IF(ISBLANK(L313),K313,L313),0)</f>
        <v>0</v>
      </c>
      <c r="N313" s="503"/>
      <c r="O313" s="365">
        <f t="shared" ref="O313:O326" si="86">IF(ISBLANK(H313),G313,H313)</f>
        <v>15</v>
      </c>
      <c r="P313" s="366"/>
      <c r="Q313" s="135"/>
      <c r="R313" s="136"/>
      <c r="S313" s="129"/>
      <c r="T313" s="129"/>
      <c r="U313" s="129"/>
      <c r="V313" s="129"/>
      <c r="W313" s="129"/>
      <c r="X313" s="129"/>
      <c r="Y313" s="129"/>
      <c r="Z313" s="133"/>
      <c r="AA313" s="133"/>
      <c r="AB313" s="133"/>
      <c r="AC313" s="133"/>
      <c r="AD313" s="133"/>
      <c r="AE313" s="133"/>
      <c r="AF313" s="222"/>
      <c r="AG313" s="222"/>
      <c r="AH313" s="222"/>
      <c r="AI313" s="176"/>
      <c r="AJ313" s="176"/>
      <c r="AK313" s="176"/>
      <c r="AL313" s="176"/>
      <c r="AM313" s="176"/>
      <c r="AN313" s="176"/>
      <c r="AO313" s="176"/>
      <c r="AP313" s="176"/>
      <c r="AQ313" s="176"/>
      <c r="AR313" s="176"/>
      <c r="AS313" s="176"/>
      <c r="AT313" s="176"/>
      <c r="AU313" s="176"/>
      <c r="AV313" s="176"/>
      <c r="AW313" s="176"/>
      <c r="AX313" s="176"/>
      <c r="AY313" s="176"/>
      <c r="AZ313" s="176"/>
      <c r="BA313" s="176"/>
      <c r="BB313" s="176"/>
      <c r="BC313" s="176"/>
      <c r="BD313" s="176"/>
      <c r="BE313" s="176"/>
      <c r="BF313" s="176"/>
      <c r="BG313" s="176"/>
      <c r="BH313" s="176"/>
      <c r="BI313" s="176"/>
      <c r="BJ313" s="176"/>
      <c r="BK313" s="176"/>
      <c r="BL313" s="176"/>
      <c r="BM313" s="176"/>
      <c r="BN313" s="176"/>
      <c r="BO313" s="176"/>
    </row>
    <row r="314" spans="1:67" s="36" customFormat="1" ht="10.5" customHeight="1" x14ac:dyDescent="0.2">
      <c r="A314" s="1043" t="s">
        <v>367</v>
      </c>
      <c r="B314" s="2594"/>
      <c r="C314" s="2595"/>
      <c r="D314" s="2596"/>
      <c r="E314" s="2395"/>
      <c r="F314" s="2396"/>
      <c r="G314" s="1058">
        <v>15</v>
      </c>
      <c r="H314" s="1059"/>
      <c r="I314" s="1081">
        <f t="shared" si="83"/>
        <v>7.9288524964265278E-2</v>
      </c>
      <c r="J314" s="1082">
        <f t="shared" si="84"/>
        <v>0</v>
      </c>
      <c r="K314" s="1061">
        <v>0.5</v>
      </c>
      <c r="L314" s="1305"/>
      <c r="M314" s="1086">
        <f t="shared" si="85"/>
        <v>0</v>
      </c>
      <c r="N314" s="503"/>
      <c r="O314" s="365">
        <f t="shared" si="86"/>
        <v>15</v>
      </c>
      <c r="P314" s="366"/>
      <c r="Q314" s="135"/>
      <c r="R314" s="136"/>
      <c r="S314" s="129"/>
      <c r="T314" s="129"/>
      <c r="U314" s="129"/>
      <c r="V314" s="129"/>
      <c r="W314" s="129"/>
      <c r="X314" s="129"/>
      <c r="Y314" s="129"/>
      <c r="Z314" s="133"/>
      <c r="AA314" s="133"/>
      <c r="AB314" s="133"/>
      <c r="AC314" s="133"/>
      <c r="AD314" s="133"/>
      <c r="AE314" s="133"/>
      <c r="AF314" s="222"/>
      <c r="AG314" s="222"/>
      <c r="AH314" s="222"/>
      <c r="AI314" s="176"/>
      <c r="AJ314" s="176"/>
      <c r="AK314" s="176"/>
      <c r="AL314" s="176"/>
      <c r="AM314" s="176"/>
      <c r="AN314" s="176"/>
      <c r="AO314" s="176"/>
      <c r="AP314" s="176"/>
      <c r="AQ314" s="176"/>
      <c r="AR314" s="176"/>
      <c r="AS314" s="176"/>
      <c r="AT314" s="176"/>
      <c r="AU314" s="176"/>
      <c r="AV314" s="176"/>
      <c r="AW314" s="176"/>
      <c r="AX314" s="176"/>
      <c r="AY314" s="176"/>
      <c r="AZ314" s="176"/>
      <c r="BA314" s="176"/>
      <c r="BB314" s="176"/>
      <c r="BC314" s="176"/>
      <c r="BD314" s="176"/>
      <c r="BE314" s="176"/>
      <c r="BF314" s="176"/>
      <c r="BG314" s="176"/>
      <c r="BH314" s="176"/>
      <c r="BI314" s="176"/>
      <c r="BJ314" s="176"/>
      <c r="BK314" s="176"/>
      <c r="BL314" s="176"/>
      <c r="BM314" s="176"/>
      <c r="BN314" s="176"/>
      <c r="BO314" s="176"/>
    </row>
    <row r="315" spans="1:67" s="36" customFormat="1" ht="10.5" customHeight="1" x14ac:dyDescent="0.2">
      <c r="A315" s="1043" t="s">
        <v>368</v>
      </c>
      <c r="B315" s="2594"/>
      <c r="C315" s="2595"/>
      <c r="D315" s="2596"/>
      <c r="E315" s="2395"/>
      <c r="F315" s="2396"/>
      <c r="G315" s="1058">
        <v>15</v>
      </c>
      <c r="H315" s="1059"/>
      <c r="I315" s="1081">
        <f t="shared" si="83"/>
        <v>7.9288524964265278E-2</v>
      </c>
      <c r="J315" s="1082">
        <f t="shared" si="84"/>
        <v>0</v>
      </c>
      <c r="K315" s="1061"/>
      <c r="L315" s="1305"/>
      <c r="M315" s="1086">
        <f t="shared" si="85"/>
        <v>0</v>
      </c>
      <c r="N315" s="503"/>
      <c r="O315" s="365">
        <f t="shared" si="86"/>
        <v>15</v>
      </c>
      <c r="P315" s="366"/>
      <c r="Q315" s="135"/>
      <c r="R315" s="136"/>
      <c r="S315" s="129"/>
      <c r="T315" s="129"/>
      <c r="U315" s="129"/>
      <c r="V315" s="129"/>
      <c r="W315" s="129"/>
      <c r="X315" s="129"/>
      <c r="Y315" s="129"/>
      <c r="Z315" s="133"/>
      <c r="AA315" s="133"/>
      <c r="AB315" s="133"/>
      <c r="AC315" s="133"/>
      <c r="AD315" s="133"/>
      <c r="AE315" s="133"/>
      <c r="AF315" s="222"/>
      <c r="AG315" s="222"/>
      <c r="AH315" s="222"/>
      <c r="AI315" s="176"/>
      <c r="AJ315" s="176"/>
      <c r="AK315" s="176"/>
      <c r="AL315" s="176"/>
      <c r="AM315" s="176"/>
      <c r="AN315" s="176"/>
      <c r="AO315" s="176"/>
      <c r="AP315" s="176"/>
      <c r="AQ315" s="176"/>
      <c r="AR315" s="176"/>
      <c r="AS315" s="176"/>
      <c r="AT315" s="176"/>
      <c r="AU315" s="176"/>
      <c r="AV315" s="176"/>
      <c r="AW315" s="176"/>
      <c r="AX315" s="176"/>
      <c r="AY315" s="176"/>
      <c r="AZ315" s="176"/>
      <c r="BA315" s="176"/>
      <c r="BB315" s="176"/>
      <c r="BC315" s="176"/>
      <c r="BD315" s="176"/>
      <c r="BE315" s="176"/>
      <c r="BF315" s="176"/>
      <c r="BG315" s="176"/>
      <c r="BH315" s="176"/>
      <c r="BI315" s="176"/>
      <c r="BJ315" s="176"/>
      <c r="BK315" s="176"/>
      <c r="BL315" s="176"/>
      <c r="BM315" s="176"/>
      <c r="BN315" s="176"/>
      <c r="BO315" s="176"/>
    </row>
    <row r="316" spans="1:67" s="36" customFormat="1" ht="10.5" customHeight="1" x14ac:dyDescent="0.2">
      <c r="A316" s="1043" t="s">
        <v>369</v>
      </c>
      <c r="B316" s="2594"/>
      <c r="C316" s="2595"/>
      <c r="D316" s="2596"/>
      <c r="E316" s="2395"/>
      <c r="F316" s="2396"/>
      <c r="G316" s="1058">
        <v>30</v>
      </c>
      <c r="H316" s="1059"/>
      <c r="I316" s="1081">
        <f t="shared" si="83"/>
        <v>4.6199342169092869E-2</v>
      </c>
      <c r="J316" s="1082">
        <f t="shared" si="84"/>
        <v>0</v>
      </c>
      <c r="K316" s="1061">
        <v>0.5</v>
      </c>
      <c r="L316" s="1305"/>
      <c r="M316" s="1086">
        <f t="shared" si="85"/>
        <v>0</v>
      </c>
      <c r="N316" s="503"/>
      <c r="O316" s="365">
        <f t="shared" si="86"/>
        <v>30</v>
      </c>
      <c r="P316" s="366"/>
      <c r="Q316" s="135"/>
      <c r="R316" s="136"/>
      <c r="S316" s="129"/>
      <c r="T316" s="129"/>
      <c r="U316" s="129"/>
      <c r="V316" s="129"/>
      <c r="W316" s="129"/>
      <c r="X316" s="129"/>
      <c r="Y316" s="129"/>
      <c r="Z316" s="133"/>
      <c r="AA316" s="133"/>
      <c r="AB316" s="133"/>
      <c r="AC316" s="133"/>
      <c r="AD316" s="133"/>
      <c r="AE316" s="133"/>
      <c r="AF316" s="222"/>
      <c r="AG316" s="222"/>
      <c r="AH316" s="222"/>
      <c r="AI316" s="176"/>
      <c r="AJ316" s="176"/>
      <c r="AK316" s="176"/>
      <c r="AL316" s="176"/>
      <c r="AM316" s="176"/>
      <c r="AN316" s="176"/>
      <c r="AO316" s="176"/>
      <c r="AP316" s="176"/>
      <c r="AQ316" s="176"/>
      <c r="AR316" s="176"/>
      <c r="AS316" s="176"/>
      <c r="AT316" s="176"/>
      <c r="AU316" s="176"/>
      <c r="AV316" s="176"/>
      <c r="AW316" s="176"/>
      <c r="AX316" s="176"/>
      <c r="AY316" s="176"/>
      <c r="AZ316" s="176"/>
      <c r="BA316" s="176"/>
      <c r="BB316" s="176"/>
      <c r="BC316" s="176"/>
      <c r="BD316" s="176"/>
      <c r="BE316" s="176"/>
      <c r="BF316" s="176"/>
      <c r="BG316" s="176"/>
      <c r="BH316" s="176"/>
      <c r="BI316" s="176"/>
      <c r="BJ316" s="176"/>
      <c r="BK316" s="176"/>
      <c r="BL316" s="176"/>
      <c r="BM316" s="176"/>
      <c r="BN316" s="176"/>
      <c r="BO316" s="176"/>
    </row>
    <row r="317" spans="1:67" s="36" customFormat="1" ht="10.5" customHeight="1" x14ac:dyDescent="0.2">
      <c r="A317" s="1055"/>
      <c r="B317" s="2594"/>
      <c r="C317" s="2595"/>
      <c r="D317" s="2596"/>
      <c r="E317" s="2395"/>
      <c r="F317" s="2396"/>
      <c r="G317" s="2590"/>
      <c r="H317" s="2591"/>
      <c r="I317" s="1081">
        <f t="shared" si="83"/>
        <v>0</v>
      </c>
      <c r="J317" s="1082">
        <f t="shared" si="84"/>
        <v>0</v>
      </c>
      <c r="K317" s="2588"/>
      <c r="L317" s="2589"/>
      <c r="M317" s="1086">
        <f t="shared" si="85"/>
        <v>0</v>
      </c>
      <c r="N317" s="503"/>
      <c r="O317" s="365">
        <f t="shared" si="86"/>
        <v>0</v>
      </c>
      <c r="P317" s="366"/>
      <c r="Q317" s="135"/>
      <c r="R317" s="136"/>
      <c r="S317" s="129"/>
      <c r="T317" s="129"/>
      <c r="U317" s="129"/>
      <c r="V317" s="129"/>
      <c r="W317" s="129"/>
      <c r="X317" s="129"/>
      <c r="Y317" s="129"/>
      <c r="Z317" s="133"/>
      <c r="AA317" s="133"/>
      <c r="AB317" s="133"/>
      <c r="AC317" s="133"/>
      <c r="AD317" s="133"/>
      <c r="AE317" s="133"/>
      <c r="AF317" s="222"/>
      <c r="AG317" s="222"/>
      <c r="AH317" s="222"/>
      <c r="AI317" s="176"/>
      <c r="AJ317" s="176"/>
      <c r="AK317" s="176"/>
      <c r="AL317" s="176"/>
      <c r="AM317" s="176"/>
      <c r="AN317" s="176"/>
      <c r="AO317" s="176"/>
      <c r="AP317" s="176"/>
      <c r="AQ317" s="176"/>
      <c r="AR317" s="176"/>
      <c r="AS317" s="176"/>
      <c r="AT317" s="176"/>
      <c r="AU317" s="176"/>
      <c r="AV317" s="176"/>
      <c r="AW317" s="176"/>
      <c r="AX317" s="176"/>
      <c r="AY317" s="176"/>
      <c r="AZ317" s="176"/>
      <c r="BA317" s="176"/>
      <c r="BB317" s="176"/>
      <c r="BC317" s="176"/>
      <c r="BD317" s="176"/>
      <c r="BE317" s="176"/>
      <c r="BF317" s="176"/>
      <c r="BG317" s="176"/>
      <c r="BH317" s="176"/>
      <c r="BI317" s="176"/>
      <c r="BJ317" s="176"/>
      <c r="BK317" s="176"/>
      <c r="BL317" s="176"/>
      <c r="BM317" s="176"/>
      <c r="BN317" s="176"/>
      <c r="BO317" s="176"/>
    </row>
    <row r="318" spans="1:67" s="36" customFormat="1" ht="10.5" customHeight="1" x14ac:dyDescent="0.2">
      <c r="A318" s="1055"/>
      <c r="B318" s="2594"/>
      <c r="C318" s="2595"/>
      <c r="D318" s="2596"/>
      <c r="E318" s="2395"/>
      <c r="F318" s="2396"/>
      <c r="G318" s="2590"/>
      <c r="H318" s="2591"/>
      <c r="I318" s="1081">
        <f t="shared" si="83"/>
        <v>0</v>
      </c>
      <c r="J318" s="1082">
        <f t="shared" si="84"/>
        <v>0</v>
      </c>
      <c r="K318" s="2588"/>
      <c r="L318" s="2589"/>
      <c r="M318" s="1086">
        <f t="shared" si="85"/>
        <v>0</v>
      </c>
      <c r="N318" s="503"/>
      <c r="O318" s="365">
        <f t="shared" si="86"/>
        <v>0</v>
      </c>
      <c r="P318" s="366"/>
      <c r="Q318" s="135"/>
      <c r="R318" s="136"/>
      <c r="S318" s="129"/>
      <c r="T318" s="129"/>
      <c r="U318" s="129"/>
      <c r="V318" s="129"/>
      <c r="W318" s="129"/>
      <c r="X318" s="129"/>
      <c r="Y318" s="129"/>
      <c r="Z318" s="133"/>
      <c r="AA318" s="133"/>
      <c r="AB318" s="133"/>
      <c r="AC318" s="133"/>
      <c r="AD318" s="133"/>
      <c r="AE318" s="133"/>
      <c r="AF318" s="222"/>
      <c r="AG318" s="222"/>
      <c r="AH318" s="222"/>
      <c r="AI318" s="176"/>
      <c r="AJ318" s="176"/>
      <c r="AK318" s="176"/>
      <c r="AL318" s="176"/>
      <c r="AM318" s="176"/>
      <c r="AN318" s="176"/>
      <c r="AO318" s="176"/>
      <c r="AP318" s="176"/>
      <c r="AQ318" s="176"/>
      <c r="AR318" s="176"/>
      <c r="AS318" s="176"/>
      <c r="AT318" s="176"/>
      <c r="AU318" s="176"/>
      <c r="AV318" s="176"/>
      <c r="AW318" s="176"/>
      <c r="AX318" s="176"/>
      <c r="AY318" s="176"/>
      <c r="AZ318" s="176"/>
      <c r="BA318" s="176"/>
      <c r="BB318" s="176"/>
      <c r="BC318" s="176"/>
      <c r="BD318" s="176"/>
      <c r="BE318" s="176"/>
      <c r="BF318" s="176"/>
      <c r="BG318" s="176"/>
      <c r="BH318" s="176"/>
      <c r="BI318" s="176"/>
      <c r="BJ318" s="176"/>
      <c r="BK318" s="176"/>
      <c r="BL318" s="176"/>
      <c r="BM318" s="176"/>
      <c r="BN318" s="176"/>
      <c r="BO318" s="176"/>
    </row>
    <row r="319" spans="1:67" s="36" customFormat="1" ht="10.5" customHeight="1" x14ac:dyDescent="0.2">
      <c r="A319" s="1055"/>
      <c r="B319" s="2594"/>
      <c r="C319" s="2595"/>
      <c r="D319" s="2596"/>
      <c r="E319" s="2395"/>
      <c r="F319" s="2396"/>
      <c r="G319" s="2590"/>
      <c r="H319" s="2591"/>
      <c r="I319" s="1081">
        <f t="shared" si="83"/>
        <v>0</v>
      </c>
      <c r="J319" s="1082">
        <f t="shared" si="84"/>
        <v>0</v>
      </c>
      <c r="K319" s="2588"/>
      <c r="L319" s="2589"/>
      <c r="M319" s="1086">
        <f t="shared" si="85"/>
        <v>0</v>
      </c>
      <c r="N319" s="503"/>
      <c r="O319" s="365">
        <f t="shared" si="86"/>
        <v>0</v>
      </c>
      <c r="P319" s="366"/>
      <c r="Q319" s="135"/>
      <c r="R319" s="136"/>
      <c r="S319" s="129"/>
      <c r="T319" s="129"/>
      <c r="U319" s="129"/>
      <c r="V319" s="129"/>
      <c r="W319" s="129"/>
      <c r="X319" s="129"/>
      <c r="Y319" s="129"/>
      <c r="Z319" s="133"/>
      <c r="AA319" s="133"/>
      <c r="AB319" s="133"/>
      <c r="AC319" s="133"/>
      <c r="AD319" s="133"/>
      <c r="AE319" s="133"/>
      <c r="AF319" s="222"/>
      <c r="AG319" s="222"/>
      <c r="AH319" s="222"/>
      <c r="AI319" s="176"/>
      <c r="AJ319" s="176"/>
      <c r="AK319" s="176"/>
      <c r="AL319" s="176"/>
      <c r="AM319" s="176"/>
      <c r="AN319" s="176"/>
      <c r="AO319" s="176"/>
      <c r="AP319" s="176"/>
      <c r="AQ319" s="176"/>
      <c r="AR319" s="176"/>
      <c r="AS319" s="176"/>
      <c r="AT319" s="176"/>
      <c r="AU319" s="176"/>
      <c r="AV319" s="176"/>
      <c r="AW319" s="176"/>
      <c r="AX319" s="176"/>
      <c r="AY319" s="176"/>
      <c r="AZ319" s="176"/>
      <c r="BA319" s="176"/>
      <c r="BB319" s="176"/>
      <c r="BC319" s="176"/>
      <c r="BD319" s="176"/>
      <c r="BE319" s="176"/>
      <c r="BF319" s="176"/>
      <c r="BG319" s="176"/>
      <c r="BH319" s="176"/>
      <c r="BI319" s="176"/>
      <c r="BJ319" s="176"/>
      <c r="BK319" s="176"/>
      <c r="BL319" s="176"/>
      <c r="BM319" s="176"/>
      <c r="BN319" s="176"/>
      <c r="BO319" s="176"/>
    </row>
    <row r="320" spans="1:67" s="36" customFormat="1" ht="10.5" customHeight="1" x14ac:dyDescent="0.2">
      <c r="A320" s="1055"/>
      <c r="B320" s="2594"/>
      <c r="C320" s="2595"/>
      <c r="D320" s="2596"/>
      <c r="E320" s="2395"/>
      <c r="F320" s="2396"/>
      <c r="G320" s="2590"/>
      <c r="H320" s="2591"/>
      <c r="I320" s="1081">
        <f t="shared" si="83"/>
        <v>0</v>
      </c>
      <c r="J320" s="1082">
        <f t="shared" si="84"/>
        <v>0</v>
      </c>
      <c r="K320" s="2588"/>
      <c r="L320" s="2589"/>
      <c r="M320" s="1086">
        <f t="shared" si="85"/>
        <v>0</v>
      </c>
      <c r="N320" s="503"/>
      <c r="O320" s="365">
        <f t="shared" si="86"/>
        <v>0</v>
      </c>
      <c r="P320" s="366"/>
      <c r="Q320" s="135"/>
      <c r="R320" s="136"/>
      <c r="S320" s="129"/>
      <c r="T320" s="129"/>
      <c r="U320" s="129"/>
      <c r="V320" s="129"/>
      <c r="W320" s="129"/>
      <c r="X320" s="129"/>
      <c r="Y320" s="129"/>
      <c r="Z320" s="133"/>
      <c r="AA320" s="133"/>
      <c r="AB320" s="133"/>
      <c r="AC320" s="133"/>
      <c r="AD320" s="133"/>
      <c r="AE320" s="133"/>
      <c r="AF320" s="222"/>
      <c r="AG320" s="222"/>
      <c r="AH320" s="222"/>
      <c r="AI320" s="176"/>
      <c r="AJ320" s="176"/>
      <c r="AK320" s="176"/>
      <c r="AL320" s="176"/>
      <c r="AM320" s="176"/>
      <c r="AN320" s="176"/>
      <c r="AO320" s="176"/>
      <c r="AP320" s="176"/>
      <c r="AQ320" s="176"/>
      <c r="AR320" s="176"/>
      <c r="AS320" s="176"/>
      <c r="AT320" s="176"/>
      <c r="AU320" s="176"/>
      <c r="AV320" s="176"/>
      <c r="AW320" s="176"/>
      <c r="AX320" s="176"/>
      <c r="AY320" s="176"/>
      <c r="AZ320" s="176"/>
      <c r="BA320" s="176"/>
      <c r="BB320" s="176"/>
      <c r="BC320" s="176"/>
      <c r="BD320" s="176"/>
      <c r="BE320" s="176"/>
      <c r="BF320" s="176"/>
      <c r="BG320" s="176"/>
      <c r="BH320" s="176"/>
      <c r="BI320" s="176"/>
      <c r="BJ320" s="176"/>
      <c r="BK320" s="176"/>
      <c r="BL320" s="176"/>
      <c r="BM320" s="176"/>
      <c r="BN320" s="176"/>
      <c r="BO320" s="176"/>
    </row>
    <row r="321" spans="1:67" s="36" customFormat="1" ht="10.5" customHeight="1" x14ac:dyDescent="0.2">
      <c r="A321" s="1055"/>
      <c r="B321" s="2594"/>
      <c r="C321" s="2595"/>
      <c r="D321" s="2596"/>
      <c r="E321" s="2395"/>
      <c r="F321" s="2396"/>
      <c r="G321" s="2590"/>
      <c r="H321" s="2591"/>
      <c r="I321" s="1081">
        <f t="shared" si="83"/>
        <v>0</v>
      </c>
      <c r="J321" s="1082">
        <f t="shared" si="84"/>
        <v>0</v>
      </c>
      <c r="K321" s="2588"/>
      <c r="L321" s="2589"/>
      <c r="M321" s="1086">
        <f t="shared" si="85"/>
        <v>0</v>
      </c>
      <c r="N321" s="503"/>
      <c r="O321" s="365">
        <f t="shared" si="86"/>
        <v>0</v>
      </c>
      <c r="P321" s="366"/>
      <c r="Q321" s="135"/>
      <c r="R321" s="136"/>
      <c r="S321" s="129"/>
      <c r="T321" s="129"/>
      <c r="U321" s="129"/>
      <c r="V321" s="129"/>
      <c r="W321" s="129"/>
      <c r="X321" s="129"/>
      <c r="Y321" s="129"/>
      <c r="Z321" s="133"/>
      <c r="AA321" s="133"/>
      <c r="AB321" s="133"/>
      <c r="AC321" s="133"/>
      <c r="AD321" s="133"/>
      <c r="AE321" s="133"/>
      <c r="AF321" s="222"/>
      <c r="AG321" s="222"/>
      <c r="AH321" s="222"/>
      <c r="AI321" s="176"/>
      <c r="AJ321" s="176"/>
      <c r="AK321" s="176"/>
      <c r="AL321" s="176"/>
      <c r="AM321" s="176"/>
      <c r="AN321" s="176"/>
      <c r="AO321" s="176"/>
      <c r="AP321" s="176"/>
      <c r="AQ321" s="176"/>
      <c r="AR321" s="176"/>
      <c r="AS321" s="176"/>
      <c r="AT321" s="176"/>
      <c r="AU321" s="176"/>
      <c r="AV321" s="176"/>
      <c r="AW321" s="176"/>
      <c r="AX321" s="176"/>
      <c r="AY321" s="176"/>
      <c r="AZ321" s="176"/>
      <c r="BA321" s="176"/>
      <c r="BB321" s="176"/>
      <c r="BC321" s="176"/>
      <c r="BD321" s="176"/>
      <c r="BE321" s="176"/>
      <c r="BF321" s="176"/>
      <c r="BG321" s="176"/>
      <c r="BH321" s="176"/>
      <c r="BI321" s="176"/>
      <c r="BJ321" s="176"/>
      <c r="BK321" s="176"/>
      <c r="BL321" s="176"/>
      <c r="BM321" s="176"/>
      <c r="BN321" s="176"/>
      <c r="BO321" s="176"/>
    </row>
    <row r="322" spans="1:67" s="36" customFormat="1" ht="10.5" customHeight="1" x14ac:dyDescent="0.2">
      <c r="A322" s="1055"/>
      <c r="B322" s="2594"/>
      <c r="C322" s="2595"/>
      <c r="D322" s="2596"/>
      <c r="E322" s="2395"/>
      <c r="F322" s="2396"/>
      <c r="G322" s="2590"/>
      <c r="H322" s="2591"/>
      <c r="I322" s="1081">
        <f t="shared" si="83"/>
        <v>0</v>
      </c>
      <c r="J322" s="1082">
        <f t="shared" si="84"/>
        <v>0</v>
      </c>
      <c r="K322" s="2588"/>
      <c r="L322" s="2589"/>
      <c r="M322" s="1086">
        <f t="shared" si="85"/>
        <v>0</v>
      </c>
      <c r="N322" s="503"/>
      <c r="O322" s="365">
        <f t="shared" si="86"/>
        <v>0</v>
      </c>
      <c r="P322" s="366"/>
      <c r="Q322" s="135"/>
      <c r="R322" s="136"/>
      <c r="S322" s="129"/>
      <c r="T322" s="129"/>
      <c r="U322" s="129"/>
      <c r="V322" s="129"/>
      <c r="W322" s="129"/>
      <c r="X322" s="129"/>
      <c r="Y322" s="129"/>
      <c r="Z322" s="133"/>
      <c r="AA322" s="133"/>
      <c r="AB322" s="133"/>
      <c r="AC322" s="133"/>
      <c r="AD322" s="133"/>
      <c r="AE322" s="133"/>
      <c r="AF322" s="222"/>
      <c r="AG322" s="222"/>
      <c r="AH322" s="222"/>
      <c r="AI322" s="176"/>
      <c r="AJ322" s="176"/>
      <c r="AK322" s="176"/>
      <c r="AL322" s="176"/>
      <c r="AM322" s="176"/>
      <c r="AN322" s="176"/>
      <c r="AO322" s="176"/>
      <c r="AP322" s="176"/>
      <c r="AQ322" s="176"/>
      <c r="AR322" s="176"/>
      <c r="AS322" s="176"/>
      <c r="AT322" s="176"/>
      <c r="AU322" s="176"/>
      <c r="AV322" s="176"/>
      <c r="AW322" s="176"/>
      <c r="AX322" s="176"/>
      <c r="AY322" s="176"/>
      <c r="AZ322" s="176"/>
      <c r="BA322" s="176"/>
      <c r="BB322" s="176"/>
      <c r="BC322" s="176"/>
      <c r="BD322" s="176"/>
      <c r="BE322" s="176"/>
      <c r="BF322" s="176"/>
      <c r="BG322" s="176"/>
      <c r="BH322" s="176"/>
      <c r="BI322" s="176"/>
      <c r="BJ322" s="176"/>
      <c r="BK322" s="176"/>
      <c r="BL322" s="176"/>
      <c r="BM322" s="176"/>
      <c r="BN322" s="176"/>
      <c r="BO322" s="176"/>
    </row>
    <row r="323" spans="1:67" s="36" customFormat="1" ht="10.5" customHeight="1" x14ac:dyDescent="0.2">
      <c r="A323" s="1055"/>
      <c r="B323" s="2594"/>
      <c r="C323" s="2595"/>
      <c r="D323" s="2596"/>
      <c r="E323" s="2395"/>
      <c r="F323" s="2396"/>
      <c r="G323" s="2590"/>
      <c r="H323" s="2591"/>
      <c r="I323" s="1081">
        <f t="shared" si="83"/>
        <v>0</v>
      </c>
      <c r="J323" s="1082">
        <f t="shared" si="84"/>
        <v>0</v>
      </c>
      <c r="K323" s="2588"/>
      <c r="L323" s="2589"/>
      <c r="M323" s="1086">
        <f t="shared" si="85"/>
        <v>0</v>
      </c>
      <c r="N323" s="503"/>
      <c r="O323" s="365">
        <f t="shared" si="86"/>
        <v>0</v>
      </c>
      <c r="P323" s="366"/>
      <c r="Q323" s="135"/>
      <c r="R323" s="136"/>
      <c r="S323" s="129"/>
      <c r="T323" s="129"/>
      <c r="U323" s="129"/>
      <c r="V323" s="129"/>
      <c r="W323" s="129"/>
      <c r="X323" s="129"/>
      <c r="Y323" s="129"/>
      <c r="Z323" s="133"/>
      <c r="AA323" s="133"/>
      <c r="AB323" s="133"/>
      <c r="AC323" s="133"/>
      <c r="AD323" s="133"/>
      <c r="AE323" s="133"/>
      <c r="AF323" s="222"/>
      <c r="AG323" s="222"/>
      <c r="AH323" s="222"/>
      <c r="AI323" s="176"/>
      <c r="AJ323" s="176"/>
      <c r="AK323" s="176"/>
      <c r="AL323" s="176"/>
      <c r="AM323" s="176"/>
      <c r="AN323" s="176"/>
      <c r="AO323" s="176"/>
      <c r="AP323" s="176"/>
      <c r="AQ323" s="176"/>
      <c r="AR323" s="176"/>
      <c r="AS323" s="176"/>
      <c r="AT323" s="176"/>
      <c r="AU323" s="176"/>
      <c r="AV323" s="176"/>
      <c r="AW323" s="176"/>
      <c r="AX323" s="176"/>
      <c r="AY323" s="176"/>
      <c r="AZ323" s="176"/>
      <c r="BA323" s="176"/>
      <c r="BB323" s="176"/>
      <c r="BC323" s="176"/>
      <c r="BD323" s="176"/>
      <c r="BE323" s="176"/>
      <c r="BF323" s="176"/>
      <c r="BG323" s="176"/>
      <c r="BH323" s="176"/>
      <c r="BI323" s="176"/>
      <c r="BJ323" s="176"/>
      <c r="BK323" s="176"/>
      <c r="BL323" s="176"/>
      <c r="BM323" s="176"/>
      <c r="BN323" s="176"/>
      <c r="BO323" s="176"/>
    </row>
    <row r="324" spans="1:67" s="36" customFormat="1" ht="10.5" customHeight="1" x14ac:dyDescent="0.2">
      <c r="A324" s="1055"/>
      <c r="B324" s="2594"/>
      <c r="C324" s="2595"/>
      <c r="D324" s="2596"/>
      <c r="E324" s="2395"/>
      <c r="F324" s="2396"/>
      <c r="G324" s="2590"/>
      <c r="H324" s="2591"/>
      <c r="I324" s="1081">
        <f t="shared" si="83"/>
        <v>0</v>
      </c>
      <c r="J324" s="1082">
        <f t="shared" si="84"/>
        <v>0</v>
      </c>
      <c r="K324" s="2588"/>
      <c r="L324" s="2589"/>
      <c r="M324" s="1086">
        <f t="shared" si="85"/>
        <v>0</v>
      </c>
      <c r="N324" s="503"/>
      <c r="O324" s="365">
        <f t="shared" si="86"/>
        <v>0</v>
      </c>
      <c r="P324" s="366"/>
      <c r="Q324" s="135"/>
      <c r="R324" s="136"/>
      <c r="S324" s="129"/>
      <c r="T324" s="129"/>
      <c r="U324" s="129"/>
      <c r="V324" s="129"/>
      <c r="W324" s="129"/>
      <c r="X324" s="129"/>
      <c r="Y324" s="129"/>
      <c r="Z324" s="133"/>
      <c r="AA324" s="133"/>
      <c r="AB324" s="133"/>
      <c r="AC324" s="133"/>
      <c r="AD324" s="133"/>
      <c r="AE324" s="133"/>
      <c r="AF324" s="222"/>
      <c r="AG324" s="222"/>
      <c r="AH324" s="222"/>
      <c r="AI324" s="176"/>
      <c r="AJ324" s="176"/>
      <c r="AK324" s="176"/>
      <c r="AL324" s="176"/>
      <c r="AM324" s="176"/>
      <c r="AN324" s="176"/>
      <c r="AO324" s="176"/>
      <c r="AP324" s="176"/>
      <c r="AQ324" s="176"/>
      <c r="AR324" s="176"/>
      <c r="AS324" s="176"/>
      <c r="AT324" s="176"/>
      <c r="AU324" s="176"/>
      <c r="AV324" s="176"/>
      <c r="AW324" s="176"/>
      <c r="AX324" s="176"/>
      <c r="AY324" s="176"/>
      <c r="AZ324" s="176"/>
      <c r="BA324" s="176"/>
      <c r="BB324" s="176"/>
      <c r="BC324" s="176"/>
      <c r="BD324" s="176"/>
      <c r="BE324" s="176"/>
      <c r="BF324" s="176"/>
      <c r="BG324" s="176"/>
      <c r="BH324" s="176"/>
      <c r="BI324" s="176"/>
      <c r="BJ324" s="176"/>
      <c r="BK324" s="176"/>
      <c r="BL324" s="176"/>
      <c r="BM324" s="176"/>
      <c r="BN324" s="176"/>
      <c r="BO324" s="176"/>
    </row>
    <row r="325" spans="1:67" s="36" customFormat="1" ht="10.5" customHeight="1" x14ac:dyDescent="0.2">
      <c r="A325" s="1055"/>
      <c r="B325" s="2594"/>
      <c r="C325" s="2595"/>
      <c r="D325" s="2596"/>
      <c r="E325" s="2395"/>
      <c r="F325" s="2396"/>
      <c r="G325" s="2590"/>
      <c r="H325" s="2591"/>
      <c r="I325" s="1081">
        <f t="shared" si="83"/>
        <v>0</v>
      </c>
      <c r="J325" s="1082">
        <f t="shared" si="84"/>
        <v>0</v>
      </c>
      <c r="K325" s="2588"/>
      <c r="L325" s="2589"/>
      <c r="M325" s="1086">
        <f t="shared" si="85"/>
        <v>0</v>
      </c>
      <c r="N325" s="503"/>
      <c r="O325" s="365">
        <f t="shared" si="86"/>
        <v>0</v>
      </c>
      <c r="P325" s="366"/>
      <c r="Q325" s="135"/>
      <c r="R325" s="136"/>
      <c r="S325" s="129"/>
      <c r="T325" s="129"/>
      <c r="U325" s="129"/>
      <c r="V325" s="129"/>
      <c r="W325" s="129"/>
      <c r="X325" s="129"/>
      <c r="Y325" s="129"/>
      <c r="Z325" s="133"/>
      <c r="AA325" s="133"/>
      <c r="AB325" s="133"/>
      <c r="AC325" s="133"/>
      <c r="AD325" s="133"/>
      <c r="AE325" s="133"/>
      <c r="AF325" s="222"/>
      <c r="AG325" s="222"/>
      <c r="AH325" s="222"/>
      <c r="AI325" s="176"/>
      <c r="AJ325" s="176"/>
      <c r="AK325" s="176"/>
      <c r="AL325" s="176"/>
      <c r="AM325" s="176"/>
      <c r="AN325" s="176"/>
      <c r="AO325" s="176"/>
      <c r="AP325" s="176"/>
      <c r="AQ325" s="176"/>
      <c r="AR325" s="176"/>
      <c r="AS325" s="176"/>
      <c r="AT325" s="176"/>
      <c r="AU325" s="176"/>
      <c r="AV325" s="176"/>
      <c r="AW325" s="176"/>
      <c r="AX325" s="176"/>
      <c r="AY325" s="176"/>
      <c r="AZ325" s="176"/>
      <c r="BA325" s="176"/>
      <c r="BB325" s="176"/>
      <c r="BC325" s="176"/>
      <c r="BD325" s="176"/>
      <c r="BE325" s="176"/>
      <c r="BF325" s="176"/>
      <c r="BG325" s="176"/>
      <c r="BH325" s="176"/>
      <c r="BI325" s="176"/>
      <c r="BJ325" s="176"/>
      <c r="BK325" s="176"/>
      <c r="BL325" s="176"/>
      <c r="BM325" s="176"/>
      <c r="BN325" s="176"/>
      <c r="BO325" s="176"/>
    </row>
    <row r="326" spans="1:67" s="36" customFormat="1" ht="10.5" customHeight="1" x14ac:dyDescent="0.2">
      <c r="A326" s="1044"/>
      <c r="B326" s="2608"/>
      <c r="C326" s="2609"/>
      <c r="D326" s="2610"/>
      <c r="E326" s="2601"/>
      <c r="F326" s="2602"/>
      <c r="G326" s="1088"/>
      <c r="H326" s="1089"/>
      <c r="I326" s="1083">
        <f t="shared" si="83"/>
        <v>0</v>
      </c>
      <c r="J326" s="1084"/>
      <c r="K326" s="1087"/>
      <c r="L326" s="1307"/>
      <c r="M326" s="1317">
        <f t="shared" si="85"/>
        <v>0</v>
      </c>
      <c r="N326" s="503"/>
      <c r="O326" s="365">
        <f t="shared" si="86"/>
        <v>0</v>
      </c>
      <c r="P326" s="366"/>
      <c r="Q326" s="135"/>
      <c r="R326" s="136"/>
      <c r="S326" s="129"/>
      <c r="T326" s="129"/>
      <c r="U326" s="129"/>
      <c r="V326" s="129"/>
      <c r="W326" s="129"/>
      <c r="X326" s="129"/>
      <c r="Y326" s="129"/>
      <c r="Z326" s="133"/>
      <c r="AA326" s="133"/>
      <c r="AB326" s="133"/>
      <c r="AC326" s="133"/>
      <c r="AD326" s="133"/>
      <c r="AE326" s="133"/>
      <c r="AF326" s="222"/>
      <c r="AG326" s="222"/>
      <c r="AH326" s="222"/>
      <c r="AI326" s="176"/>
      <c r="AJ326" s="176"/>
      <c r="AK326" s="176"/>
      <c r="AL326" s="176"/>
      <c r="AM326" s="176"/>
      <c r="AN326" s="176"/>
      <c r="AO326" s="176"/>
      <c r="AP326" s="176"/>
      <c r="AQ326" s="176"/>
      <c r="AR326" s="176"/>
      <c r="AS326" s="176"/>
      <c r="AT326" s="176"/>
      <c r="AU326" s="176"/>
      <c r="AV326" s="176"/>
      <c r="AW326" s="176"/>
      <c r="AX326" s="176"/>
      <c r="AY326" s="176"/>
      <c r="AZ326" s="176"/>
      <c r="BA326" s="176"/>
      <c r="BB326" s="176"/>
      <c r="BC326" s="176"/>
      <c r="BD326" s="176"/>
      <c r="BE326" s="176"/>
      <c r="BF326" s="176"/>
      <c r="BG326" s="176"/>
      <c r="BH326" s="176"/>
      <c r="BI326" s="176"/>
      <c r="BJ326" s="176"/>
      <c r="BK326" s="176"/>
      <c r="BL326" s="176"/>
      <c r="BM326" s="176"/>
      <c r="BN326" s="176"/>
      <c r="BO326" s="176"/>
    </row>
    <row r="327" spans="1:67" s="36" customFormat="1" ht="10.5" customHeight="1" x14ac:dyDescent="0.2">
      <c r="A327" s="1103" t="s">
        <v>370</v>
      </c>
      <c r="B327" s="2611"/>
      <c r="C327" s="2612"/>
      <c r="D327" s="2613"/>
      <c r="E327" s="2614">
        <f>SUM(E328:E339)</f>
        <v>0</v>
      </c>
      <c r="F327" s="2615"/>
      <c r="G327" s="2616"/>
      <c r="H327" s="2617"/>
      <c r="I327" s="1116">
        <f>IF(E327=0,0,J327/E327)</f>
        <v>0</v>
      </c>
      <c r="J327" s="1119">
        <f>SUM(J328:J339)</f>
        <v>0</v>
      </c>
      <c r="K327" s="2618">
        <f>IF(E327=0,0,M327/E327*100)</f>
        <v>0</v>
      </c>
      <c r="L327" s="2619"/>
      <c r="M327" s="1316">
        <f>SUM(M328:M339)</f>
        <v>0</v>
      </c>
      <c r="N327" s="503"/>
      <c r="O327" s="178">
        <f>IF(H327="",G327,H327)</f>
        <v>0</v>
      </c>
      <c r="P327" s="366"/>
      <c r="Q327" s="135"/>
      <c r="R327" s="136"/>
      <c r="S327" s="129"/>
      <c r="T327" s="129"/>
      <c r="U327" s="129"/>
      <c r="V327" s="129"/>
      <c r="W327" s="129"/>
      <c r="X327" s="129"/>
      <c r="Y327" s="129"/>
      <c r="Z327" s="133"/>
      <c r="AA327" s="133"/>
      <c r="AB327" s="133"/>
      <c r="AC327" s="133"/>
      <c r="AD327" s="133"/>
      <c r="AE327" s="133"/>
      <c r="AF327" s="222"/>
      <c r="AG327" s="222"/>
      <c r="AH327" s="222"/>
      <c r="AI327" s="176"/>
      <c r="AJ327" s="176"/>
      <c r="AK327" s="176"/>
      <c r="AL327" s="176"/>
      <c r="AM327" s="176"/>
      <c r="AN327" s="176"/>
      <c r="AO327" s="176"/>
      <c r="AP327" s="176"/>
      <c r="AQ327" s="176"/>
      <c r="AR327" s="176"/>
      <c r="AS327" s="176"/>
      <c r="AT327" s="176"/>
      <c r="AU327" s="176"/>
      <c r="AV327" s="176"/>
      <c r="AW327" s="176"/>
      <c r="AX327" s="176"/>
      <c r="AY327" s="176"/>
      <c r="AZ327" s="176"/>
      <c r="BA327" s="176"/>
      <c r="BB327" s="176"/>
      <c r="BC327" s="176"/>
      <c r="BD327" s="176"/>
      <c r="BE327" s="176"/>
      <c r="BF327" s="176"/>
      <c r="BG327" s="176"/>
      <c r="BH327" s="176"/>
      <c r="BI327" s="176"/>
      <c r="BJ327" s="176"/>
      <c r="BK327" s="176"/>
      <c r="BL327" s="176"/>
      <c r="BM327" s="176"/>
      <c r="BN327" s="176"/>
      <c r="BO327" s="176"/>
    </row>
    <row r="328" spans="1:67" s="36" customFormat="1" ht="10.5" customHeight="1" x14ac:dyDescent="0.2">
      <c r="A328" s="1191" t="s">
        <v>444</v>
      </c>
      <c r="B328" s="1123"/>
      <c r="C328" s="1123"/>
      <c r="D328" s="1124"/>
      <c r="E328" s="2597">
        <f>ROUND(SUM(E55,E70,E85,E102,E117,E132,E147,E162,E177,E237,E252,E267,E297,E312)*D328,-2)</f>
        <v>0</v>
      </c>
      <c r="F328" s="2598"/>
      <c r="G328" s="1056">
        <v>20</v>
      </c>
      <c r="H328" s="1057"/>
      <c r="I328" s="1127">
        <f t="shared" ref="I328:I340" si="87">IF($O328&gt;0,-PMT(($I$9),$O328,1),0)</f>
        <v>6.2642070767998229E-2</v>
      </c>
      <c r="J328" s="1128">
        <f t="shared" ref="J328:J339" si="88">ROUND(E328*I328,0)</f>
        <v>0</v>
      </c>
      <c r="K328" s="1129">
        <v>2</v>
      </c>
      <c r="L328" s="1308"/>
      <c r="M328" s="1319">
        <f t="shared" ref="M328:M354" si="89">ROUND(E328/100*IF(ISBLANK(L328),K328,L328),0)</f>
        <v>0</v>
      </c>
      <c r="N328" s="503"/>
      <c r="O328" s="365">
        <f t="shared" ref="O328:O340" si="90">IF(ISBLANK(H328),G328,H328)</f>
        <v>20</v>
      </c>
      <c r="P328" s="366"/>
      <c r="Q328" s="135"/>
      <c r="R328" s="136"/>
      <c r="S328" s="129"/>
      <c r="T328" s="129"/>
      <c r="U328" s="129"/>
      <c r="V328" s="129"/>
      <c r="W328" s="129"/>
      <c r="X328" s="129"/>
      <c r="Y328" s="129"/>
      <c r="Z328" s="133"/>
      <c r="AA328" s="133"/>
      <c r="AB328" s="133"/>
      <c r="AC328" s="133"/>
      <c r="AD328" s="133"/>
      <c r="AE328" s="133"/>
      <c r="AF328" s="222"/>
      <c r="AG328" s="222"/>
      <c r="AH328" s="222"/>
      <c r="AI328" s="176"/>
      <c r="AJ328" s="176"/>
      <c r="AK328" s="176"/>
      <c r="AL328" s="176"/>
      <c r="AM328" s="176"/>
      <c r="AN328" s="176"/>
      <c r="AO328" s="176"/>
      <c r="AP328" s="176"/>
      <c r="AQ328" s="176"/>
      <c r="AR328" s="176"/>
      <c r="AS328" s="176"/>
      <c r="AT328" s="176"/>
      <c r="AU328" s="176"/>
      <c r="AV328" s="176"/>
      <c r="AW328" s="176"/>
      <c r="AX328" s="176"/>
      <c r="AY328" s="176"/>
      <c r="AZ328" s="176"/>
      <c r="BA328" s="176"/>
      <c r="BB328" s="176"/>
      <c r="BC328" s="176"/>
      <c r="BD328" s="176"/>
      <c r="BE328" s="176"/>
      <c r="BF328" s="176"/>
      <c r="BG328" s="176"/>
      <c r="BH328" s="176"/>
      <c r="BI328" s="176"/>
      <c r="BJ328" s="176"/>
      <c r="BK328" s="176"/>
      <c r="BL328" s="176"/>
      <c r="BM328" s="176"/>
      <c r="BN328" s="176"/>
      <c r="BO328" s="176"/>
    </row>
    <row r="329" spans="1:67" s="36" customFormat="1" ht="10.5" customHeight="1" x14ac:dyDescent="0.2">
      <c r="A329" s="1055"/>
      <c r="B329" s="2594"/>
      <c r="C329" s="2595"/>
      <c r="D329" s="2596"/>
      <c r="E329" s="2395"/>
      <c r="F329" s="2396"/>
      <c r="G329" s="2590"/>
      <c r="H329" s="2591"/>
      <c r="I329" s="1081">
        <f t="shared" si="87"/>
        <v>0</v>
      </c>
      <c r="J329" s="1082">
        <f t="shared" si="88"/>
        <v>0</v>
      </c>
      <c r="K329" s="2588"/>
      <c r="L329" s="2589"/>
      <c r="M329" s="1086">
        <f t="shared" si="89"/>
        <v>0</v>
      </c>
      <c r="N329" s="503"/>
      <c r="O329" s="365">
        <f t="shared" si="90"/>
        <v>0</v>
      </c>
      <c r="P329" s="366"/>
      <c r="Q329" s="135"/>
      <c r="R329" s="136"/>
      <c r="S329" s="129"/>
      <c r="T329" s="129"/>
      <c r="U329" s="129"/>
      <c r="V329" s="129"/>
      <c r="W329" s="129"/>
      <c r="X329" s="129"/>
      <c r="Y329" s="129"/>
      <c r="Z329" s="133"/>
      <c r="AA329" s="133"/>
      <c r="AB329" s="133"/>
      <c r="AC329" s="133"/>
      <c r="AD329" s="133"/>
      <c r="AE329" s="133"/>
      <c r="AF329" s="222"/>
      <c r="AG329" s="222"/>
      <c r="AH329" s="222"/>
      <c r="AI329" s="176"/>
      <c r="AJ329" s="176"/>
      <c r="AK329" s="176"/>
      <c r="AL329" s="176"/>
      <c r="AM329" s="176"/>
      <c r="AN329" s="176"/>
      <c r="AO329" s="176"/>
      <c r="AP329" s="176"/>
      <c r="AQ329" s="176"/>
      <c r="AR329" s="176"/>
      <c r="AS329" s="176"/>
      <c r="AT329" s="176"/>
      <c r="AU329" s="176"/>
      <c r="AV329" s="176"/>
      <c r="AW329" s="176"/>
      <c r="AX329" s="176"/>
      <c r="AY329" s="176"/>
      <c r="AZ329" s="176"/>
      <c r="BA329" s="176"/>
      <c r="BB329" s="176"/>
      <c r="BC329" s="176"/>
      <c r="BD329" s="176"/>
      <c r="BE329" s="176"/>
      <c r="BF329" s="176"/>
      <c r="BG329" s="176"/>
      <c r="BH329" s="176"/>
      <c r="BI329" s="176"/>
      <c r="BJ329" s="176"/>
      <c r="BK329" s="176"/>
      <c r="BL329" s="176"/>
      <c r="BM329" s="176"/>
      <c r="BN329" s="176"/>
      <c r="BO329" s="176"/>
    </row>
    <row r="330" spans="1:67" s="36" customFormat="1" ht="10.5" customHeight="1" x14ac:dyDescent="0.2">
      <c r="A330" s="1055"/>
      <c r="B330" s="2594"/>
      <c r="C330" s="2595"/>
      <c r="D330" s="2596"/>
      <c r="E330" s="2395"/>
      <c r="F330" s="2396"/>
      <c r="G330" s="2590"/>
      <c r="H330" s="2591"/>
      <c r="I330" s="1081">
        <f t="shared" si="87"/>
        <v>0</v>
      </c>
      <c r="J330" s="1082">
        <f t="shared" si="88"/>
        <v>0</v>
      </c>
      <c r="K330" s="2588"/>
      <c r="L330" s="2589"/>
      <c r="M330" s="1086">
        <f t="shared" si="89"/>
        <v>0</v>
      </c>
      <c r="N330" s="503"/>
      <c r="O330" s="365">
        <f t="shared" si="90"/>
        <v>0</v>
      </c>
      <c r="P330" s="366"/>
      <c r="Q330" s="135"/>
      <c r="R330" s="136"/>
      <c r="S330" s="129"/>
      <c r="T330" s="129"/>
      <c r="U330" s="129"/>
      <c r="V330" s="129"/>
      <c r="W330" s="129"/>
      <c r="X330" s="129"/>
      <c r="Y330" s="129"/>
      <c r="Z330" s="133"/>
      <c r="AA330" s="133"/>
      <c r="AB330" s="133"/>
      <c r="AC330" s="133"/>
      <c r="AD330" s="133"/>
      <c r="AE330" s="133"/>
      <c r="AF330" s="222"/>
      <c r="AG330" s="222"/>
      <c r="AH330" s="222"/>
      <c r="AI330" s="176"/>
      <c r="AJ330" s="176"/>
      <c r="AK330" s="176"/>
      <c r="AL330" s="176"/>
      <c r="AM330" s="176"/>
      <c r="AN330" s="176"/>
      <c r="AO330" s="176"/>
      <c r="AP330" s="176"/>
      <c r="AQ330" s="176"/>
      <c r="AR330" s="176"/>
      <c r="AS330" s="176"/>
      <c r="AT330" s="176"/>
      <c r="AU330" s="176"/>
      <c r="AV330" s="176"/>
      <c r="AW330" s="176"/>
      <c r="AX330" s="176"/>
      <c r="AY330" s="176"/>
      <c r="AZ330" s="176"/>
      <c r="BA330" s="176"/>
      <c r="BB330" s="176"/>
      <c r="BC330" s="176"/>
      <c r="BD330" s="176"/>
      <c r="BE330" s="176"/>
      <c r="BF330" s="176"/>
      <c r="BG330" s="176"/>
      <c r="BH330" s="176"/>
      <c r="BI330" s="176"/>
      <c r="BJ330" s="176"/>
      <c r="BK330" s="176"/>
      <c r="BL330" s="176"/>
      <c r="BM330" s="176"/>
      <c r="BN330" s="176"/>
      <c r="BO330" s="176"/>
    </row>
    <row r="331" spans="1:67" s="36" customFormat="1" ht="10.5" customHeight="1" x14ac:dyDescent="0.2">
      <c r="A331" s="1055"/>
      <c r="B331" s="2594"/>
      <c r="C331" s="2595"/>
      <c r="D331" s="2596"/>
      <c r="E331" s="2395"/>
      <c r="F331" s="2396"/>
      <c r="G331" s="2590"/>
      <c r="H331" s="2591"/>
      <c r="I331" s="1081">
        <f t="shared" si="87"/>
        <v>0</v>
      </c>
      <c r="J331" s="1082">
        <f t="shared" si="88"/>
        <v>0</v>
      </c>
      <c r="K331" s="2588"/>
      <c r="L331" s="2589"/>
      <c r="M331" s="1086">
        <f t="shared" si="89"/>
        <v>0</v>
      </c>
      <c r="N331" s="503"/>
      <c r="O331" s="365">
        <f t="shared" si="90"/>
        <v>0</v>
      </c>
      <c r="P331" s="366"/>
      <c r="Q331" s="135"/>
      <c r="R331" s="136"/>
      <c r="S331" s="129"/>
      <c r="T331" s="129"/>
      <c r="U331" s="129"/>
      <c r="V331" s="129"/>
      <c r="W331" s="129"/>
      <c r="X331" s="129"/>
      <c r="Y331" s="129"/>
      <c r="Z331" s="133"/>
      <c r="AA331" s="133"/>
      <c r="AB331" s="133"/>
      <c r="AC331" s="133"/>
      <c r="AD331" s="133"/>
      <c r="AE331" s="133"/>
      <c r="AF331" s="222"/>
      <c r="AG331" s="222"/>
      <c r="AH331" s="222"/>
      <c r="AI331" s="176"/>
      <c r="AJ331" s="176"/>
      <c r="AK331" s="176"/>
      <c r="AL331" s="176"/>
      <c r="AM331" s="176"/>
      <c r="AN331" s="176"/>
      <c r="AO331" s="176"/>
      <c r="AP331" s="176"/>
      <c r="AQ331" s="176"/>
      <c r="AR331" s="176"/>
      <c r="AS331" s="176"/>
      <c r="AT331" s="176"/>
      <c r="AU331" s="176"/>
      <c r="AV331" s="176"/>
      <c r="AW331" s="176"/>
      <c r="AX331" s="176"/>
      <c r="AY331" s="176"/>
      <c r="AZ331" s="176"/>
      <c r="BA331" s="176"/>
      <c r="BB331" s="176"/>
      <c r="BC331" s="176"/>
      <c r="BD331" s="176"/>
      <c r="BE331" s="176"/>
      <c r="BF331" s="176"/>
      <c r="BG331" s="176"/>
      <c r="BH331" s="176"/>
      <c r="BI331" s="176"/>
      <c r="BJ331" s="176"/>
      <c r="BK331" s="176"/>
      <c r="BL331" s="176"/>
      <c r="BM331" s="176"/>
      <c r="BN331" s="176"/>
      <c r="BO331" s="176"/>
    </row>
    <row r="332" spans="1:67" s="36" customFormat="1" ht="10.5" customHeight="1" x14ac:dyDescent="0.2">
      <c r="A332" s="1055"/>
      <c r="B332" s="2594"/>
      <c r="C332" s="2595"/>
      <c r="D332" s="2596"/>
      <c r="E332" s="2395"/>
      <c r="F332" s="2396"/>
      <c r="G332" s="2590"/>
      <c r="H332" s="2591"/>
      <c r="I332" s="1081">
        <f t="shared" si="87"/>
        <v>0</v>
      </c>
      <c r="J332" s="1082">
        <f t="shared" si="88"/>
        <v>0</v>
      </c>
      <c r="K332" s="2588"/>
      <c r="L332" s="2589"/>
      <c r="M332" s="1086">
        <f t="shared" si="89"/>
        <v>0</v>
      </c>
      <c r="N332" s="503"/>
      <c r="O332" s="365">
        <f t="shared" si="90"/>
        <v>0</v>
      </c>
      <c r="P332" s="366"/>
      <c r="Q332" s="135"/>
      <c r="R332" s="136"/>
      <c r="S332" s="129"/>
      <c r="T332" s="129"/>
      <c r="U332" s="129"/>
      <c r="V332" s="129"/>
      <c r="W332" s="129"/>
      <c r="X332" s="129"/>
      <c r="Y332" s="129"/>
      <c r="Z332" s="133"/>
      <c r="AA332" s="133"/>
      <c r="AB332" s="133"/>
      <c r="AC332" s="133"/>
      <c r="AD332" s="133"/>
      <c r="AE332" s="133"/>
      <c r="AF332" s="222"/>
      <c r="AG332" s="222"/>
      <c r="AH332" s="222"/>
      <c r="AI332" s="176"/>
      <c r="AJ332" s="176"/>
      <c r="AK332" s="176"/>
      <c r="AL332" s="176"/>
      <c r="AM332" s="176"/>
      <c r="AN332" s="176"/>
      <c r="AO332" s="176"/>
      <c r="AP332" s="176"/>
      <c r="AQ332" s="176"/>
      <c r="AR332" s="176"/>
      <c r="AS332" s="176"/>
      <c r="AT332" s="176"/>
      <c r="AU332" s="176"/>
      <c r="AV332" s="176"/>
      <c r="AW332" s="176"/>
      <c r="AX332" s="176"/>
      <c r="AY332" s="176"/>
      <c r="AZ332" s="176"/>
      <c r="BA332" s="176"/>
      <c r="BB332" s="176"/>
      <c r="BC332" s="176"/>
      <c r="BD332" s="176"/>
      <c r="BE332" s="176"/>
      <c r="BF332" s="176"/>
      <c r="BG332" s="176"/>
      <c r="BH332" s="176"/>
      <c r="BI332" s="176"/>
      <c r="BJ332" s="176"/>
      <c r="BK332" s="176"/>
      <c r="BL332" s="176"/>
      <c r="BM332" s="176"/>
      <c r="BN332" s="176"/>
      <c r="BO332" s="176"/>
    </row>
    <row r="333" spans="1:67" s="36" customFormat="1" ht="10.5" customHeight="1" x14ac:dyDescent="0.2">
      <c r="A333" s="1055"/>
      <c r="B333" s="2594"/>
      <c r="C333" s="2595"/>
      <c r="D333" s="2596"/>
      <c r="E333" s="2395"/>
      <c r="F333" s="2396"/>
      <c r="G333" s="2590"/>
      <c r="H333" s="2591"/>
      <c r="I333" s="1081">
        <f t="shared" si="87"/>
        <v>0</v>
      </c>
      <c r="J333" s="1082">
        <f t="shared" si="88"/>
        <v>0</v>
      </c>
      <c r="K333" s="2588"/>
      <c r="L333" s="2589"/>
      <c r="M333" s="1086">
        <f t="shared" si="89"/>
        <v>0</v>
      </c>
      <c r="N333" s="503"/>
      <c r="O333" s="365">
        <f t="shared" si="90"/>
        <v>0</v>
      </c>
      <c r="P333" s="366"/>
      <c r="Q333" s="135"/>
      <c r="R333" s="136"/>
      <c r="S333" s="129"/>
      <c r="T333" s="129"/>
      <c r="U333" s="129"/>
      <c r="V333" s="129"/>
      <c r="W333" s="129"/>
      <c r="X333" s="129"/>
      <c r="Y333" s="129"/>
      <c r="Z333" s="133"/>
      <c r="AA333" s="133"/>
      <c r="AB333" s="133"/>
      <c r="AC333" s="133"/>
      <c r="AD333" s="133"/>
      <c r="AE333" s="133"/>
      <c r="AF333" s="222"/>
      <c r="AG333" s="222"/>
      <c r="AH333" s="222"/>
      <c r="AI333" s="176"/>
      <c r="AJ333" s="176"/>
      <c r="AK333" s="176"/>
      <c r="AL333" s="176"/>
      <c r="AM333" s="176"/>
      <c r="AN333" s="176"/>
      <c r="AO333" s="176"/>
      <c r="AP333" s="176"/>
      <c r="AQ333" s="176"/>
      <c r="AR333" s="176"/>
      <c r="AS333" s="176"/>
      <c r="AT333" s="176"/>
      <c r="AU333" s="176"/>
      <c r="AV333" s="176"/>
      <c r="AW333" s="176"/>
      <c r="AX333" s="176"/>
      <c r="AY333" s="176"/>
      <c r="AZ333" s="176"/>
      <c r="BA333" s="176"/>
      <c r="BB333" s="176"/>
      <c r="BC333" s="176"/>
      <c r="BD333" s="176"/>
      <c r="BE333" s="176"/>
      <c r="BF333" s="176"/>
      <c r="BG333" s="176"/>
      <c r="BH333" s="176"/>
      <c r="BI333" s="176"/>
      <c r="BJ333" s="176"/>
      <c r="BK333" s="176"/>
      <c r="BL333" s="176"/>
      <c r="BM333" s="176"/>
      <c r="BN333" s="176"/>
      <c r="BO333" s="176"/>
    </row>
    <row r="334" spans="1:67" s="36" customFormat="1" ht="10.5" customHeight="1" x14ac:dyDescent="0.2">
      <c r="A334" s="1191" t="s">
        <v>445</v>
      </c>
      <c r="B334" s="1123"/>
      <c r="C334" s="1123"/>
      <c r="D334" s="1124"/>
      <c r="E334" s="2597">
        <f>ROUND(SUM(E40,E192,E207,E222,E282)*D334,-2)</f>
        <v>0</v>
      </c>
      <c r="F334" s="2598"/>
      <c r="G334" s="1125">
        <v>20</v>
      </c>
      <c r="H334" s="1126"/>
      <c r="I334" s="1127">
        <f t="shared" si="87"/>
        <v>6.2642070767998229E-2</v>
      </c>
      <c r="J334" s="1128">
        <f t="shared" si="88"/>
        <v>0</v>
      </c>
      <c r="K334" s="1129">
        <v>1</v>
      </c>
      <c r="L334" s="1308"/>
      <c r="M334" s="1319">
        <f t="shared" si="89"/>
        <v>0</v>
      </c>
      <c r="N334" s="503"/>
      <c r="O334" s="365">
        <f t="shared" si="90"/>
        <v>20</v>
      </c>
      <c r="P334" s="366"/>
      <c r="Q334" s="135"/>
      <c r="R334" s="136"/>
      <c r="S334" s="129"/>
      <c r="T334" s="129"/>
      <c r="U334" s="129"/>
      <c r="V334" s="129"/>
      <c r="W334" s="129"/>
      <c r="X334" s="129"/>
      <c r="Y334" s="129"/>
      <c r="Z334" s="133"/>
      <c r="AA334" s="133"/>
      <c r="AB334" s="133"/>
      <c r="AC334" s="133"/>
      <c r="AD334" s="133"/>
      <c r="AE334" s="133"/>
      <c r="AF334" s="222"/>
      <c r="AG334" s="222"/>
      <c r="AH334" s="222"/>
      <c r="AI334" s="176"/>
      <c r="AJ334" s="176"/>
      <c r="AK334" s="176"/>
      <c r="AL334" s="176"/>
      <c r="AM334" s="176"/>
      <c r="AN334" s="176"/>
      <c r="AO334" s="176"/>
      <c r="AP334" s="176"/>
      <c r="AQ334" s="176"/>
      <c r="AR334" s="176"/>
      <c r="AS334" s="176"/>
      <c r="AT334" s="176"/>
      <c r="AU334" s="176"/>
      <c r="AV334" s="176"/>
      <c r="AW334" s="176"/>
      <c r="AX334" s="176"/>
      <c r="AY334" s="176"/>
      <c r="AZ334" s="176"/>
      <c r="BA334" s="176"/>
      <c r="BB334" s="176"/>
      <c r="BC334" s="176"/>
      <c r="BD334" s="176"/>
      <c r="BE334" s="176"/>
      <c r="BF334" s="176"/>
      <c r="BG334" s="176"/>
      <c r="BH334" s="176"/>
      <c r="BI334" s="176"/>
      <c r="BJ334" s="176"/>
      <c r="BK334" s="176"/>
      <c r="BL334" s="176"/>
      <c r="BM334" s="176"/>
      <c r="BN334" s="176"/>
      <c r="BO334" s="176"/>
    </row>
    <row r="335" spans="1:67" s="36" customFormat="1" ht="10.5" customHeight="1" x14ac:dyDescent="0.2">
      <c r="A335" s="1055"/>
      <c r="B335" s="2594"/>
      <c r="C335" s="2595"/>
      <c r="D335" s="2596"/>
      <c r="E335" s="2395"/>
      <c r="F335" s="2396"/>
      <c r="G335" s="2590"/>
      <c r="H335" s="2591"/>
      <c r="I335" s="1081">
        <f t="shared" si="87"/>
        <v>0</v>
      </c>
      <c r="J335" s="1082">
        <f t="shared" si="88"/>
        <v>0</v>
      </c>
      <c r="K335" s="2588"/>
      <c r="L335" s="2589"/>
      <c r="M335" s="1086">
        <f t="shared" si="89"/>
        <v>0</v>
      </c>
      <c r="N335" s="503"/>
      <c r="O335" s="365">
        <f t="shared" si="90"/>
        <v>0</v>
      </c>
      <c r="P335" s="366"/>
      <c r="Q335" s="135"/>
      <c r="R335" s="136"/>
      <c r="S335" s="129"/>
      <c r="T335" s="129"/>
      <c r="U335" s="129"/>
      <c r="V335" s="129"/>
      <c r="W335" s="129"/>
      <c r="X335" s="129"/>
      <c r="Y335" s="129"/>
      <c r="Z335" s="133"/>
      <c r="AA335" s="133"/>
      <c r="AB335" s="133"/>
      <c r="AC335" s="133"/>
      <c r="AD335" s="133"/>
      <c r="AE335" s="133"/>
      <c r="AF335" s="222"/>
      <c r="AG335" s="222"/>
      <c r="AH335" s="222"/>
      <c r="AI335" s="176"/>
      <c r="AJ335" s="176"/>
      <c r="AK335" s="176"/>
      <c r="AL335" s="176"/>
      <c r="AM335" s="176"/>
      <c r="AN335" s="176"/>
      <c r="AO335" s="176"/>
      <c r="AP335" s="176"/>
      <c r="AQ335" s="176"/>
      <c r="AR335" s="176"/>
      <c r="AS335" s="176"/>
      <c r="AT335" s="176"/>
      <c r="AU335" s="176"/>
      <c r="AV335" s="176"/>
      <c r="AW335" s="176"/>
      <c r="AX335" s="176"/>
      <c r="AY335" s="176"/>
      <c r="AZ335" s="176"/>
      <c r="BA335" s="176"/>
      <c r="BB335" s="176"/>
      <c r="BC335" s="176"/>
      <c r="BD335" s="176"/>
      <c r="BE335" s="176"/>
      <c r="BF335" s="176"/>
      <c r="BG335" s="176"/>
      <c r="BH335" s="176"/>
      <c r="BI335" s="176"/>
      <c r="BJ335" s="176"/>
      <c r="BK335" s="176"/>
      <c r="BL335" s="176"/>
      <c r="BM335" s="176"/>
      <c r="BN335" s="176"/>
      <c r="BO335" s="176"/>
    </row>
    <row r="336" spans="1:67" s="36" customFormat="1" ht="10.5" customHeight="1" x14ac:dyDescent="0.2">
      <c r="A336" s="1055"/>
      <c r="B336" s="2594"/>
      <c r="C336" s="2595"/>
      <c r="D336" s="2596"/>
      <c r="E336" s="2395"/>
      <c r="F336" s="2396"/>
      <c r="G336" s="2590"/>
      <c r="H336" s="2591"/>
      <c r="I336" s="1081">
        <f t="shared" si="87"/>
        <v>0</v>
      </c>
      <c r="J336" s="1082">
        <f t="shared" si="88"/>
        <v>0</v>
      </c>
      <c r="K336" s="2588"/>
      <c r="L336" s="2589"/>
      <c r="M336" s="1086">
        <f t="shared" si="89"/>
        <v>0</v>
      </c>
      <c r="N336" s="503"/>
      <c r="O336" s="365">
        <f t="shared" si="90"/>
        <v>0</v>
      </c>
      <c r="P336" s="366"/>
      <c r="Q336" s="135"/>
      <c r="R336" s="136"/>
      <c r="S336" s="129"/>
      <c r="T336" s="129"/>
      <c r="U336" s="129"/>
      <c r="V336" s="129"/>
      <c r="W336" s="129"/>
      <c r="X336" s="129"/>
      <c r="Y336" s="129"/>
      <c r="Z336" s="133"/>
      <c r="AA336" s="133"/>
      <c r="AB336" s="133"/>
      <c r="AC336" s="133"/>
      <c r="AD336" s="133"/>
      <c r="AE336" s="133"/>
      <c r="AF336" s="222"/>
      <c r="AG336" s="222"/>
      <c r="AH336" s="222"/>
      <c r="AI336" s="176"/>
      <c r="AJ336" s="176"/>
      <c r="AK336" s="176"/>
      <c r="AL336" s="176"/>
      <c r="AM336" s="176"/>
      <c r="AN336" s="176"/>
      <c r="AO336" s="176"/>
      <c r="AP336" s="176"/>
      <c r="AQ336" s="176"/>
      <c r="AR336" s="176"/>
      <c r="AS336" s="176"/>
      <c r="AT336" s="176"/>
      <c r="AU336" s="176"/>
      <c r="AV336" s="176"/>
      <c r="AW336" s="176"/>
      <c r="AX336" s="176"/>
      <c r="AY336" s="176"/>
      <c r="AZ336" s="176"/>
      <c r="BA336" s="176"/>
      <c r="BB336" s="176"/>
      <c r="BC336" s="176"/>
      <c r="BD336" s="176"/>
      <c r="BE336" s="176"/>
      <c r="BF336" s="176"/>
      <c r="BG336" s="176"/>
      <c r="BH336" s="176"/>
      <c r="BI336" s="176"/>
      <c r="BJ336" s="176"/>
      <c r="BK336" s="176"/>
      <c r="BL336" s="176"/>
      <c r="BM336" s="176"/>
      <c r="BN336" s="176"/>
      <c r="BO336" s="176"/>
    </row>
    <row r="337" spans="1:67" s="36" customFormat="1" ht="10.5" customHeight="1" x14ac:dyDescent="0.2">
      <c r="A337" s="1055"/>
      <c r="B337" s="2594"/>
      <c r="C337" s="2595"/>
      <c r="D337" s="2596"/>
      <c r="E337" s="2395"/>
      <c r="F337" s="2396"/>
      <c r="G337" s="2590"/>
      <c r="H337" s="2591"/>
      <c r="I337" s="1081">
        <f t="shared" si="87"/>
        <v>0</v>
      </c>
      <c r="J337" s="1082">
        <f t="shared" si="88"/>
        <v>0</v>
      </c>
      <c r="K337" s="2588"/>
      <c r="L337" s="2589"/>
      <c r="M337" s="1086">
        <f t="shared" si="89"/>
        <v>0</v>
      </c>
      <c r="N337" s="503"/>
      <c r="O337" s="365">
        <f t="shared" si="90"/>
        <v>0</v>
      </c>
      <c r="P337" s="366"/>
      <c r="Q337" s="135"/>
      <c r="R337" s="136"/>
      <c r="S337" s="129"/>
      <c r="T337" s="129"/>
      <c r="U337" s="129"/>
      <c r="V337" s="129"/>
      <c r="W337" s="129"/>
      <c r="X337" s="129"/>
      <c r="Y337" s="129"/>
      <c r="Z337" s="133"/>
      <c r="AA337" s="133"/>
      <c r="AB337" s="133"/>
      <c r="AC337" s="133"/>
      <c r="AD337" s="133"/>
      <c r="AE337" s="133"/>
      <c r="AF337" s="222"/>
      <c r="AG337" s="222"/>
      <c r="AH337" s="222"/>
      <c r="AI337" s="176"/>
      <c r="AJ337" s="176"/>
      <c r="AK337" s="176"/>
      <c r="AL337" s="176"/>
      <c r="AM337" s="176"/>
      <c r="AN337" s="176"/>
      <c r="AO337" s="176"/>
      <c r="AP337" s="176"/>
      <c r="AQ337" s="176"/>
      <c r="AR337" s="176"/>
      <c r="AS337" s="176"/>
      <c r="AT337" s="176"/>
      <c r="AU337" s="176"/>
      <c r="AV337" s="176"/>
      <c r="AW337" s="176"/>
      <c r="AX337" s="176"/>
      <c r="AY337" s="176"/>
      <c r="AZ337" s="176"/>
      <c r="BA337" s="176"/>
      <c r="BB337" s="176"/>
      <c r="BC337" s="176"/>
      <c r="BD337" s="176"/>
      <c r="BE337" s="176"/>
      <c r="BF337" s="176"/>
      <c r="BG337" s="176"/>
      <c r="BH337" s="176"/>
      <c r="BI337" s="176"/>
      <c r="BJ337" s="176"/>
      <c r="BK337" s="176"/>
      <c r="BL337" s="176"/>
      <c r="BM337" s="176"/>
      <c r="BN337" s="176"/>
      <c r="BO337" s="176"/>
    </row>
    <row r="338" spans="1:67" s="36" customFormat="1" ht="10.5" customHeight="1" x14ac:dyDescent="0.2">
      <c r="A338" s="1055"/>
      <c r="B338" s="2594"/>
      <c r="C338" s="2595"/>
      <c r="D338" s="2596"/>
      <c r="E338" s="2395"/>
      <c r="F338" s="2396"/>
      <c r="G338" s="2590"/>
      <c r="H338" s="2591"/>
      <c r="I338" s="1081">
        <f t="shared" si="87"/>
        <v>0</v>
      </c>
      <c r="J338" s="1082">
        <f t="shared" si="88"/>
        <v>0</v>
      </c>
      <c r="K338" s="2588"/>
      <c r="L338" s="2589"/>
      <c r="M338" s="1086">
        <f t="shared" si="89"/>
        <v>0</v>
      </c>
      <c r="N338" s="503"/>
      <c r="O338" s="365">
        <f t="shared" si="90"/>
        <v>0</v>
      </c>
      <c r="P338" s="366"/>
      <c r="Q338" s="135"/>
      <c r="R338" s="136"/>
      <c r="S338" s="129"/>
      <c r="T338" s="129"/>
      <c r="U338" s="129"/>
      <c r="V338" s="129"/>
      <c r="W338" s="129"/>
      <c r="X338" s="129"/>
      <c r="Y338" s="129"/>
      <c r="Z338" s="133"/>
      <c r="AA338" s="133"/>
      <c r="AB338" s="133"/>
      <c r="AC338" s="133"/>
      <c r="AD338" s="133"/>
      <c r="AE338" s="133"/>
      <c r="AF338" s="222"/>
      <c r="AG338" s="222"/>
      <c r="AH338" s="222"/>
      <c r="AI338" s="176"/>
      <c r="AJ338" s="176"/>
      <c r="AK338" s="176"/>
      <c r="AL338" s="176"/>
      <c r="AM338" s="176"/>
      <c r="AN338" s="176"/>
      <c r="AO338" s="176"/>
      <c r="AP338" s="176"/>
      <c r="AQ338" s="176"/>
      <c r="AR338" s="176"/>
      <c r="AS338" s="176"/>
      <c r="AT338" s="176"/>
      <c r="AU338" s="176"/>
      <c r="AV338" s="176"/>
      <c r="AW338" s="176"/>
      <c r="AX338" s="176"/>
      <c r="AY338" s="176"/>
      <c r="AZ338" s="176"/>
      <c r="BA338" s="176"/>
      <c r="BB338" s="176"/>
      <c r="BC338" s="176"/>
      <c r="BD338" s="176"/>
      <c r="BE338" s="176"/>
      <c r="BF338" s="176"/>
      <c r="BG338" s="176"/>
      <c r="BH338" s="176"/>
      <c r="BI338" s="176"/>
      <c r="BJ338" s="176"/>
      <c r="BK338" s="176"/>
      <c r="BL338" s="176"/>
      <c r="BM338" s="176"/>
      <c r="BN338" s="176"/>
      <c r="BO338" s="176"/>
    </row>
    <row r="339" spans="1:67" s="36" customFormat="1" ht="10.5" customHeight="1" x14ac:dyDescent="0.2">
      <c r="A339" s="1055"/>
      <c r="B339" s="2594"/>
      <c r="C339" s="2595"/>
      <c r="D339" s="2596"/>
      <c r="E339" s="2395"/>
      <c r="F339" s="2396"/>
      <c r="G339" s="2590"/>
      <c r="H339" s="2591"/>
      <c r="I339" s="1081">
        <f t="shared" si="87"/>
        <v>0</v>
      </c>
      <c r="J339" s="1082">
        <f t="shared" si="88"/>
        <v>0</v>
      </c>
      <c r="K339" s="2588"/>
      <c r="L339" s="2589"/>
      <c r="M339" s="1086">
        <f t="shared" si="89"/>
        <v>0</v>
      </c>
      <c r="N339" s="503"/>
      <c r="O339" s="365">
        <f t="shared" si="90"/>
        <v>0</v>
      </c>
      <c r="P339" s="366"/>
      <c r="Q339" s="135"/>
      <c r="R339" s="136"/>
      <c r="S339" s="129"/>
      <c r="T339" s="129"/>
      <c r="U339" s="129"/>
      <c r="V339" s="129"/>
      <c r="W339" s="129"/>
      <c r="X339" s="129"/>
      <c r="Y339" s="129"/>
      <c r="Z339" s="133"/>
      <c r="AA339" s="133"/>
      <c r="AB339" s="133"/>
      <c r="AC339" s="133"/>
      <c r="AD339" s="133"/>
      <c r="AE339" s="133"/>
      <c r="AF339" s="222"/>
      <c r="AG339" s="222"/>
      <c r="AH339" s="222"/>
      <c r="AI339" s="176"/>
      <c r="AJ339" s="176"/>
      <c r="AK339" s="176"/>
      <c r="AL339" s="176"/>
      <c r="AM339" s="176"/>
      <c r="AN339" s="176"/>
      <c r="AO339" s="176"/>
      <c r="AP339" s="176"/>
      <c r="AQ339" s="176"/>
      <c r="AR339" s="176"/>
      <c r="AS339" s="176"/>
      <c r="AT339" s="176"/>
      <c r="AU339" s="176"/>
      <c r="AV339" s="176"/>
      <c r="AW339" s="176"/>
      <c r="AX339" s="176"/>
      <c r="AY339" s="176"/>
      <c r="AZ339" s="176"/>
      <c r="BA339" s="176"/>
      <c r="BB339" s="176"/>
      <c r="BC339" s="176"/>
      <c r="BD339" s="176"/>
      <c r="BE339" s="176"/>
      <c r="BF339" s="176"/>
      <c r="BG339" s="176"/>
      <c r="BH339" s="176"/>
      <c r="BI339" s="176"/>
      <c r="BJ339" s="176"/>
      <c r="BK339" s="176"/>
      <c r="BL339" s="176"/>
      <c r="BM339" s="176"/>
      <c r="BN339" s="176"/>
      <c r="BO339" s="176"/>
    </row>
    <row r="340" spans="1:67" s="36" customFormat="1" ht="10.5" customHeight="1" x14ac:dyDescent="0.2">
      <c r="A340" s="1044"/>
      <c r="B340" s="2608"/>
      <c r="C340" s="2609"/>
      <c r="D340" s="2610"/>
      <c r="E340" s="2601"/>
      <c r="F340" s="2602"/>
      <c r="G340" s="1088"/>
      <c r="H340" s="1089"/>
      <c r="I340" s="1083">
        <f t="shared" si="87"/>
        <v>0</v>
      </c>
      <c r="J340" s="1084"/>
      <c r="K340" s="1087"/>
      <c r="L340" s="1307"/>
      <c r="M340" s="1317">
        <f t="shared" si="89"/>
        <v>0</v>
      </c>
      <c r="N340" s="503"/>
      <c r="O340" s="365">
        <f t="shared" si="90"/>
        <v>0</v>
      </c>
      <c r="P340" s="366"/>
      <c r="Q340" s="135"/>
      <c r="R340" s="136"/>
      <c r="S340" s="129"/>
      <c r="T340" s="129"/>
      <c r="U340" s="129"/>
      <c r="V340" s="129"/>
      <c r="W340" s="129"/>
      <c r="X340" s="129"/>
      <c r="Y340" s="129"/>
      <c r="Z340" s="133"/>
      <c r="AA340" s="133"/>
      <c r="AB340" s="133"/>
      <c r="AC340" s="133"/>
      <c r="AD340" s="133"/>
      <c r="AE340" s="133"/>
      <c r="AF340" s="222"/>
      <c r="AG340" s="222"/>
      <c r="AH340" s="222"/>
      <c r="AI340" s="176"/>
      <c r="AJ340" s="176"/>
      <c r="AK340" s="176"/>
      <c r="AL340" s="176"/>
      <c r="AM340" s="176"/>
      <c r="AN340" s="176"/>
      <c r="AO340" s="176"/>
      <c r="AP340" s="176"/>
      <c r="AQ340" s="176"/>
      <c r="AR340" s="176"/>
      <c r="AS340" s="176"/>
      <c r="AT340" s="176"/>
      <c r="AU340" s="176"/>
      <c r="AV340" s="176"/>
      <c r="AW340" s="176"/>
      <c r="AX340" s="176"/>
      <c r="AY340" s="176"/>
      <c r="AZ340" s="176"/>
      <c r="BA340" s="176"/>
      <c r="BB340" s="176"/>
      <c r="BC340" s="176"/>
      <c r="BD340" s="176"/>
      <c r="BE340" s="176"/>
      <c r="BF340" s="176"/>
      <c r="BG340" s="176"/>
      <c r="BH340" s="176"/>
      <c r="BI340" s="176"/>
      <c r="BJ340" s="176"/>
      <c r="BK340" s="176"/>
      <c r="BL340" s="176"/>
      <c r="BM340" s="176"/>
      <c r="BN340" s="176"/>
      <c r="BO340" s="176"/>
    </row>
    <row r="341" spans="1:67" s="36" customFormat="1" ht="10.5" customHeight="1" x14ac:dyDescent="0.2">
      <c r="A341" s="1120" t="s">
        <v>371</v>
      </c>
      <c r="B341" s="2603"/>
      <c r="C341" s="2604"/>
      <c r="D341" s="2605"/>
      <c r="E341" s="2606">
        <f>SUM(E342:E354)</f>
        <v>0</v>
      </c>
      <c r="F341" s="2607"/>
      <c r="G341" s="2620"/>
      <c r="H341" s="2621"/>
      <c r="I341" s="1121">
        <f>IF(E341=0,0,J341/E341)</f>
        <v>0</v>
      </c>
      <c r="J341" s="1122">
        <f>SUM(J342:J354)</f>
        <v>0</v>
      </c>
      <c r="K341" s="2622"/>
      <c r="L341" s="2623"/>
      <c r="M341" s="1318">
        <f t="shared" si="89"/>
        <v>0</v>
      </c>
      <c r="N341" s="503"/>
      <c r="O341" s="178">
        <f>IF(H341="",G341,H341)</f>
        <v>0</v>
      </c>
      <c r="P341" s="366"/>
      <c r="Q341" s="135"/>
      <c r="R341" s="136"/>
      <c r="S341" s="129"/>
      <c r="T341" s="129"/>
      <c r="U341" s="129"/>
      <c r="V341" s="129"/>
      <c r="W341" s="129"/>
      <c r="X341" s="129"/>
      <c r="Y341" s="129"/>
      <c r="Z341" s="133"/>
      <c r="AA341" s="133"/>
      <c r="AB341" s="133"/>
      <c r="AC341" s="133"/>
      <c r="AD341" s="133"/>
      <c r="AE341" s="133"/>
      <c r="AF341" s="222"/>
      <c r="AG341" s="222"/>
      <c r="AH341" s="222"/>
      <c r="AI341" s="176"/>
      <c r="AJ341" s="176"/>
      <c r="AK341" s="176"/>
      <c r="AL341" s="176"/>
      <c r="AM341" s="176"/>
      <c r="AN341" s="176"/>
      <c r="AO341" s="176"/>
      <c r="AP341" s="176"/>
      <c r="AQ341" s="176"/>
      <c r="AR341" s="176"/>
      <c r="AS341" s="176"/>
      <c r="AT341" s="176"/>
      <c r="AU341" s="176"/>
      <c r="AV341" s="176"/>
      <c r="AW341" s="176"/>
      <c r="AX341" s="176"/>
      <c r="AY341" s="176"/>
      <c r="AZ341" s="176"/>
      <c r="BA341" s="176"/>
      <c r="BB341" s="176"/>
      <c r="BC341" s="176"/>
      <c r="BD341" s="176"/>
      <c r="BE341" s="176"/>
      <c r="BF341" s="176"/>
      <c r="BG341" s="176"/>
      <c r="BH341" s="176"/>
      <c r="BI341" s="176"/>
      <c r="BJ341" s="176"/>
      <c r="BK341" s="176"/>
      <c r="BL341" s="176"/>
      <c r="BM341" s="176"/>
      <c r="BN341" s="176"/>
      <c r="BO341" s="176"/>
    </row>
    <row r="342" spans="1:67" s="36" customFormat="1" ht="10.5" customHeight="1" x14ac:dyDescent="0.2">
      <c r="A342" s="1042" t="s">
        <v>446</v>
      </c>
      <c r="B342" s="2624"/>
      <c r="C342" s="2625"/>
      <c r="D342" s="2626"/>
      <c r="E342" s="2627">
        <f>IF(E344=0,ROUND(E368,-2),0)</f>
        <v>0</v>
      </c>
      <c r="F342" s="2628" t="e">
        <f>IF(F344=0,ROUND(#REF!,-2),0)</f>
        <v>#REF!</v>
      </c>
      <c r="G342" s="1056">
        <v>20</v>
      </c>
      <c r="H342" s="1057"/>
      <c r="I342" s="1079">
        <f t="shared" ref="I342:I354" si="91">IF($O342&gt;0,-PMT(($I$9),$O342,1),0)</f>
        <v>6.2642070767998229E-2</v>
      </c>
      <c r="J342" s="1080">
        <f t="shared" ref="J342:J354" si="92">ROUND(E342*I342,0)</f>
        <v>0</v>
      </c>
      <c r="K342" s="1165"/>
      <c r="L342" s="1310"/>
      <c r="M342" s="1320">
        <f t="shared" si="89"/>
        <v>0</v>
      </c>
      <c r="N342" s="503"/>
      <c r="O342" s="365">
        <f t="shared" ref="O342:O350" si="93">IF(ISBLANK(H342),G342,H342)</f>
        <v>20</v>
      </c>
      <c r="P342" s="366"/>
      <c r="Q342" s="135"/>
      <c r="R342" s="136"/>
      <c r="S342" s="129"/>
      <c r="T342" s="129"/>
      <c r="U342" s="129"/>
      <c r="V342" s="129"/>
      <c r="W342" s="129"/>
      <c r="X342" s="129"/>
      <c r="Y342" s="129"/>
      <c r="Z342" s="133"/>
      <c r="AA342" s="133"/>
      <c r="AB342" s="133"/>
      <c r="AC342" s="133"/>
      <c r="AD342" s="133"/>
      <c r="AE342" s="133"/>
      <c r="AF342" s="222"/>
      <c r="AG342" s="222"/>
      <c r="AH342" s="222"/>
      <c r="AI342" s="176"/>
      <c r="AJ342" s="176"/>
      <c r="AK342" s="176"/>
      <c r="AL342" s="176"/>
      <c r="AM342" s="176"/>
      <c r="AN342" s="176"/>
      <c r="AO342" s="176"/>
      <c r="AP342" s="176"/>
      <c r="AQ342" s="176"/>
      <c r="AR342" s="176"/>
      <c r="AS342" s="176"/>
      <c r="AT342" s="176"/>
      <c r="AU342" s="176"/>
      <c r="AV342" s="176"/>
      <c r="AW342" s="176"/>
      <c r="AX342" s="176"/>
      <c r="AY342" s="176"/>
      <c r="AZ342" s="176"/>
      <c r="BA342" s="176"/>
      <c r="BB342" s="176"/>
      <c r="BC342" s="176"/>
      <c r="BD342" s="176"/>
      <c r="BE342" s="176"/>
      <c r="BF342" s="176"/>
      <c r="BG342" s="176"/>
      <c r="BH342" s="176"/>
      <c r="BI342" s="176"/>
      <c r="BJ342" s="176"/>
      <c r="BK342" s="176"/>
      <c r="BL342" s="176"/>
      <c r="BM342" s="176"/>
      <c r="BN342" s="176"/>
      <c r="BO342" s="176"/>
    </row>
    <row r="343" spans="1:67" s="36" customFormat="1" ht="10.5" customHeight="1" x14ac:dyDescent="0.2">
      <c r="A343" s="1043" t="s">
        <v>447</v>
      </c>
      <c r="B343" s="2594"/>
      <c r="C343" s="2595"/>
      <c r="D343" s="2596"/>
      <c r="E343" s="2599">
        <f>IF(E345=0,ROUND(E380,-2),0)</f>
        <v>0</v>
      </c>
      <c r="F343" s="2600">
        <f>IF(F345=0,ROUND(F396,-2),0)</f>
        <v>0</v>
      </c>
      <c r="G343" s="1058">
        <v>20</v>
      </c>
      <c r="H343" s="1059"/>
      <c r="I343" s="1081">
        <f t="shared" si="91"/>
        <v>6.2642070767998229E-2</v>
      </c>
      <c r="J343" s="1082">
        <f t="shared" si="92"/>
        <v>0</v>
      </c>
      <c r="K343" s="1287"/>
      <c r="L343" s="1315"/>
      <c r="M343" s="1321">
        <f t="shared" si="89"/>
        <v>0</v>
      </c>
      <c r="N343" s="503"/>
      <c r="O343" s="365">
        <f t="shared" si="93"/>
        <v>20</v>
      </c>
      <c r="P343" s="366"/>
      <c r="Q343" s="135"/>
      <c r="R343" s="136"/>
      <c r="S343" s="129"/>
      <c r="T343" s="129"/>
      <c r="U343" s="129"/>
      <c r="V343" s="129"/>
      <c r="W343" s="129"/>
      <c r="X343" s="129"/>
      <c r="Y343" s="129"/>
      <c r="Z343" s="133"/>
      <c r="AA343" s="133"/>
      <c r="AB343" s="133"/>
      <c r="AC343" s="133"/>
      <c r="AD343" s="133"/>
      <c r="AE343" s="133"/>
      <c r="AF343" s="222"/>
      <c r="AG343" s="222"/>
      <c r="AH343" s="222"/>
      <c r="AI343" s="176"/>
      <c r="AJ343" s="176"/>
      <c r="AK343" s="176"/>
      <c r="AL343" s="176"/>
      <c r="AM343" s="176"/>
      <c r="AN343" s="176"/>
      <c r="AO343" s="176"/>
      <c r="AP343" s="176"/>
      <c r="AQ343" s="176"/>
      <c r="AR343" s="176"/>
      <c r="AS343" s="176"/>
      <c r="AT343" s="176"/>
      <c r="AU343" s="176"/>
      <c r="AV343" s="176"/>
      <c r="AW343" s="176"/>
      <c r="AX343" s="176"/>
      <c r="AY343" s="176"/>
      <c r="AZ343" s="176"/>
      <c r="BA343" s="176"/>
      <c r="BB343" s="176"/>
      <c r="BC343" s="176"/>
      <c r="BD343" s="176"/>
      <c r="BE343" s="176"/>
      <c r="BF343" s="176"/>
      <c r="BG343" s="176"/>
      <c r="BH343" s="176"/>
      <c r="BI343" s="176"/>
      <c r="BJ343" s="176"/>
      <c r="BK343" s="176"/>
      <c r="BL343" s="176"/>
      <c r="BM343" s="176"/>
      <c r="BN343" s="176"/>
      <c r="BO343" s="176"/>
    </row>
    <row r="344" spans="1:67" s="36" customFormat="1" ht="10.5" customHeight="1" x14ac:dyDescent="0.2">
      <c r="A344" s="1043" t="s">
        <v>372</v>
      </c>
      <c r="B344" s="2594"/>
      <c r="C344" s="2595"/>
      <c r="D344" s="2596"/>
      <c r="E344" s="2599">
        <f>E389</f>
        <v>0</v>
      </c>
      <c r="F344" s="2600"/>
      <c r="G344" s="1058">
        <v>20</v>
      </c>
      <c r="H344" s="1059"/>
      <c r="I344" s="1081">
        <f t="shared" si="91"/>
        <v>6.2642070767998229E-2</v>
      </c>
      <c r="J344" s="1082">
        <f t="shared" si="92"/>
        <v>0</v>
      </c>
      <c r="K344" s="1287"/>
      <c r="L344" s="1315"/>
      <c r="M344" s="1321">
        <f t="shared" si="89"/>
        <v>0</v>
      </c>
      <c r="N344" s="503"/>
      <c r="O344" s="365">
        <f t="shared" si="93"/>
        <v>20</v>
      </c>
      <c r="P344" s="366"/>
      <c r="Q344" s="135"/>
      <c r="R344" s="136"/>
      <c r="S344" s="129"/>
      <c r="T344" s="129"/>
      <c r="U344" s="129"/>
      <c r="V344" s="129"/>
      <c r="W344" s="129"/>
      <c r="X344" s="129"/>
      <c r="Y344" s="129"/>
      <c r="Z344" s="133"/>
      <c r="AA344" s="133"/>
      <c r="AB344" s="133"/>
      <c r="AC344" s="133"/>
      <c r="AD344" s="133"/>
      <c r="AE344" s="133"/>
      <c r="AF344" s="222"/>
      <c r="AG344" s="222"/>
      <c r="AH344" s="222"/>
      <c r="AI344" s="176"/>
      <c r="AJ344" s="176"/>
      <c r="AK344" s="176"/>
      <c r="AL344" s="176"/>
      <c r="AM344" s="176"/>
      <c r="AN344" s="176"/>
      <c r="AO344" s="176"/>
      <c r="AP344" s="176"/>
      <c r="AQ344" s="176"/>
      <c r="AR344" s="176"/>
      <c r="AS344" s="176"/>
      <c r="AT344" s="176"/>
      <c r="AU344" s="176"/>
      <c r="AV344" s="176"/>
      <c r="AW344" s="176"/>
      <c r="AX344" s="176"/>
      <c r="AY344" s="176"/>
      <c r="AZ344" s="176"/>
      <c r="BA344" s="176"/>
      <c r="BB344" s="176"/>
      <c r="BC344" s="176"/>
      <c r="BD344" s="176"/>
      <c r="BE344" s="176"/>
      <c r="BF344" s="176"/>
      <c r="BG344" s="176"/>
      <c r="BH344" s="176"/>
      <c r="BI344" s="176"/>
      <c r="BJ344" s="176"/>
      <c r="BK344" s="176"/>
      <c r="BL344" s="176"/>
      <c r="BM344" s="176"/>
      <c r="BN344" s="176"/>
      <c r="BO344" s="176"/>
    </row>
    <row r="345" spans="1:67" s="36" customFormat="1" ht="10.5" customHeight="1" x14ac:dyDescent="0.2">
      <c r="A345" s="1043" t="s">
        <v>373</v>
      </c>
      <c r="B345" s="2594"/>
      <c r="C345" s="2595"/>
      <c r="D345" s="2596"/>
      <c r="E345" s="2599">
        <f>E396</f>
        <v>0</v>
      </c>
      <c r="F345" s="2600"/>
      <c r="G345" s="1058">
        <v>20</v>
      </c>
      <c r="H345" s="1059"/>
      <c r="I345" s="1081">
        <f t="shared" si="91"/>
        <v>6.2642070767998229E-2</v>
      </c>
      <c r="J345" s="1082">
        <f t="shared" si="92"/>
        <v>0</v>
      </c>
      <c r="K345" s="1287"/>
      <c r="L345" s="1315"/>
      <c r="M345" s="1321">
        <f t="shared" si="89"/>
        <v>0</v>
      </c>
      <c r="N345" s="503"/>
      <c r="O345" s="365">
        <f t="shared" si="93"/>
        <v>20</v>
      </c>
      <c r="P345" s="366"/>
      <c r="Q345" s="135"/>
      <c r="R345" s="136"/>
      <c r="S345" s="129"/>
      <c r="T345" s="129"/>
      <c r="U345" s="129"/>
      <c r="V345" s="129"/>
      <c r="W345" s="129"/>
      <c r="X345" s="129"/>
      <c r="Y345" s="129"/>
      <c r="Z345" s="133"/>
      <c r="AA345" s="133"/>
      <c r="AB345" s="133"/>
      <c r="AC345" s="133"/>
      <c r="AD345" s="133"/>
      <c r="AE345" s="133"/>
      <c r="AF345" s="222"/>
      <c r="AG345" s="222"/>
      <c r="AH345" s="222"/>
      <c r="AI345" s="176"/>
      <c r="AJ345" s="176"/>
      <c r="AK345" s="176"/>
      <c r="AL345" s="176"/>
      <c r="AM345" s="176"/>
      <c r="AN345" s="176"/>
      <c r="AO345" s="176"/>
      <c r="AP345" s="176"/>
      <c r="AQ345" s="176"/>
      <c r="AR345" s="176"/>
      <c r="AS345" s="176"/>
      <c r="AT345" s="176"/>
      <c r="AU345" s="176"/>
      <c r="AV345" s="176"/>
      <c r="AW345" s="176"/>
      <c r="AX345" s="176"/>
      <c r="AY345" s="176"/>
      <c r="AZ345" s="176"/>
      <c r="BA345" s="176"/>
      <c r="BB345" s="176"/>
      <c r="BC345" s="176"/>
      <c r="BD345" s="176"/>
      <c r="BE345" s="176"/>
      <c r="BF345" s="176"/>
      <c r="BG345" s="176"/>
      <c r="BH345" s="176"/>
      <c r="BI345" s="176"/>
      <c r="BJ345" s="176"/>
      <c r="BK345" s="176"/>
      <c r="BL345" s="176"/>
      <c r="BM345" s="176"/>
      <c r="BN345" s="176"/>
      <c r="BO345" s="176"/>
    </row>
    <row r="346" spans="1:67" s="36" customFormat="1" ht="10.5" customHeight="1" x14ac:dyDescent="0.2">
      <c r="A346" s="1043" t="s">
        <v>426</v>
      </c>
      <c r="B346" s="2594"/>
      <c r="C346" s="2595"/>
      <c r="D346" s="2596"/>
      <c r="E346" s="2395"/>
      <c r="F346" s="2396"/>
      <c r="G346" s="1058">
        <v>20</v>
      </c>
      <c r="H346" s="1059"/>
      <c r="I346" s="1081">
        <f t="shared" si="91"/>
        <v>6.2642070767998229E-2</v>
      </c>
      <c r="J346" s="1082">
        <f t="shared" si="92"/>
        <v>0</v>
      </c>
      <c r="K346" s="1287"/>
      <c r="L346" s="1315"/>
      <c r="M346" s="1321">
        <f t="shared" si="89"/>
        <v>0</v>
      </c>
      <c r="N346" s="503"/>
      <c r="O346" s="365">
        <f t="shared" si="93"/>
        <v>20</v>
      </c>
      <c r="P346" s="366"/>
      <c r="Q346" s="135"/>
      <c r="R346" s="136"/>
      <c r="S346" s="129"/>
      <c r="T346" s="129"/>
      <c r="U346" s="129"/>
      <c r="V346" s="129"/>
      <c r="W346" s="129"/>
      <c r="X346" s="129"/>
      <c r="Y346" s="129"/>
      <c r="Z346" s="133"/>
      <c r="AA346" s="133"/>
      <c r="AB346" s="133"/>
      <c r="AC346" s="133"/>
      <c r="AD346" s="133"/>
      <c r="AE346" s="133"/>
      <c r="AF346" s="222"/>
      <c r="AG346" s="222"/>
      <c r="AH346" s="222"/>
      <c r="AI346" s="176"/>
      <c r="AJ346" s="176"/>
      <c r="AK346" s="176"/>
      <c r="AL346" s="176"/>
      <c r="AM346" s="176"/>
      <c r="AN346" s="176"/>
      <c r="AO346" s="176"/>
      <c r="AP346" s="176"/>
      <c r="AQ346" s="176"/>
      <c r="AR346" s="176"/>
      <c r="AS346" s="176"/>
      <c r="AT346" s="176"/>
      <c r="AU346" s="176"/>
      <c r="AV346" s="176"/>
      <c r="AW346" s="176"/>
      <c r="AX346" s="176"/>
      <c r="AY346" s="176"/>
      <c r="AZ346" s="176"/>
      <c r="BA346" s="176"/>
      <c r="BB346" s="176"/>
      <c r="BC346" s="176"/>
      <c r="BD346" s="176"/>
      <c r="BE346" s="176"/>
      <c r="BF346" s="176"/>
      <c r="BG346" s="176"/>
      <c r="BH346" s="176"/>
      <c r="BI346" s="176"/>
      <c r="BJ346" s="176"/>
      <c r="BK346" s="176"/>
      <c r="BL346" s="176"/>
      <c r="BM346" s="176"/>
      <c r="BN346" s="176"/>
      <c r="BO346" s="176"/>
    </row>
    <row r="347" spans="1:67" s="36" customFormat="1" ht="10.5" customHeight="1" x14ac:dyDescent="0.2">
      <c r="A347" s="1043" t="s">
        <v>448</v>
      </c>
      <c r="B347" s="2594"/>
      <c r="C347" s="2595"/>
      <c r="D347" s="2596"/>
      <c r="E347" s="2395"/>
      <c r="F347" s="2396"/>
      <c r="G347" s="1058">
        <v>20</v>
      </c>
      <c r="H347" s="1059"/>
      <c r="I347" s="1081">
        <f t="shared" si="91"/>
        <v>6.2642070767998229E-2</v>
      </c>
      <c r="J347" s="1082">
        <f t="shared" si="92"/>
        <v>0</v>
      </c>
      <c r="K347" s="1287"/>
      <c r="L347" s="1315"/>
      <c r="M347" s="1321">
        <f t="shared" si="89"/>
        <v>0</v>
      </c>
      <c r="N347" s="503"/>
      <c r="O347" s="365">
        <f t="shared" si="93"/>
        <v>20</v>
      </c>
      <c r="P347" s="366"/>
      <c r="Q347" s="135"/>
      <c r="R347" s="136"/>
      <c r="S347" s="129"/>
      <c r="T347" s="129"/>
      <c r="U347" s="129"/>
      <c r="V347" s="129"/>
      <c r="W347" s="129"/>
      <c r="X347" s="129"/>
      <c r="Y347" s="129"/>
      <c r="Z347" s="133"/>
      <c r="AA347" s="133"/>
      <c r="AB347" s="133"/>
      <c r="AC347" s="133"/>
      <c r="AD347" s="133"/>
      <c r="AE347" s="133"/>
      <c r="AF347" s="222"/>
      <c r="AG347" s="222"/>
      <c r="AH347" s="222"/>
      <c r="AI347" s="176"/>
      <c r="AJ347" s="176"/>
      <c r="AK347" s="176"/>
      <c r="AL347" s="176"/>
      <c r="AM347" s="176"/>
      <c r="AN347" s="176"/>
      <c r="AO347" s="176"/>
      <c r="AP347" s="176"/>
      <c r="AQ347" s="176"/>
      <c r="AR347" s="176"/>
      <c r="AS347" s="176"/>
      <c r="AT347" s="176"/>
      <c r="AU347" s="176"/>
      <c r="AV347" s="176"/>
      <c r="AW347" s="176"/>
      <c r="AX347" s="176"/>
      <c r="AY347" s="176"/>
      <c r="AZ347" s="176"/>
      <c r="BA347" s="176"/>
      <c r="BB347" s="176"/>
      <c r="BC347" s="176"/>
      <c r="BD347" s="176"/>
      <c r="BE347" s="176"/>
      <c r="BF347" s="176"/>
      <c r="BG347" s="176"/>
      <c r="BH347" s="176"/>
      <c r="BI347" s="176"/>
      <c r="BJ347" s="176"/>
      <c r="BK347" s="176"/>
      <c r="BL347" s="176"/>
      <c r="BM347" s="176"/>
      <c r="BN347" s="176"/>
      <c r="BO347" s="176"/>
    </row>
    <row r="348" spans="1:67" s="36" customFormat="1" ht="10.5" customHeight="1" x14ac:dyDescent="0.2">
      <c r="A348" s="1043" t="s">
        <v>374</v>
      </c>
      <c r="B348" s="2594"/>
      <c r="C348" s="2595"/>
      <c r="D348" s="2596"/>
      <c r="E348" s="2395"/>
      <c r="F348" s="2396"/>
      <c r="G348" s="1058">
        <v>20</v>
      </c>
      <c r="H348" s="1059"/>
      <c r="I348" s="1081">
        <f t="shared" si="91"/>
        <v>6.2642070767998229E-2</v>
      </c>
      <c r="J348" s="1082">
        <f t="shared" si="92"/>
        <v>0</v>
      </c>
      <c r="K348" s="1287"/>
      <c r="L348" s="1315"/>
      <c r="M348" s="1321">
        <f t="shared" si="89"/>
        <v>0</v>
      </c>
      <c r="N348" s="503"/>
      <c r="O348" s="365">
        <f t="shared" si="93"/>
        <v>20</v>
      </c>
      <c r="P348" s="366"/>
      <c r="Q348" s="135"/>
      <c r="R348" s="136"/>
      <c r="S348" s="129"/>
      <c r="T348" s="129"/>
      <c r="U348" s="129"/>
      <c r="V348" s="129"/>
      <c r="W348" s="129"/>
      <c r="X348" s="129"/>
      <c r="Y348" s="129"/>
      <c r="Z348" s="133"/>
      <c r="AA348" s="133"/>
      <c r="AB348" s="133"/>
      <c r="AC348" s="133"/>
      <c r="AD348" s="133"/>
      <c r="AE348" s="133"/>
      <c r="AF348" s="222"/>
      <c r="AG348" s="222"/>
      <c r="AH348" s="222"/>
      <c r="AI348" s="176"/>
      <c r="AJ348" s="176"/>
      <c r="AK348" s="176"/>
      <c r="AL348" s="176"/>
      <c r="AM348" s="176"/>
      <c r="AN348" s="176"/>
      <c r="AO348" s="176"/>
      <c r="AP348" s="176"/>
      <c r="AQ348" s="176"/>
      <c r="AR348" s="176"/>
      <c r="AS348" s="176"/>
      <c r="AT348" s="176"/>
      <c r="AU348" s="176"/>
      <c r="AV348" s="176"/>
      <c r="AW348" s="176"/>
      <c r="AX348" s="176"/>
      <c r="AY348" s="176"/>
      <c r="AZ348" s="176"/>
      <c r="BA348" s="176"/>
      <c r="BB348" s="176"/>
      <c r="BC348" s="176"/>
      <c r="BD348" s="176"/>
      <c r="BE348" s="176"/>
      <c r="BF348" s="176"/>
      <c r="BG348" s="176"/>
      <c r="BH348" s="176"/>
      <c r="BI348" s="176"/>
      <c r="BJ348" s="176"/>
      <c r="BK348" s="176"/>
      <c r="BL348" s="176"/>
      <c r="BM348" s="176"/>
      <c r="BN348" s="176"/>
      <c r="BO348" s="176"/>
    </row>
    <row r="349" spans="1:67" s="36" customFormat="1" ht="10.5" customHeight="1" x14ac:dyDescent="0.2">
      <c r="A349" s="1043" t="s">
        <v>449</v>
      </c>
      <c r="B349" s="2594"/>
      <c r="C349" s="2595"/>
      <c r="D349" s="2596"/>
      <c r="E349" s="2395"/>
      <c r="F349" s="2396"/>
      <c r="G349" s="1058">
        <v>20</v>
      </c>
      <c r="H349" s="1059"/>
      <c r="I349" s="1081">
        <f t="shared" si="91"/>
        <v>6.2642070767998229E-2</v>
      </c>
      <c r="J349" s="1082">
        <f t="shared" si="92"/>
        <v>0</v>
      </c>
      <c r="K349" s="1287"/>
      <c r="L349" s="1315"/>
      <c r="M349" s="1321">
        <f t="shared" si="89"/>
        <v>0</v>
      </c>
      <c r="N349" s="503"/>
      <c r="O349" s="365">
        <f t="shared" si="93"/>
        <v>20</v>
      </c>
      <c r="P349" s="366"/>
      <c r="Q349" s="135"/>
      <c r="R349" s="136"/>
      <c r="S349" s="129"/>
      <c r="T349" s="129"/>
      <c r="U349" s="129"/>
      <c r="V349" s="129"/>
      <c r="W349" s="129"/>
      <c r="X349" s="129"/>
      <c r="Y349" s="129"/>
      <c r="Z349" s="133"/>
      <c r="AA349" s="133"/>
      <c r="AB349" s="133"/>
      <c r="AC349" s="133"/>
      <c r="AD349" s="133"/>
      <c r="AE349" s="133"/>
      <c r="AF349" s="222"/>
      <c r="AG349" s="222"/>
      <c r="AH349" s="222"/>
      <c r="AI349" s="176"/>
      <c r="AJ349" s="176"/>
      <c r="AK349" s="176"/>
      <c r="AL349" s="176"/>
      <c r="AM349" s="176"/>
      <c r="AN349" s="176"/>
      <c r="AO349" s="176"/>
      <c r="AP349" s="176"/>
      <c r="AQ349" s="176"/>
      <c r="AR349" s="176"/>
      <c r="AS349" s="176"/>
      <c r="AT349" s="176"/>
      <c r="AU349" s="176"/>
      <c r="AV349" s="176"/>
      <c r="AW349" s="176"/>
      <c r="AX349" s="176"/>
      <c r="AY349" s="176"/>
      <c r="AZ349" s="176"/>
      <c r="BA349" s="176"/>
      <c r="BB349" s="176"/>
      <c r="BC349" s="176"/>
      <c r="BD349" s="176"/>
      <c r="BE349" s="176"/>
      <c r="BF349" s="176"/>
      <c r="BG349" s="176"/>
      <c r="BH349" s="176"/>
      <c r="BI349" s="176"/>
      <c r="BJ349" s="176"/>
      <c r="BK349" s="176"/>
      <c r="BL349" s="176"/>
      <c r="BM349" s="176"/>
      <c r="BN349" s="176"/>
      <c r="BO349" s="176"/>
    </row>
    <row r="350" spans="1:67" s="36" customFormat="1" ht="10.5" customHeight="1" x14ac:dyDescent="0.2">
      <c r="A350" s="1043" t="s">
        <v>375</v>
      </c>
      <c r="B350" s="2594"/>
      <c r="C350" s="2595"/>
      <c r="D350" s="2596"/>
      <c r="E350" s="2395"/>
      <c r="F350" s="2396"/>
      <c r="G350" s="1058">
        <v>20</v>
      </c>
      <c r="H350" s="1059"/>
      <c r="I350" s="1081">
        <f t="shared" si="91"/>
        <v>6.2642070767998229E-2</v>
      </c>
      <c r="J350" s="1082">
        <f t="shared" si="92"/>
        <v>0</v>
      </c>
      <c r="K350" s="1287"/>
      <c r="L350" s="1315"/>
      <c r="M350" s="1321">
        <f t="shared" si="89"/>
        <v>0</v>
      </c>
      <c r="N350" s="503"/>
      <c r="O350" s="365">
        <f t="shared" si="93"/>
        <v>20</v>
      </c>
      <c r="P350" s="366"/>
      <c r="Q350" s="135"/>
      <c r="R350" s="136"/>
      <c r="S350" s="129"/>
      <c r="T350" s="129"/>
      <c r="U350" s="129"/>
      <c r="V350" s="129"/>
      <c r="W350" s="129"/>
      <c r="X350" s="129"/>
      <c r="Y350" s="129"/>
      <c r="Z350" s="133"/>
      <c r="AA350" s="133"/>
      <c r="AB350" s="133"/>
      <c r="AC350" s="133"/>
      <c r="AD350" s="133"/>
      <c r="AE350" s="133"/>
      <c r="AF350" s="222"/>
      <c r="AG350" s="222"/>
      <c r="AH350" s="222"/>
      <c r="AI350" s="176"/>
      <c r="AJ350" s="176"/>
      <c r="AK350" s="176"/>
      <c r="AL350" s="176"/>
      <c r="AM350" s="176"/>
      <c r="AN350" s="176"/>
      <c r="AO350" s="176"/>
      <c r="AP350" s="176"/>
      <c r="AQ350" s="176"/>
      <c r="AR350" s="176"/>
      <c r="AS350" s="176"/>
      <c r="AT350" s="176"/>
      <c r="AU350" s="176"/>
      <c r="AV350" s="176"/>
      <c r="AW350" s="176"/>
      <c r="AX350" s="176"/>
      <c r="AY350" s="176"/>
      <c r="AZ350" s="176"/>
      <c r="BA350" s="176"/>
      <c r="BB350" s="176"/>
      <c r="BC350" s="176"/>
      <c r="BD350" s="176"/>
      <c r="BE350" s="176"/>
      <c r="BF350" s="176"/>
      <c r="BG350" s="176"/>
      <c r="BH350" s="176"/>
      <c r="BI350" s="176"/>
      <c r="BJ350" s="176"/>
      <c r="BK350" s="176"/>
      <c r="BL350" s="176"/>
      <c r="BM350" s="176"/>
      <c r="BN350" s="176"/>
      <c r="BO350" s="176"/>
    </row>
    <row r="351" spans="1:67" s="36" customFormat="1" ht="10.5" customHeight="1" x14ac:dyDescent="0.2">
      <c r="A351" s="1043" t="s">
        <v>376</v>
      </c>
      <c r="B351" s="2594"/>
      <c r="C351" s="2595"/>
      <c r="D351" s="2596"/>
      <c r="E351" s="2395"/>
      <c r="F351" s="2396"/>
      <c r="G351" s="1058">
        <v>20</v>
      </c>
      <c r="H351" s="1059"/>
      <c r="I351" s="1081">
        <f t="shared" si="91"/>
        <v>6.2642070767998229E-2</v>
      </c>
      <c r="J351" s="1082">
        <f t="shared" si="92"/>
        <v>0</v>
      </c>
      <c r="K351" s="1287"/>
      <c r="L351" s="1315"/>
      <c r="M351" s="1321">
        <f t="shared" si="89"/>
        <v>0</v>
      </c>
      <c r="N351" s="503"/>
      <c r="O351" s="365">
        <f>IF(ISBLANK(H351),G351,H351)</f>
        <v>20</v>
      </c>
      <c r="P351" s="366"/>
      <c r="Q351" s="135"/>
      <c r="R351" s="136"/>
      <c r="S351" s="129"/>
      <c r="T351" s="129"/>
      <c r="U351" s="129"/>
      <c r="V351" s="129"/>
      <c r="W351" s="129"/>
      <c r="X351" s="129"/>
      <c r="Y351" s="129"/>
      <c r="Z351" s="133"/>
      <c r="AA351" s="133"/>
      <c r="AB351" s="133"/>
      <c r="AC351" s="133"/>
      <c r="AD351" s="133"/>
      <c r="AE351" s="133"/>
      <c r="AF351" s="222"/>
      <c r="AG351" s="222"/>
      <c r="AH351" s="222"/>
      <c r="AI351" s="176"/>
      <c r="AJ351" s="176"/>
      <c r="AK351" s="176"/>
      <c r="AL351" s="176"/>
      <c r="AM351" s="176"/>
      <c r="AN351" s="176"/>
      <c r="AO351" s="176"/>
      <c r="AP351" s="176"/>
      <c r="AQ351" s="176"/>
      <c r="AR351" s="176"/>
      <c r="AS351" s="176"/>
      <c r="AT351" s="176"/>
      <c r="AU351" s="176"/>
      <c r="AV351" s="176"/>
      <c r="AW351" s="176"/>
      <c r="AX351" s="176"/>
      <c r="AY351" s="176"/>
      <c r="AZ351" s="176"/>
      <c r="BA351" s="176"/>
      <c r="BB351" s="176"/>
      <c r="BC351" s="176"/>
      <c r="BD351" s="176"/>
      <c r="BE351" s="176"/>
      <c r="BF351" s="176"/>
      <c r="BG351" s="176"/>
      <c r="BH351" s="176"/>
      <c r="BI351" s="176"/>
      <c r="BJ351" s="176"/>
      <c r="BK351" s="176"/>
      <c r="BL351" s="176"/>
      <c r="BM351" s="176"/>
      <c r="BN351" s="176"/>
      <c r="BO351" s="176"/>
    </row>
    <row r="352" spans="1:67" s="36" customFormat="1" ht="10.5" customHeight="1" x14ac:dyDescent="0.2">
      <c r="A352" s="1043" t="s">
        <v>377</v>
      </c>
      <c r="B352" s="2594"/>
      <c r="C352" s="2595"/>
      <c r="D352" s="2596"/>
      <c r="E352" s="2395"/>
      <c r="F352" s="2396"/>
      <c r="G352" s="1058">
        <v>20</v>
      </c>
      <c r="H352" s="1059"/>
      <c r="I352" s="1081">
        <f t="shared" si="91"/>
        <v>6.2642070767998229E-2</v>
      </c>
      <c r="J352" s="1082">
        <f t="shared" si="92"/>
        <v>0</v>
      </c>
      <c r="K352" s="1287"/>
      <c r="L352" s="1315"/>
      <c r="M352" s="1321">
        <f t="shared" si="89"/>
        <v>0</v>
      </c>
      <c r="N352" s="503"/>
      <c r="O352" s="365">
        <f>IF(ISBLANK(H352),G352,H352)</f>
        <v>20</v>
      </c>
      <c r="P352" s="366"/>
      <c r="Q352" s="135"/>
      <c r="R352" s="136"/>
      <c r="S352" s="129"/>
      <c r="T352" s="129"/>
      <c r="U352" s="129"/>
      <c r="V352" s="129"/>
      <c r="W352" s="129"/>
      <c r="X352" s="129"/>
      <c r="Y352" s="129"/>
      <c r="Z352" s="133"/>
      <c r="AA352" s="133"/>
      <c r="AB352" s="133"/>
      <c r="AC352" s="133"/>
      <c r="AD352" s="133"/>
      <c r="AE352" s="133"/>
      <c r="AF352" s="222"/>
      <c r="AG352" s="222"/>
      <c r="AH352" s="222"/>
      <c r="AI352" s="176"/>
      <c r="AJ352" s="176"/>
      <c r="AK352" s="176"/>
      <c r="AL352" s="176"/>
      <c r="AM352" s="176"/>
      <c r="AN352" s="176"/>
      <c r="AO352" s="176"/>
      <c r="AP352" s="176"/>
      <c r="AQ352" s="176"/>
      <c r="AR352" s="176"/>
      <c r="AS352" s="176"/>
      <c r="AT352" s="176"/>
      <c r="AU352" s="176"/>
      <c r="AV352" s="176"/>
      <c r="AW352" s="176"/>
      <c r="AX352" s="176"/>
      <c r="AY352" s="176"/>
      <c r="AZ352" s="176"/>
      <c r="BA352" s="176"/>
      <c r="BB352" s="176"/>
      <c r="BC352" s="176"/>
      <c r="BD352" s="176"/>
      <c r="BE352" s="176"/>
      <c r="BF352" s="176"/>
      <c r="BG352" s="176"/>
      <c r="BH352" s="176"/>
      <c r="BI352" s="176"/>
      <c r="BJ352" s="176"/>
      <c r="BK352" s="176"/>
      <c r="BL352" s="176"/>
      <c r="BM352" s="176"/>
      <c r="BN352" s="176"/>
      <c r="BO352" s="176"/>
    </row>
    <row r="353" spans="1:67" s="36" customFormat="1" ht="10.5" customHeight="1" x14ac:dyDescent="0.2">
      <c r="A353" s="1055"/>
      <c r="B353" s="2594"/>
      <c r="C353" s="2595"/>
      <c r="D353" s="2596"/>
      <c r="E353" s="2395"/>
      <c r="F353" s="2396"/>
      <c r="G353" s="2590"/>
      <c r="H353" s="2591"/>
      <c r="I353" s="1081">
        <f t="shared" si="91"/>
        <v>0</v>
      </c>
      <c r="J353" s="1082">
        <f t="shared" si="92"/>
        <v>0</v>
      </c>
      <c r="K353" s="2592"/>
      <c r="L353" s="2593"/>
      <c r="M353" s="1321">
        <f t="shared" si="89"/>
        <v>0</v>
      </c>
      <c r="N353" s="503"/>
      <c r="O353" s="365">
        <f>IF(ISBLANK(H353),G353,H353)</f>
        <v>0</v>
      </c>
      <c r="P353" s="366"/>
      <c r="Q353" s="135"/>
      <c r="R353" s="136"/>
      <c r="S353" s="129"/>
      <c r="T353" s="129"/>
      <c r="U353" s="129"/>
      <c r="V353" s="129"/>
      <c r="W353" s="129"/>
      <c r="X353" s="129"/>
      <c r="Y353" s="129"/>
      <c r="Z353" s="133"/>
      <c r="AA353" s="133"/>
      <c r="AB353" s="133"/>
      <c r="AC353" s="133"/>
      <c r="AD353" s="133"/>
      <c r="AE353" s="133"/>
      <c r="AF353" s="222"/>
      <c r="AG353" s="222"/>
      <c r="AH353" s="222"/>
      <c r="AI353" s="176"/>
      <c r="AJ353" s="176"/>
      <c r="AK353" s="176"/>
      <c r="AL353" s="176"/>
      <c r="AM353" s="176"/>
      <c r="AN353" s="176"/>
      <c r="AO353" s="176"/>
      <c r="AP353" s="176"/>
      <c r="AQ353" s="176"/>
      <c r="AR353" s="176"/>
      <c r="AS353" s="176"/>
      <c r="AT353" s="176"/>
      <c r="AU353" s="176"/>
      <c r="AV353" s="176"/>
      <c r="AW353" s="176"/>
      <c r="AX353" s="176"/>
      <c r="AY353" s="176"/>
      <c r="AZ353" s="176"/>
      <c r="BA353" s="176"/>
      <c r="BB353" s="176"/>
      <c r="BC353" s="176"/>
      <c r="BD353" s="176"/>
      <c r="BE353" s="176"/>
      <c r="BF353" s="176"/>
      <c r="BG353" s="176"/>
      <c r="BH353" s="176"/>
      <c r="BI353" s="176"/>
      <c r="BJ353" s="176"/>
      <c r="BK353" s="176"/>
      <c r="BL353" s="176"/>
      <c r="BM353" s="176"/>
      <c r="BN353" s="176"/>
      <c r="BO353" s="176"/>
    </row>
    <row r="354" spans="1:67" s="36" customFormat="1" ht="10.5" customHeight="1" x14ac:dyDescent="0.2">
      <c r="A354" s="1055"/>
      <c r="B354" s="2594"/>
      <c r="C354" s="2595"/>
      <c r="D354" s="2596"/>
      <c r="E354" s="2395"/>
      <c r="F354" s="2396"/>
      <c r="G354" s="2590"/>
      <c r="H354" s="2591"/>
      <c r="I354" s="1081">
        <f t="shared" si="91"/>
        <v>0</v>
      </c>
      <c r="J354" s="1082">
        <f t="shared" si="92"/>
        <v>0</v>
      </c>
      <c r="K354" s="2592"/>
      <c r="L354" s="2593"/>
      <c r="M354" s="1321">
        <f t="shared" si="89"/>
        <v>0</v>
      </c>
      <c r="N354" s="503"/>
      <c r="O354" s="365">
        <f>IF(ISBLANK(H354),G354,H354)</f>
        <v>0</v>
      </c>
      <c r="P354" s="366"/>
      <c r="Q354" s="135"/>
      <c r="R354" s="136"/>
      <c r="S354" s="129"/>
      <c r="T354" s="129"/>
      <c r="U354" s="129"/>
      <c r="V354" s="129"/>
      <c r="W354" s="129"/>
      <c r="X354" s="129"/>
      <c r="Y354" s="129"/>
      <c r="Z354" s="133"/>
      <c r="AA354" s="133"/>
      <c r="AB354" s="133"/>
      <c r="AC354" s="133"/>
      <c r="AD354" s="133"/>
      <c r="AE354" s="133"/>
      <c r="AF354" s="222"/>
      <c r="AG354" s="222"/>
      <c r="AH354" s="222"/>
      <c r="AI354" s="176"/>
      <c r="AJ354" s="176"/>
      <c r="AK354" s="176"/>
      <c r="AL354" s="176"/>
      <c r="AM354" s="176"/>
      <c r="AN354" s="176"/>
      <c r="AO354" s="176"/>
      <c r="AP354" s="176"/>
      <c r="AQ354" s="176"/>
      <c r="AR354" s="176"/>
      <c r="AS354" s="176"/>
      <c r="AT354" s="176"/>
      <c r="AU354" s="176"/>
      <c r="AV354" s="176"/>
      <c r="AW354" s="176"/>
      <c r="AX354" s="176"/>
      <c r="AY354" s="176"/>
      <c r="AZ354" s="176"/>
      <c r="BA354" s="176"/>
      <c r="BB354" s="176"/>
      <c r="BC354" s="176"/>
      <c r="BD354" s="176"/>
      <c r="BE354" s="176"/>
      <c r="BF354" s="176"/>
      <c r="BG354" s="176"/>
      <c r="BH354" s="176"/>
      <c r="BI354" s="176"/>
      <c r="BJ354" s="176"/>
      <c r="BK354" s="176"/>
      <c r="BL354" s="176"/>
      <c r="BM354" s="176"/>
      <c r="BN354" s="176"/>
      <c r="BO354" s="176"/>
    </row>
    <row r="355" spans="1:67" s="370" customFormat="1" ht="10.5" customHeight="1" x14ac:dyDescent="0.2">
      <c r="A355" s="1090"/>
      <c r="B355" s="2630"/>
      <c r="C355" s="2631"/>
      <c r="D355" s="2632"/>
      <c r="E355" s="2636"/>
      <c r="F355" s="2637"/>
      <c r="G355" s="1091"/>
      <c r="H355" s="1092"/>
      <c r="I355" s="1093"/>
      <c r="J355" s="1094"/>
      <c r="K355" s="1358"/>
      <c r="L355" s="1309"/>
      <c r="M355" s="1322"/>
      <c r="N355" s="166"/>
      <c r="O355" s="1045"/>
      <c r="P355" s="367"/>
      <c r="Q355" s="135"/>
      <c r="R355" s="136"/>
      <c r="S355" s="129"/>
      <c r="T355" s="129"/>
      <c r="U355" s="129"/>
      <c r="V355" s="129"/>
      <c r="W355" s="129"/>
      <c r="X355" s="129"/>
      <c r="Y355" s="129"/>
      <c r="Z355" s="129"/>
      <c r="AA355" s="129"/>
      <c r="AB355" s="129"/>
      <c r="AC355" s="129"/>
      <c r="AD355" s="129"/>
      <c r="AE355" s="129"/>
      <c r="AF355" s="368"/>
      <c r="AG355" s="368"/>
      <c r="AH355" s="368"/>
      <c r="AI355" s="369"/>
      <c r="AJ355" s="369"/>
      <c r="AK355" s="369"/>
      <c r="AL355" s="369"/>
      <c r="AM355" s="369"/>
      <c r="AN355" s="369"/>
      <c r="AO355" s="369"/>
      <c r="AP355" s="369"/>
      <c r="AQ355" s="369"/>
      <c r="AR355" s="369"/>
      <c r="AS355" s="369"/>
      <c r="AT355" s="369"/>
      <c r="AU355" s="369"/>
      <c r="AV355" s="369"/>
      <c r="AW355" s="369"/>
      <c r="AX355" s="369"/>
      <c r="AY355" s="369"/>
      <c r="AZ355" s="369"/>
      <c r="BA355" s="369"/>
      <c r="BB355" s="369"/>
      <c r="BC355" s="369"/>
      <c r="BD355" s="369"/>
      <c r="BE355" s="369"/>
      <c r="BF355" s="369"/>
      <c r="BG355" s="369"/>
      <c r="BH355" s="369"/>
      <c r="BI355" s="369"/>
      <c r="BJ355" s="369"/>
      <c r="BK355" s="369"/>
      <c r="BL355" s="369"/>
      <c r="BM355" s="369"/>
      <c r="BN355" s="369"/>
      <c r="BO355" s="369"/>
    </row>
    <row r="356" spans="1:67" s="370" customFormat="1" ht="10.5" customHeight="1" x14ac:dyDescent="0.2">
      <c r="A356" s="1154" t="s">
        <v>378</v>
      </c>
      <c r="B356" s="1155"/>
      <c r="C356" s="1155"/>
      <c r="D356" s="1156"/>
      <c r="E356" s="1157"/>
      <c r="F356" s="1158"/>
      <c r="G356" s="1161"/>
      <c r="H356" s="1162"/>
      <c r="I356" s="1163"/>
      <c r="J356" s="1164"/>
      <c r="K356" s="1165"/>
      <c r="L356" s="1310"/>
      <c r="M356" s="1323"/>
      <c r="N356" s="166"/>
      <c r="O356" s="1047"/>
      <c r="P356" s="1046"/>
      <c r="Q356" s="135"/>
      <c r="R356" s="136"/>
      <c r="S356" s="129"/>
      <c r="T356" s="129"/>
      <c r="U356" s="129"/>
      <c r="V356" s="129"/>
      <c r="W356" s="129"/>
      <c r="X356" s="129"/>
      <c r="Y356" s="129"/>
      <c r="Z356" s="129"/>
      <c r="AA356" s="129"/>
      <c r="AB356" s="129"/>
      <c r="AC356" s="129"/>
      <c r="AD356" s="129"/>
      <c r="AE356" s="129"/>
      <c r="AF356" s="368"/>
      <c r="AG356" s="368"/>
      <c r="AH356" s="368"/>
      <c r="AI356" s="369"/>
      <c r="AJ356" s="369"/>
      <c r="AK356" s="369"/>
      <c r="AL356" s="369"/>
      <c r="AM356" s="369"/>
      <c r="AN356" s="369"/>
      <c r="AO356" s="369"/>
      <c r="AP356" s="369"/>
      <c r="AQ356" s="369"/>
      <c r="AR356" s="369"/>
      <c r="AS356" s="369"/>
      <c r="AT356" s="369"/>
      <c r="AU356" s="369"/>
      <c r="AV356" s="369"/>
      <c r="AW356" s="369"/>
      <c r="AX356" s="369"/>
      <c r="AY356" s="369"/>
      <c r="AZ356" s="369"/>
      <c r="BA356" s="369"/>
      <c r="BB356" s="369"/>
      <c r="BC356" s="369"/>
      <c r="BD356" s="369"/>
      <c r="BE356" s="369"/>
      <c r="BF356" s="369"/>
      <c r="BG356" s="369"/>
      <c r="BH356" s="369"/>
      <c r="BI356" s="369"/>
      <c r="BJ356" s="369"/>
      <c r="BK356" s="369"/>
      <c r="BL356" s="369"/>
      <c r="BM356" s="369"/>
      <c r="BN356" s="369"/>
      <c r="BO356" s="369"/>
    </row>
    <row r="357" spans="1:67" s="370" customFormat="1" ht="10.5" customHeight="1" x14ac:dyDescent="0.2">
      <c r="A357" s="1142" t="s">
        <v>379</v>
      </c>
      <c r="B357" s="1143"/>
      <c r="C357" s="1143"/>
      <c r="D357" s="1144"/>
      <c r="E357" s="1145"/>
      <c r="F357" s="1146"/>
      <c r="G357" s="1132"/>
      <c r="H357" s="1133"/>
      <c r="I357" s="1134"/>
      <c r="J357" s="1135"/>
      <c r="K357" s="1136"/>
      <c r="L357" s="1311"/>
      <c r="M357" s="1324"/>
      <c r="N357" s="166"/>
      <c r="O357" s="1047"/>
      <c r="P357" s="1046"/>
      <c r="Q357" s="135"/>
      <c r="R357" s="136"/>
      <c r="S357" s="130"/>
      <c r="T357" s="129"/>
      <c r="U357" s="129"/>
      <c r="V357" s="129"/>
      <c r="W357" s="129"/>
      <c r="X357" s="129"/>
      <c r="Y357" s="129"/>
      <c r="Z357" s="129"/>
      <c r="AA357" s="129"/>
      <c r="AB357" s="129"/>
      <c r="AC357" s="129"/>
      <c r="AD357" s="129"/>
      <c r="AE357" s="129"/>
      <c r="AF357" s="368"/>
      <c r="AG357" s="368"/>
      <c r="AH357" s="368"/>
      <c r="AI357" s="369"/>
      <c r="AJ357" s="369"/>
      <c r="AK357" s="369"/>
      <c r="AL357" s="369"/>
      <c r="AM357" s="369"/>
      <c r="AN357" s="369"/>
      <c r="AO357" s="369"/>
      <c r="AP357" s="369"/>
      <c r="AQ357" s="369"/>
      <c r="AR357" s="369"/>
      <c r="AS357" s="369"/>
      <c r="AT357" s="369"/>
      <c r="AU357" s="369"/>
      <c r="AV357" s="369"/>
      <c r="AW357" s="369"/>
      <c r="AX357" s="369"/>
      <c r="AY357" s="369"/>
      <c r="AZ357" s="369"/>
      <c r="BA357" s="369"/>
      <c r="BB357" s="369"/>
      <c r="BC357" s="369"/>
      <c r="BD357" s="369"/>
      <c r="BE357" s="369"/>
      <c r="BF357" s="369"/>
      <c r="BG357" s="369"/>
      <c r="BH357" s="369"/>
      <c r="BI357" s="369"/>
      <c r="BJ357" s="369"/>
      <c r="BK357" s="369"/>
      <c r="BL357" s="369"/>
      <c r="BM357" s="369"/>
      <c r="BN357" s="369"/>
      <c r="BO357" s="369"/>
    </row>
    <row r="358" spans="1:67" s="370" customFormat="1" ht="10.5" customHeight="1" x14ac:dyDescent="0.2">
      <c r="A358" s="1147" t="s">
        <v>380</v>
      </c>
      <c r="B358" s="1148"/>
      <c r="C358" s="1148"/>
      <c r="D358" s="1149" t="s">
        <v>381</v>
      </c>
      <c r="E358" s="2633">
        <f>SUM(E55,E70,E85,E102,E117,E132,E147,E162,E177,E237,E252,E267,E297,E312,E328:E333)</f>
        <v>0</v>
      </c>
      <c r="F358" s="2634"/>
      <c r="G358" s="1137"/>
      <c r="H358" s="1138"/>
      <c r="I358" s="1134"/>
      <c r="J358" s="1135"/>
      <c r="K358" s="1136"/>
      <c r="L358" s="1311"/>
      <c r="M358" s="1324"/>
      <c r="N358" s="166"/>
      <c r="O358" s="1047"/>
      <c r="P358" s="1046"/>
      <c r="Q358" s="135"/>
      <c r="R358" s="136"/>
      <c r="S358" s="129"/>
      <c r="T358" s="129"/>
      <c r="U358" s="129"/>
      <c r="V358" s="129"/>
      <c r="W358" s="129"/>
      <c r="X358" s="129"/>
      <c r="Y358" s="129"/>
      <c r="Z358" s="129"/>
      <c r="AA358" s="129"/>
      <c r="AB358" s="129"/>
      <c r="AC358" s="129"/>
      <c r="AD358" s="129"/>
      <c r="AE358" s="129"/>
      <c r="AF358" s="368"/>
      <c r="AG358" s="368"/>
      <c r="AH358" s="368"/>
      <c r="AI358" s="369"/>
      <c r="AJ358" s="369"/>
      <c r="AK358" s="369"/>
      <c r="AL358" s="369"/>
      <c r="AM358" s="369"/>
      <c r="AN358" s="369"/>
      <c r="AO358" s="369"/>
      <c r="AP358" s="369"/>
      <c r="AQ358" s="369"/>
      <c r="AR358" s="369"/>
      <c r="AS358" s="369"/>
      <c r="AT358" s="369"/>
      <c r="AU358" s="369"/>
      <c r="AV358" s="369"/>
      <c r="AW358" s="369"/>
      <c r="AX358" s="369"/>
      <c r="AY358" s="369"/>
      <c r="AZ358" s="369"/>
      <c r="BA358" s="369"/>
      <c r="BB358" s="369"/>
      <c r="BC358" s="369"/>
      <c r="BD358" s="369"/>
      <c r="BE358" s="369"/>
      <c r="BF358" s="369"/>
      <c r="BG358" s="369"/>
      <c r="BH358" s="369"/>
      <c r="BI358" s="369"/>
      <c r="BJ358" s="369"/>
      <c r="BK358" s="369"/>
      <c r="BL358" s="369"/>
      <c r="BM358" s="369"/>
      <c r="BN358" s="369"/>
      <c r="BO358" s="369"/>
    </row>
    <row r="359" spans="1:67" s="370" customFormat="1" ht="10.5" customHeight="1" x14ac:dyDescent="0.2">
      <c r="A359" s="1147" t="s">
        <v>431</v>
      </c>
      <c r="B359" s="1148"/>
      <c r="C359" s="1148"/>
      <c r="D359" s="1149" t="s">
        <v>382</v>
      </c>
      <c r="E359" s="1150">
        <f>IF(E358=0,0,E362+E363/(E358^(1/3)))</f>
        <v>0</v>
      </c>
      <c r="F359" s="1151"/>
      <c r="G359" s="1139"/>
      <c r="H359" s="1133"/>
      <c r="I359" s="1134"/>
      <c r="J359" s="1135"/>
      <c r="K359" s="1136"/>
      <c r="L359" s="1311"/>
      <c r="M359" s="1324"/>
      <c r="N359" s="166"/>
      <c r="O359" s="1047"/>
      <c r="P359" s="1046"/>
      <c r="Q359" s="135"/>
      <c r="R359" s="136"/>
      <c r="S359" s="129"/>
      <c r="T359" s="129"/>
      <c r="U359" s="129"/>
      <c r="V359" s="129"/>
      <c r="W359" s="129"/>
      <c r="X359" s="129"/>
      <c r="Y359" s="129"/>
      <c r="Z359" s="129"/>
      <c r="AA359" s="129"/>
      <c r="AB359" s="129"/>
      <c r="AC359" s="129"/>
      <c r="AD359" s="129"/>
      <c r="AE359" s="129"/>
      <c r="AF359" s="368"/>
      <c r="AG359" s="368"/>
      <c r="AH359" s="368"/>
      <c r="AI359" s="369"/>
      <c r="AJ359" s="369"/>
      <c r="AK359" s="369"/>
      <c r="AL359" s="369"/>
      <c r="AM359" s="369"/>
      <c r="AN359" s="369"/>
      <c r="AO359" s="369"/>
      <c r="AP359" s="369"/>
      <c r="AQ359" s="369"/>
      <c r="AR359" s="369"/>
      <c r="AS359" s="369"/>
      <c r="AT359" s="369"/>
      <c r="AU359" s="369"/>
      <c r="AV359" s="369"/>
      <c r="AW359" s="369"/>
      <c r="AX359" s="369"/>
      <c r="AY359" s="369"/>
      <c r="AZ359" s="369"/>
      <c r="BA359" s="369"/>
      <c r="BB359" s="369"/>
      <c r="BC359" s="369"/>
      <c r="BD359" s="369"/>
      <c r="BE359" s="369"/>
      <c r="BF359" s="369"/>
      <c r="BG359" s="369"/>
      <c r="BH359" s="369"/>
      <c r="BI359" s="369"/>
      <c r="BJ359" s="369"/>
      <c r="BK359" s="369"/>
      <c r="BL359" s="369"/>
      <c r="BM359" s="369"/>
      <c r="BN359" s="369"/>
      <c r="BO359" s="369"/>
    </row>
    <row r="360" spans="1:67" s="370" customFormat="1" ht="10.5" customHeight="1" x14ac:dyDescent="0.2">
      <c r="A360" s="1147" t="s">
        <v>383</v>
      </c>
      <c r="B360" s="1148"/>
      <c r="C360" s="1148"/>
      <c r="D360" s="1149" t="s">
        <v>384</v>
      </c>
      <c r="E360" s="1130">
        <v>0.9</v>
      </c>
      <c r="F360" s="1151"/>
      <c r="G360" s="1139"/>
      <c r="H360" s="1133"/>
      <c r="I360" s="1134"/>
      <c r="J360" s="1135"/>
      <c r="K360" s="1136"/>
      <c r="L360" s="1311"/>
      <c r="M360" s="1324"/>
      <c r="N360" s="166"/>
      <c r="O360" s="1047"/>
      <c r="P360" s="1046"/>
      <c r="Q360" s="135"/>
      <c r="R360" s="136"/>
      <c r="S360" s="129"/>
      <c r="T360" s="129"/>
      <c r="U360" s="129"/>
      <c r="V360" s="129"/>
      <c r="W360" s="129"/>
      <c r="X360" s="129"/>
      <c r="Y360" s="129"/>
      <c r="Z360" s="129"/>
      <c r="AA360" s="129"/>
      <c r="AB360" s="129"/>
      <c r="AC360" s="129"/>
      <c r="AD360" s="129"/>
      <c r="AE360" s="129"/>
      <c r="AF360" s="368"/>
      <c r="AG360" s="368"/>
      <c r="AH360" s="368"/>
      <c r="AI360" s="369"/>
      <c r="AJ360" s="369"/>
      <c r="AK360" s="369"/>
      <c r="AL360" s="369"/>
      <c r="AM360" s="369"/>
      <c r="AN360" s="369"/>
      <c r="AO360" s="369"/>
      <c r="AP360" s="369"/>
      <c r="AQ360" s="369"/>
      <c r="AR360" s="369"/>
      <c r="AS360" s="369"/>
      <c r="AT360" s="369"/>
      <c r="AU360" s="369"/>
      <c r="AV360" s="369"/>
      <c r="AW360" s="369"/>
      <c r="AX360" s="369"/>
      <c r="AY360" s="369"/>
      <c r="AZ360" s="369"/>
      <c r="BA360" s="369"/>
      <c r="BB360" s="369"/>
      <c r="BC360" s="369"/>
      <c r="BD360" s="369"/>
      <c r="BE360" s="369"/>
      <c r="BF360" s="369"/>
      <c r="BG360" s="369"/>
      <c r="BH360" s="369"/>
      <c r="BI360" s="369"/>
      <c r="BJ360" s="369"/>
      <c r="BK360" s="369"/>
      <c r="BL360" s="369"/>
      <c r="BM360" s="369"/>
      <c r="BN360" s="369"/>
      <c r="BO360" s="369"/>
    </row>
    <row r="361" spans="1:67" s="370" customFormat="1" ht="10.5" customHeight="1" x14ac:dyDescent="0.2">
      <c r="A361" s="1147" t="s">
        <v>436</v>
      </c>
      <c r="B361" s="1148"/>
      <c r="C361" s="1148"/>
      <c r="D361" s="1149" t="s">
        <v>430</v>
      </c>
      <c r="E361" s="1130">
        <v>1</v>
      </c>
      <c r="F361" s="1151"/>
      <c r="G361" s="1139"/>
      <c r="H361" s="1133"/>
      <c r="I361" s="1134"/>
      <c r="J361" s="1135"/>
      <c r="K361" s="1136"/>
      <c r="L361" s="1311"/>
      <c r="M361" s="1324"/>
      <c r="N361" s="166"/>
      <c r="O361" s="1047"/>
      <c r="P361" s="1046"/>
      <c r="Q361" s="135"/>
      <c r="R361" s="136"/>
      <c r="S361" s="129"/>
      <c r="T361" s="129"/>
      <c r="U361" s="129"/>
      <c r="V361" s="129"/>
      <c r="W361" s="129"/>
      <c r="X361" s="129"/>
      <c r="Y361" s="129"/>
      <c r="Z361" s="129"/>
      <c r="AA361" s="129"/>
      <c r="AB361" s="129"/>
      <c r="AC361" s="129"/>
      <c r="AD361" s="129"/>
      <c r="AE361" s="129"/>
      <c r="AF361" s="368"/>
      <c r="AG361" s="368"/>
      <c r="AH361" s="368"/>
      <c r="AI361" s="369"/>
      <c r="AJ361" s="369"/>
      <c r="AK361" s="369"/>
      <c r="AL361" s="369"/>
      <c r="AM361" s="369"/>
      <c r="AN361" s="369"/>
      <c r="AO361" s="369"/>
      <c r="AP361" s="369"/>
      <c r="AQ361" s="369"/>
      <c r="AR361" s="369"/>
      <c r="AS361" s="369"/>
      <c r="AT361" s="369"/>
      <c r="AU361" s="369"/>
      <c r="AV361" s="369"/>
      <c r="AW361" s="369"/>
      <c r="AX361" s="369"/>
      <c r="AY361" s="369"/>
      <c r="AZ361" s="369"/>
      <c r="BA361" s="369"/>
      <c r="BB361" s="369"/>
      <c r="BC361" s="369"/>
      <c r="BD361" s="369"/>
      <c r="BE361" s="369"/>
      <c r="BF361" s="369"/>
      <c r="BG361" s="369"/>
      <c r="BH361" s="369"/>
      <c r="BI361" s="369"/>
      <c r="BJ361" s="369"/>
      <c r="BK361" s="369"/>
      <c r="BL361" s="369"/>
      <c r="BM361" s="369"/>
      <c r="BN361" s="369"/>
      <c r="BO361" s="369"/>
    </row>
    <row r="362" spans="1:67" s="370" customFormat="1" ht="10.5" customHeight="1" x14ac:dyDescent="0.2">
      <c r="A362" s="1147" t="s">
        <v>437</v>
      </c>
      <c r="B362" s="2635" t="s">
        <v>681</v>
      </c>
      <c r="C362" s="2635"/>
      <c r="D362" s="1149" t="s">
        <v>428</v>
      </c>
      <c r="E362" s="1131">
        <v>6.6000000000000003E-2</v>
      </c>
      <c r="F362" s="1151"/>
      <c r="G362" s="2655"/>
      <c r="H362" s="2656"/>
      <c r="I362" s="1134"/>
      <c r="J362" s="1135"/>
      <c r="K362" s="1136"/>
      <c r="L362" s="1311"/>
      <c r="M362" s="1324"/>
      <c r="N362" s="166"/>
      <c r="O362" s="1047"/>
      <c r="P362" s="1046"/>
      <c r="Q362" s="135"/>
      <c r="R362" s="136"/>
      <c r="S362" s="129"/>
      <c r="T362" s="129"/>
      <c r="U362" s="129"/>
      <c r="V362" s="129"/>
      <c r="W362" s="129"/>
      <c r="X362" s="129"/>
      <c r="Y362" s="129"/>
      <c r="Z362" s="129"/>
      <c r="AA362" s="129"/>
      <c r="AB362" s="129"/>
      <c r="AC362" s="129"/>
      <c r="AD362" s="129"/>
      <c r="AE362" s="129"/>
      <c r="AF362" s="368"/>
      <c r="AG362" s="368"/>
      <c r="AH362" s="368"/>
      <c r="AI362" s="369"/>
      <c r="AJ362" s="369"/>
      <c r="AK362" s="369"/>
      <c r="AL362" s="369"/>
      <c r="AM362" s="369"/>
      <c r="AN362" s="369"/>
      <c r="AO362" s="369"/>
      <c r="AP362" s="369"/>
      <c r="AQ362" s="369"/>
      <c r="AR362" s="369"/>
      <c r="AS362" s="369"/>
      <c r="AT362" s="369"/>
      <c r="AU362" s="369"/>
      <c r="AV362" s="369"/>
      <c r="AW362" s="369"/>
      <c r="AX362" s="369"/>
      <c r="AY362" s="369"/>
      <c r="AZ362" s="369"/>
      <c r="BA362" s="369"/>
      <c r="BB362" s="369"/>
      <c r="BC362" s="369"/>
      <c r="BD362" s="369"/>
      <c r="BE362" s="369"/>
      <c r="BF362" s="369"/>
      <c r="BG362" s="369"/>
      <c r="BH362" s="369"/>
      <c r="BI362" s="369"/>
      <c r="BJ362" s="369"/>
      <c r="BK362" s="369"/>
      <c r="BL362" s="369"/>
      <c r="BM362" s="369"/>
      <c r="BN362" s="369"/>
      <c r="BO362" s="369"/>
    </row>
    <row r="363" spans="1:67" s="370" customFormat="1" ht="10.5" customHeight="1" x14ac:dyDescent="0.2">
      <c r="A363" s="1147" t="s">
        <v>438</v>
      </c>
      <c r="B363" s="2635" t="s">
        <v>681</v>
      </c>
      <c r="C363" s="2635"/>
      <c r="D363" s="1149" t="s">
        <v>429</v>
      </c>
      <c r="E363" s="1131">
        <v>11.28</v>
      </c>
      <c r="F363" s="1151"/>
      <c r="G363" s="2655"/>
      <c r="H363" s="2656"/>
      <c r="I363" s="1134"/>
      <c r="J363" s="1135"/>
      <c r="K363" s="1136"/>
      <c r="L363" s="1311"/>
      <c r="M363" s="1324"/>
      <c r="N363" s="166"/>
      <c r="O363" s="1047"/>
      <c r="P363" s="1046"/>
      <c r="Q363" s="135"/>
      <c r="R363" s="136"/>
      <c r="S363" s="129"/>
      <c r="T363" s="129"/>
      <c r="U363" s="129"/>
      <c r="V363" s="129"/>
      <c r="W363" s="129"/>
      <c r="X363" s="129"/>
      <c r="Y363" s="129"/>
      <c r="Z363" s="129"/>
      <c r="AA363" s="129"/>
      <c r="AB363" s="129"/>
      <c r="AC363" s="129"/>
      <c r="AD363" s="129"/>
      <c r="AE363" s="129"/>
      <c r="AF363" s="368"/>
      <c r="AG363" s="368"/>
      <c r="AH363" s="368"/>
      <c r="AI363" s="369"/>
      <c r="AJ363" s="369"/>
      <c r="AK363" s="369"/>
      <c r="AL363" s="369"/>
      <c r="AM363" s="369"/>
      <c r="AN363" s="369"/>
      <c r="AO363" s="369"/>
      <c r="AP363" s="369"/>
      <c r="AQ363" s="369"/>
      <c r="AR363" s="369"/>
      <c r="AS363" s="369"/>
      <c r="AT363" s="369"/>
      <c r="AU363" s="369"/>
      <c r="AV363" s="369"/>
      <c r="AW363" s="369"/>
      <c r="AX363" s="369"/>
      <c r="AY363" s="369"/>
      <c r="AZ363" s="369"/>
      <c r="BA363" s="369"/>
      <c r="BB363" s="369"/>
      <c r="BC363" s="369"/>
      <c r="BD363" s="369"/>
      <c r="BE363" s="369"/>
      <c r="BF363" s="369"/>
      <c r="BG363" s="369"/>
      <c r="BH363" s="369"/>
      <c r="BI363" s="369"/>
      <c r="BJ363" s="369"/>
      <c r="BK363" s="369"/>
      <c r="BL363" s="369"/>
      <c r="BM363" s="369"/>
      <c r="BN363" s="369"/>
      <c r="BO363" s="369"/>
    </row>
    <row r="364" spans="1:67" s="370" customFormat="1" ht="10.5" customHeight="1" x14ac:dyDescent="0.2">
      <c r="A364" s="1147" t="s">
        <v>434</v>
      </c>
      <c r="B364" s="1148"/>
      <c r="C364" s="1148"/>
      <c r="D364" s="1149" t="s">
        <v>435</v>
      </c>
      <c r="E364" s="1131">
        <v>100</v>
      </c>
      <c r="F364" s="1152"/>
      <c r="G364" s="1140"/>
      <c r="H364" s="1141"/>
      <c r="I364" s="1134"/>
      <c r="J364" s="1135"/>
      <c r="K364" s="1136"/>
      <c r="L364" s="1311"/>
      <c r="M364" s="1324"/>
      <c r="N364" s="166"/>
      <c r="O364" s="1047"/>
      <c r="P364" s="1046"/>
      <c r="Q364" s="135"/>
      <c r="R364" s="136"/>
      <c r="S364" s="129"/>
      <c r="T364" s="129"/>
      <c r="U364" s="129"/>
      <c r="V364" s="129"/>
      <c r="W364" s="129"/>
      <c r="X364" s="129"/>
      <c r="Y364" s="129"/>
      <c r="Z364" s="129"/>
      <c r="AA364" s="129"/>
      <c r="AB364" s="129"/>
      <c r="AC364" s="129"/>
      <c r="AD364" s="129"/>
      <c r="AE364" s="129"/>
      <c r="AF364" s="368"/>
      <c r="AG364" s="368"/>
      <c r="AH364" s="368"/>
      <c r="AI364" s="369"/>
      <c r="AJ364" s="369"/>
      <c r="AK364" s="369"/>
      <c r="AL364" s="369"/>
      <c r="AM364" s="369"/>
      <c r="AN364" s="369"/>
      <c r="AO364" s="369"/>
      <c r="AP364" s="369"/>
      <c r="AQ364" s="369"/>
      <c r="AR364" s="369"/>
      <c r="AS364" s="369"/>
      <c r="AT364" s="369"/>
      <c r="AU364" s="369"/>
      <c r="AV364" s="369"/>
      <c r="AW364" s="369"/>
      <c r="AX364" s="369"/>
      <c r="AY364" s="369"/>
      <c r="AZ364" s="369"/>
      <c r="BA364" s="369"/>
      <c r="BB364" s="369"/>
      <c r="BC364" s="369"/>
      <c r="BD364" s="369"/>
      <c r="BE364" s="369"/>
      <c r="BF364" s="369"/>
      <c r="BG364" s="369"/>
      <c r="BH364" s="369"/>
      <c r="BI364" s="369"/>
      <c r="BJ364" s="369"/>
      <c r="BK364" s="369"/>
      <c r="BL364" s="369"/>
      <c r="BM364" s="369"/>
      <c r="BN364" s="369"/>
      <c r="BO364" s="369"/>
    </row>
    <row r="365" spans="1:67" s="370" customFormat="1" ht="10.5" customHeight="1" x14ac:dyDescent="0.2">
      <c r="A365" s="1147" t="s">
        <v>432</v>
      </c>
      <c r="B365" s="1148"/>
      <c r="C365" s="1148"/>
      <c r="D365" s="1149" t="s">
        <v>433</v>
      </c>
      <c r="E365" s="1130">
        <v>1</v>
      </c>
      <c r="F365" s="1153"/>
      <c r="G365" s="1140"/>
      <c r="H365" s="1141"/>
      <c r="I365" s="1134"/>
      <c r="J365" s="1135"/>
      <c r="K365" s="1136"/>
      <c r="L365" s="1311"/>
      <c r="M365" s="1324"/>
      <c r="N365" s="166"/>
      <c r="O365" s="1047"/>
      <c r="P365" s="1046"/>
      <c r="Q365" s="135"/>
      <c r="R365" s="136"/>
      <c r="S365" s="129"/>
      <c r="T365" s="129"/>
      <c r="U365" s="129"/>
      <c r="V365" s="129"/>
      <c r="W365" s="129"/>
      <c r="X365" s="129"/>
      <c r="Y365" s="129"/>
      <c r="Z365" s="129"/>
      <c r="AA365" s="129"/>
      <c r="AB365" s="129"/>
      <c r="AC365" s="129"/>
      <c r="AD365" s="129"/>
      <c r="AE365" s="129"/>
      <c r="AF365" s="368"/>
      <c r="AG365" s="368"/>
      <c r="AH365" s="368"/>
      <c r="AI365" s="369"/>
      <c r="AJ365" s="369"/>
      <c r="AK365" s="369"/>
      <c r="AL365" s="369"/>
      <c r="AM365" s="369"/>
      <c r="AN365" s="369"/>
      <c r="AO365" s="369"/>
      <c r="AP365" s="369"/>
      <c r="AQ365" s="369"/>
      <c r="AR365" s="369"/>
      <c r="AS365" s="369"/>
      <c r="AT365" s="369"/>
      <c r="AU365" s="369"/>
      <c r="AV365" s="369"/>
      <c r="AW365" s="369"/>
      <c r="AX365" s="369"/>
      <c r="AY365" s="369"/>
      <c r="AZ365" s="369"/>
      <c r="BA365" s="369"/>
      <c r="BB365" s="369"/>
      <c r="BC365" s="369"/>
      <c r="BD365" s="369"/>
      <c r="BE365" s="369"/>
      <c r="BF365" s="369"/>
      <c r="BG365" s="369"/>
      <c r="BH365" s="369"/>
      <c r="BI365" s="369"/>
      <c r="BJ365" s="369"/>
      <c r="BK365" s="369"/>
      <c r="BL365" s="369"/>
      <c r="BM365" s="369"/>
      <c r="BN365" s="369"/>
      <c r="BO365" s="369"/>
    </row>
    <row r="366" spans="1:67" s="370" customFormat="1" ht="10.5" customHeight="1" x14ac:dyDescent="0.2">
      <c r="A366" s="1147" t="s">
        <v>439</v>
      </c>
      <c r="B366" s="1148"/>
      <c r="C366" s="1148"/>
      <c r="D366" s="1149" t="s">
        <v>441</v>
      </c>
      <c r="E366" s="1130">
        <v>1</v>
      </c>
      <c r="F366" s="1153"/>
      <c r="G366" s="1140"/>
      <c r="H366" s="1141"/>
      <c r="I366" s="1134"/>
      <c r="J366" s="1135"/>
      <c r="K366" s="1136"/>
      <c r="L366" s="1311"/>
      <c r="M366" s="1324"/>
      <c r="N366" s="166"/>
      <c r="O366" s="1047"/>
      <c r="P366" s="1046"/>
      <c r="Q366" s="135"/>
      <c r="R366" s="136"/>
      <c r="S366" s="129"/>
      <c r="T366" s="129"/>
      <c r="U366" s="129"/>
      <c r="V366" s="129"/>
      <c r="W366" s="129"/>
      <c r="X366" s="129"/>
      <c r="Y366" s="129"/>
      <c r="Z366" s="129"/>
      <c r="AA366" s="129"/>
      <c r="AB366" s="129"/>
      <c r="AC366" s="129"/>
      <c r="AD366" s="129"/>
      <c r="AE366" s="129"/>
      <c r="AF366" s="368"/>
      <c r="AG366" s="368"/>
      <c r="AH366" s="368"/>
      <c r="AI366" s="369"/>
      <c r="AJ366" s="369"/>
      <c r="AK366" s="369"/>
      <c r="AL366" s="369"/>
      <c r="AM366" s="369"/>
      <c r="AN366" s="369"/>
      <c r="AO366" s="369"/>
      <c r="AP366" s="369"/>
      <c r="AQ366" s="369"/>
      <c r="AR366" s="369"/>
      <c r="AS366" s="369"/>
      <c r="AT366" s="369"/>
      <c r="AU366" s="369"/>
      <c r="AV366" s="369"/>
      <c r="AW366" s="369"/>
      <c r="AX366" s="369"/>
      <c r="AY366" s="369"/>
      <c r="AZ366" s="369"/>
      <c r="BA366" s="369"/>
      <c r="BB366" s="369"/>
      <c r="BC366" s="369"/>
      <c r="BD366" s="369"/>
      <c r="BE366" s="369"/>
      <c r="BF366" s="369"/>
      <c r="BG366" s="369"/>
      <c r="BH366" s="369"/>
      <c r="BI366" s="369"/>
      <c r="BJ366" s="369"/>
      <c r="BK366" s="369"/>
      <c r="BL366" s="369"/>
      <c r="BM366" s="369"/>
      <c r="BN366" s="369"/>
      <c r="BO366" s="369"/>
    </row>
    <row r="367" spans="1:67" s="370" customFormat="1" ht="10.5" customHeight="1" x14ac:dyDescent="0.2">
      <c r="A367" s="1147" t="s">
        <v>440</v>
      </c>
      <c r="B367" s="1148"/>
      <c r="C367" s="1148"/>
      <c r="D367" s="1149" t="s">
        <v>442</v>
      </c>
      <c r="E367" s="1159">
        <v>150</v>
      </c>
      <c r="F367" s="1153"/>
      <c r="G367" s="1140"/>
      <c r="H367" s="1141"/>
      <c r="I367" s="1134"/>
      <c r="J367" s="1135"/>
      <c r="K367" s="1136"/>
      <c r="L367" s="1311"/>
      <c r="M367" s="1324"/>
      <c r="N367" s="166"/>
      <c r="O367" s="1047"/>
      <c r="P367" s="1046"/>
      <c r="Q367" s="135"/>
      <c r="R367" s="136"/>
      <c r="S367" s="129"/>
      <c r="T367" s="129"/>
      <c r="U367" s="129"/>
      <c r="V367" s="129"/>
      <c r="W367" s="129"/>
      <c r="X367" s="129"/>
      <c r="Y367" s="129"/>
      <c r="Z367" s="129"/>
      <c r="AA367" s="129"/>
      <c r="AB367" s="129"/>
      <c r="AC367" s="129"/>
      <c r="AD367" s="129"/>
      <c r="AE367" s="129"/>
      <c r="AF367" s="368"/>
      <c r="AG367" s="368"/>
      <c r="AH367" s="368"/>
      <c r="AI367" s="369"/>
      <c r="AJ367" s="369"/>
      <c r="AK367" s="369"/>
      <c r="AL367" s="369"/>
      <c r="AM367" s="369"/>
      <c r="AN367" s="369"/>
      <c r="AO367" s="369"/>
      <c r="AP367" s="369"/>
      <c r="AQ367" s="369"/>
      <c r="AR367" s="369"/>
      <c r="AS367" s="369"/>
      <c r="AT367" s="369"/>
      <c r="AU367" s="369"/>
      <c r="AV367" s="369"/>
      <c r="AW367" s="369"/>
      <c r="AX367" s="369"/>
      <c r="AY367" s="369"/>
      <c r="AZ367" s="369"/>
      <c r="BA367" s="369"/>
      <c r="BB367" s="369"/>
      <c r="BC367" s="369"/>
      <c r="BD367" s="369"/>
      <c r="BE367" s="369"/>
      <c r="BF367" s="369"/>
      <c r="BG367" s="369"/>
      <c r="BH367" s="369"/>
      <c r="BI367" s="369"/>
      <c r="BJ367" s="369"/>
      <c r="BK367" s="369"/>
      <c r="BL367" s="369"/>
      <c r="BM367" s="369"/>
      <c r="BN367" s="369"/>
      <c r="BO367" s="369"/>
    </row>
    <row r="368" spans="1:67" s="370" customFormat="1" ht="10.5" customHeight="1" x14ac:dyDescent="0.2">
      <c r="A368" s="1360" t="s">
        <v>443</v>
      </c>
      <c r="B368" s="1361"/>
      <c r="C368" s="1361"/>
      <c r="D368" s="1290"/>
      <c r="E368" s="2657">
        <f>E358*E359/100*E360*E364/100*E361*E365*E366*E367</f>
        <v>0</v>
      </c>
      <c r="F368" s="2658"/>
      <c r="G368" s="1362"/>
      <c r="H368" s="1363"/>
      <c r="I368" s="1293"/>
      <c r="J368" s="1294"/>
      <c r="K368" s="1295"/>
      <c r="L368" s="1313"/>
      <c r="M368" s="1325"/>
      <c r="N368" s="166"/>
      <c r="O368" s="1047"/>
      <c r="P368" s="1046"/>
      <c r="Q368" s="135"/>
      <c r="R368" s="136"/>
      <c r="S368" s="129"/>
      <c r="T368" s="129"/>
      <c r="U368" s="129"/>
      <c r="V368" s="129"/>
      <c r="W368" s="129"/>
      <c r="X368" s="129"/>
      <c r="Y368" s="129"/>
      <c r="Z368" s="129"/>
      <c r="AA368" s="129"/>
      <c r="AB368" s="129"/>
      <c r="AC368" s="129"/>
      <c r="AD368" s="129"/>
      <c r="AE368" s="129"/>
      <c r="AF368" s="368"/>
      <c r="AG368" s="368"/>
      <c r="AH368" s="368"/>
      <c r="AI368" s="369"/>
      <c r="AJ368" s="369"/>
      <c r="AK368" s="369"/>
      <c r="AL368" s="369"/>
      <c r="AM368" s="369"/>
      <c r="AN368" s="369"/>
      <c r="AO368" s="369"/>
      <c r="AP368" s="369"/>
      <c r="AQ368" s="369"/>
      <c r="AR368" s="369"/>
      <c r="AS368" s="369"/>
      <c r="AT368" s="369"/>
      <c r="AU368" s="369"/>
      <c r="AV368" s="369"/>
      <c r="AW368" s="369"/>
      <c r="AX368" s="369"/>
      <c r="AY368" s="369"/>
      <c r="AZ368" s="369"/>
      <c r="BA368" s="369"/>
      <c r="BB368" s="369"/>
      <c r="BC368" s="369"/>
      <c r="BD368" s="369"/>
      <c r="BE368" s="369"/>
      <c r="BF368" s="369"/>
      <c r="BG368" s="369"/>
      <c r="BH368" s="369"/>
      <c r="BI368" s="369"/>
      <c r="BJ368" s="369"/>
      <c r="BK368" s="369"/>
      <c r="BL368" s="369"/>
      <c r="BM368" s="369"/>
      <c r="BN368" s="369"/>
      <c r="BO368" s="369"/>
    </row>
    <row r="369" spans="1:67" s="370" customFormat="1" ht="10.5" customHeight="1" x14ac:dyDescent="0.2">
      <c r="A369" s="1142" t="s">
        <v>385</v>
      </c>
      <c r="B369" s="1143"/>
      <c r="C369" s="1143"/>
      <c r="D369" s="1144"/>
      <c r="E369" s="1145"/>
      <c r="F369" s="1146"/>
      <c r="G369" s="1132"/>
      <c r="H369" s="1133"/>
      <c r="I369" s="1134"/>
      <c r="J369" s="1135"/>
      <c r="K369" s="1136"/>
      <c r="L369" s="1311"/>
      <c r="M369" s="1324"/>
      <c r="N369" s="166"/>
      <c r="O369" s="1047"/>
      <c r="P369" s="1046"/>
      <c r="Q369" s="135"/>
      <c r="R369" s="136"/>
      <c r="S369" s="129"/>
      <c r="T369" s="129"/>
      <c r="U369" s="129"/>
      <c r="V369" s="129"/>
      <c r="W369" s="129"/>
      <c r="X369" s="129"/>
      <c r="Y369" s="129"/>
      <c r="Z369" s="129"/>
      <c r="AA369" s="129"/>
      <c r="AB369" s="129"/>
      <c r="AC369" s="129"/>
      <c r="AD369" s="129"/>
      <c r="AE369" s="129"/>
      <c r="AF369" s="368"/>
      <c r="AG369" s="368"/>
      <c r="AH369" s="368"/>
      <c r="AI369" s="369"/>
      <c r="AJ369" s="369"/>
      <c r="AK369" s="369"/>
      <c r="AL369" s="369"/>
      <c r="AM369" s="369"/>
      <c r="AN369" s="369"/>
      <c r="AO369" s="369"/>
      <c r="AP369" s="369"/>
      <c r="AQ369" s="369"/>
      <c r="AR369" s="369"/>
      <c r="AS369" s="369"/>
      <c r="AT369" s="369"/>
      <c r="AU369" s="369"/>
      <c r="AV369" s="369"/>
      <c r="AW369" s="369"/>
      <c r="AX369" s="369"/>
      <c r="AY369" s="369"/>
      <c r="AZ369" s="369"/>
      <c r="BA369" s="369"/>
      <c r="BB369" s="369"/>
      <c r="BC369" s="369"/>
      <c r="BD369" s="369"/>
      <c r="BE369" s="369"/>
      <c r="BF369" s="369"/>
      <c r="BG369" s="369"/>
      <c r="BH369" s="369"/>
      <c r="BI369" s="369"/>
      <c r="BJ369" s="369"/>
      <c r="BK369" s="369"/>
      <c r="BL369" s="369"/>
      <c r="BM369" s="369"/>
      <c r="BN369" s="369"/>
      <c r="BO369" s="369"/>
    </row>
    <row r="370" spans="1:67" s="370" customFormat="1" ht="10.5" customHeight="1" x14ac:dyDescent="0.2">
      <c r="A370" s="1147" t="s">
        <v>380</v>
      </c>
      <c r="B370" s="1148"/>
      <c r="C370" s="1148"/>
      <c r="D370" s="1149" t="s">
        <v>381</v>
      </c>
      <c r="E370" s="2633">
        <f>SUM(E40,E192,E207,E222,E282,E334:F339)</f>
        <v>0</v>
      </c>
      <c r="F370" s="2634"/>
      <c r="G370" s="1137"/>
      <c r="H370" s="1138"/>
      <c r="I370" s="1134"/>
      <c r="J370" s="1135"/>
      <c r="K370" s="1136"/>
      <c r="L370" s="1311"/>
      <c r="M370" s="1324"/>
      <c r="N370" s="166"/>
      <c r="O370" s="1047"/>
      <c r="P370" s="1046"/>
      <c r="Q370" s="135"/>
      <c r="R370" s="136"/>
      <c r="S370" s="129"/>
      <c r="T370" s="129"/>
      <c r="U370" s="129"/>
      <c r="V370" s="129"/>
      <c r="W370" s="129"/>
      <c r="X370" s="129"/>
      <c r="Y370" s="129"/>
      <c r="Z370" s="129"/>
      <c r="AA370" s="129"/>
      <c r="AB370" s="129"/>
      <c r="AC370" s="129"/>
      <c r="AD370" s="129"/>
      <c r="AE370" s="129"/>
      <c r="AF370" s="368"/>
      <c r="AG370" s="368"/>
      <c r="AH370" s="368"/>
      <c r="AI370" s="369"/>
      <c r="AJ370" s="369"/>
      <c r="AK370" s="369"/>
      <c r="AL370" s="369"/>
      <c r="AM370" s="369"/>
      <c r="AN370" s="369"/>
      <c r="AO370" s="369"/>
      <c r="AP370" s="369"/>
      <c r="AQ370" s="369"/>
      <c r="AR370" s="369"/>
      <c r="AS370" s="369"/>
      <c r="AT370" s="369"/>
      <c r="AU370" s="369"/>
      <c r="AV370" s="369"/>
      <c r="AW370" s="369"/>
      <c r="AX370" s="369"/>
      <c r="AY370" s="369"/>
      <c r="AZ370" s="369"/>
      <c r="BA370" s="369"/>
      <c r="BB370" s="369"/>
      <c r="BC370" s="369"/>
      <c r="BD370" s="369"/>
      <c r="BE370" s="369"/>
      <c r="BF370" s="369"/>
      <c r="BG370" s="369"/>
      <c r="BH370" s="369"/>
      <c r="BI370" s="369"/>
      <c r="BJ370" s="369"/>
      <c r="BK370" s="369"/>
      <c r="BL370" s="369"/>
      <c r="BM370" s="369"/>
      <c r="BN370" s="369"/>
      <c r="BO370" s="369"/>
    </row>
    <row r="371" spans="1:67" s="370" customFormat="1" ht="10.5" customHeight="1" x14ac:dyDescent="0.2">
      <c r="A371" s="1147" t="s">
        <v>431</v>
      </c>
      <c r="B371" s="1148"/>
      <c r="C371" s="1148"/>
      <c r="D371" s="1149" t="s">
        <v>382</v>
      </c>
      <c r="E371" s="1150">
        <f>IF(E370=0,0,E374+E375/(E370^(1/3)))</f>
        <v>0</v>
      </c>
      <c r="F371" s="1151"/>
      <c r="G371" s="1139"/>
      <c r="H371" s="1133"/>
      <c r="I371" s="1134"/>
      <c r="J371" s="1135"/>
      <c r="K371" s="1136"/>
      <c r="L371" s="1311"/>
      <c r="M371" s="1324"/>
      <c r="N371" s="166"/>
      <c r="O371" s="1047"/>
      <c r="P371" s="1046"/>
      <c r="Q371" s="135"/>
      <c r="R371" s="136"/>
      <c r="S371" s="129"/>
      <c r="T371" s="129"/>
      <c r="U371" s="129"/>
      <c r="V371" s="129"/>
      <c r="W371" s="129"/>
      <c r="X371" s="129"/>
      <c r="Y371" s="129"/>
      <c r="Z371" s="129"/>
      <c r="AA371" s="129"/>
      <c r="AB371" s="129"/>
      <c r="AC371" s="129"/>
      <c r="AD371" s="129"/>
      <c r="AE371" s="129"/>
      <c r="AF371" s="368"/>
      <c r="AG371" s="368"/>
      <c r="AH371" s="368"/>
      <c r="AI371" s="369"/>
      <c r="AJ371" s="369"/>
      <c r="AK371" s="369"/>
      <c r="AL371" s="369"/>
      <c r="AM371" s="369"/>
      <c r="AN371" s="369"/>
      <c r="AO371" s="369"/>
      <c r="AP371" s="369"/>
      <c r="AQ371" s="369"/>
      <c r="AR371" s="369"/>
      <c r="AS371" s="369"/>
      <c r="AT371" s="369"/>
      <c r="AU371" s="369"/>
      <c r="AV371" s="369"/>
      <c r="AW371" s="369"/>
      <c r="AX371" s="369"/>
      <c r="AY371" s="369"/>
      <c r="AZ371" s="369"/>
      <c r="BA371" s="369"/>
      <c r="BB371" s="369"/>
      <c r="BC371" s="369"/>
      <c r="BD371" s="369"/>
      <c r="BE371" s="369"/>
      <c r="BF371" s="369"/>
      <c r="BG371" s="369"/>
      <c r="BH371" s="369"/>
      <c r="BI371" s="369"/>
      <c r="BJ371" s="369"/>
      <c r="BK371" s="369"/>
      <c r="BL371" s="369"/>
      <c r="BM371" s="369"/>
      <c r="BN371" s="369"/>
      <c r="BO371" s="369"/>
    </row>
    <row r="372" spans="1:67" s="370" customFormat="1" ht="10.5" customHeight="1" x14ac:dyDescent="0.2">
      <c r="A372" s="1147" t="s">
        <v>383</v>
      </c>
      <c r="B372" s="1148"/>
      <c r="C372" s="1148"/>
      <c r="D372" s="1149" t="s">
        <v>384</v>
      </c>
      <c r="E372" s="1130">
        <v>0.9</v>
      </c>
      <c r="F372" s="1151"/>
      <c r="G372" s="1139"/>
      <c r="H372" s="1133"/>
      <c r="I372" s="1134"/>
      <c r="J372" s="1135"/>
      <c r="K372" s="1136"/>
      <c r="L372" s="1311"/>
      <c r="M372" s="1324"/>
      <c r="N372" s="166"/>
      <c r="O372" s="1047"/>
      <c r="P372" s="1046"/>
      <c r="Q372" s="135"/>
      <c r="R372" s="136"/>
      <c r="S372" s="129"/>
      <c r="T372" s="129"/>
      <c r="U372" s="129"/>
      <c r="V372" s="129"/>
      <c r="W372" s="129"/>
      <c r="X372" s="129"/>
      <c r="Y372" s="129"/>
      <c r="Z372" s="129"/>
      <c r="AA372" s="129"/>
      <c r="AB372" s="129"/>
      <c r="AC372" s="129"/>
      <c r="AD372" s="129"/>
      <c r="AE372" s="129"/>
      <c r="AF372" s="368"/>
      <c r="AG372" s="368"/>
      <c r="AH372" s="368"/>
      <c r="AI372" s="369"/>
      <c r="AJ372" s="369"/>
      <c r="AK372" s="369"/>
      <c r="AL372" s="369"/>
      <c r="AM372" s="369"/>
      <c r="AN372" s="369"/>
      <c r="AO372" s="369"/>
      <c r="AP372" s="369"/>
      <c r="AQ372" s="369"/>
      <c r="AR372" s="369"/>
      <c r="AS372" s="369"/>
      <c r="AT372" s="369"/>
      <c r="AU372" s="369"/>
      <c r="AV372" s="369"/>
      <c r="AW372" s="369"/>
      <c r="AX372" s="369"/>
      <c r="AY372" s="369"/>
      <c r="AZ372" s="369"/>
      <c r="BA372" s="369"/>
      <c r="BB372" s="369"/>
      <c r="BC372" s="369"/>
      <c r="BD372" s="369"/>
      <c r="BE372" s="369"/>
      <c r="BF372" s="369"/>
      <c r="BG372" s="369"/>
      <c r="BH372" s="369"/>
      <c r="BI372" s="369"/>
      <c r="BJ372" s="369"/>
      <c r="BK372" s="369"/>
      <c r="BL372" s="369"/>
      <c r="BM372" s="369"/>
      <c r="BN372" s="369"/>
      <c r="BO372" s="369"/>
    </row>
    <row r="373" spans="1:67" s="370" customFormat="1" ht="10.5" customHeight="1" x14ac:dyDescent="0.2">
      <c r="A373" s="1147" t="s">
        <v>436</v>
      </c>
      <c r="B373" s="1148"/>
      <c r="C373" s="1148"/>
      <c r="D373" s="1149" t="s">
        <v>430</v>
      </c>
      <c r="E373" s="1130">
        <v>1</v>
      </c>
      <c r="F373" s="1151"/>
      <c r="G373" s="1139"/>
      <c r="H373" s="1133"/>
      <c r="I373" s="1134"/>
      <c r="J373" s="1135"/>
      <c r="K373" s="1136"/>
      <c r="L373" s="1311"/>
      <c r="M373" s="1324"/>
      <c r="N373" s="166"/>
      <c r="O373" s="1047"/>
      <c r="P373" s="1046"/>
      <c r="Q373" s="135"/>
      <c r="R373" s="136"/>
      <c r="S373" s="129"/>
      <c r="T373" s="129"/>
      <c r="U373" s="129"/>
      <c r="V373" s="129"/>
      <c r="W373" s="129"/>
      <c r="X373" s="129"/>
      <c r="Y373" s="129"/>
      <c r="Z373" s="129"/>
      <c r="AA373" s="129"/>
      <c r="AB373" s="129"/>
      <c r="AC373" s="129"/>
      <c r="AD373" s="129"/>
      <c r="AE373" s="129"/>
      <c r="AF373" s="368"/>
      <c r="AG373" s="368"/>
      <c r="AH373" s="368"/>
      <c r="AI373" s="369"/>
      <c r="AJ373" s="369"/>
      <c r="AK373" s="369"/>
      <c r="AL373" s="369"/>
      <c r="AM373" s="369"/>
      <c r="AN373" s="369"/>
      <c r="AO373" s="369"/>
      <c r="AP373" s="369"/>
      <c r="AQ373" s="369"/>
      <c r="AR373" s="369"/>
      <c r="AS373" s="369"/>
      <c r="AT373" s="369"/>
      <c r="AU373" s="369"/>
      <c r="AV373" s="369"/>
      <c r="AW373" s="369"/>
      <c r="AX373" s="369"/>
      <c r="AY373" s="369"/>
      <c r="AZ373" s="369"/>
      <c r="BA373" s="369"/>
      <c r="BB373" s="369"/>
      <c r="BC373" s="369"/>
      <c r="BD373" s="369"/>
      <c r="BE373" s="369"/>
      <c r="BF373" s="369"/>
      <c r="BG373" s="369"/>
      <c r="BH373" s="369"/>
      <c r="BI373" s="369"/>
      <c r="BJ373" s="369"/>
      <c r="BK373" s="369"/>
      <c r="BL373" s="369"/>
      <c r="BM373" s="369"/>
      <c r="BN373" s="369"/>
      <c r="BO373" s="369"/>
    </row>
    <row r="374" spans="1:67" s="370" customFormat="1" ht="10.5" customHeight="1" x14ac:dyDescent="0.2">
      <c r="A374" s="1147" t="s">
        <v>437</v>
      </c>
      <c r="B374" s="2635" t="s">
        <v>681</v>
      </c>
      <c r="C374" s="2635"/>
      <c r="D374" s="1149" t="s">
        <v>428</v>
      </c>
      <c r="E374" s="1131">
        <v>6.2E-2</v>
      </c>
      <c r="F374" s="1151"/>
      <c r="G374" s="2655"/>
      <c r="H374" s="2656"/>
      <c r="I374" s="1134"/>
      <c r="J374" s="1135"/>
      <c r="K374" s="1136"/>
      <c r="L374" s="1311"/>
      <c r="M374" s="1324"/>
      <c r="N374" s="166"/>
      <c r="O374" s="1047"/>
      <c r="P374" s="1046"/>
      <c r="Q374" s="135"/>
      <c r="R374" s="136"/>
      <c r="S374" s="129"/>
      <c r="T374" s="129"/>
      <c r="U374" s="129"/>
      <c r="V374" s="129"/>
      <c r="W374" s="129"/>
      <c r="X374" s="129"/>
      <c r="Y374" s="129"/>
      <c r="Z374" s="129"/>
      <c r="AA374" s="129"/>
      <c r="AB374" s="129"/>
      <c r="AC374" s="129"/>
      <c r="AD374" s="129"/>
      <c r="AE374" s="129"/>
      <c r="AF374" s="368"/>
      <c r="AG374" s="368"/>
      <c r="AH374" s="368"/>
      <c r="AI374" s="369"/>
      <c r="AJ374" s="369"/>
      <c r="AK374" s="369"/>
      <c r="AL374" s="369"/>
      <c r="AM374" s="369"/>
      <c r="AN374" s="369"/>
      <c r="AO374" s="369"/>
      <c r="AP374" s="369"/>
      <c r="AQ374" s="369"/>
      <c r="AR374" s="369"/>
      <c r="AS374" s="369"/>
      <c r="AT374" s="369"/>
      <c r="AU374" s="369"/>
      <c r="AV374" s="369"/>
      <c r="AW374" s="369"/>
      <c r="AX374" s="369"/>
      <c r="AY374" s="369"/>
      <c r="AZ374" s="369"/>
      <c r="BA374" s="369"/>
      <c r="BB374" s="369"/>
      <c r="BC374" s="369"/>
      <c r="BD374" s="369"/>
      <c r="BE374" s="369"/>
      <c r="BF374" s="369"/>
      <c r="BG374" s="369"/>
      <c r="BH374" s="369"/>
      <c r="BI374" s="369"/>
      <c r="BJ374" s="369"/>
      <c r="BK374" s="369"/>
      <c r="BL374" s="369"/>
      <c r="BM374" s="369"/>
      <c r="BN374" s="369"/>
      <c r="BO374" s="369"/>
    </row>
    <row r="375" spans="1:67" s="370" customFormat="1" ht="10.5" customHeight="1" x14ac:dyDescent="0.2">
      <c r="A375" s="1147" t="s">
        <v>438</v>
      </c>
      <c r="B375" s="2635" t="s">
        <v>681</v>
      </c>
      <c r="C375" s="2635"/>
      <c r="D375" s="1149" t="s">
        <v>429</v>
      </c>
      <c r="E375" s="1131">
        <v>10.58</v>
      </c>
      <c r="F375" s="1151"/>
      <c r="G375" s="2655"/>
      <c r="H375" s="2656"/>
      <c r="I375" s="1134"/>
      <c r="J375" s="1135"/>
      <c r="K375" s="1136"/>
      <c r="L375" s="1311"/>
      <c r="M375" s="1324"/>
      <c r="N375" s="166"/>
      <c r="O375" s="1047"/>
      <c r="P375" s="1046"/>
      <c r="Q375" s="135"/>
      <c r="R375" s="136"/>
      <c r="S375" s="129"/>
      <c r="T375" s="129"/>
      <c r="U375" s="129"/>
      <c r="V375" s="129"/>
      <c r="W375" s="129"/>
      <c r="X375" s="129"/>
      <c r="Y375" s="129"/>
      <c r="Z375" s="129"/>
      <c r="AA375" s="129"/>
      <c r="AB375" s="129"/>
      <c r="AC375" s="129"/>
      <c r="AD375" s="129"/>
      <c r="AE375" s="129"/>
      <c r="AF375" s="368"/>
      <c r="AG375" s="368"/>
      <c r="AH375" s="368"/>
      <c r="AI375" s="369"/>
      <c r="AJ375" s="369"/>
      <c r="AK375" s="369"/>
      <c r="AL375" s="369"/>
      <c r="AM375" s="369"/>
      <c r="AN375" s="369"/>
      <c r="AO375" s="369"/>
      <c r="AP375" s="369"/>
      <c r="AQ375" s="369"/>
      <c r="AR375" s="369"/>
      <c r="AS375" s="369"/>
      <c r="AT375" s="369"/>
      <c r="AU375" s="369"/>
      <c r="AV375" s="369"/>
      <c r="AW375" s="369"/>
      <c r="AX375" s="369"/>
      <c r="AY375" s="369"/>
      <c r="AZ375" s="369"/>
      <c r="BA375" s="369"/>
      <c r="BB375" s="369"/>
      <c r="BC375" s="369"/>
      <c r="BD375" s="369"/>
      <c r="BE375" s="369"/>
      <c r="BF375" s="369"/>
      <c r="BG375" s="369"/>
      <c r="BH375" s="369"/>
      <c r="BI375" s="369"/>
      <c r="BJ375" s="369"/>
      <c r="BK375" s="369"/>
      <c r="BL375" s="369"/>
      <c r="BM375" s="369"/>
      <c r="BN375" s="369"/>
      <c r="BO375" s="369"/>
    </row>
    <row r="376" spans="1:67" s="370" customFormat="1" ht="10.5" customHeight="1" x14ac:dyDescent="0.2">
      <c r="A376" s="1147" t="s">
        <v>434</v>
      </c>
      <c r="B376" s="1148"/>
      <c r="C376" s="1148"/>
      <c r="D376" s="1149" t="s">
        <v>435</v>
      </c>
      <c r="E376" s="1131">
        <v>100</v>
      </c>
      <c r="F376" s="1152"/>
      <c r="G376" s="1140"/>
      <c r="H376" s="1141"/>
      <c r="I376" s="1134"/>
      <c r="J376" s="1135"/>
      <c r="K376" s="1136"/>
      <c r="L376" s="1311"/>
      <c r="M376" s="1324"/>
      <c r="N376" s="166"/>
      <c r="O376" s="1047"/>
      <c r="P376" s="1046"/>
      <c r="Q376" s="135"/>
      <c r="R376" s="136"/>
      <c r="S376" s="129"/>
      <c r="T376" s="129"/>
      <c r="U376" s="129"/>
      <c r="V376" s="129"/>
      <c r="W376" s="129"/>
      <c r="X376" s="129"/>
      <c r="Y376" s="129"/>
      <c r="Z376" s="129"/>
      <c r="AA376" s="129"/>
      <c r="AB376" s="129"/>
      <c r="AC376" s="129"/>
      <c r="AD376" s="129"/>
      <c r="AE376" s="129"/>
      <c r="AF376" s="368"/>
      <c r="AG376" s="368"/>
      <c r="AH376" s="368"/>
      <c r="AI376" s="369"/>
      <c r="AJ376" s="369"/>
      <c r="AK376" s="369"/>
      <c r="AL376" s="369"/>
      <c r="AM376" s="369"/>
      <c r="AN376" s="369"/>
      <c r="AO376" s="369"/>
      <c r="AP376" s="369"/>
      <c r="AQ376" s="369"/>
      <c r="AR376" s="369"/>
      <c r="AS376" s="369"/>
      <c r="AT376" s="369"/>
      <c r="AU376" s="369"/>
      <c r="AV376" s="369"/>
      <c r="AW376" s="369"/>
      <c r="AX376" s="369"/>
      <c r="AY376" s="369"/>
      <c r="AZ376" s="369"/>
      <c r="BA376" s="369"/>
      <c r="BB376" s="369"/>
      <c r="BC376" s="369"/>
      <c r="BD376" s="369"/>
      <c r="BE376" s="369"/>
      <c r="BF376" s="369"/>
      <c r="BG376" s="369"/>
      <c r="BH376" s="369"/>
      <c r="BI376" s="369"/>
      <c r="BJ376" s="369"/>
      <c r="BK376" s="369"/>
      <c r="BL376" s="369"/>
      <c r="BM376" s="369"/>
      <c r="BN376" s="369"/>
      <c r="BO376" s="369"/>
    </row>
    <row r="377" spans="1:67" s="370" customFormat="1" ht="10.5" customHeight="1" x14ac:dyDescent="0.2">
      <c r="A377" s="1147" t="s">
        <v>432</v>
      </c>
      <c r="B377" s="1148"/>
      <c r="C377" s="1148"/>
      <c r="D377" s="1149" t="s">
        <v>433</v>
      </c>
      <c r="E377" s="1130">
        <v>1</v>
      </c>
      <c r="F377" s="1153"/>
      <c r="G377" s="1140"/>
      <c r="H377" s="1141"/>
      <c r="I377" s="1134"/>
      <c r="J377" s="1135"/>
      <c r="K377" s="1136"/>
      <c r="L377" s="1311"/>
      <c r="M377" s="1324"/>
      <c r="N377" s="166"/>
      <c r="O377" s="1047"/>
      <c r="P377" s="1046"/>
      <c r="Q377" s="135"/>
      <c r="R377" s="136"/>
      <c r="S377" s="129"/>
      <c r="T377" s="129"/>
      <c r="U377" s="129"/>
      <c r="V377" s="129"/>
      <c r="W377" s="129"/>
      <c r="X377" s="129"/>
      <c r="Y377" s="129"/>
      <c r="Z377" s="129"/>
      <c r="AA377" s="129"/>
      <c r="AB377" s="129"/>
      <c r="AC377" s="129"/>
      <c r="AD377" s="129"/>
      <c r="AE377" s="129"/>
      <c r="AF377" s="368"/>
      <c r="AG377" s="368"/>
      <c r="AH377" s="368"/>
      <c r="AI377" s="369"/>
      <c r="AJ377" s="369"/>
      <c r="AK377" s="369"/>
      <c r="AL377" s="369"/>
      <c r="AM377" s="369"/>
      <c r="AN377" s="369"/>
      <c r="AO377" s="369"/>
      <c r="AP377" s="369"/>
      <c r="AQ377" s="369"/>
      <c r="AR377" s="369"/>
      <c r="AS377" s="369"/>
      <c r="AT377" s="369"/>
      <c r="AU377" s="369"/>
      <c r="AV377" s="369"/>
      <c r="AW377" s="369"/>
      <c r="AX377" s="369"/>
      <c r="AY377" s="369"/>
      <c r="AZ377" s="369"/>
      <c r="BA377" s="369"/>
      <c r="BB377" s="369"/>
      <c r="BC377" s="369"/>
      <c r="BD377" s="369"/>
      <c r="BE377" s="369"/>
      <c r="BF377" s="369"/>
      <c r="BG377" s="369"/>
      <c r="BH377" s="369"/>
      <c r="BI377" s="369"/>
      <c r="BJ377" s="369"/>
      <c r="BK377" s="369"/>
      <c r="BL377" s="369"/>
      <c r="BM377" s="369"/>
      <c r="BN377" s="369"/>
      <c r="BO377" s="369"/>
    </row>
    <row r="378" spans="1:67" s="370" customFormat="1" ht="10.5" customHeight="1" x14ac:dyDescent="0.2">
      <c r="A378" s="1147" t="s">
        <v>439</v>
      </c>
      <c r="B378" s="1148"/>
      <c r="C378" s="1148"/>
      <c r="D378" s="1149" t="s">
        <v>441</v>
      </c>
      <c r="E378" s="1130">
        <v>1</v>
      </c>
      <c r="F378" s="1153"/>
      <c r="G378" s="1140"/>
      <c r="H378" s="1141"/>
      <c r="I378" s="1134"/>
      <c r="J378" s="1135"/>
      <c r="K378" s="1136"/>
      <c r="L378" s="1311"/>
      <c r="M378" s="1324"/>
      <c r="N378" s="166"/>
      <c r="O378" s="1047"/>
      <c r="P378" s="1046"/>
      <c r="Q378" s="135"/>
      <c r="R378" s="136"/>
      <c r="S378" s="129"/>
      <c r="T378" s="129"/>
      <c r="U378" s="129"/>
      <c r="V378" s="129"/>
      <c r="W378" s="129"/>
      <c r="X378" s="129"/>
      <c r="Y378" s="129"/>
      <c r="Z378" s="129"/>
      <c r="AA378" s="129"/>
      <c r="AB378" s="129"/>
      <c r="AC378" s="129"/>
      <c r="AD378" s="129"/>
      <c r="AE378" s="129"/>
      <c r="AF378" s="368"/>
      <c r="AG378" s="368"/>
      <c r="AH378" s="368"/>
      <c r="AI378" s="369"/>
      <c r="AJ378" s="369"/>
      <c r="AK378" s="369"/>
      <c r="AL378" s="369"/>
      <c r="AM378" s="369"/>
      <c r="AN378" s="369"/>
      <c r="AO378" s="369"/>
      <c r="AP378" s="369"/>
      <c r="AQ378" s="369"/>
      <c r="AR378" s="369"/>
      <c r="AS378" s="369"/>
      <c r="AT378" s="369"/>
      <c r="AU378" s="369"/>
      <c r="AV378" s="369"/>
      <c r="AW378" s="369"/>
      <c r="AX378" s="369"/>
      <c r="AY378" s="369"/>
      <c r="AZ378" s="369"/>
      <c r="BA378" s="369"/>
      <c r="BB378" s="369"/>
      <c r="BC378" s="369"/>
      <c r="BD378" s="369"/>
      <c r="BE378" s="369"/>
      <c r="BF378" s="369"/>
      <c r="BG378" s="369"/>
      <c r="BH378" s="369"/>
      <c r="BI378" s="369"/>
      <c r="BJ378" s="369"/>
      <c r="BK378" s="369"/>
      <c r="BL378" s="369"/>
      <c r="BM378" s="369"/>
      <c r="BN378" s="369"/>
      <c r="BO378" s="369"/>
    </row>
    <row r="379" spans="1:67" s="370" customFormat="1" ht="10.5" customHeight="1" x14ac:dyDescent="0.2">
      <c r="A379" s="1147" t="s">
        <v>440</v>
      </c>
      <c r="B379" s="1148"/>
      <c r="C379" s="1148"/>
      <c r="D379" s="1149" t="s">
        <v>442</v>
      </c>
      <c r="E379" s="1159">
        <v>150</v>
      </c>
      <c r="F379" s="1153"/>
      <c r="G379" s="1140"/>
      <c r="H379" s="1141"/>
      <c r="I379" s="1134"/>
      <c r="J379" s="1135"/>
      <c r="K379" s="1136"/>
      <c r="L379" s="1311"/>
      <c r="M379" s="1324"/>
      <c r="N379" s="166"/>
      <c r="O379" s="1047"/>
      <c r="P379" s="1046"/>
      <c r="Q379" s="135"/>
      <c r="R379" s="136"/>
      <c r="S379" s="129"/>
      <c r="T379" s="129"/>
      <c r="U379" s="129"/>
      <c r="V379" s="129"/>
      <c r="W379" s="129"/>
      <c r="X379" s="129"/>
      <c r="Y379" s="129"/>
      <c r="Z379" s="129"/>
      <c r="AA379" s="129"/>
      <c r="AB379" s="129"/>
      <c r="AC379" s="129"/>
      <c r="AD379" s="129"/>
      <c r="AE379" s="129"/>
      <c r="AF379" s="368"/>
      <c r="AG379" s="368"/>
      <c r="AH379" s="368"/>
      <c r="AI379" s="369"/>
      <c r="AJ379" s="369"/>
      <c r="AK379" s="369"/>
      <c r="AL379" s="369"/>
      <c r="AM379" s="369"/>
      <c r="AN379" s="369"/>
      <c r="AO379" s="369"/>
      <c r="AP379" s="369"/>
      <c r="AQ379" s="369"/>
      <c r="AR379" s="369"/>
      <c r="AS379" s="369"/>
      <c r="AT379" s="369"/>
      <c r="AU379" s="369"/>
      <c r="AV379" s="369"/>
      <c r="AW379" s="369"/>
      <c r="AX379" s="369"/>
      <c r="AY379" s="369"/>
      <c r="AZ379" s="369"/>
      <c r="BA379" s="369"/>
      <c r="BB379" s="369"/>
      <c r="BC379" s="369"/>
      <c r="BD379" s="369"/>
      <c r="BE379" s="369"/>
      <c r="BF379" s="369"/>
      <c r="BG379" s="369"/>
      <c r="BH379" s="369"/>
      <c r="BI379" s="369"/>
      <c r="BJ379" s="369"/>
      <c r="BK379" s="369"/>
      <c r="BL379" s="369"/>
      <c r="BM379" s="369"/>
      <c r="BN379" s="369"/>
      <c r="BO379" s="369"/>
    </row>
    <row r="380" spans="1:67" s="370" customFormat="1" ht="10.5" customHeight="1" x14ac:dyDescent="0.2">
      <c r="A380" s="1142" t="s">
        <v>443</v>
      </c>
      <c r="B380" s="1148"/>
      <c r="C380" s="1148"/>
      <c r="D380" s="1364"/>
      <c r="E380" s="2672">
        <f>E370*E371/100*E372*E376/100*E373*E377*E378*E379</f>
        <v>0</v>
      </c>
      <c r="F380" s="2673"/>
      <c r="G380" s="1140"/>
      <c r="H380" s="1141"/>
      <c r="I380" s="1134"/>
      <c r="J380" s="1135"/>
      <c r="K380" s="1136"/>
      <c r="L380" s="1311"/>
      <c r="M380" s="1324"/>
      <c r="N380" s="166"/>
      <c r="O380" s="1047"/>
      <c r="P380" s="1046"/>
      <c r="Q380" s="135"/>
      <c r="R380" s="136"/>
      <c r="S380" s="129"/>
      <c r="T380" s="129"/>
      <c r="U380" s="129"/>
      <c r="V380" s="129"/>
      <c r="W380" s="129"/>
      <c r="X380" s="129"/>
      <c r="Y380" s="129"/>
      <c r="Z380" s="129"/>
      <c r="AA380" s="129"/>
      <c r="AB380" s="129"/>
      <c r="AC380" s="129"/>
      <c r="AD380" s="129"/>
      <c r="AE380" s="129"/>
      <c r="AF380" s="368"/>
      <c r="AG380" s="368"/>
      <c r="AH380" s="368"/>
      <c r="AI380" s="369"/>
      <c r="AJ380" s="369"/>
      <c r="AK380" s="369"/>
      <c r="AL380" s="369"/>
      <c r="AM380" s="369"/>
      <c r="AN380" s="369"/>
      <c r="AO380" s="369"/>
      <c r="AP380" s="369"/>
      <c r="AQ380" s="369"/>
      <c r="AR380" s="369"/>
      <c r="AS380" s="369"/>
      <c r="AT380" s="369"/>
      <c r="AU380" s="369"/>
      <c r="AV380" s="369"/>
      <c r="AW380" s="369"/>
      <c r="AX380" s="369"/>
      <c r="AY380" s="369"/>
      <c r="AZ380" s="369"/>
      <c r="BA380" s="369"/>
      <c r="BB380" s="369"/>
      <c r="BC380" s="369"/>
      <c r="BD380" s="369"/>
      <c r="BE380" s="369"/>
      <c r="BF380" s="369"/>
      <c r="BG380" s="369"/>
      <c r="BH380" s="369"/>
      <c r="BI380" s="369"/>
      <c r="BJ380" s="369"/>
      <c r="BK380" s="369"/>
      <c r="BL380" s="369"/>
      <c r="BM380" s="369"/>
      <c r="BN380" s="369"/>
      <c r="BO380" s="369"/>
    </row>
    <row r="381" spans="1:67" s="370" customFormat="1" ht="10.5" customHeight="1" x14ac:dyDescent="0.2">
      <c r="A381" s="1176"/>
      <c r="B381" s="2609"/>
      <c r="C381" s="2609"/>
      <c r="D381" s="2610"/>
      <c r="E381" s="2601"/>
      <c r="F381" s="2602"/>
      <c r="G381" s="1365"/>
      <c r="H381" s="1366"/>
      <c r="I381" s="1367"/>
      <c r="J381" s="1368"/>
      <c r="K381" s="1369"/>
      <c r="L381" s="1370"/>
      <c r="M381" s="1352"/>
      <c r="N381" s="166"/>
      <c r="O381" s="1047"/>
      <c r="P381" s="1046"/>
      <c r="Q381" s="135"/>
      <c r="R381" s="136"/>
      <c r="S381" s="129"/>
      <c r="T381" s="129"/>
      <c r="U381" s="129"/>
      <c r="V381" s="129"/>
      <c r="W381" s="129"/>
      <c r="X381" s="129"/>
      <c r="Y381" s="129"/>
      <c r="Z381" s="129"/>
      <c r="AA381" s="129"/>
      <c r="AB381" s="129"/>
      <c r="AC381" s="129"/>
      <c r="AD381" s="129"/>
      <c r="AE381" s="129"/>
      <c r="AF381" s="368"/>
      <c r="AG381" s="368"/>
      <c r="AH381" s="368"/>
      <c r="AI381" s="369"/>
      <c r="AJ381" s="369"/>
      <c r="AK381" s="369"/>
      <c r="AL381" s="369"/>
      <c r="AM381" s="369"/>
      <c r="AN381" s="369"/>
      <c r="AO381" s="369"/>
      <c r="AP381" s="369"/>
      <c r="AQ381" s="369"/>
      <c r="AR381" s="369"/>
      <c r="AS381" s="369"/>
      <c r="AT381" s="369"/>
      <c r="AU381" s="369"/>
      <c r="AV381" s="369"/>
      <c r="AW381" s="369"/>
      <c r="AX381" s="369"/>
      <c r="AY381" s="369"/>
      <c r="AZ381" s="369"/>
      <c r="BA381" s="369"/>
      <c r="BB381" s="369"/>
      <c r="BC381" s="369"/>
      <c r="BD381" s="369"/>
      <c r="BE381" s="369"/>
      <c r="BF381" s="369"/>
      <c r="BG381" s="369"/>
      <c r="BH381" s="369"/>
      <c r="BI381" s="369"/>
      <c r="BJ381" s="369"/>
      <c r="BK381" s="369"/>
      <c r="BL381" s="369"/>
      <c r="BM381" s="369"/>
      <c r="BN381" s="369"/>
      <c r="BO381" s="369"/>
    </row>
    <row r="382" spans="1:67" s="370" customFormat="1" ht="10.5" customHeight="1" x14ac:dyDescent="0.2">
      <c r="A382" s="1154" t="s">
        <v>386</v>
      </c>
      <c r="B382" s="1155"/>
      <c r="C382" s="1155"/>
      <c r="D382" s="1156"/>
      <c r="E382" s="1157"/>
      <c r="F382" s="1158"/>
      <c r="G382" s="1168"/>
      <c r="H382" s="1162"/>
      <c r="I382" s="1163"/>
      <c r="J382" s="1164"/>
      <c r="K382" s="1165"/>
      <c r="L382" s="1310"/>
      <c r="M382" s="1323"/>
      <c r="N382" s="166"/>
      <c r="O382" s="1047"/>
      <c r="P382" s="1046"/>
      <c r="Q382" s="135"/>
      <c r="R382" s="136"/>
      <c r="S382" s="129"/>
      <c r="T382" s="129"/>
      <c r="U382" s="129"/>
      <c r="V382" s="129"/>
      <c r="W382" s="129"/>
      <c r="X382" s="129"/>
      <c r="Y382" s="129"/>
      <c r="Z382" s="129"/>
      <c r="AA382" s="129"/>
      <c r="AB382" s="129"/>
      <c r="AC382" s="129"/>
      <c r="AD382" s="129"/>
      <c r="AE382" s="129"/>
      <c r="AF382" s="368"/>
      <c r="AG382" s="368"/>
      <c r="AH382" s="368"/>
      <c r="AI382" s="369"/>
      <c r="AJ382" s="369"/>
      <c r="AK382" s="369"/>
      <c r="AL382" s="369"/>
      <c r="AM382" s="369"/>
      <c r="AN382" s="369"/>
      <c r="AO382" s="369"/>
      <c r="AP382" s="369"/>
      <c r="AQ382" s="369"/>
      <c r="AR382" s="369"/>
      <c r="AS382" s="369"/>
      <c r="AT382" s="369"/>
      <c r="AU382" s="369"/>
      <c r="AV382" s="369"/>
      <c r="AW382" s="369"/>
      <c r="AX382" s="369"/>
      <c r="AY382" s="369"/>
      <c r="AZ382" s="369"/>
      <c r="BA382" s="369"/>
      <c r="BB382" s="369"/>
      <c r="BC382" s="369"/>
      <c r="BD382" s="369"/>
      <c r="BE382" s="369"/>
      <c r="BF382" s="369"/>
      <c r="BG382" s="369"/>
      <c r="BH382" s="369"/>
      <c r="BI382" s="369"/>
      <c r="BJ382" s="369"/>
      <c r="BK382" s="369"/>
      <c r="BL382" s="369"/>
      <c r="BM382" s="369"/>
      <c r="BN382" s="369"/>
      <c r="BO382" s="369"/>
    </row>
    <row r="383" spans="1:67" s="370" customFormat="1" ht="10.5" customHeight="1" x14ac:dyDescent="0.2">
      <c r="A383" s="1142" t="s">
        <v>387</v>
      </c>
      <c r="B383" s="1143"/>
      <c r="C383" s="1143"/>
      <c r="D383" s="1144"/>
      <c r="E383" s="1145"/>
      <c r="F383" s="1146"/>
      <c r="G383" s="1132"/>
      <c r="H383" s="1133"/>
      <c r="I383" s="1134"/>
      <c r="J383" s="1135"/>
      <c r="K383" s="1136"/>
      <c r="L383" s="1311"/>
      <c r="M383" s="1324"/>
      <c r="N383" s="166"/>
      <c r="O383" s="1047"/>
      <c r="P383" s="1046"/>
      <c r="Q383" s="135"/>
      <c r="R383" s="136"/>
      <c r="S383" s="129"/>
      <c r="T383" s="129"/>
      <c r="U383" s="129"/>
      <c r="V383" s="129"/>
      <c r="W383" s="129"/>
      <c r="X383" s="129"/>
      <c r="Y383" s="129"/>
      <c r="Z383" s="129"/>
      <c r="AA383" s="129"/>
      <c r="AB383" s="129"/>
      <c r="AC383" s="129"/>
      <c r="AD383" s="129"/>
      <c r="AE383" s="129"/>
      <c r="AF383" s="368"/>
      <c r="AG383" s="368"/>
      <c r="AH383" s="368"/>
      <c r="AI383" s="369"/>
      <c r="AJ383" s="369"/>
      <c r="AK383" s="369"/>
      <c r="AL383" s="369"/>
      <c r="AM383" s="369"/>
      <c r="AN383" s="369"/>
      <c r="AO383" s="369"/>
      <c r="AP383" s="369"/>
      <c r="AQ383" s="369"/>
      <c r="AR383" s="369"/>
      <c r="AS383" s="369"/>
      <c r="AT383" s="369"/>
      <c r="AU383" s="369"/>
      <c r="AV383" s="369"/>
      <c r="AW383" s="369"/>
      <c r="AX383" s="369"/>
      <c r="AY383" s="369"/>
      <c r="AZ383" s="369"/>
      <c r="BA383" s="369"/>
      <c r="BB383" s="369"/>
      <c r="BC383" s="369"/>
      <c r="BD383" s="369"/>
      <c r="BE383" s="369"/>
      <c r="BF383" s="369"/>
      <c r="BG383" s="369"/>
      <c r="BH383" s="369"/>
      <c r="BI383" s="369"/>
      <c r="BJ383" s="369"/>
      <c r="BK383" s="369"/>
      <c r="BL383" s="369"/>
      <c r="BM383" s="369"/>
      <c r="BN383" s="369"/>
      <c r="BO383" s="369"/>
    </row>
    <row r="384" spans="1:67" s="370" customFormat="1" ht="10.5" customHeight="1" x14ac:dyDescent="0.2">
      <c r="A384" s="1167"/>
      <c r="B384" s="2663"/>
      <c r="C384" s="2664"/>
      <c r="D384" s="2665"/>
      <c r="E384" s="2641"/>
      <c r="F384" s="2642"/>
      <c r="G384" s="1137"/>
      <c r="H384" s="1138"/>
      <c r="I384" s="1134"/>
      <c r="J384" s="1135"/>
      <c r="K384" s="1136"/>
      <c r="L384" s="1311"/>
      <c r="M384" s="1324"/>
      <c r="N384" s="166"/>
      <c r="O384" s="1047"/>
      <c r="P384" s="1046"/>
      <c r="Q384" s="135"/>
      <c r="R384" s="136"/>
      <c r="S384" s="129"/>
      <c r="T384" s="129"/>
      <c r="U384" s="129"/>
      <c r="V384" s="129"/>
      <c r="W384" s="129"/>
      <c r="X384" s="129"/>
      <c r="Y384" s="129"/>
      <c r="Z384" s="129"/>
      <c r="AA384" s="129"/>
      <c r="AB384" s="129"/>
      <c r="AC384" s="129"/>
      <c r="AD384" s="129"/>
      <c r="AE384" s="129"/>
      <c r="AF384" s="368"/>
      <c r="AG384" s="368"/>
      <c r="AH384" s="368"/>
      <c r="AI384" s="369"/>
      <c r="AJ384" s="369"/>
      <c r="AK384" s="369"/>
      <c r="AL384" s="369"/>
      <c r="AM384" s="369"/>
      <c r="AN384" s="369"/>
      <c r="AO384" s="369"/>
      <c r="AP384" s="369"/>
      <c r="AQ384" s="369"/>
      <c r="AR384" s="369"/>
      <c r="AS384" s="369"/>
      <c r="AT384" s="369"/>
      <c r="AU384" s="369"/>
      <c r="AV384" s="369"/>
      <c r="AW384" s="369"/>
      <c r="AX384" s="369"/>
      <c r="AY384" s="369"/>
      <c r="AZ384" s="369"/>
      <c r="BA384" s="369"/>
      <c r="BB384" s="369"/>
      <c r="BC384" s="369"/>
      <c r="BD384" s="369"/>
      <c r="BE384" s="369"/>
      <c r="BF384" s="369"/>
      <c r="BG384" s="369"/>
      <c r="BH384" s="369"/>
      <c r="BI384" s="369"/>
      <c r="BJ384" s="369"/>
      <c r="BK384" s="369"/>
      <c r="BL384" s="369"/>
      <c r="BM384" s="369"/>
      <c r="BN384" s="369"/>
      <c r="BO384" s="369"/>
    </row>
    <row r="385" spans="1:67" s="370" customFormat="1" ht="10.5" customHeight="1" x14ac:dyDescent="0.2">
      <c r="A385" s="1167"/>
      <c r="B385" s="2663"/>
      <c r="C385" s="2664"/>
      <c r="D385" s="2665"/>
      <c r="E385" s="2641"/>
      <c r="F385" s="2642"/>
      <c r="G385" s="1139"/>
      <c r="H385" s="1133"/>
      <c r="I385" s="1134"/>
      <c r="J385" s="1135"/>
      <c r="K385" s="1136"/>
      <c r="L385" s="1311"/>
      <c r="M385" s="1324"/>
      <c r="N385" s="166"/>
      <c r="O385" s="1047"/>
      <c r="P385" s="1046"/>
      <c r="Q385" s="135"/>
      <c r="R385" s="136"/>
      <c r="S385" s="129"/>
      <c r="T385" s="129"/>
      <c r="U385" s="129"/>
      <c r="V385" s="129"/>
      <c r="W385" s="129"/>
      <c r="X385" s="129"/>
      <c r="Y385" s="129"/>
      <c r="Z385" s="129"/>
      <c r="AA385" s="129"/>
      <c r="AB385" s="129"/>
      <c r="AC385" s="129"/>
      <c r="AD385" s="129"/>
      <c r="AE385" s="129"/>
      <c r="AF385" s="368"/>
      <c r="AG385" s="368"/>
      <c r="AH385" s="368"/>
      <c r="AI385" s="369"/>
      <c r="AJ385" s="369"/>
      <c r="AK385" s="369"/>
      <c r="AL385" s="369"/>
      <c r="AM385" s="369"/>
      <c r="AN385" s="369"/>
      <c r="AO385" s="369"/>
      <c r="AP385" s="369"/>
      <c r="AQ385" s="369"/>
      <c r="AR385" s="369"/>
      <c r="AS385" s="369"/>
      <c r="AT385" s="369"/>
      <c r="AU385" s="369"/>
      <c r="AV385" s="369"/>
      <c r="AW385" s="369"/>
      <c r="AX385" s="369"/>
      <c r="AY385" s="369"/>
      <c r="AZ385" s="369"/>
      <c r="BA385" s="369"/>
      <c r="BB385" s="369"/>
      <c r="BC385" s="369"/>
      <c r="BD385" s="369"/>
      <c r="BE385" s="369"/>
      <c r="BF385" s="369"/>
      <c r="BG385" s="369"/>
      <c r="BH385" s="369"/>
      <c r="BI385" s="369"/>
      <c r="BJ385" s="369"/>
      <c r="BK385" s="369"/>
      <c r="BL385" s="369"/>
      <c r="BM385" s="369"/>
      <c r="BN385" s="369"/>
      <c r="BO385" s="369"/>
    </row>
    <row r="386" spans="1:67" s="370" customFormat="1" ht="10.5" customHeight="1" x14ac:dyDescent="0.2">
      <c r="A386" s="1167"/>
      <c r="B386" s="2663"/>
      <c r="C386" s="2664"/>
      <c r="D386" s="2665"/>
      <c r="E386" s="2641"/>
      <c r="F386" s="2642"/>
      <c r="G386" s="1139"/>
      <c r="H386" s="1133"/>
      <c r="I386" s="1134"/>
      <c r="J386" s="1135"/>
      <c r="K386" s="1136"/>
      <c r="L386" s="1311"/>
      <c r="M386" s="1324"/>
      <c r="N386" s="166"/>
      <c r="O386" s="1047"/>
      <c r="P386" s="1046"/>
      <c r="Q386" s="135"/>
      <c r="R386" s="136"/>
      <c r="S386" s="129"/>
      <c r="T386" s="129"/>
      <c r="U386" s="129"/>
      <c r="V386" s="129"/>
      <c r="W386" s="129"/>
      <c r="X386" s="129"/>
      <c r="Y386" s="129"/>
      <c r="Z386" s="129"/>
      <c r="AA386" s="129"/>
      <c r="AB386" s="129"/>
      <c r="AC386" s="129"/>
      <c r="AD386" s="129"/>
      <c r="AE386" s="129"/>
      <c r="AF386" s="368"/>
      <c r="AG386" s="368"/>
      <c r="AH386" s="368"/>
      <c r="AI386" s="369"/>
      <c r="AJ386" s="369"/>
      <c r="AK386" s="369"/>
      <c r="AL386" s="369"/>
      <c r="AM386" s="369"/>
      <c r="AN386" s="369"/>
      <c r="AO386" s="369"/>
      <c r="AP386" s="369"/>
      <c r="AQ386" s="369"/>
      <c r="AR386" s="369"/>
      <c r="AS386" s="369"/>
      <c r="AT386" s="369"/>
      <c r="AU386" s="369"/>
      <c r="AV386" s="369"/>
      <c r="AW386" s="369"/>
      <c r="AX386" s="369"/>
      <c r="AY386" s="369"/>
      <c r="AZ386" s="369"/>
      <c r="BA386" s="369"/>
      <c r="BB386" s="369"/>
      <c r="BC386" s="369"/>
      <c r="BD386" s="369"/>
      <c r="BE386" s="369"/>
      <c r="BF386" s="369"/>
      <c r="BG386" s="369"/>
      <c r="BH386" s="369"/>
      <c r="BI386" s="369"/>
      <c r="BJ386" s="369"/>
      <c r="BK386" s="369"/>
      <c r="BL386" s="369"/>
      <c r="BM386" s="369"/>
      <c r="BN386" s="369"/>
      <c r="BO386" s="369"/>
    </row>
    <row r="387" spans="1:67" s="370" customFormat="1" ht="10.5" customHeight="1" x14ac:dyDescent="0.2">
      <c r="A387" s="1167"/>
      <c r="B387" s="2663"/>
      <c r="C387" s="2664"/>
      <c r="D387" s="2665"/>
      <c r="E387" s="2641"/>
      <c r="F387" s="2642"/>
      <c r="G387" s="1139"/>
      <c r="H387" s="1133"/>
      <c r="I387" s="1134"/>
      <c r="J387" s="1135"/>
      <c r="K387" s="1136"/>
      <c r="L387" s="1311"/>
      <c r="M387" s="1324"/>
      <c r="N387" s="166"/>
      <c r="O387" s="1047"/>
      <c r="P387" s="1046"/>
      <c r="Q387" s="135"/>
      <c r="R387" s="136"/>
      <c r="S387" s="129"/>
      <c r="T387" s="129"/>
      <c r="U387" s="129"/>
      <c r="V387" s="129"/>
      <c r="W387" s="129"/>
      <c r="X387" s="129"/>
      <c r="Y387" s="129"/>
      <c r="Z387" s="129"/>
      <c r="AA387" s="129"/>
      <c r="AB387" s="129"/>
      <c r="AC387" s="129"/>
      <c r="AD387" s="129"/>
      <c r="AE387" s="129"/>
      <c r="AF387" s="368"/>
      <c r="AG387" s="368"/>
      <c r="AH387" s="368"/>
      <c r="AI387" s="369"/>
      <c r="AJ387" s="369"/>
      <c r="AK387" s="369"/>
      <c r="AL387" s="369"/>
      <c r="AM387" s="369"/>
      <c r="AN387" s="369"/>
      <c r="AO387" s="369"/>
      <c r="AP387" s="369"/>
      <c r="AQ387" s="369"/>
      <c r="AR387" s="369"/>
      <c r="AS387" s="369"/>
      <c r="AT387" s="369"/>
      <c r="AU387" s="369"/>
      <c r="AV387" s="369"/>
      <c r="AW387" s="369"/>
      <c r="AX387" s="369"/>
      <c r="AY387" s="369"/>
      <c r="AZ387" s="369"/>
      <c r="BA387" s="369"/>
      <c r="BB387" s="369"/>
      <c r="BC387" s="369"/>
      <c r="BD387" s="369"/>
      <c r="BE387" s="369"/>
      <c r="BF387" s="369"/>
      <c r="BG387" s="369"/>
      <c r="BH387" s="369"/>
      <c r="BI387" s="369"/>
      <c r="BJ387" s="369"/>
      <c r="BK387" s="369"/>
      <c r="BL387" s="369"/>
      <c r="BM387" s="369"/>
      <c r="BN387" s="369"/>
      <c r="BO387" s="369"/>
    </row>
    <row r="388" spans="1:67" s="370" customFormat="1" ht="10.5" customHeight="1" x14ac:dyDescent="0.2">
      <c r="A388" s="1167"/>
      <c r="B388" s="2663"/>
      <c r="C388" s="2664"/>
      <c r="D388" s="2665"/>
      <c r="E388" s="2641"/>
      <c r="F388" s="2642"/>
      <c r="G388" s="1169"/>
      <c r="H388" s="1170"/>
      <c r="I388" s="1134"/>
      <c r="J388" s="1135"/>
      <c r="K388" s="1136"/>
      <c r="L388" s="1311"/>
      <c r="M388" s="1324"/>
      <c r="N388" s="166"/>
      <c r="O388" s="1047"/>
      <c r="P388" s="1046"/>
      <c r="Q388" s="135"/>
      <c r="R388" s="136"/>
      <c r="S388" s="129"/>
      <c r="T388" s="129"/>
      <c r="U388" s="129"/>
      <c r="V388" s="129"/>
      <c r="W388" s="129"/>
      <c r="X388" s="129"/>
      <c r="Y388" s="129"/>
      <c r="Z388" s="129"/>
      <c r="AA388" s="129"/>
      <c r="AB388" s="129"/>
      <c r="AC388" s="129"/>
      <c r="AD388" s="129"/>
      <c r="AE388" s="129"/>
      <c r="AF388" s="368"/>
      <c r="AG388" s="368"/>
      <c r="AH388" s="368"/>
      <c r="AI388" s="369"/>
      <c r="AJ388" s="369"/>
      <c r="AK388" s="369"/>
      <c r="AL388" s="369"/>
      <c r="AM388" s="369"/>
      <c r="AN388" s="369"/>
      <c r="AO388" s="369"/>
      <c r="AP388" s="369"/>
      <c r="AQ388" s="369"/>
      <c r="AR388" s="369"/>
      <c r="AS388" s="369"/>
      <c r="AT388" s="369"/>
      <c r="AU388" s="369"/>
      <c r="AV388" s="369"/>
      <c r="AW388" s="369"/>
      <c r="AX388" s="369"/>
      <c r="AY388" s="369"/>
      <c r="AZ388" s="369"/>
      <c r="BA388" s="369"/>
      <c r="BB388" s="369"/>
      <c r="BC388" s="369"/>
      <c r="BD388" s="369"/>
      <c r="BE388" s="369"/>
      <c r="BF388" s="369"/>
      <c r="BG388" s="369"/>
      <c r="BH388" s="369"/>
      <c r="BI388" s="369"/>
      <c r="BJ388" s="369"/>
      <c r="BK388" s="369"/>
      <c r="BL388" s="369"/>
      <c r="BM388" s="369"/>
      <c r="BN388" s="369"/>
      <c r="BO388" s="369"/>
    </row>
    <row r="389" spans="1:67" s="370" customFormat="1" ht="10.5" customHeight="1" x14ac:dyDescent="0.2">
      <c r="A389" s="1288" t="s">
        <v>13</v>
      </c>
      <c r="B389" s="1289"/>
      <c r="C389" s="1289"/>
      <c r="D389" s="1290"/>
      <c r="E389" s="2674">
        <f>SUM(E384:E388)</f>
        <v>0</v>
      </c>
      <c r="F389" s="2675"/>
      <c r="G389" s="1291"/>
      <c r="H389" s="1292"/>
      <c r="I389" s="1293"/>
      <c r="J389" s="1294"/>
      <c r="K389" s="1295"/>
      <c r="L389" s="1313"/>
      <c r="M389" s="1325"/>
      <c r="N389" s="166"/>
      <c r="O389" s="1047"/>
      <c r="P389" s="1046"/>
      <c r="Q389" s="135"/>
      <c r="R389" s="136"/>
      <c r="S389" s="129"/>
      <c r="T389" s="129"/>
      <c r="U389" s="129"/>
      <c r="V389" s="129"/>
      <c r="W389" s="129"/>
      <c r="X389" s="129"/>
      <c r="Y389" s="129"/>
      <c r="Z389" s="129"/>
      <c r="AA389" s="129"/>
      <c r="AB389" s="129"/>
      <c r="AC389" s="129"/>
      <c r="AD389" s="129"/>
      <c r="AE389" s="129"/>
      <c r="AF389" s="368"/>
      <c r="AG389" s="368"/>
      <c r="AH389" s="368"/>
      <c r="AI389" s="369"/>
      <c r="AJ389" s="369"/>
      <c r="AK389" s="369"/>
      <c r="AL389" s="369"/>
      <c r="AM389" s="369"/>
      <c r="AN389" s="369"/>
      <c r="AO389" s="369"/>
      <c r="AP389" s="369"/>
      <c r="AQ389" s="369"/>
      <c r="AR389" s="369"/>
      <c r="AS389" s="369"/>
      <c r="AT389" s="369"/>
      <c r="AU389" s="369"/>
      <c r="AV389" s="369"/>
      <c r="AW389" s="369"/>
      <c r="AX389" s="369"/>
      <c r="AY389" s="369"/>
      <c r="AZ389" s="369"/>
      <c r="BA389" s="369"/>
      <c r="BB389" s="369"/>
      <c r="BC389" s="369"/>
      <c r="BD389" s="369"/>
      <c r="BE389" s="369"/>
      <c r="BF389" s="369"/>
      <c r="BG389" s="369"/>
      <c r="BH389" s="369"/>
      <c r="BI389" s="369"/>
      <c r="BJ389" s="369"/>
      <c r="BK389" s="369"/>
      <c r="BL389" s="369"/>
      <c r="BM389" s="369"/>
      <c r="BN389" s="369"/>
      <c r="BO389" s="369"/>
    </row>
    <row r="390" spans="1:67" s="370" customFormat="1" ht="10.5" customHeight="1" x14ac:dyDescent="0.2">
      <c r="A390" s="1142" t="s">
        <v>390</v>
      </c>
      <c r="B390" s="1143"/>
      <c r="C390" s="1143"/>
      <c r="D390" s="1144"/>
      <c r="E390" s="1145"/>
      <c r="F390" s="1146"/>
      <c r="G390" s="1132"/>
      <c r="H390" s="1133"/>
      <c r="I390" s="1134"/>
      <c r="J390" s="1135"/>
      <c r="K390" s="1136"/>
      <c r="L390" s="1311"/>
      <c r="M390" s="1324"/>
      <c r="N390" s="166"/>
      <c r="O390" s="1047"/>
      <c r="P390" s="1046"/>
      <c r="Q390" s="135"/>
      <c r="R390" s="136"/>
      <c r="S390" s="129"/>
      <c r="T390" s="129"/>
      <c r="U390" s="129"/>
      <c r="V390" s="129"/>
      <c r="W390" s="129"/>
      <c r="X390" s="129"/>
      <c r="Y390" s="129"/>
      <c r="Z390" s="129"/>
      <c r="AA390" s="129"/>
      <c r="AB390" s="129"/>
      <c r="AC390" s="129"/>
      <c r="AD390" s="129"/>
      <c r="AE390" s="129"/>
      <c r="AF390" s="368"/>
      <c r="AG390" s="368"/>
      <c r="AH390" s="368"/>
      <c r="AI390" s="369"/>
      <c r="AJ390" s="369"/>
      <c r="AK390" s="369"/>
      <c r="AL390" s="369"/>
      <c r="AM390" s="369"/>
      <c r="AN390" s="369"/>
      <c r="AO390" s="369"/>
      <c r="AP390" s="369"/>
      <c r="AQ390" s="369"/>
      <c r="AR390" s="369"/>
      <c r="AS390" s="369"/>
      <c r="AT390" s="369"/>
      <c r="AU390" s="369"/>
      <c r="AV390" s="369"/>
      <c r="AW390" s="369"/>
      <c r="AX390" s="369"/>
      <c r="AY390" s="369"/>
      <c r="AZ390" s="369"/>
      <c r="BA390" s="369"/>
      <c r="BB390" s="369"/>
      <c r="BC390" s="369"/>
      <c r="BD390" s="369"/>
      <c r="BE390" s="369"/>
      <c r="BF390" s="369"/>
      <c r="BG390" s="369"/>
      <c r="BH390" s="369"/>
      <c r="BI390" s="369"/>
      <c r="BJ390" s="369"/>
      <c r="BK390" s="369"/>
      <c r="BL390" s="369"/>
      <c r="BM390" s="369"/>
      <c r="BN390" s="369"/>
      <c r="BO390" s="369"/>
    </row>
    <row r="391" spans="1:67" s="370" customFormat="1" ht="10.5" customHeight="1" x14ac:dyDescent="0.2">
      <c r="A391" s="1167"/>
      <c r="B391" s="2663"/>
      <c r="C391" s="2664"/>
      <c r="D391" s="2665"/>
      <c r="E391" s="2641"/>
      <c r="F391" s="2642"/>
      <c r="G391" s="1137"/>
      <c r="H391" s="1138"/>
      <c r="I391" s="1134"/>
      <c r="J391" s="1135"/>
      <c r="K391" s="1136"/>
      <c r="L391" s="1311"/>
      <c r="M391" s="1324"/>
      <c r="N391" s="166"/>
      <c r="O391" s="1047"/>
      <c r="P391" s="1046"/>
      <c r="Q391" s="135"/>
      <c r="R391" s="136"/>
      <c r="S391" s="129"/>
      <c r="T391" s="129"/>
      <c r="U391" s="129"/>
      <c r="V391" s="129"/>
      <c r="W391" s="129"/>
      <c r="X391" s="129"/>
      <c r="Y391" s="129"/>
      <c r="Z391" s="129"/>
      <c r="AA391" s="129"/>
      <c r="AB391" s="129"/>
      <c r="AC391" s="129"/>
      <c r="AD391" s="129"/>
      <c r="AE391" s="129"/>
      <c r="AF391" s="368"/>
      <c r="AG391" s="368"/>
      <c r="AH391" s="368"/>
      <c r="AI391" s="369"/>
      <c r="AJ391" s="369"/>
      <c r="AK391" s="369"/>
      <c r="AL391" s="369"/>
      <c r="AM391" s="369"/>
      <c r="AN391" s="369"/>
      <c r="AO391" s="369"/>
      <c r="AP391" s="369"/>
      <c r="AQ391" s="369"/>
      <c r="AR391" s="369"/>
      <c r="AS391" s="369"/>
      <c r="AT391" s="369"/>
      <c r="AU391" s="369"/>
      <c r="AV391" s="369"/>
      <c r="AW391" s="369"/>
      <c r="AX391" s="369"/>
      <c r="AY391" s="369"/>
      <c r="AZ391" s="369"/>
      <c r="BA391" s="369"/>
      <c r="BB391" s="369"/>
      <c r="BC391" s="369"/>
      <c r="BD391" s="369"/>
      <c r="BE391" s="369"/>
      <c r="BF391" s="369"/>
      <c r="BG391" s="369"/>
      <c r="BH391" s="369"/>
      <c r="BI391" s="369"/>
      <c r="BJ391" s="369"/>
      <c r="BK391" s="369"/>
      <c r="BL391" s="369"/>
      <c r="BM391" s="369"/>
      <c r="BN391" s="369"/>
      <c r="BO391" s="369"/>
    </row>
    <row r="392" spans="1:67" s="370" customFormat="1" ht="10.5" customHeight="1" x14ac:dyDescent="0.2">
      <c r="A392" s="1167"/>
      <c r="B392" s="2663"/>
      <c r="C392" s="2664"/>
      <c r="D392" s="2665"/>
      <c r="E392" s="2641"/>
      <c r="F392" s="2642"/>
      <c r="G392" s="1139"/>
      <c r="H392" s="1133"/>
      <c r="I392" s="1134"/>
      <c r="J392" s="1135"/>
      <c r="K392" s="1136"/>
      <c r="L392" s="1311"/>
      <c r="M392" s="1324"/>
      <c r="N392" s="166"/>
      <c r="O392" s="1047"/>
      <c r="P392" s="1046"/>
      <c r="Q392" s="135"/>
      <c r="R392" s="136"/>
      <c r="S392" s="129"/>
      <c r="T392" s="129"/>
      <c r="U392" s="129"/>
      <c r="V392" s="129"/>
      <c r="W392" s="129"/>
      <c r="X392" s="129"/>
      <c r="Y392" s="129"/>
      <c r="Z392" s="129"/>
      <c r="AA392" s="129"/>
      <c r="AB392" s="129"/>
      <c r="AC392" s="129"/>
      <c r="AD392" s="129"/>
      <c r="AE392" s="129"/>
      <c r="AF392" s="368"/>
      <c r="AG392" s="368"/>
      <c r="AH392" s="368"/>
      <c r="AI392" s="369"/>
      <c r="AJ392" s="369"/>
      <c r="AK392" s="369"/>
      <c r="AL392" s="369"/>
      <c r="AM392" s="369"/>
      <c r="AN392" s="369"/>
      <c r="AO392" s="369"/>
      <c r="AP392" s="369"/>
      <c r="AQ392" s="369"/>
      <c r="AR392" s="369"/>
      <c r="AS392" s="369"/>
      <c r="AT392" s="369"/>
      <c r="AU392" s="369"/>
      <c r="AV392" s="369"/>
      <c r="AW392" s="369"/>
      <c r="AX392" s="369"/>
      <c r="AY392" s="369"/>
      <c r="AZ392" s="369"/>
      <c r="BA392" s="369"/>
      <c r="BB392" s="369"/>
      <c r="BC392" s="369"/>
      <c r="BD392" s="369"/>
      <c r="BE392" s="369"/>
      <c r="BF392" s="369"/>
      <c r="BG392" s="369"/>
      <c r="BH392" s="369"/>
      <c r="BI392" s="369"/>
      <c r="BJ392" s="369"/>
      <c r="BK392" s="369"/>
      <c r="BL392" s="369"/>
      <c r="BM392" s="369"/>
      <c r="BN392" s="369"/>
      <c r="BO392" s="369"/>
    </row>
    <row r="393" spans="1:67" s="370" customFormat="1" ht="10.5" customHeight="1" x14ac:dyDescent="0.2">
      <c r="A393" s="1167"/>
      <c r="B393" s="2663"/>
      <c r="C393" s="2664"/>
      <c r="D393" s="2665"/>
      <c r="E393" s="2641"/>
      <c r="F393" s="2642"/>
      <c r="G393" s="1139"/>
      <c r="H393" s="1133"/>
      <c r="I393" s="1134"/>
      <c r="J393" s="1135"/>
      <c r="K393" s="1136"/>
      <c r="L393" s="1311"/>
      <c r="M393" s="1324"/>
      <c r="N393" s="166"/>
      <c r="O393" s="1047"/>
      <c r="P393" s="1046"/>
      <c r="Q393" s="135"/>
      <c r="R393" s="136"/>
      <c r="S393" s="129"/>
      <c r="T393" s="129"/>
      <c r="U393" s="129"/>
      <c r="V393" s="129"/>
      <c r="W393" s="129"/>
      <c r="X393" s="129"/>
      <c r="Y393" s="129"/>
      <c r="Z393" s="129"/>
      <c r="AA393" s="129"/>
      <c r="AB393" s="129"/>
      <c r="AC393" s="129"/>
      <c r="AD393" s="129"/>
      <c r="AE393" s="129"/>
      <c r="AF393" s="368"/>
      <c r="AG393" s="368"/>
      <c r="AH393" s="368"/>
      <c r="AI393" s="369"/>
      <c r="AJ393" s="369"/>
      <c r="AK393" s="369"/>
      <c r="AL393" s="369"/>
      <c r="AM393" s="369"/>
      <c r="AN393" s="369"/>
      <c r="AO393" s="369"/>
      <c r="AP393" s="369"/>
      <c r="AQ393" s="369"/>
      <c r="AR393" s="369"/>
      <c r="AS393" s="369"/>
      <c r="AT393" s="369"/>
      <c r="AU393" s="369"/>
      <c r="AV393" s="369"/>
      <c r="AW393" s="369"/>
      <c r="AX393" s="369"/>
      <c r="AY393" s="369"/>
      <c r="AZ393" s="369"/>
      <c r="BA393" s="369"/>
      <c r="BB393" s="369"/>
      <c r="BC393" s="369"/>
      <c r="BD393" s="369"/>
      <c r="BE393" s="369"/>
      <c r="BF393" s="369"/>
      <c r="BG393" s="369"/>
      <c r="BH393" s="369"/>
      <c r="BI393" s="369"/>
      <c r="BJ393" s="369"/>
      <c r="BK393" s="369"/>
      <c r="BL393" s="369"/>
      <c r="BM393" s="369"/>
      <c r="BN393" s="369"/>
      <c r="BO393" s="369"/>
    </row>
    <row r="394" spans="1:67" s="370" customFormat="1" ht="10.5" customHeight="1" x14ac:dyDescent="0.2">
      <c r="A394" s="1167"/>
      <c r="B394" s="2663"/>
      <c r="C394" s="2664"/>
      <c r="D394" s="2665"/>
      <c r="E394" s="2641"/>
      <c r="F394" s="2642"/>
      <c r="G394" s="1139"/>
      <c r="H394" s="1133"/>
      <c r="I394" s="1134"/>
      <c r="J394" s="1135"/>
      <c r="K394" s="1136"/>
      <c r="L394" s="1311"/>
      <c r="M394" s="1324"/>
      <c r="N394" s="166"/>
      <c r="O394" s="1047"/>
      <c r="P394" s="1046"/>
      <c r="Q394" s="135"/>
      <c r="R394" s="136"/>
      <c r="S394" s="129"/>
      <c r="T394" s="129"/>
      <c r="U394" s="129"/>
      <c r="V394" s="129"/>
      <c r="W394" s="129"/>
      <c r="X394" s="129"/>
      <c r="Y394" s="129"/>
      <c r="Z394" s="129"/>
      <c r="AA394" s="129"/>
      <c r="AB394" s="129"/>
      <c r="AC394" s="129"/>
      <c r="AD394" s="129"/>
      <c r="AE394" s="129"/>
      <c r="AF394" s="368"/>
      <c r="AG394" s="368"/>
      <c r="AH394" s="368"/>
      <c r="AI394" s="369"/>
      <c r="AJ394" s="369"/>
      <c r="AK394" s="369"/>
      <c r="AL394" s="369"/>
      <c r="AM394" s="369"/>
      <c r="AN394" s="369"/>
      <c r="AO394" s="369"/>
      <c r="AP394" s="369"/>
      <c r="AQ394" s="369"/>
      <c r="AR394" s="369"/>
      <c r="AS394" s="369"/>
      <c r="AT394" s="369"/>
      <c r="AU394" s="369"/>
      <c r="AV394" s="369"/>
      <c r="AW394" s="369"/>
      <c r="AX394" s="369"/>
      <c r="AY394" s="369"/>
      <c r="AZ394" s="369"/>
      <c r="BA394" s="369"/>
      <c r="BB394" s="369"/>
      <c r="BC394" s="369"/>
      <c r="BD394" s="369"/>
      <c r="BE394" s="369"/>
      <c r="BF394" s="369"/>
      <c r="BG394" s="369"/>
      <c r="BH394" s="369"/>
      <c r="BI394" s="369"/>
      <c r="BJ394" s="369"/>
      <c r="BK394" s="369"/>
      <c r="BL394" s="369"/>
      <c r="BM394" s="369"/>
      <c r="BN394" s="369"/>
      <c r="BO394" s="369"/>
    </row>
    <row r="395" spans="1:67" s="370" customFormat="1" ht="10.5" customHeight="1" x14ac:dyDescent="0.2">
      <c r="A395" s="1167"/>
      <c r="B395" s="2663"/>
      <c r="C395" s="2664"/>
      <c r="D395" s="2665"/>
      <c r="E395" s="2641"/>
      <c r="F395" s="2642"/>
      <c r="G395" s="1169"/>
      <c r="H395" s="1170"/>
      <c r="I395" s="1134"/>
      <c r="J395" s="1135"/>
      <c r="K395" s="1136"/>
      <c r="L395" s="1311"/>
      <c r="M395" s="1324"/>
      <c r="N395" s="166"/>
      <c r="O395" s="1047"/>
      <c r="P395" s="1046"/>
      <c r="Q395" s="135"/>
      <c r="R395" s="136"/>
      <c r="S395" s="129"/>
      <c r="T395" s="129"/>
      <c r="U395" s="129"/>
      <c r="V395" s="129"/>
      <c r="W395" s="129"/>
      <c r="X395" s="129"/>
      <c r="Y395" s="129"/>
      <c r="Z395" s="129"/>
      <c r="AA395" s="129"/>
      <c r="AB395" s="129"/>
      <c r="AC395" s="129"/>
      <c r="AD395" s="129"/>
      <c r="AE395" s="129"/>
      <c r="AF395" s="368"/>
      <c r="AG395" s="368"/>
      <c r="AH395" s="368"/>
      <c r="AI395" s="369"/>
      <c r="AJ395" s="369"/>
      <c r="AK395" s="369"/>
      <c r="AL395" s="369"/>
      <c r="AM395" s="369"/>
      <c r="AN395" s="369"/>
      <c r="AO395" s="369"/>
      <c r="AP395" s="369"/>
      <c r="AQ395" s="369"/>
      <c r="AR395" s="369"/>
      <c r="AS395" s="369"/>
      <c r="AT395" s="369"/>
      <c r="AU395" s="369"/>
      <c r="AV395" s="369"/>
      <c r="AW395" s="369"/>
      <c r="AX395" s="369"/>
      <c r="AY395" s="369"/>
      <c r="AZ395" s="369"/>
      <c r="BA395" s="369"/>
      <c r="BB395" s="369"/>
      <c r="BC395" s="369"/>
      <c r="BD395" s="369"/>
      <c r="BE395" s="369"/>
      <c r="BF395" s="369"/>
      <c r="BG395" s="369"/>
      <c r="BH395" s="369"/>
      <c r="BI395" s="369"/>
      <c r="BJ395" s="369"/>
      <c r="BK395" s="369"/>
      <c r="BL395" s="369"/>
      <c r="BM395" s="369"/>
      <c r="BN395" s="369"/>
      <c r="BO395" s="369"/>
    </row>
    <row r="396" spans="1:67" s="370" customFormat="1" ht="10.5" customHeight="1" x14ac:dyDescent="0.2">
      <c r="A396" s="1296" t="s">
        <v>13</v>
      </c>
      <c r="B396" s="1297"/>
      <c r="C396" s="1297"/>
      <c r="D396" s="1298"/>
      <c r="E396" s="2666">
        <f>SUM(E391:E395)</f>
        <v>0</v>
      </c>
      <c r="F396" s="2667"/>
      <c r="G396" s="1299"/>
      <c r="H396" s="1300"/>
      <c r="I396" s="1301"/>
      <c r="J396" s="1302"/>
      <c r="K396" s="1303"/>
      <c r="L396" s="1314"/>
      <c r="M396" s="1326"/>
      <c r="N396" s="166"/>
      <c r="O396" s="1047"/>
      <c r="P396" s="1046"/>
      <c r="Q396" s="135"/>
      <c r="R396" s="136"/>
      <c r="S396" s="129"/>
      <c r="T396" s="129"/>
      <c r="U396" s="129"/>
      <c r="V396" s="129"/>
      <c r="W396" s="129"/>
      <c r="X396" s="129"/>
      <c r="Y396" s="129"/>
      <c r="Z396" s="129"/>
      <c r="AA396" s="129"/>
      <c r="AB396" s="129"/>
      <c r="AC396" s="129"/>
      <c r="AD396" s="129"/>
      <c r="AE396" s="129"/>
      <c r="AF396" s="368"/>
      <c r="AG396" s="368"/>
      <c r="AH396" s="368"/>
      <c r="AI396" s="369"/>
      <c r="AJ396" s="369"/>
      <c r="AK396" s="369"/>
      <c r="AL396" s="369"/>
      <c r="AM396" s="369"/>
      <c r="AN396" s="369"/>
      <c r="AO396" s="369"/>
      <c r="AP396" s="369"/>
      <c r="AQ396" s="369"/>
      <c r="AR396" s="369"/>
      <c r="AS396" s="369"/>
      <c r="AT396" s="369"/>
      <c r="AU396" s="369"/>
      <c r="AV396" s="369"/>
      <c r="AW396" s="369"/>
      <c r="AX396" s="369"/>
      <c r="AY396" s="369"/>
      <c r="AZ396" s="369"/>
      <c r="BA396" s="369"/>
      <c r="BB396" s="369"/>
      <c r="BC396" s="369"/>
      <c r="BD396" s="369"/>
      <c r="BE396" s="369"/>
      <c r="BF396" s="369"/>
      <c r="BG396" s="369"/>
      <c r="BH396" s="369"/>
      <c r="BI396" s="369"/>
      <c r="BJ396" s="369"/>
      <c r="BK396" s="369"/>
      <c r="BL396" s="369"/>
      <c r="BM396" s="369"/>
      <c r="BN396" s="369"/>
      <c r="BO396" s="369"/>
    </row>
    <row r="397" spans="1:67" s="36" customFormat="1" ht="10.5" customHeight="1" x14ac:dyDescent="0.2">
      <c r="A397" s="1371"/>
      <c r="B397" s="2670"/>
      <c r="C397" s="2670"/>
      <c r="D397" s="2671"/>
      <c r="E397" s="2668"/>
      <c r="F397" s="2669"/>
      <c r="G397" s="1088"/>
      <c r="H397" s="1089"/>
      <c r="I397" s="1083">
        <f>IF($O397&gt;0,-PMT(($I$9),$O397,1),0)</f>
        <v>0</v>
      </c>
      <c r="J397" s="1084"/>
      <c r="K397" s="1087"/>
      <c r="L397" s="1307"/>
      <c r="M397" s="1317">
        <f>ROUND(E397/100*IF(ISBLANK(L397),K397,L397),-1)</f>
        <v>0</v>
      </c>
      <c r="N397" s="503"/>
      <c r="O397" s="391">
        <f>IF(ISBLANK(H397),G397,H397)</f>
        <v>0</v>
      </c>
      <c r="P397" s="392"/>
      <c r="Q397" s="135"/>
      <c r="R397" s="136"/>
      <c r="S397" s="129"/>
      <c r="T397" s="129"/>
      <c r="U397" s="129"/>
      <c r="V397" s="129"/>
      <c r="W397" s="129"/>
      <c r="X397" s="129"/>
      <c r="Y397" s="129"/>
      <c r="Z397" s="133"/>
      <c r="AA397" s="133"/>
      <c r="AB397" s="133"/>
      <c r="AC397" s="133"/>
      <c r="AD397" s="133"/>
      <c r="AE397" s="133"/>
      <c r="AF397" s="222"/>
      <c r="AG397" s="222"/>
      <c r="AH397" s="222"/>
      <c r="AI397" s="176"/>
      <c r="AJ397" s="176"/>
      <c r="AK397" s="176"/>
      <c r="AL397" s="176"/>
      <c r="AM397" s="176"/>
      <c r="AN397" s="176"/>
      <c r="AO397" s="176"/>
      <c r="AP397" s="176"/>
      <c r="AQ397" s="176"/>
      <c r="AR397" s="176"/>
      <c r="AS397" s="176"/>
      <c r="AT397" s="176"/>
      <c r="AU397" s="176"/>
      <c r="AV397" s="176"/>
      <c r="AW397" s="176"/>
      <c r="AX397" s="176"/>
      <c r="AY397" s="176"/>
      <c r="AZ397" s="176"/>
      <c r="BA397" s="176"/>
      <c r="BB397" s="176"/>
      <c r="BC397" s="176"/>
      <c r="BD397" s="176"/>
      <c r="BE397" s="176"/>
      <c r="BF397" s="176"/>
      <c r="BG397" s="176"/>
      <c r="BH397" s="176"/>
      <c r="BI397" s="176"/>
      <c r="BJ397" s="176"/>
      <c r="BK397" s="176"/>
      <c r="BL397" s="176"/>
      <c r="BM397" s="176"/>
      <c r="BN397" s="176"/>
      <c r="BO397" s="176"/>
    </row>
    <row r="398" spans="1:67" s="36" customFormat="1" ht="10.5" customHeight="1" x14ac:dyDescent="0.2">
      <c r="A398" s="1120" t="s">
        <v>478</v>
      </c>
      <c r="B398" s="2603"/>
      <c r="C398" s="2604"/>
      <c r="D398" s="2605"/>
      <c r="E398" s="2653"/>
      <c r="F398" s="2654"/>
      <c r="G398" s="2620"/>
      <c r="H398" s="2621"/>
      <c r="I398" s="1171"/>
      <c r="J398" s="1172"/>
      <c r="K398" s="2659"/>
      <c r="L398" s="2660"/>
      <c r="M398" s="1318">
        <f>SUM(M399:M402)</f>
        <v>0</v>
      </c>
      <c r="N398" s="503"/>
      <c r="O398" s="391"/>
      <c r="P398" s="392"/>
      <c r="Q398" s="135"/>
      <c r="R398" s="136"/>
      <c r="S398" s="129"/>
      <c r="T398" s="129"/>
      <c r="U398" s="129"/>
      <c r="V398" s="129"/>
      <c r="W398" s="129"/>
      <c r="X398" s="129"/>
      <c r="Y398" s="129"/>
      <c r="Z398" s="133"/>
      <c r="AA398" s="133"/>
      <c r="AB398" s="133"/>
      <c r="AC398" s="133"/>
      <c r="AD398" s="133"/>
      <c r="AE398" s="133"/>
      <c r="AF398" s="222"/>
      <c r="AG398" s="222"/>
      <c r="AH398" s="222"/>
      <c r="AI398" s="176"/>
      <c r="AJ398" s="176"/>
      <c r="AK398" s="176"/>
      <c r="AL398" s="176"/>
      <c r="AM398" s="176"/>
      <c r="AN398" s="176"/>
      <c r="AO398" s="176"/>
      <c r="AP398" s="176"/>
      <c r="AQ398" s="176"/>
      <c r="AR398" s="176"/>
      <c r="AS398" s="176"/>
      <c r="AT398" s="176"/>
      <c r="AU398" s="176"/>
      <c r="AV398" s="176"/>
      <c r="AW398" s="176"/>
      <c r="AX398" s="176"/>
      <c r="AY398" s="176"/>
      <c r="AZ398" s="176"/>
      <c r="BA398" s="176"/>
      <c r="BB398" s="176"/>
      <c r="BC398" s="176"/>
      <c r="BD398" s="176"/>
      <c r="BE398" s="176"/>
      <c r="BF398" s="176"/>
      <c r="BG398" s="176"/>
      <c r="BH398" s="176"/>
      <c r="BI398" s="176"/>
      <c r="BJ398" s="176"/>
      <c r="BK398" s="176"/>
      <c r="BL398" s="176"/>
      <c r="BM398" s="176"/>
      <c r="BN398" s="176"/>
      <c r="BO398" s="176"/>
    </row>
    <row r="399" spans="1:67" s="36" customFormat="1" ht="10.5" customHeight="1" x14ac:dyDescent="0.2">
      <c r="A399" s="1174" t="s">
        <v>479</v>
      </c>
      <c r="B399" s="1166"/>
      <c r="C399" s="1166"/>
      <c r="D399" s="1173"/>
      <c r="E399" s="2661"/>
      <c r="F399" s="2662"/>
      <c r="G399" s="1067"/>
      <c r="H399" s="1179"/>
      <c r="I399" s="1180"/>
      <c r="J399" s="1181"/>
      <c r="K399" s="1165"/>
      <c r="L399" s="1310"/>
      <c r="M399" s="1085">
        <f>(E404-E341)*D399</f>
        <v>0</v>
      </c>
      <c r="N399" s="503"/>
      <c r="O399" s="391">
        <f>IF(ISBLANK(H399),G399,H399)</f>
        <v>0</v>
      </c>
      <c r="P399" s="392"/>
      <c r="Q399" s="135"/>
      <c r="R399" s="136"/>
      <c r="S399" s="129"/>
      <c r="T399" s="129"/>
      <c r="U399" s="129"/>
      <c r="V399" s="129"/>
      <c r="W399" s="129"/>
      <c r="X399" s="129"/>
      <c r="Y399" s="129"/>
      <c r="Z399" s="133"/>
      <c r="AA399" s="133"/>
      <c r="AB399" s="133"/>
      <c r="AC399" s="133"/>
      <c r="AD399" s="133"/>
      <c r="AE399" s="133"/>
      <c r="AF399" s="222"/>
      <c r="AG399" s="222"/>
      <c r="AH399" s="222"/>
      <c r="AI399" s="176"/>
      <c r="AJ399" s="176"/>
      <c r="AK399" s="176"/>
      <c r="AL399" s="176"/>
      <c r="AM399" s="176"/>
      <c r="AN399" s="176"/>
      <c r="AO399" s="176"/>
      <c r="AP399" s="176"/>
      <c r="AQ399" s="176"/>
      <c r="AR399" s="176"/>
      <c r="AS399" s="176"/>
      <c r="AT399" s="176"/>
      <c r="AU399" s="176"/>
      <c r="AV399" s="176"/>
      <c r="AW399" s="176"/>
      <c r="AX399" s="176"/>
      <c r="AY399" s="176"/>
      <c r="AZ399" s="176"/>
      <c r="BA399" s="176"/>
      <c r="BB399" s="176"/>
      <c r="BC399" s="176"/>
      <c r="BD399" s="176"/>
      <c r="BE399" s="176"/>
      <c r="BF399" s="176"/>
      <c r="BG399" s="176"/>
      <c r="BH399" s="176"/>
      <c r="BI399" s="176"/>
      <c r="BJ399" s="176"/>
      <c r="BK399" s="176"/>
      <c r="BL399" s="176"/>
      <c r="BM399" s="176"/>
      <c r="BN399" s="176"/>
      <c r="BO399" s="176"/>
    </row>
    <row r="400" spans="1:67" s="36" customFormat="1" ht="10.5" customHeight="1" x14ac:dyDescent="0.2">
      <c r="A400" s="1175" t="s">
        <v>480</v>
      </c>
      <c r="B400" s="2645"/>
      <c r="C400" s="2645"/>
      <c r="D400" s="2646"/>
      <c r="E400" s="2647"/>
      <c r="F400" s="2648"/>
      <c r="G400" s="1182"/>
      <c r="H400" s="1183"/>
      <c r="I400" s="1184">
        <f>IF($O400&gt;0,-PMT(($I$9),$O400,1),0)</f>
        <v>0</v>
      </c>
      <c r="J400" s="1185">
        <f>ROUND(E400*I400,-1)</f>
        <v>0</v>
      </c>
      <c r="K400" s="1341"/>
      <c r="L400" s="1315"/>
      <c r="M400" s="1327"/>
      <c r="N400" s="503"/>
      <c r="O400" s="391">
        <f>IF(ISBLANK(H400),G400,H400)</f>
        <v>0</v>
      </c>
      <c r="P400" s="392"/>
      <c r="Q400" s="135"/>
      <c r="R400" s="136"/>
      <c r="S400" s="129"/>
      <c r="T400" s="129"/>
      <c r="U400" s="129"/>
      <c r="V400" s="129"/>
      <c r="W400" s="129"/>
      <c r="X400" s="129"/>
      <c r="Y400" s="129"/>
      <c r="Z400" s="133"/>
      <c r="AA400" s="133"/>
      <c r="AB400" s="133"/>
      <c r="AC400" s="133"/>
      <c r="AD400" s="133"/>
      <c r="AE400" s="133"/>
      <c r="AF400" s="222"/>
      <c r="AG400" s="222"/>
      <c r="AH400" s="222"/>
      <c r="AI400" s="176"/>
      <c r="AJ400" s="176"/>
      <c r="AK400" s="176"/>
      <c r="AL400" s="176"/>
      <c r="AM400" s="176"/>
      <c r="AN400" s="176"/>
      <c r="AO400" s="176"/>
      <c r="AP400" s="176"/>
      <c r="AQ400" s="176"/>
      <c r="AR400" s="176"/>
      <c r="AS400" s="176"/>
      <c r="AT400" s="176"/>
      <c r="AU400" s="176"/>
      <c r="AV400" s="176"/>
      <c r="AW400" s="176"/>
      <c r="AX400" s="176"/>
      <c r="AY400" s="176"/>
      <c r="AZ400" s="176"/>
      <c r="BA400" s="176"/>
      <c r="BB400" s="176"/>
      <c r="BC400" s="176"/>
      <c r="BD400" s="176"/>
      <c r="BE400" s="176"/>
      <c r="BF400" s="176"/>
      <c r="BG400" s="176"/>
      <c r="BH400" s="176"/>
      <c r="BI400" s="176"/>
      <c r="BJ400" s="176"/>
      <c r="BK400" s="176"/>
      <c r="BL400" s="176"/>
      <c r="BM400" s="176"/>
      <c r="BN400" s="176"/>
      <c r="BO400" s="176"/>
    </row>
    <row r="401" spans="1:68" s="36" customFormat="1" ht="10.5" customHeight="1" x14ac:dyDescent="0.2">
      <c r="A401" s="1175" t="s">
        <v>481</v>
      </c>
      <c r="B401" s="2645"/>
      <c r="C401" s="2645"/>
      <c r="D401" s="2646"/>
      <c r="E401" s="2647"/>
      <c r="F401" s="2648"/>
      <c r="G401" s="1182"/>
      <c r="H401" s="1183"/>
      <c r="I401" s="1184">
        <f>IF($O401&gt;0,-PMT(($I$9),$O401,1),0)</f>
        <v>0</v>
      </c>
      <c r="J401" s="1185">
        <f>ROUND(E401*I401,-1)</f>
        <v>0</v>
      </c>
      <c r="K401" s="1341"/>
      <c r="L401" s="1315"/>
      <c r="M401" s="1327"/>
      <c r="N401" s="503"/>
      <c r="O401" s="391">
        <f>IF(ISBLANK(H401),G401,H401)</f>
        <v>0</v>
      </c>
      <c r="P401" s="392"/>
      <c r="Q401" s="135"/>
      <c r="R401" s="136"/>
      <c r="S401" s="129"/>
      <c r="T401" s="129"/>
      <c r="U401" s="129"/>
      <c r="V401" s="129"/>
      <c r="W401" s="129"/>
      <c r="X401" s="129"/>
      <c r="Y401" s="129"/>
      <c r="Z401" s="133"/>
      <c r="AA401" s="133"/>
      <c r="AB401" s="133"/>
      <c r="AC401" s="133"/>
      <c r="AD401" s="133"/>
      <c r="AE401" s="133"/>
      <c r="AF401" s="222"/>
      <c r="AG401" s="222"/>
      <c r="AH401" s="222"/>
      <c r="AI401" s="176"/>
      <c r="AJ401" s="176"/>
      <c r="AK401" s="176"/>
      <c r="AL401" s="176"/>
      <c r="AM401" s="176"/>
      <c r="AN401" s="176"/>
      <c r="AO401" s="176"/>
      <c r="AP401" s="176"/>
      <c r="AQ401" s="176"/>
      <c r="AR401" s="176"/>
      <c r="AS401" s="176"/>
      <c r="AT401" s="176"/>
      <c r="AU401" s="176"/>
      <c r="AV401" s="176"/>
      <c r="AW401" s="176"/>
      <c r="AX401" s="176"/>
      <c r="AY401" s="176"/>
      <c r="AZ401" s="176"/>
      <c r="BA401" s="176"/>
      <c r="BB401" s="176"/>
      <c r="BC401" s="176"/>
      <c r="BD401" s="176"/>
      <c r="BE401" s="176"/>
      <c r="BF401" s="176"/>
      <c r="BG401" s="176"/>
      <c r="BH401" s="176"/>
      <c r="BI401" s="176"/>
      <c r="BJ401" s="176"/>
      <c r="BK401" s="176"/>
      <c r="BL401" s="176"/>
      <c r="BM401" s="176"/>
      <c r="BN401" s="176"/>
      <c r="BO401" s="176"/>
    </row>
    <row r="402" spans="1:68" s="36" customFormat="1" ht="10.5" customHeight="1" x14ac:dyDescent="0.2">
      <c r="A402" s="1175" t="s">
        <v>482</v>
      </c>
      <c r="B402" s="2649"/>
      <c r="C402" s="2649"/>
      <c r="D402" s="2650"/>
      <c r="E402" s="2647"/>
      <c r="F402" s="2648"/>
      <c r="G402" s="1182"/>
      <c r="H402" s="1183"/>
      <c r="I402" s="1184">
        <f>IF($O402&gt;0,-PMT(($I$9),$O402,1),0)</f>
        <v>0</v>
      </c>
      <c r="J402" s="1185">
        <f>ROUND(E402*I402,-1)</f>
        <v>0</v>
      </c>
      <c r="K402" s="1341"/>
      <c r="L402" s="1315"/>
      <c r="M402" s="1327"/>
      <c r="N402" s="503"/>
      <c r="O402" s="391">
        <f>IF(ISBLANK(H402),G402,H402)</f>
        <v>0</v>
      </c>
      <c r="P402" s="392"/>
      <c r="Q402" s="135"/>
      <c r="R402" s="136"/>
      <c r="S402" s="129"/>
      <c r="T402" s="129"/>
      <c r="U402" s="129"/>
      <c r="V402" s="129"/>
      <c r="W402" s="129"/>
      <c r="X402" s="129"/>
      <c r="Y402" s="129"/>
      <c r="Z402" s="133"/>
      <c r="AA402" s="133"/>
      <c r="AB402" s="133"/>
      <c r="AC402" s="133"/>
      <c r="AD402" s="133"/>
      <c r="AE402" s="133"/>
      <c r="AF402" s="222"/>
      <c r="AG402" s="222"/>
      <c r="AH402" s="222"/>
      <c r="AI402" s="176"/>
      <c r="AJ402" s="176"/>
      <c r="AK402" s="176"/>
      <c r="AL402" s="176"/>
      <c r="AM402" s="176"/>
      <c r="AN402" s="176"/>
      <c r="AO402" s="176"/>
      <c r="AP402" s="176"/>
      <c r="AQ402" s="176"/>
      <c r="AR402" s="176"/>
      <c r="AS402" s="176"/>
      <c r="AT402" s="176"/>
      <c r="AU402" s="176"/>
      <c r="AV402" s="176"/>
      <c r="AW402" s="176"/>
      <c r="AX402" s="176"/>
      <c r="AY402" s="176"/>
      <c r="AZ402" s="176"/>
      <c r="BA402" s="176"/>
      <c r="BB402" s="176"/>
      <c r="BC402" s="176"/>
      <c r="BD402" s="176"/>
      <c r="BE402" s="176"/>
      <c r="BF402" s="176"/>
      <c r="BG402" s="176"/>
      <c r="BH402" s="176"/>
      <c r="BI402" s="176"/>
      <c r="BJ402" s="176"/>
      <c r="BK402" s="176"/>
      <c r="BL402" s="176"/>
      <c r="BM402" s="176"/>
      <c r="BN402" s="176"/>
      <c r="BO402" s="176"/>
    </row>
    <row r="403" spans="1:68" s="36" customFormat="1" ht="10.5" customHeight="1" x14ac:dyDescent="0.2">
      <c r="A403" s="1176"/>
      <c r="B403" s="1177"/>
      <c r="C403" s="1177"/>
      <c r="D403" s="1178"/>
      <c r="E403" s="2601"/>
      <c r="F403" s="2602"/>
      <c r="G403" s="1088"/>
      <c r="H403" s="1089"/>
      <c r="I403" s="1083">
        <f>IF($O403&gt;0,-PMT(($I$9),$O403,1),0)</f>
        <v>0</v>
      </c>
      <c r="J403" s="997"/>
      <c r="K403" s="1087"/>
      <c r="L403" s="1307"/>
      <c r="M403" s="1317">
        <f>ROUND(E403/100*IF(ISBLANK(L403),K403,L403),-1)</f>
        <v>0</v>
      </c>
      <c r="N403" s="503"/>
      <c r="O403" s="391">
        <f>IF(ISBLANK(H403),G403,H403)</f>
        <v>0</v>
      </c>
      <c r="P403" s="392"/>
      <c r="Q403" s="135"/>
      <c r="R403" s="136"/>
      <c r="S403" s="129"/>
      <c r="T403" s="129"/>
      <c r="U403" s="129"/>
      <c r="V403" s="129"/>
      <c r="W403" s="129"/>
      <c r="X403" s="129"/>
      <c r="Y403" s="129"/>
      <c r="Z403" s="133"/>
      <c r="AA403" s="133"/>
      <c r="AB403" s="133"/>
      <c r="AC403" s="133"/>
      <c r="AD403" s="133"/>
      <c r="AE403" s="133"/>
      <c r="AF403" s="222"/>
      <c r="AG403" s="222"/>
      <c r="AH403" s="222"/>
      <c r="AI403" s="176"/>
      <c r="AJ403" s="176"/>
      <c r="AK403" s="176"/>
      <c r="AL403" s="176"/>
      <c r="AM403" s="176"/>
      <c r="AN403" s="176"/>
      <c r="AO403" s="176"/>
      <c r="AP403" s="176"/>
      <c r="AQ403" s="176"/>
      <c r="AR403" s="176"/>
      <c r="AS403" s="176"/>
      <c r="AT403" s="176"/>
      <c r="AU403" s="176"/>
      <c r="AV403" s="176"/>
      <c r="AW403" s="176"/>
      <c r="AX403" s="176"/>
      <c r="AY403" s="176"/>
      <c r="AZ403" s="176"/>
      <c r="BA403" s="176"/>
      <c r="BB403" s="176"/>
      <c r="BC403" s="176"/>
      <c r="BD403" s="176"/>
      <c r="BE403" s="176"/>
      <c r="BF403" s="176"/>
      <c r="BG403" s="176"/>
      <c r="BH403" s="176"/>
      <c r="BI403" s="176"/>
      <c r="BJ403" s="176"/>
      <c r="BK403" s="176"/>
      <c r="BL403" s="176"/>
      <c r="BM403" s="176"/>
      <c r="BN403" s="176"/>
      <c r="BO403" s="176"/>
    </row>
    <row r="404" spans="1:68" s="36" customFormat="1" ht="15" customHeight="1" x14ac:dyDescent="0.2">
      <c r="A404" s="1186" t="s">
        <v>13</v>
      </c>
      <c r="B404" s="1187"/>
      <c r="C404" s="1187"/>
      <c r="D404" s="1188"/>
      <c r="E404" s="2651">
        <f>ROUND(SUM(E40:E355)/2,-2)</f>
        <v>0</v>
      </c>
      <c r="F404" s="2652"/>
      <c r="G404" s="2643">
        <f>IF($E$404&gt;0,SUMPRODUCT($E$40:$E$354,$O$40:$O$354)/$E$404,0)</f>
        <v>0</v>
      </c>
      <c r="H404" s="2644"/>
      <c r="I404" s="1189">
        <f>IF(E404=0,0,J404/E404)</f>
        <v>0</v>
      </c>
      <c r="J404" s="1190">
        <f>ROUND(SUM(J40:J355)/2,-1)</f>
        <v>0</v>
      </c>
      <c r="K404" s="2707"/>
      <c r="L404" s="2708"/>
      <c r="M404" s="1328">
        <f>ROUND(SUM(M40:M403)/2,-1)</f>
        <v>0</v>
      </c>
      <c r="N404" s="503"/>
      <c r="O404" s="1048"/>
      <c r="P404" s="137"/>
      <c r="Q404" s="129"/>
      <c r="R404" s="136"/>
      <c r="S404" s="138"/>
      <c r="T404" s="124"/>
      <c r="U404" s="124"/>
      <c r="V404" s="124"/>
      <c r="W404" s="124"/>
      <c r="X404" s="124"/>
      <c r="Y404" s="124"/>
      <c r="Z404" s="123"/>
      <c r="AA404" s="123"/>
      <c r="AB404" s="123"/>
      <c r="AC404" s="123"/>
      <c r="AD404" s="123"/>
      <c r="AE404" s="123"/>
      <c r="AF404" s="174"/>
      <c r="AG404" s="174"/>
      <c r="AH404" s="174"/>
      <c r="AI404" s="175"/>
      <c r="AJ404" s="175"/>
      <c r="AK404" s="176"/>
      <c r="AL404" s="176"/>
      <c r="AM404" s="176"/>
      <c r="AN404" s="176"/>
      <c r="AO404" s="176"/>
      <c r="AP404" s="176"/>
      <c r="AQ404" s="176"/>
      <c r="AR404" s="176"/>
      <c r="AS404" s="176"/>
      <c r="AT404" s="176"/>
      <c r="AU404" s="176"/>
      <c r="AV404" s="176"/>
      <c r="AW404" s="176"/>
      <c r="AX404" s="176"/>
      <c r="AY404" s="176"/>
      <c r="AZ404" s="176"/>
      <c r="BA404" s="176"/>
      <c r="BB404" s="176"/>
      <c r="BC404" s="176"/>
      <c r="BD404" s="176"/>
      <c r="BE404" s="176"/>
      <c r="BF404" s="176"/>
      <c r="BG404" s="176"/>
      <c r="BH404" s="176"/>
      <c r="BI404" s="176"/>
      <c r="BJ404" s="176"/>
      <c r="BK404" s="176"/>
      <c r="BL404" s="176"/>
      <c r="BM404" s="176"/>
      <c r="BN404" s="176"/>
      <c r="BO404" s="176"/>
    </row>
    <row r="405" spans="1:68" ht="12.75" x14ac:dyDescent="0.2">
      <c r="F405" s="32"/>
      <c r="I405" s="34"/>
      <c r="O405" s="503"/>
      <c r="P405" s="503"/>
      <c r="Q405" s="503"/>
      <c r="R405" s="503"/>
      <c r="S405" s="503"/>
      <c r="T405" s="503"/>
      <c r="U405" s="503"/>
      <c r="V405" s="503"/>
      <c r="W405" s="32"/>
      <c r="X405" s="32"/>
      <c r="Y405" s="503"/>
      <c r="Z405" s="503"/>
      <c r="AF405" s="174"/>
      <c r="AI405" s="175"/>
      <c r="BP405" s="32"/>
    </row>
    <row r="406" spans="1:68" ht="12.75" x14ac:dyDescent="0.2">
      <c r="F406" s="32"/>
      <c r="I406" s="34"/>
      <c r="O406" s="503"/>
      <c r="P406" s="503"/>
      <c r="Q406" s="503"/>
      <c r="R406" s="503"/>
      <c r="S406" s="503"/>
      <c r="T406" s="503"/>
      <c r="U406" s="503"/>
      <c r="V406" s="503"/>
      <c r="W406" s="32"/>
      <c r="X406" s="32"/>
      <c r="Y406" s="503"/>
      <c r="Z406" s="503"/>
      <c r="AF406" s="174"/>
      <c r="AI406" s="175"/>
      <c r="BP406" s="32"/>
    </row>
    <row r="407" spans="1:68" ht="12.75" x14ac:dyDescent="0.2">
      <c r="F407" s="32"/>
      <c r="I407" s="34"/>
      <c r="O407" s="503"/>
      <c r="P407" s="503"/>
      <c r="Q407" s="503"/>
      <c r="R407" s="503"/>
      <c r="S407" s="503"/>
      <c r="T407" s="503"/>
      <c r="U407" s="503"/>
      <c r="V407" s="503"/>
      <c r="W407" s="32"/>
      <c r="X407" s="32"/>
      <c r="Y407" s="503"/>
      <c r="Z407" s="503"/>
      <c r="AF407" s="174"/>
      <c r="AI407" s="175"/>
      <c r="BP407" s="32"/>
    </row>
    <row r="408" spans="1:68" ht="12.75" x14ac:dyDescent="0.2">
      <c r="O408" s="503"/>
      <c r="P408" s="503"/>
      <c r="Q408" s="503"/>
      <c r="R408" s="503"/>
      <c r="S408" s="503"/>
      <c r="T408" s="503"/>
      <c r="U408" s="503"/>
      <c r="V408" s="503"/>
      <c r="W408" s="32"/>
      <c r="X408" s="32"/>
      <c r="Y408" s="503"/>
      <c r="Z408" s="503"/>
      <c r="AA408" s="503"/>
    </row>
    <row r="409" spans="1:68" ht="12.75" x14ac:dyDescent="0.2">
      <c r="O409" s="503"/>
      <c r="P409" s="503"/>
      <c r="Q409" s="503"/>
      <c r="R409" s="503"/>
      <c r="S409" s="503"/>
      <c r="T409" s="503"/>
      <c r="U409" s="503"/>
      <c r="V409" s="503"/>
      <c r="W409" s="32"/>
      <c r="X409" s="32"/>
      <c r="Y409" s="503"/>
      <c r="Z409" s="503"/>
      <c r="AA409" s="503"/>
    </row>
    <row r="410" spans="1:68" ht="12.75" x14ac:dyDescent="0.2">
      <c r="O410" s="503"/>
      <c r="P410" s="503"/>
      <c r="Q410" s="503"/>
      <c r="R410" s="503"/>
      <c r="S410" s="503"/>
      <c r="T410" s="503"/>
      <c r="U410" s="503"/>
      <c r="V410" s="503"/>
      <c r="W410" s="32"/>
      <c r="X410" s="32"/>
      <c r="Y410" s="503"/>
      <c r="Z410" s="503"/>
      <c r="AA410" s="503"/>
    </row>
    <row r="411" spans="1:68" ht="12.75" x14ac:dyDescent="0.2">
      <c r="O411" s="503"/>
      <c r="P411" s="503"/>
      <c r="Q411" s="503"/>
      <c r="R411" s="503"/>
      <c r="S411" s="503"/>
      <c r="T411" s="503"/>
      <c r="U411" s="503"/>
      <c r="V411" s="503"/>
      <c r="W411" s="32"/>
      <c r="X411" s="32"/>
      <c r="Y411" s="503"/>
      <c r="Z411" s="503"/>
      <c r="AA411" s="503"/>
    </row>
    <row r="412" spans="1:68" ht="12.75" x14ac:dyDescent="0.2">
      <c r="O412" s="503"/>
      <c r="P412" s="503"/>
      <c r="Q412" s="503"/>
      <c r="R412" s="503"/>
      <c r="S412" s="503"/>
      <c r="T412" s="503"/>
      <c r="U412" s="503"/>
      <c r="V412" s="503"/>
      <c r="W412" s="32"/>
      <c r="X412" s="32"/>
      <c r="Y412" s="503"/>
      <c r="Z412" s="503"/>
      <c r="AA412" s="503"/>
    </row>
    <row r="413" spans="1:68" ht="12.75" x14ac:dyDescent="0.2">
      <c r="O413" s="503"/>
      <c r="P413" s="503"/>
      <c r="Q413" s="503"/>
      <c r="R413" s="503"/>
      <c r="S413" s="503"/>
      <c r="T413" s="503"/>
      <c r="U413" s="503"/>
      <c r="V413" s="503"/>
      <c r="W413" s="32"/>
      <c r="X413" s="32"/>
      <c r="Y413" s="503"/>
      <c r="Z413" s="503"/>
      <c r="AA413" s="503"/>
    </row>
    <row r="414" spans="1:68" ht="12.75" x14ac:dyDescent="0.2">
      <c r="O414" s="503"/>
      <c r="P414" s="503"/>
      <c r="Q414" s="503"/>
      <c r="R414" s="503"/>
      <c r="S414" s="503"/>
      <c r="T414" s="503"/>
      <c r="U414" s="503"/>
      <c r="V414" s="503"/>
      <c r="W414" s="32"/>
      <c r="X414" s="32"/>
      <c r="Y414" s="503"/>
      <c r="Z414" s="503"/>
      <c r="AA414" s="503"/>
    </row>
    <row r="415" spans="1:68" ht="12.75" x14ac:dyDescent="0.2">
      <c r="O415" s="503"/>
      <c r="P415" s="503"/>
      <c r="Q415" s="503"/>
      <c r="R415" s="503"/>
      <c r="S415" s="503"/>
      <c r="T415" s="503"/>
      <c r="U415" s="503"/>
      <c r="V415" s="503"/>
      <c r="W415" s="503"/>
      <c r="X415" s="503"/>
      <c r="Y415" s="503"/>
      <c r="Z415" s="503"/>
      <c r="AA415" s="503"/>
    </row>
    <row r="416" spans="1:68" ht="12.75" x14ac:dyDescent="0.2">
      <c r="O416" s="503"/>
      <c r="P416" s="503"/>
      <c r="Q416" s="503"/>
      <c r="R416" s="503"/>
      <c r="S416" s="503"/>
      <c r="T416" s="503"/>
      <c r="U416" s="503"/>
      <c r="V416" s="503"/>
      <c r="W416" s="503"/>
      <c r="X416" s="503"/>
      <c r="Y416" s="503"/>
      <c r="Z416" s="503"/>
      <c r="AA416" s="503"/>
    </row>
    <row r="417" spans="1:73" ht="12.75" x14ac:dyDescent="0.2">
      <c r="O417" s="503"/>
      <c r="P417" s="503"/>
      <c r="Q417" s="503"/>
      <c r="R417" s="503"/>
      <c r="S417" s="503"/>
      <c r="T417" s="503"/>
      <c r="U417" s="503"/>
      <c r="V417" s="503"/>
      <c r="W417" s="503"/>
      <c r="X417" s="503"/>
      <c r="Y417" s="503"/>
      <c r="Z417" s="503"/>
      <c r="AA417" s="503"/>
    </row>
    <row r="418" spans="1:73" ht="12.75" x14ac:dyDescent="0.2">
      <c r="O418" s="503"/>
      <c r="P418" s="503"/>
      <c r="Q418" s="503"/>
      <c r="R418" s="503"/>
      <c r="S418" s="503"/>
      <c r="T418" s="503"/>
      <c r="U418" s="503"/>
      <c r="V418" s="503"/>
      <c r="W418" s="503"/>
      <c r="X418" s="503"/>
      <c r="Y418" s="503"/>
      <c r="Z418" s="503"/>
      <c r="AA418" s="503"/>
    </row>
    <row r="419" spans="1:73" ht="12.75" x14ac:dyDescent="0.2">
      <c r="O419" s="503"/>
      <c r="P419" s="503"/>
      <c r="Q419" s="503"/>
      <c r="R419" s="503"/>
      <c r="S419" s="503"/>
      <c r="T419" s="503"/>
      <c r="U419" s="503"/>
      <c r="V419" s="503"/>
      <c r="W419" s="503"/>
      <c r="X419" s="503"/>
      <c r="Y419" s="503"/>
      <c r="Z419" s="503"/>
      <c r="AA419" s="503"/>
    </row>
    <row r="420" spans="1:73" s="123" customFormat="1" ht="12.75" x14ac:dyDescent="0.2">
      <c r="A420" s="34"/>
      <c r="B420" s="33"/>
      <c r="C420" s="33"/>
      <c r="D420" s="33"/>
      <c r="E420" s="33"/>
      <c r="F420" s="33"/>
      <c r="G420" s="32"/>
      <c r="H420" s="32"/>
      <c r="I420" s="32"/>
      <c r="J420" s="34"/>
      <c r="K420" s="34"/>
      <c r="L420" s="34"/>
      <c r="M420" s="34"/>
      <c r="N420" s="34"/>
      <c r="O420" s="503"/>
      <c r="P420" s="503"/>
      <c r="Q420" s="503"/>
      <c r="R420" s="503"/>
      <c r="S420" s="503"/>
      <c r="T420" s="503"/>
      <c r="U420" s="503"/>
      <c r="V420" s="503"/>
      <c r="W420" s="503"/>
      <c r="X420" s="503"/>
      <c r="Y420" s="503"/>
      <c r="Z420" s="503"/>
      <c r="AA420" s="503"/>
      <c r="AG420" s="174"/>
      <c r="AH420" s="174"/>
      <c r="AI420" s="174"/>
      <c r="AJ420" s="175"/>
      <c r="AK420" s="175"/>
      <c r="AL420" s="175"/>
      <c r="AM420" s="175"/>
      <c r="AN420" s="175"/>
      <c r="AO420" s="175"/>
      <c r="AP420" s="175"/>
      <c r="AQ420" s="175"/>
      <c r="AR420" s="175"/>
      <c r="AS420" s="175"/>
      <c r="AT420" s="175"/>
      <c r="AU420" s="175"/>
      <c r="AV420" s="175"/>
      <c r="AW420" s="175"/>
      <c r="AX420" s="175"/>
      <c r="AY420" s="175"/>
      <c r="AZ420" s="175"/>
      <c r="BA420" s="175"/>
      <c r="BB420" s="175"/>
      <c r="BC420" s="175"/>
      <c r="BD420" s="175"/>
      <c r="BE420" s="175"/>
      <c r="BF420" s="175"/>
      <c r="BG420" s="175"/>
      <c r="BH420" s="175"/>
      <c r="BI420" s="175"/>
      <c r="BJ420" s="175"/>
      <c r="BK420" s="175"/>
      <c r="BL420" s="175"/>
      <c r="BM420" s="175"/>
      <c r="BN420" s="175"/>
      <c r="BO420" s="175"/>
      <c r="BP420" s="175"/>
      <c r="BQ420" s="32"/>
      <c r="BR420" s="32"/>
      <c r="BS420" s="32"/>
      <c r="BT420" s="32"/>
      <c r="BU420" s="32"/>
    </row>
    <row r="421" spans="1:73" s="123" customFormat="1" ht="12.75" x14ac:dyDescent="0.2">
      <c r="A421" s="34"/>
      <c r="B421" s="33"/>
      <c r="C421" s="33"/>
      <c r="D421" s="33"/>
      <c r="E421" s="33"/>
      <c r="F421" s="33"/>
      <c r="G421" s="32"/>
      <c r="H421" s="32"/>
      <c r="I421" s="32"/>
      <c r="J421" s="34"/>
      <c r="K421" s="34"/>
      <c r="L421" s="34"/>
      <c r="M421" s="34"/>
      <c r="N421" s="34"/>
      <c r="O421" s="503"/>
      <c r="P421" s="503"/>
      <c r="Q421" s="503"/>
      <c r="R421" s="503"/>
      <c r="S421" s="503"/>
      <c r="T421" s="503"/>
      <c r="U421" s="503"/>
      <c r="V421" s="503"/>
      <c r="W421" s="503"/>
      <c r="X421" s="503"/>
      <c r="Y421" s="503"/>
      <c r="Z421" s="503"/>
      <c r="AA421" s="503"/>
      <c r="AG421" s="174"/>
      <c r="AH421" s="174"/>
      <c r="AI421" s="174"/>
      <c r="AJ421" s="175"/>
      <c r="AK421" s="175"/>
      <c r="AL421" s="175"/>
      <c r="AM421" s="175"/>
      <c r="AN421" s="175"/>
      <c r="AO421" s="175"/>
      <c r="AP421" s="175"/>
      <c r="AQ421" s="175"/>
      <c r="AR421" s="175"/>
      <c r="AS421" s="175"/>
      <c r="AT421" s="175"/>
      <c r="AU421" s="175"/>
      <c r="AV421" s="175"/>
      <c r="AW421" s="175"/>
      <c r="AX421" s="175"/>
      <c r="AY421" s="175"/>
      <c r="AZ421" s="175"/>
      <c r="BA421" s="175"/>
      <c r="BB421" s="175"/>
      <c r="BC421" s="175"/>
      <c r="BD421" s="175"/>
      <c r="BE421" s="175"/>
      <c r="BF421" s="175"/>
      <c r="BG421" s="175"/>
      <c r="BH421" s="175"/>
      <c r="BI421" s="175"/>
      <c r="BJ421" s="175"/>
      <c r="BK421" s="175"/>
      <c r="BL421" s="175"/>
      <c r="BM421" s="175"/>
      <c r="BN421" s="175"/>
      <c r="BO421" s="175"/>
      <c r="BP421" s="175"/>
      <c r="BQ421" s="32"/>
      <c r="BR421" s="32"/>
      <c r="BS421" s="32"/>
      <c r="BT421" s="32"/>
      <c r="BU421" s="32"/>
    </row>
    <row r="422" spans="1:73" s="123" customFormat="1" ht="12.75" x14ac:dyDescent="0.2">
      <c r="A422" s="34"/>
      <c r="B422" s="33"/>
      <c r="C422" s="33"/>
      <c r="D422" s="33"/>
      <c r="E422" s="33"/>
      <c r="F422" s="33"/>
      <c r="G422" s="32"/>
      <c r="H422" s="32"/>
      <c r="I422" s="32"/>
      <c r="J422" s="34"/>
      <c r="K422" s="34"/>
      <c r="L422" s="34"/>
      <c r="M422" s="34"/>
      <c r="N422" s="34"/>
      <c r="O422" s="503"/>
      <c r="P422" s="503"/>
      <c r="Q422" s="503"/>
      <c r="R422" s="503"/>
      <c r="S422" s="503"/>
      <c r="T422" s="503"/>
      <c r="U422" s="503"/>
      <c r="V422" s="503"/>
      <c r="W422" s="503"/>
      <c r="X422" s="503"/>
      <c r="Y422" s="503"/>
      <c r="Z422" s="503"/>
      <c r="AA422" s="503"/>
      <c r="AG422" s="174"/>
      <c r="AH422" s="174"/>
      <c r="AI422" s="174"/>
      <c r="AJ422" s="175"/>
      <c r="AK422" s="175"/>
      <c r="AL422" s="175"/>
      <c r="AM422" s="175"/>
      <c r="AN422" s="175"/>
      <c r="AO422" s="175"/>
      <c r="AP422" s="175"/>
      <c r="AQ422" s="175"/>
      <c r="AR422" s="175"/>
      <c r="AS422" s="175"/>
      <c r="AT422" s="175"/>
      <c r="AU422" s="175"/>
      <c r="AV422" s="175"/>
      <c r="AW422" s="175"/>
      <c r="AX422" s="175"/>
      <c r="AY422" s="175"/>
      <c r="AZ422" s="175"/>
      <c r="BA422" s="175"/>
      <c r="BB422" s="175"/>
      <c r="BC422" s="175"/>
      <c r="BD422" s="175"/>
      <c r="BE422" s="175"/>
      <c r="BF422" s="175"/>
      <c r="BG422" s="175"/>
      <c r="BH422" s="175"/>
      <c r="BI422" s="175"/>
      <c r="BJ422" s="175"/>
      <c r="BK422" s="175"/>
      <c r="BL422" s="175"/>
      <c r="BM422" s="175"/>
      <c r="BN422" s="175"/>
      <c r="BO422" s="175"/>
      <c r="BP422" s="175"/>
      <c r="BQ422" s="32"/>
      <c r="BR422" s="32"/>
      <c r="BS422" s="32"/>
      <c r="BT422" s="32"/>
      <c r="BU422" s="32"/>
    </row>
    <row r="423" spans="1:73" s="123" customFormat="1" ht="12.75" x14ac:dyDescent="0.2">
      <c r="A423" s="34"/>
      <c r="B423" s="33"/>
      <c r="C423" s="33"/>
      <c r="D423" s="33"/>
      <c r="E423" s="33"/>
      <c r="F423" s="33"/>
      <c r="G423" s="32"/>
      <c r="H423" s="32"/>
      <c r="I423" s="32"/>
      <c r="J423" s="34"/>
      <c r="K423" s="34"/>
      <c r="L423" s="34"/>
      <c r="M423" s="34"/>
      <c r="N423" s="34"/>
      <c r="O423" s="503"/>
      <c r="P423" s="503"/>
      <c r="Q423" s="503"/>
      <c r="R423" s="503"/>
      <c r="S423" s="503"/>
      <c r="T423" s="503"/>
      <c r="U423" s="503"/>
      <c r="V423" s="503"/>
      <c r="AG423" s="174"/>
      <c r="AH423" s="174"/>
      <c r="AI423" s="174"/>
      <c r="AJ423" s="175"/>
      <c r="AK423" s="175"/>
      <c r="AL423" s="175"/>
      <c r="AM423" s="175"/>
      <c r="AN423" s="175"/>
      <c r="AO423" s="175"/>
      <c r="AP423" s="175"/>
      <c r="AQ423" s="175"/>
      <c r="AR423" s="175"/>
      <c r="AS423" s="175"/>
      <c r="AT423" s="175"/>
      <c r="AU423" s="175"/>
      <c r="AV423" s="175"/>
      <c r="AW423" s="175"/>
      <c r="AX423" s="175"/>
      <c r="AY423" s="175"/>
      <c r="AZ423" s="175"/>
      <c r="BA423" s="175"/>
      <c r="BB423" s="175"/>
      <c r="BC423" s="175"/>
      <c r="BD423" s="175"/>
      <c r="BE423" s="175"/>
      <c r="BF423" s="175"/>
      <c r="BG423" s="175"/>
      <c r="BH423" s="175"/>
      <c r="BI423" s="175"/>
      <c r="BJ423" s="175"/>
      <c r="BK423" s="175"/>
      <c r="BL423" s="175"/>
      <c r="BM423" s="175"/>
      <c r="BN423" s="175"/>
      <c r="BO423" s="175"/>
      <c r="BP423" s="175"/>
      <c r="BQ423" s="32"/>
      <c r="BR423" s="32"/>
      <c r="BS423" s="32"/>
      <c r="BT423" s="32"/>
      <c r="BU423" s="32"/>
    </row>
    <row r="424" spans="1:73" s="123" customFormat="1" ht="12.75" x14ac:dyDescent="0.2">
      <c r="A424" s="34"/>
      <c r="B424" s="33"/>
      <c r="C424" s="33"/>
      <c r="D424" s="33"/>
      <c r="E424" s="33"/>
      <c r="F424" s="33"/>
      <c r="G424" s="32"/>
      <c r="H424" s="32"/>
      <c r="I424" s="32"/>
      <c r="J424" s="34"/>
      <c r="K424" s="34"/>
      <c r="L424" s="34"/>
      <c r="M424" s="34"/>
      <c r="N424" s="34"/>
      <c r="O424" s="503"/>
      <c r="P424" s="503"/>
      <c r="Q424" s="503"/>
      <c r="R424" s="503"/>
      <c r="S424" s="503"/>
      <c r="T424" s="503"/>
      <c r="U424" s="503"/>
      <c r="V424" s="503"/>
      <c r="AG424" s="174"/>
      <c r="AH424" s="174"/>
      <c r="AI424" s="174"/>
      <c r="AJ424" s="175"/>
      <c r="AK424" s="175"/>
      <c r="AL424" s="175"/>
      <c r="AM424" s="175"/>
      <c r="AN424" s="175"/>
      <c r="AO424" s="175"/>
      <c r="AP424" s="175"/>
      <c r="AQ424" s="175"/>
      <c r="AR424" s="175"/>
      <c r="AS424" s="175"/>
      <c r="AT424" s="175"/>
      <c r="AU424" s="175"/>
      <c r="AV424" s="175"/>
      <c r="AW424" s="175"/>
      <c r="AX424" s="175"/>
      <c r="AY424" s="175"/>
      <c r="AZ424" s="175"/>
      <c r="BA424" s="175"/>
      <c r="BB424" s="175"/>
      <c r="BC424" s="175"/>
      <c r="BD424" s="175"/>
      <c r="BE424" s="175"/>
      <c r="BF424" s="175"/>
      <c r="BG424" s="175"/>
      <c r="BH424" s="175"/>
      <c r="BI424" s="175"/>
      <c r="BJ424" s="175"/>
      <c r="BK424" s="175"/>
      <c r="BL424" s="175"/>
      <c r="BM424" s="175"/>
      <c r="BN424" s="175"/>
      <c r="BO424" s="175"/>
      <c r="BP424" s="175"/>
      <c r="BQ424" s="32"/>
      <c r="BR424" s="32"/>
      <c r="BS424" s="32"/>
      <c r="BT424" s="32"/>
      <c r="BU424" s="32"/>
    </row>
    <row r="425" spans="1:73" s="123" customFormat="1" ht="12.75" x14ac:dyDescent="0.2">
      <c r="A425" s="34"/>
      <c r="B425" s="33"/>
      <c r="C425" s="33"/>
      <c r="D425" s="33"/>
      <c r="E425" s="33"/>
      <c r="F425" s="33"/>
      <c r="G425" s="32"/>
      <c r="H425" s="32"/>
      <c r="I425" s="32"/>
      <c r="J425" s="34"/>
      <c r="K425" s="34"/>
      <c r="L425" s="34"/>
      <c r="M425" s="34"/>
      <c r="N425" s="34"/>
      <c r="O425" s="503"/>
      <c r="P425" s="503"/>
      <c r="Q425" s="503"/>
      <c r="R425" s="503"/>
      <c r="S425" s="503"/>
      <c r="T425" s="503"/>
      <c r="U425" s="503"/>
      <c r="V425" s="503"/>
      <c r="AG425" s="174"/>
      <c r="AH425" s="174"/>
      <c r="AI425" s="174"/>
      <c r="AJ425" s="175"/>
      <c r="AK425" s="175"/>
      <c r="AL425" s="175"/>
      <c r="AM425" s="175"/>
      <c r="AN425" s="175"/>
      <c r="AO425" s="175"/>
      <c r="AP425" s="175"/>
      <c r="AQ425" s="175"/>
      <c r="AR425" s="175"/>
      <c r="AS425" s="175"/>
      <c r="AT425" s="175"/>
      <c r="AU425" s="175"/>
      <c r="AV425" s="175"/>
      <c r="AW425" s="175"/>
      <c r="AX425" s="175"/>
      <c r="AY425" s="175"/>
      <c r="AZ425" s="175"/>
      <c r="BA425" s="175"/>
      <c r="BB425" s="175"/>
      <c r="BC425" s="175"/>
      <c r="BD425" s="175"/>
      <c r="BE425" s="175"/>
      <c r="BF425" s="175"/>
      <c r="BG425" s="175"/>
      <c r="BH425" s="175"/>
      <c r="BI425" s="175"/>
      <c r="BJ425" s="175"/>
      <c r="BK425" s="175"/>
      <c r="BL425" s="175"/>
      <c r="BM425" s="175"/>
      <c r="BN425" s="175"/>
      <c r="BO425" s="175"/>
      <c r="BP425" s="175"/>
      <c r="BQ425" s="32"/>
      <c r="BR425" s="32"/>
      <c r="BS425" s="32"/>
      <c r="BT425" s="32"/>
      <c r="BU425" s="32"/>
    </row>
    <row r="426" spans="1:73" s="123" customFormat="1" ht="12.95" customHeight="1" x14ac:dyDescent="0.2">
      <c r="A426" s="34"/>
      <c r="B426" s="33"/>
      <c r="C426" s="33"/>
      <c r="D426" s="33"/>
      <c r="E426" s="33"/>
      <c r="F426" s="33"/>
      <c r="G426" s="32"/>
      <c r="H426" s="32"/>
      <c r="I426" s="32"/>
      <c r="J426" s="34"/>
      <c r="K426" s="34"/>
      <c r="L426" s="34"/>
      <c r="M426" s="34"/>
      <c r="N426" s="34"/>
      <c r="O426" s="503"/>
      <c r="P426" s="503"/>
      <c r="Q426" s="503"/>
      <c r="R426" s="503"/>
      <c r="S426" s="503"/>
      <c r="T426" s="503"/>
      <c r="U426" s="503"/>
      <c r="V426" s="503"/>
      <c r="AG426" s="174"/>
      <c r="AH426" s="174"/>
      <c r="AI426" s="174"/>
      <c r="AJ426" s="175"/>
      <c r="AK426" s="175"/>
      <c r="AL426" s="175"/>
      <c r="AM426" s="175"/>
      <c r="AN426" s="175"/>
      <c r="AO426" s="175"/>
      <c r="AP426" s="175"/>
      <c r="AQ426" s="175"/>
      <c r="AR426" s="175"/>
      <c r="AS426" s="175"/>
      <c r="AT426" s="175"/>
      <c r="AU426" s="175"/>
      <c r="AV426" s="175"/>
      <c r="AW426" s="175"/>
      <c r="AX426" s="175"/>
      <c r="AY426" s="175"/>
      <c r="AZ426" s="175"/>
      <c r="BA426" s="175"/>
      <c r="BB426" s="175"/>
      <c r="BC426" s="175"/>
      <c r="BD426" s="175"/>
      <c r="BE426" s="175"/>
      <c r="BF426" s="175"/>
      <c r="BG426" s="175"/>
      <c r="BH426" s="175"/>
      <c r="BI426" s="175"/>
      <c r="BJ426" s="175"/>
      <c r="BK426" s="175"/>
      <c r="BL426" s="175"/>
      <c r="BM426" s="175"/>
      <c r="BN426" s="175"/>
      <c r="BO426" s="175"/>
      <c r="BP426" s="175"/>
      <c r="BQ426" s="32"/>
      <c r="BR426" s="32"/>
      <c r="BS426" s="32"/>
      <c r="BT426" s="32"/>
      <c r="BU426" s="32"/>
    </row>
  </sheetData>
  <sheetProtection algorithmName="SHA-512" hashValue="YdzrxChbpF6HDkN2zU7BgUSW/9FBX84++g0iPC8g6gN2YdcK/ipGSeq89fYdd05sSZ1R6yy255mUMdlcDvAwKQ==" saltValue="Q40fr54vkM5o2IpRDlEeSw==" spinCount="100000" sheet="1" objects="1" scenarios="1" selectLockedCells="1"/>
  <mergeCells count="1073">
    <mergeCell ref="E39:F39"/>
    <mergeCell ref="E47:F47"/>
    <mergeCell ref="K85:L85"/>
    <mergeCell ref="G67:H67"/>
    <mergeCell ref="K404:L404"/>
    <mergeCell ref="K38:L38"/>
    <mergeCell ref="G55:H55"/>
    <mergeCell ref="K55:L55"/>
    <mergeCell ref="K25:L25"/>
    <mergeCell ref="K26:L26"/>
    <mergeCell ref="K27:L27"/>
    <mergeCell ref="K28:L28"/>
    <mergeCell ref="G192:H192"/>
    <mergeCell ref="G102:H102"/>
    <mergeCell ref="K102:L102"/>
    <mergeCell ref="G147:H147"/>
    <mergeCell ref="K147:L147"/>
    <mergeCell ref="E32:F32"/>
    <mergeCell ref="E34:F34"/>
    <mergeCell ref="E35:F35"/>
    <mergeCell ref="E36:F36"/>
    <mergeCell ref="K29:L29"/>
    <mergeCell ref="K30:L30"/>
    <mergeCell ref="K31:L31"/>
    <mergeCell ref="K32:L32"/>
    <mergeCell ref="K33:L33"/>
    <mergeCell ref="K34:L34"/>
    <mergeCell ref="K35:L35"/>
    <mergeCell ref="K36:L36"/>
    <mergeCell ref="E25:F25"/>
    <mergeCell ref="E26:F26"/>
    <mergeCell ref="E27:F27"/>
    <mergeCell ref="E11:F12"/>
    <mergeCell ref="G11:H12"/>
    <mergeCell ref="I11:I13"/>
    <mergeCell ref="J11:J12"/>
    <mergeCell ref="E16:F16"/>
    <mergeCell ref="E17:F17"/>
    <mergeCell ref="E18:F18"/>
    <mergeCell ref="E19:F19"/>
    <mergeCell ref="K11:M12"/>
    <mergeCell ref="E28:F28"/>
    <mergeCell ref="E29:F29"/>
    <mergeCell ref="E30:F30"/>
    <mergeCell ref="E31:F31"/>
    <mergeCell ref="E21:F21"/>
    <mergeCell ref="K20:L20"/>
    <mergeCell ref="E20:F20"/>
    <mergeCell ref="E24:F24"/>
    <mergeCell ref="K21:L21"/>
    <mergeCell ref="K22:L22"/>
    <mergeCell ref="K23:L23"/>
    <mergeCell ref="K24:L24"/>
    <mergeCell ref="E13:F13"/>
    <mergeCell ref="G13:H13"/>
    <mergeCell ref="K13:L13"/>
    <mergeCell ref="K16:L16"/>
    <mergeCell ref="K17:L17"/>
    <mergeCell ref="K18:L18"/>
    <mergeCell ref="K19:L19"/>
    <mergeCell ref="E22:F22"/>
    <mergeCell ref="E23:F23"/>
    <mergeCell ref="B34:D34"/>
    <mergeCell ref="B35:D35"/>
    <mergeCell ref="B36:D36"/>
    <mergeCell ref="B37:D37"/>
    <mergeCell ref="A15:M15"/>
    <mergeCell ref="E33:F33"/>
    <mergeCell ref="B17:D17"/>
    <mergeCell ref="B18:D18"/>
    <mergeCell ref="B19:D19"/>
    <mergeCell ref="B20:D20"/>
    <mergeCell ref="B21:D21"/>
    <mergeCell ref="B22:D22"/>
    <mergeCell ref="B23:D23"/>
    <mergeCell ref="B42:D42"/>
    <mergeCell ref="E42:F42"/>
    <mergeCell ref="B43:D43"/>
    <mergeCell ref="E43:F43"/>
    <mergeCell ref="B29:D29"/>
    <mergeCell ref="B30:D30"/>
    <mergeCell ref="B31:D31"/>
    <mergeCell ref="B32:D32"/>
    <mergeCell ref="B33:D33"/>
    <mergeCell ref="K40:L40"/>
    <mergeCell ref="B41:D41"/>
    <mergeCell ref="E41:F41"/>
    <mergeCell ref="E37:F37"/>
    <mergeCell ref="E38:F38"/>
    <mergeCell ref="K37:L37"/>
    <mergeCell ref="B39:D39"/>
    <mergeCell ref="B16:D16"/>
    <mergeCell ref="B24:D24"/>
    <mergeCell ref="B25:D25"/>
    <mergeCell ref="B56:D56"/>
    <mergeCell ref="E56:F56"/>
    <mergeCell ref="B57:D57"/>
    <mergeCell ref="E57:F57"/>
    <mergeCell ref="B58:D58"/>
    <mergeCell ref="E58:F58"/>
    <mergeCell ref="B44:D44"/>
    <mergeCell ref="E44:F44"/>
    <mergeCell ref="B40:D40"/>
    <mergeCell ref="E40:F40"/>
    <mergeCell ref="G40:H40"/>
    <mergeCell ref="B48:D48"/>
    <mergeCell ref="E48:F48"/>
    <mergeCell ref="B49:D49"/>
    <mergeCell ref="E49:F49"/>
    <mergeCell ref="B54:D54"/>
    <mergeCell ref="E54:F54"/>
    <mergeCell ref="B55:D55"/>
    <mergeCell ref="E55:F55"/>
    <mergeCell ref="B51:D51"/>
    <mergeCell ref="E51:F51"/>
    <mergeCell ref="B52:D52"/>
    <mergeCell ref="E52:F52"/>
    <mergeCell ref="B53:D53"/>
    <mergeCell ref="E53:F53"/>
    <mergeCell ref="B50:D50"/>
    <mergeCell ref="E50:F50"/>
    <mergeCell ref="B45:D45"/>
    <mergeCell ref="E45:F45"/>
    <mergeCell ref="B46:D46"/>
    <mergeCell ref="E46:F46"/>
    <mergeCell ref="B47:D47"/>
    <mergeCell ref="G83:H83"/>
    <mergeCell ref="K83:L83"/>
    <mergeCell ref="B79:D79"/>
    <mergeCell ref="E79:F79"/>
    <mergeCell ref="B80:D80"/>
    <mergeCell ref="E80:F80"/>
    <mergeCell ref="B81:D81"/>
    <mergeCell ref="E81:F81"/>
    <mergeCell ref="G81:H81"/>
    <mergeCell ref="G82:H82"/>
    <mergeCell ref="K81:L81"/>
    <mergeCell ref="K82:L82"/>
    <mergeCell ref="E70:F70"/>
    <mergeCell ref="B65:D65"/>
    <mergeCell ref="E65:F65"/>
    <mergeCell ref="B66:D66"/>
    <mergeCell ref="E66:F66"/>
    <mergeCell ref="B67:D67"/>
    <mergeCell ref="E67:F67"/>
    <mergeCell ref="E69:F69"/>
    <mergeCell ref="B70:D70"/>
    <mergeCell ref="B89:D89"/>
    <mergeCell ref="E89:F89"/>
    <mergeCell ref="B91:D91"/>
    <mergeCell ref="E91:F91"/>
    <mergeCell ref="B94:D94"/>
    <mergeCell ref="E94:F94"/>
    <mergeCell ref="B87:D87"/>
    <mergeCell ref="E87:F87"/>
    <mergeCell ref="B88:D88"/>
    <mergeCell ref="E88:F88"/>
    <mergeCell ref="B90:D90"/>
    <mergeCell ref="E90:F90"/>
    <mergeCell ref="B92:D92"/>
    <mergeCell ref="E92:F92"/>
    <mergeCell ref="B93:D93"/>
    <mergeCell ref="E93:F93"/>
    <mergeCell ref="B85:D85"/>
    <mergeCell ref="E85:F85"/>
    <mergeCell ref="B86:D86"/>
    <mergeCell ref="E86:F86"/>
    <mergeCell ref="B103:D103"/>
    <mergeCell ref="E103:F103"/>
    <mergeCell ref="B104:D104"/>
    <mergeCell ref="E104:F104"/>
    <mergeCell ref="B105:D105"/>
    <mergeCell ref="E105:F105"/>
    <mergeCell ref="B101:D101"/>
    <mergeCell ref="E101:F101"/>
    <mergeCell ref="B102:D102"/>
    <mergeCell ref="E102:F102"/>
    <mergeCell ref="B98:D98"/>
    <mergeCell ref="E98:F98"/>
    <mergeCell ref="B99:D99"/>
    <mergeCell ref="E99:F99"/>
    <mergeCell ref="B100:D100"/>
    <mergeCell ref="E100:F100"/>
    <mergeCell ref="B95:D95"/>
    <mergeCell ref="E95:F95"/>
    <mergeCell ref="B96:D96"/>
    <mergeCell ref="E96:F96"/>
    <mergeCell ref="B97:D97"/>
    <mergeCell ref="E97:F97"/>
    <mergeCell ref="B112:D112"/>
    <mergeCell ref="E112:F112"/>
    <mergeCell ref="B113:D113"/>
    <mergeCell ref="E113:F113"/>
    <mergeCell ref="B114:D114"/>
    <mergeCell ref="E114:F114"/>
    <mergeCell ref="B109:D109"/>
    <mergeCell ref="E109:F109"/>
    <mergeCell ref="B110:D110"/>
    <mergeCell ref="E110:F110"/>
    <mergeCell ref="B111:D111"/>
    <mergeCell ref="E111:F111"/>
    <mergeCell ref="B106:D106"/>
    <mergeCell ref="E106:F106"/>
    <mergeCell ref="B107:D107"/>
    <mergeCell ref="E107:F107"/>
    <mergeCell ref="B108:D108"/>
    <mergeCell ref="E108:F108"/>
    <mergeCell ref="B120:D120"/>
    <mergeCell ref="E120:F120"/>
    <mergeCell ref="B121:D121"/>
    <mergeCell ref="E121:F121"/>
    <mergeCell ref="B122:D122"/>
    <mergeCell ref="E122:F122"/>
    <mergeCell ref="G117:H117"/>
    <mergeCell ref="K117:L117"/>
    <mergeCell ref="B118:D118"/>
    <mergeCell ref="E118:F118"/>
    <mergeCell ref="B119:D119"/>
    <mergeCell ref="E119:F119"/>
    <mergeCell ref="B115:D115"/>
    <mergeCell ref="E115:F115"/>
    <mergeCell ref="B116:D116"/>
    <mergeCell ref="E116:F116"/>
    <mergeCell ref="B117:D117"/>
    <mergeCell ref="E117:F117"/>
    <mergeCell ref="B129:D129"/>
    <mergeCell ref="E129:F129"/>
    <mergeCell ref="B130:D130"/>
    <mergeCell ref="E130:F130"/>
    <mergeCell ref="B131:D131"/>
    <mergeCell ref="E131:F131"/>
    <mergeCell ref="B126:D126"/>
    <mergeCell ref="E126:F126"/>
    <mergeCell ref="B127:D127"/>
    <mergeCell ref="E127:F127"/>
    <mergeCell ref="B128:D128"/>
    <mergeCell ref="E128:F128"/>
    <mergeCell ref="B123:D123"/>
    <mergeCell ref="E123:F123"/>
    <mergeCell ref="B124:D124"/>
    <mergeCell ref="E124:F124"/>
    <mergeCell ref="B125:D125"/>
    <mergeCell ref="E125:F125"/>
    <mergeCell ref="B137:D137"/>
    <mergeCell ref="E137:F137"/>
    <mergeCell ref="B138:D138"/>
    <mergeCell ref="E138:F138"/>
    <mergeCell ref="B139:D139"/>
    <mergeCell ref="E139:F139"/>
    <mergeCell ref="B134:D134"/>
    <mergeCell ref="E134:F134"/>
    <mergeCell ref="B135:D135"/>
    <mergeCell ref="E135:F135"/>
    <mergeCell ref="B136:D136"/>
    <mergeCell ref="E136:F136"/>
    <mergeCell ref="B132:D132"/>
    <mergeCell ref="E132:F132"/>
    <mergeCell ref="G132:H132"/>
    <mergeCell ref="K132:L132"/>
    <mergeCell ref="B133:D133"/>
    <mergeCell ref="E133:F133"/>
    <mergeCell ref="B148:D148"/>
    <mergeCell ref="E148:F148"/>
    <mergeCell ref="B149:D149"/>
    <mergeCell ref="E149:F149"/>
    <mergeCell ref="B150:D150"/>
    <mergeCell ref="E150:F150"/>
    <mergeCell ref="B146:D146"/>
    <mergeCell ref="E146:F146"/>
    <mergeCell ref="B147:D147"/>
    <mergeCell ref="E147:F147"/>
    <mergeCell ref="B143:D143"/>
    <mergeCell ref="E143:F143"/>
    <mergeCell ref="B144:D144"/>
    <mergeCell ref="E144:F144"/>
    <mergeCell ref="B145:D145"/>
    <mergeCell ref="E145:F145"/>
    <mergeCell ref="B140:D140"/>
    <mergeCell ref="E140:F140"/>
    <mergeCell ref="B141:D141"/>
    <mergeCell ref="E141:F141"/>
    <mergeCell ref="B142:D142"/>
    <mergeCell ref="E142:F142"/>
    <mergeCell ref="B157:D157"/>
    <mergeCell ref="E157:F157"/>
    <mergeCell ref="B158:D158"/>
    <mergeCell ref="E158:F158"/>
    <mergeCell ref="B159:D159"/>
    <mergeCell ref="E159:F159"/>
    <mergeCell ref="B154:D154"/>
    <mergeCell ref="E154:F154"/>
    <mergeCell ref="B155:D155"/>
    <mergeCell ref="E155:F155"/>
    <mergeCell ref="B156:D156"/>
    <mergeCell ref="E156:F156"/>
    <mergeCell ref="B151:D151"/>
    <mergeCell ref="E151:F151"/>
    <mergeCell ref="B152:D152"/>
    <mergeCell ref="E152:F152"/>
    <mergeCell ref="B153:D153"/>
    <mergeCell ref="E153:F153"/>
    <mergeCell ref="B165:D165"/>
    <mergeCell ref="E165:F165"/>
    <mergeCell ref="B166:D166"/>
    <mergeCell ref="E166:F166"/>
    <mergeCell ref="B167:D167"/>
    <mergeCell ref="E167:F167"/>
    <mergeCell ref="G162:H162"/>
    <mergeCell ref="K162:L162"/>
    <mergeCell ref="B163:D163"/>
    <mergeCell ref="E163:F163"/>
    <mergeCell ref="B164:D164"/>
    <mergeCell ref="E164:F164"/>
    <mergeCell ref="B160:D160"/>
    <mergeCell ref="E160:F160"/>
    <mergeCell ref="B161:D161"/>
    <mergeCell ref="E161:F161"/>
    <mergeCell ref="B162:D162"/>
    <mergeCell ref="E162:F162"/>
    <mergeCell ref="B174:D174"/>
    <mergeCell ref="E174:F174"/>
    <mergeCell ref="B175:D175"/>
    <mergeCell ref="E175:F175"/>
    <mergeCell ref="B176:D176"/>
    <mergeCell ref="E176:F176"/>
    <mergeCell ref="G175:H175"/>
    <mergeCell ref="K175:L175"/>
    <mergeCell ref="B171:D171"/>
    <mergeCell ref="E171:F171"/>
    <mergeCell ref="B172:D172"/>
    <mergeCell ref="E172:F172"/>
    <mergeCell ref="B173:D173"/>
    <mergeCell ref="E173:F173"/>
    <mergeCell ref="B168:D168"/>
    <mergeCell ref="E168:F168"/>
    <mergeCell ref="B169:D169"/>
    <mergeCell ref="E169:F169"/>
    <mergeCell ref="B170:D170"/>
    <mergeCell ref="E170:F170"/>
    <mergeCell ref="B182:D182"/>
    <mergeCell ref="E182:F182"/>
    <mergeCell ref="B183:D183"/>
    <mergeCell ref="E183:F183"/>
    <mergeCell ref="B184:D184"/>
    <mergeCell ref="E184:F184"/>
    <mergeCell ref="B179:D179"/>
    <mergeCell ref="E179:F179"/>
    <mergeCell ref="B180:D180"/>
    <mergeCell ref="E180:F180"/>
    <mergeCell ref="B181:D181"/>
    <mergeCell ref="E181:F181"/>
    <mergeCell ref="B177:D177"/>
    <mergeCell ref="E177:F177"/>
    <mergeCell ref="G177:H177"/>
    <mergeCell ref="K177:L177"/>
    <mergeCell ref="B178:D178"/>
    <mergeCell ref="E178:F178"/>
    <mergeCell ref="G183:H183"/>
    <mergeCell ref="K183:L183"/>
    <mergeCell ref="G184:H184"/>
    <mergeCell ref="K184:L184"/>
    <mergeCell ref="B191:D191"/>
    <mergeCell ref="E191:F191"/>
    <mergeCell ref="B192:D192"/>
    <mergeCell ref="E192:F192"/>
    <mergeCell ref="K192:L192"/>
    <mergeCell ref="B188:D188"/>
    <mergeCell ref="E188:F188"/>
    <mergeCell ref="B189:D189"/>
    <mergeCell ref="E189:F189"/>
    <mergeCell ref="B190:D190"/>
    <mergeCell ref="E190:F190"/>
    <mergeCell ref="B185:D185"/>
    <mergeCell ref="E185:F185"/>
    <mergeCell ref="B186:D186"/>
    <mergeCell ref="E186:F186"/>
    <mergeCell ref="B187:D187"/>
    <mergeCell ref="E187:F187"/>
    <mergeCell ref="G188:H188"/>
    <mergeCell ref="K188:L188"/>
    <mergeCell ref="G189:H189"/>
    <mergeCell ref="K189:L189"/>
    <mergeCell ref="G190:H190"/>
    <mergeCell ref="K190:L190"/>
    <mergeCell ref="G185:H185"/>
    <mergeCell ref="K185:L185"/>
    <mergeCell ref="G186:H186"/>
    <mergeCell ref="K186:L186"/>
    <mergeCell ref="G187:H187"/>
    <mergeCell ref="K187:L187"/>
    <mergeCell ref="B199:D199"/>
    <mergeCell ref="E199:F199"/>
    <mergeCell ref="B200:D200"/>
    <mergeCell ref="E200:F200"/>
    <mergeCell ref="B201:D201"/>
    <mergeCell ref="E201:F201"/>
    <mergeCell ref="B196:D196"/>
    <mergeCell ref="E196:F196"/>
    <mergeCell ref="B197:D197"/>
    <mergeCell ref="E197:F197"/>
    <mergeCell ref="B198:D198"/>
    <mergeCell ref="E198:F198"/>
    <mergeCell ref="B193:D193"/>
    <mergeCell ref="E193:F193"/>
    <mergeCell ref="B194:D194"/>
    <mergeCell ref="E194:F194"/>
    <mergeCell ref="B195:D195"/>
    <mergeCell ref="E195:F195"/>
    <mergeCell ref="B210:D210"/>
    <mergeCell ref="E210:F210"/>
    <mergeCell ref="B211:D211"/>
    <mergeCell ref="E211:F211"/>
    <mergeCell ref="B212:D212"/>
    <mergeCell ref="E212:F212"/>
    <mergeCell ref="B208:D208"/>
    <mergeCell ref="E208:F208"/>
    <mergeCell ref="B209:D209"/>
    <mergeCell ref="E209:F209"/>
    <mergeCell ref="B205:D205"/>
    <mergeCell ref="E205:F205"/>
    <mergeCell ref="B206:D206"/>
    <mergeCell ref="E206:F206"/>
    <mergeCell ref="B207:D207"/>
    <mergeCell ref="E207:F207"/>
    <mergeCell ref="B202:D202"/>
    <mergeCell ref="E202:F202"/>
    <mergeCell ref="B203:D203"/>
    <mergeCell ref="E203:F203"/>
    <mergeCell ref="B204:D204"/>
    <mergeCell ref="E204:F204"/>
    <mergeCell ref="B219:D219"/>
    <mergeCell ref="E219:F219"/>
    <mergeCell ref="B220:D220"/>
    <mergeCell ref="E220:F220"/>
    <mergeCell ref="B221:D221"/>
    <mergeCell ref="E221:F221"/>
    <mergeCell ref="B216:D216"/>
    <mergeCell ref="E216:F216"/>
    <mergeCell ref="B217:D217"/>
    <mergeCell ref="E217:F217"/>
    <mergeCell ref="B218:D218"/>
    <mergeCell ref="E218:F218"/>
    <mergeCell ref="B213:D213"/>
    <mergeCell ref="E213:F213"/>
    <mergeCell ref="B214:D214"/>
    <mergeCell ref="E214:F214"/>
    <mergeCell ref="B215:D215"/>
    <mergeCell ref="E215:F215"/>
    <mergeCell ref="B227:D227"/>
    <mergeCell ref="E227:F227"/>
    <mergeCell ref="B228:D228"/>
    <mergeCell ref="E228:F228"/>
    <mergeCell ref="B229:D229"/>
    <mergeCell ref="E229:F229"/>
    <mergeCell ref="B224:D224"/>
    <mergeCell ref="E224:F224"/>
    <mergeCell ref="B225:D225"/>
    <mergeCell ref="E225:F225"/>
    <mergeCell ref="B226:D226"/>
    <mergeCell ref="E226:F226"/>
    <mergeCell ref="B222:D222"/>
    <mergeCell ref="E222:F222"/>
    <mergeCell ref="G222:H222"/>
    <mergeCell ref="K222:L222"/>
    <mergeCell ref="B223:D223"/>
    <mergeCell ref="E223:F223"/>
    <mergeCell ref="G229:H229"/>
    <mergeCell ref="K229:L229"/>
    <mergeCell ref="B236:D236"/>
    <mergeCell ref="E236:F236"/>
    <mergeCell ref="B237:D237"/>
    <mergeCell ref="E237:F237"/>
    <mergeCell ref="G237:H237"/>
    <mergeCell ref="K237:L237"/>
    <mergeCell ref="B233:D233"/>
    <mergeCell ref="E233:F233"/>
    <mergeCell ref="B234:D234"/>
    <mergeCell ref="E234:F234"/>
    <mergeCell ref="B235:D235"/>
    <mergeCell ref="E235:F235"/>
    <mergeCell ref="B230:D230"/>
    <mergeCell ref="E230:F230"/>
    <mergeCell ref="B231:D231"/>
    <mergeCell ref="E231:F231"/>
    <mergeCell ref="B232:D232"/>
    <mergeCell ref="E232:F232"/>
    <mergeCell ref="G232:H232"/>
    <mergeCell ref="K232:L232"/>
    <mergeCell ref="G233:H233"/>
    <mergeCell ref="K233:L233"/>
    <mergeCell ref="G234:H234"/>
    <mergeCell ref="K234:L234"/>
    <mergeCell ref="G235:H235"/>
    <mergeCell ref="K235:L235"/>
    <mergeCell ref="G230:H230"/>
    <mergeCell ref="K230:L230"/>
    <mergeCell ref="G231:H231"/>
    <mergeCell ref="K231:L231"/>
    <mergeCell ref="B244:D244"/>
    <mergeCell ref="E244:F244"/>
    <mergeCell ref="B245:D245"/>
    <mergeCell ref="E245:F245"/>
    <mergeCell ref="B246:D246"/>
    <mergeCell ref="E246:F246"/>
    <mergeCell ref="B241:D241"/>
    <mergeCell ref="E241:F241"/>
    <mergeCell ref="B242:D242"/>
    <mergeCell ref="E242:F242"/>
    <mergeCell ref="B243:D243"/>
    <mergeCell ref="E243:F243"/>
    <mergeCell ref="B238:D238"/>
    <mergeCell ref="E238:F238"/>
    <mergeCell ref="B239:D239"/>
    <mergeCell ref="E239:F239"/>
    <mergeCell ref="B240:D240"/>
    <mergeCell ref="E240:F240"/>
    <mergeCell ref="B253:D253"/>
    <mergeCell ref="E253:F253"/>
    <mergeCell ref="B254:D254"/>
    <mergeCell ref="E254:F254"/>
    <mergeCell ref="G257:H257"/>
    <mergeCell ref="K257:L257"/>
    <mergeCell ref="B250:D250"/>
    <mergeCell ref="E250:F250"/>
    <mergeCell ref="B251:D251"/>
    <mergeCell ref="E251:F251"/>
    <mergeCell ref="B252:D252"/>
    <mergeCell ref="E252:F252"/>
    <mergeCell ref="B247:D247"/>
    <mergeCell ref="E247:F247"/>
    <mergeCell ref="B248:D248"/>
    <mergeCell ref="E248:F248"/>
    <mergeCell ref="B249:D249"/>
    <mergeCell ref="E249:F249"/>
    <mergeCell ref="B261:D261"/>
    <mergeCell ref="E261:F261"/>
    <mergeCell ref="B262:D262"/>
    <mergeCell ref="E262:F262"/>
    <mergeCell ref="B263:D263"/>
    <mergeCell ref="E263:F263"/>
    <mergeCell ref="B258:D258"/>
    <mergeCell ref="E258:F258"/>
    <mergeCell ref="B259:D259"/>
    <mergeCell ref="E259:F259"/>
    <mergeCell ref="B260:D260"/>
    <mergeCell ref="E260:F260"/>
    <mergeCell ref="B255:D255"/>
    <mergeCell ref="E255:F255"/>
    <mergeCell ref="B256:D256"/>
    <mergeCell ref="E256:F256"/>
    <mergeCell ref="B257:D257"/>
    <mergeCell ref="E257:F257"/>
    <mergeCell ref="B269:D269"/>
    <mergeCell ref="E269:F269"/>
    <mergeCell ref="B270:D270"/>
    <mergeCell ref="E270:F270"/>
    <mergeCell ref="B271:D271"/>
    <mergeCell ref="E271:F271"/>
    <mergeCell ref="B267:D267"/>
    <mergeCell ref="E267:F267"/>
    <mergeCell ref="G267:H267"/>
    <mergeCell ref="K267:L267"/>
    <mergeCell ref="B268:D268"/>
    <mergeCell ref="E268:F268"/>
    <mergeCell ref="B264:D264"/>
    <mergeCell ref="E264:F264"/>
    <mergeCell ref="B265:D265"/>
    <mergeCell ref="E265:F265"/>
    <mergeCell ref="B266:D266"/>
    <mergeCell ref="E266:F266"/>
    <mergeCell ref="B278:D278"/>
    <mergeCell ref="E278:F278"/>
    <mergeCell ref="B279:D279"/>
    <mergeCell ref="E279:F279"/>
    <mergeCell ref="B280:D280"/>
    <mergeCell ref="E280:F280"/>
    <mergeCell ref="B275:D275"/>
    <mergeCell ref="E275:F275"/>
    <mergeCell ref="B276:D276"/>
    <mergeCell ref="E276:F276"/>
    <mergeCell ref="B277:D277"/>
    <mergeCell ref="E277:F277"/>
    <mergeCell ref="G279:H279"/>
    <mergeCell ref="K279:L279"/>
    <mergeCell ref="G280:H280"/>
    <mergeCell ref="K280:L280"/>
    <mergeCell ref="B272:D272"/>
    <mergeCell ref="E272:F272"/>
    <mergeCell ref="B273:D273"/>
    <mergeCell ref="E273:F273"/>
    <mergeCell ref="B274:D274"/>
    <mergeCell ref="E274:F274"/>
    <mergeCell ref="B286:D286"/>
    <mergeCell ref="E286:F286"/>
    <mergeCell ref="B287:D287"/>
    <mergeCell ref="E287:F287"/>
    <mergeCell ref="B288:D288"/>
    <mergeCell ref="E288:F288"/>
    <mergeCell ref="B283:D283"/>
    <mergeCell ref="E283:F283"/>
    <mergeCell ref="B284:D284"/>
    <mergeCell ref="E284:F284"/>
    <mergeCell ref="B285:D285"/>
    <mergeCell ref="E285:F285"/>
    <mergeCell ref="B281:D281"/>
    <mergeCell ref="E281:F281"/>
    <mergeCell ref="B282:D282"/>
    <mergeCell ref="E282:F282"/>
    <mergeCell ref="G282:H282"/>
    <mergeCell ref="B295:D295"/>
    <mergeCell ref="E295:F295"/>
    <mergeCell ref="B296:D296"/>
    <mergeCell ref="E296:F296"/>
    <mergeCell ref="B297:D297"/>
    <mergeCell ref="E297:F297"/>
    <mergeCell ref="B292:D292"/>
    <mergeCell ref="E292:F292"/>
    <mergeCell ref="B293:D293"/>
    <mergeCell ref="E293:F293"/>
    <mergeCell ref="B294:D294"/>
    <mergeCell ref="E294:F294"/>
    <mergeCell ref="B289:D289"/>
    <mergeCell ref="E289:F289"/>
    <mergeCell ref="B290:D290"/>
    <mergeCell ref="E290:F290"/>
    <mergeCell ref="B291:D291"/>
    <mergeCell ref="E291:F291"/>
    <mergeCell ref="B300:D300"/>
    <mergeCell ref="E300:F300"/>
    <mergeCell ref="B301:D301"/>
    <mergeCell ref="E301:F301"/>
    <mergeCell ref="B302:D302"/>
    <mergeCell ref="E302:F302"/>
    <mergeCell ref="G297:H297"/>
    <mergeCell ref="K297:L297"/>
    <mergeCell ref="B298:D298"/>
    <mergeCell ref="E298:F298"/>
    <mergeCell ref="B299:D299"/>
    <mergeCell ref="E299:F299"/>
    <mergeCell ref="G298:H298"/>
    <mergeCell ref="K298:L298"/>
    <mergeCell ref="G299:H299"/>
    <mergeCell ref="K299:L299"/>
    <mergeCell ref="G300:H300"/>
    <mergeCell ref="K300:L300"/>
    <mergeCell ref="G301:H301"/>
    <mergeCell ref="K301:L301"/>
    <mergeCell ref="G302:H302"/>
    <mergeCell ref="K302:L302"/>
    <mergeCell ref="B309:D309"/>
    <mergeCell ref="E309:F309"/>
    <mergeCell ref="B310:D310"/>
    <mergeCell ref="E310:F310"/>
    <mergeCell ref="B311:D311"/>
    <mergeCell ref="E311:F311"/>
    <mergeCell ref="B306:D306"/>
    <mergeCell ref="E306:F306"/>
    <mergeCell ref="B307:D307"/>
    <mergeCell ref="E307:F307"/>
    <mergeCell ref="B308:D308"/>
    <mergeCell ref="E308:F308"/>
    <mergeCell ref="B303:D303"/>
    <mergeCell ref="E303:F303"/>
    <mergeCell ref="B304:D304"/>
    <mergeCell ref="E304:F304"/>
    <mergeCell ref="B305:D305"/>
    <mergeCell ref="E305:F305"/>
    <mergeCell ref="B317:D317"/>
    <mergeCell ref="E317:F317"/>
    <mergeCell ref="B318:D318"/>
    <mergeCell ref="E318:F318"/>
    <mergeCell ref="B319:D319"/>
    <mergeCell ref="E319:F319"/>
    <mergeCell ref="B314:D314"/>
    <mergeCell ref="E314:F314"/>
    <mergeCell ref="B315:D315"/>
    <mergeCell ref="E315:F315"/>
    <mergeCell ref="B316:D316"/>
    <mergeCell ref="E316:F316"/>
    <mergeCell ref="B312:D312"/>
    <mergeCell ref="E312:F312"/>
    <mergeCell ref="G312:H312"/>
    <mergeCell ref="K312:L312"/>
    <mergeCell ref="B313:D313"/>
    <mergeCell ref="E313:F313"/>
    <mergeCell ref="G319:H319"/>
    <mergeCell ref="K319:L319"/>
    <mergeCell ref="K331:L331"/>
    <mergeCell ref="B320:D320"/>
    <mergeCell ref="E320:F320"/>
    <mergeCell ref="B321:D321"/>
    <mergeCell ref="E321:F321"/>
    <mergeCell ref="B322:D322"/>
    <mergeCell ref="E322:F322"/>
    <mergeCell ref="G324:H324"/>
    <mergeCell ref="K324:L324"/>
    <mergeCell ref="G325:H325"/>
    <mergeCell ref="K325:L325"/>
    <mergeCell ref="G320:H320"/>
    <mergeCell ref="K320:L320"/>
    <mergeCell ref="G321:H321"/>
    <mergeCell ref="K321:L321"/>
    <mergeCell ref="G322:H322"/>
    <mergeCell ref="K322:L322"/>
    <mergeCell ref="K323:L323"/>
    <mergeCell ref="E326:F326"/>
    <mergeCell ref="K330:L330"/>
    <mergeCell ref="K398:L398"/>
    <mergeCell ref="E399:F399"/>
    <mergeCell ref="B400:D400"/>
    <mergeCell ref="E400:F400"/>
    <mergeCell ref="B394:D394"/>
    <mergeCell ref="E394:F394"/>
    <mergeCell ref="B395:D395"/>
    <mergeCell ref="E395:F395"/>
    <mergeCell ref="E396:F396"/>
    <mergeCell ref="E397:F397"/>
    <mergeCell ref="B397:D397"/>
    <mergeCell ref="B375:C375"/>
    <mergeCell ref="G375:H375"/>
    <mergeCell ref="E380:F380"/>
    <mergeCell ref="B384:D384"/>
    <mergeCell ref="E384:F384"/>
    <mergeCell ref="B385:D385"/>
    <mergeCell ref="E385:F385"/>
    <mergeCell ref="B381:D381"/>
    <mergeCell ref="E381:F381"/>
    <mergeCell ref="E389:F389"/>
    <mergeCell ref="B391:D391"/>
    <mergeCell ref="E391:F391"/>
    <mergeCell ref="B392:D392"/>
    <mergeCell ref="E392:F392"/>
    <mergeCell ref="B393:D393"/>
    <mergeCell ref="E393:F393"/>
    <mergeCell ref="B386:D386"/>
    <mergeCell ref="E386:F386"/>
    <mergeCell ref="B387:D387"/>
    <mergeCell ref="E387:F387"/>
    <mergeCell ref="B388:D388"/>
    <mergeCell ref="E388:F388"/>
    <mergeCell ref="G404:H404"/>
    <mergeCell ref="B401:D401"/>
    <mergeCell ref="E401:F401"/>
    <mergeCell ref="B402:D402"/>
    <mergeCell ref="E402:F402"/>
    <mergeCell ref="E403:F403"/>
    <mergeCell ref="E404:F404"/>
    <mergeCell ref="B398:D398"/>
    <mergeCell ref="E398:F398"/>
    <mergeCell ref="G398:H398"/>
    <mergeCell ref="G362:H362"/>
    <mergeCell ref="B363:C363"/>
    <mergeCell ref="G363:H363"/>
    <mergeCell ref="E368:F368"/>
    <mergeCell ref="E370:F370"/>
    <mergeCell ref="B374:C374"/>
    <mergeCell ref="G374:H374"/>
    <mergeCell ref="B26:D26"/>
    <mergeCell ref="B27:D27"/>
    <mergeCell ref="B28:D28"/>
    <mergeCell ref="G68:H68"/>
    <mergeCell ref="K67:L67"/>
    <mergeCell ref="K68:L68"/>
    <mergeCell ref="G78:H78"/>
    <mergeCell ref="G79:H79"/>
    <mergeCell ref="G80:H80"/>
    <mergeCell ref="K78:L78"/>
    <mergeCell ref="K79:L79"/>
    <mergeCell ref="K80:L80"/>
    <mergeCell ref="B76:D76"/>
    <mergeCell ref="E76:F76"/>
    <mergeCell ref="B77:D77"/>
    <mergeCell ref="E77:F77"/>
    <mergeCell ref="B78:D78"/>
    <mergeCell ref="E78:F78"/>
    <mergeCell ref="B73:D73"/>
    <mergeCell ref="E73:F73"/>
    <mergeCell ref="B62:D62"/>
    <mergeCell ref="E62:F62"/>
    <mergeCell ref="B63:D63"/>
    <mergeCell ref="E63:F63"/>
    <mergeCell ref="B64:D64"/>
    <mergeCell ref="E64:F64"/>
    <mergeCell ref="B59:D59"/>
    <mergeCell ref="E59:F59"/>
    <mergeCell ref="B60:D60"/>
    <mergeCell ref="E60:F60"/>
    <mergeCell ref="B61:D61"/>
    <mergeCell ref="E61:F61"/>
    <mergeCell ref="G99:H99"/>
    <mergeCell ref="G100:H100"/>
    <mergeCell ref="K99:L99"/>
    <mergeCell ref="K100:L100"/>
    <mergeCell ref="G107:H107"/>
    <mergeCell ref="E358:F358"/>
    <mergeCell ref="B362:C362"/>
    <mergeCell ref="B350:D350"/>
    <mergeCell ref="E350:F350"/>
    <mergeCell ref="B351:D351"/>
    <mergeCell ref="E351:F351"/>
    <mergeCell ref="B352:D352"/>
    <mergeCell ref="E352:F352"/>
    <mergeCell ref="B347:D347"/>
    <mergeCell ref="E347:F347"/>
    <mergeCell ref="B348:D348"/>
    <mergeCell ref="E348:F348"/>
    <mergeCell ref="B349:D349"/>
    <mergeCell ref="E349:F349"/>
    <mergeCell ref="B344:D344"/>
    <mergeCell ref="E344:F344"/>
    <mergeCell ref="B345:D345"/>
    <mergeCell ref="E345:F345"/>
    <mergeCell ref="B346:D346"/>
    <mergeCell ref="E346:F346"/>
    <mergeCell ref="B353:D353"/>
    <mergeCell ref="B355:D355"/>
    <mergeCell ref="E355:F355"/>
    <mergeCell ref="B354:D354"/>
    <mergeCell ref="E354:F354"/>
    <mergeCell ref="E353:F353"/>
    <mergeCell ref="G331:H331"/>
    <mergeCell ref="G48:H48"/>
    <mergeCell ref="G49:H49"/>
    <mergeCell ref="G50:H50"/>
    <mergeCell ref="G51:H51"/>
    <mergeCell ref="G52:H52"/>
    <mergeCell ref="G53:H53"/>
    <mergeCell ref="K48:L48"/>
    <mergeCell ref="K49:L49"/>
    <mergeCell ref="K50:L50"/>
    <mergeCell ref="K51:L51"/>
    <mergeCell ref="K52:L52"/>
    <mergeCell ref="K53:L53"/>
    <mergeCell ref="K70:L70"/>
    <mergeCell ref="G85:H85"/>
    <mergeCell ref="B74:D74"/>
    <mergeCell ref="E74:F74"/>
    <mergeCell ref="B75:D75"/>
    <mergeCell ref="E75:F75"/>
    <mergeCell ref="G70:H70"/>
    <mergeCell ref="B71:D71"/>
    <mergeCell ref="E71:F71"/>
    <mergeCell ref="B72:D72"/>
    <mergeCell ref="E72:F72"/>
    <mergeCell ref="B68:D68"/>
    <mergeCell ref="E68:F68"/>
    <mergeCell ref="B69:D69"/>
    <mergeCell ref="B82:D82"/>
    <mergeCell ref="E82:F82"/>
    <mergeCell ref="B83:D83"/>
    <mergeCell ref="E83:F83"/>
    <mergeCell ref="B84:D84"/>
    <mergeCell ref="E84:F84"/>
    <mergeCell ref="G128:H128"/>
    <mergeCell ref="G129:H129"/>
    <mergeCell ref="G130:H130"/>
    <mergeCell ref="K128:L128"/>
    <mergeCell ref="K129:L129"/>
    <mergeCell ref="K130:L130"/>
    <mergeCell ref="G142:H142"/>
    <mergeCell ref="G143:H143"/>
    <mergeCell ref="G144:H144"/>
    <mergeCell ref="G112:H112"/>
    <mergeCell ref="G113:H113"/>
    <mergeCell ref="G114:H114"/>
    <mergeCell ref="G115:H115"/>
    <mergeCell ref="K107:L107"/>
    <mergeCell ref="K108:L108"/>
    <mergeCell ref="K109:L109"/>
    <mergeCell ref="K110:L110"/>
    <mergeCell ref="K111:L111"/>
    <mergeCell ref="K112:L112"/>
    <mergeCell ref="K113:L113"/>
    <mergeCell ref="K114:L114"/>
    <mergeCell ref="K115:L115"/>
    <mergeCell ref="G108:H108"/>
    <mergeCell ref="G109:H109"/>
    <mergeCell ref="G110:H110"/>
    <mergeCell ref="G111:H111"/>
    <mergeCell ref="G154:H154"/>
    <mergeCell ref="K154:L154"/>
    <mergeCell ref="G155:H155"/>
    <mergeCell ref="K155:L155"/>
    <mergeCell ref="G156:H156"/>
    <mergeCell ref="K156:L156"/>
    <mergeCell ref="G157:H157"/>
    <mergeCell ref="K157:L157"/>
    <mergeCell ref="G158:H158"/>
    <mergeCell ref="K158:L158"/>
    <mergeCell ref="G145:H145"/>
    <mergeCell ref="K142:L142"/>
    <mergeCell ref="K143:L143"/>
    <mergeCell ref="K144:L144"/>
    <mergeCell ref="K145:L145"/>
    <mergeCell ref="G152:H152"/>
    <mergeCell ref="K152:L152"/>
    <mergeCell ref="G153:H153"/>
    <mergeCell ref="K153:L153"/>
    <mergeCell ref="G217:H217"/>
    <mergeCell ref="K217:L217"/>
    <mergeCell ref="G218:H218"/>
    <mergeCell ref="K218:L218"/>
    <mergeCell ref="G219:H219"/>
    <mergeCell ref="K219:L219"/>
    <mergeCell ref="G220:H220"/>
    <mergeCell ref="K220:L220"/>
    <mergeCell ref="G159:H159"/>
    <mergeCell ref="K159:L159"/>
    <mergeCell ref="G160:H160"/>
    <mergeCell ref="K160:L160"/>
    <mergeCell ref="G172:H172"/>
    <mergeCell ref="K172:L172"/>
    <mergeCell ref="G173:H173"/>
    <mergeCell ref="K173:L173"/>
    <mergeCell ref="G174:H174"/>
    <mergeCell ref="K174:L174"/>
    <mergeCell ref="G204:H204"/>
    <mergeCell ref="K204:L204"/>
    <mergeCell ref="G205:H205"/>
    <mergeCell ref="K205:L205"/>
    <mergeCell ref="G213:H213"/>
    <mergeCell ref="K213:L213"/>
    <mergeCell ref="G214:H214"/>
    <mergeCell ref="K214:L214"/>
    <mergeCell ref="G246:H246"/>
    <mergeCell ref="K246:L246"/>
    <mergeCell ref="G247:H247"/>
    <mergeCell ref="K247:L247"/>
    <mergeCell ref="G248:H248"/>
    <mergeCell ref="K248:L248"/>
    <mergeCell ref="G249:H249"/>
    <mergeCell ref="K249:L249"/>
    <mergeCell ref="G250:H250"/>
    <mergeCell ref="K250:L250"/>
    <mergeCell ref="G252:H252"/>
    <mergeCell ref="K252:L252"/>
    <mergeCell ref="G215:H215"/>
    <mergeCell ref="K215:L215"/>
    <mergeCell ref="G207:H207"/>
    <mergeCell ref="K207:L207"/>
    <mergeCell ref="G199:H199"/>
    <mergeCell ref="K199:L199"/>
    <mergeCell ref="G200:H200"/>
    <mergeCell ref="K200:L200"/>
    <mergeCell ref="G201:H201"/>
    <mergeCell ref="K201:L201"/>
    <mergeCell ref="G202:H202"/>
    <mergeCell ref="K202:L202"/>
    <mergeCell ref="G203:H203"/>
    <mergeCell ref="K203:L203"/>
    <mergeCell ref="G227:H227"/>
    <mergeCell ref="K227:L227"/>
    <mergeCell ref="G228:H228"/>
    <mergeCell ref="K228:L228"/>
    <mergeCell ref="G216:H216"/>
    <mergeCell ref="K216:L216"/>
    <mergeCell ref="G263:H263"/>
    <mergeCell ref="K263:L263"/>
    <mergeCell ref="G264:H264"/>
    <mergeCell ref="K264:L264"/>
    <mergeCell ref="G265:H265"/>
    <mergeCell ref="K265:L265"/>
    <mergeCell ref="G277:H277"/>
    <mergeCell ref="K277:L277"/>
    <mergeCell ref="G278:H278"/>
    <mergeCell ref="K278:L278"/>
    <mergeCell ref="K282:L282"/>
    <mergeCell ref="G258:H258"/>
    <mergeCell ref="K258:L258"/>
    <mergeCell ref="G259:H259"/>
    <mergeCell ref="K259:L259"/>
    <mergeCell ref="G260:H260"/>
    <mergeCell ref="K260:L260"/>
    <mergeCell ref="G261:H261"/>
    <mergeCell ref="K261:L261"/>
    <mergeCell ref="G262:H262"/>
    <mergeCell ref="K262:L262"/>
    <mergeCell ref="G341:H341"/>
    <mergeCell ref="K341:L341"/>
    <mergeCell ref="B342:D342"/>
    <mergeCell ref="G335:H335"/>
    <mergeCell ref="K335:L335"/>
    <mergeCell ref="G336:H336"/>
    <mergeCell ref="K336:L336"/>
    <mergeCell ref="G337:H337"/>
    <mergeCell ref="K337:L337"/>
    <mergeCell ref="G338:H338"/>
    <mergeCell ref="K338:L338"/>
    <mergeCell ref="G339:H339"/>
    <mergeCell ref="K339:L339"/>
    <mergeCell ref="G308:H308"/>
    <mergeCell ref="G291:H291"/>
    <mergeCell ref="K291:L291"/>
    <mergeCell ref="G292:H292"/>
    <mergeCell ref="K292:L292"/>
    <mergeCell ref="G293:H293"/>
    <mergeCell ref="K293:L293"/>
    <mergeCell ref="G294:H294"/>
    <mergeCell ref="K294:L294"/>
    <mergeCell ref="G295:H295"/>
    <mergeCell ref="K295:L295"/>
    <mergeCell ref="B329:D329"/>
    <mergeCell ref="E329:F329"/>
    <mergeCell ref="B330:D330"/>
    <mergeCell ref="E330:F330"/>
    <mergeCell ref="B331:D331"/>
    <mergeCell ref="E331:F331"/>
    <mergeCell ref="B326:D326"/>
    <mergeCell ref="E342:F342"/>
    <mergeCell ref="G303:H303"/>
    <mergeCell ref="K303:L303"/>
    <mergeCell ref="G304:H304"/>
    <mergeCell ref="K304:L304"/>
    <mergeCell ref="G305:H305"/>
    <mergeCell ref="K305:L305"/>
    <mergeCell ref="G306:H306"/>
    <mergeCell ref="K306:L306"/>
    <mergeCell ref="G307:H307"/>
    <mergeCell ref="K307:L307"/>
    <mergeCell ref="B340:D340"/>
    <mergeCell ref="B335:D335"/>
    <mergeCell ref="E335:F335"/>
    <mergeCell ref="B336:D336"/>
    <mergeCell ref="K332:L332"/>
    <mergeCell ref="G333:H333"/>
    <mergeCell ref="K333:L333"/>
    <mergeCell ref="B327:D327"/>
    <mergeCell ref="E327:F327"/>
    <mergeCell ref="G327:H327"/>
    <mergeCell ref="G332:H332"/>
    <mergeCell ref="K327:L327"/>
    <mergeCell ref="B323:D323"/>
    <mergeCell ref="E323:F323"/>
    <mergeCell ref="B324:D324"/>
    <mergeCell ref="E324:F324"/>
    <mergeCell ref="B325:D325"/>
    <mergeCell ref="E325:F325"/>
    <mergeCell ref="G329:H329"/>
    <mergeCell ref="K329:L329"/>
    <mergeCell ref="G330:H330"/>
    <mergeCell ref="G323:H323"/>
    <mergeCell ref="L5:M5"/>
    <mergeCell ref="K308:L308"/>
    <mergeCell ref="G309:H309"/>
    <mergeCell ref="K309:L309"/>
    <mergeCell ref="G310:H310"/>
    <mergeCell ref="K310:L310"/>
    <mergeCell ref="G317:H317"/>
    <mergeCell ref="K317:L317"/>
    <mergeCell ref="G318:H318"/>
    <mergeCell ref="K318:L318"/>
    <mergeCell ref="G353:H353"/>
    <mergeCell ref="K353:L353"/>
    <mergeCell ref="G354:H354"/>
    <mergeCell ref="K354:L354"/>
    <mergeCell ref="E336:F336"/>
    <mergeCell ref="B337:D337"/>
    <mergeCell ref="E337:F337"/>
    <mergeCell ref="B332:D332"/>
    <mergeCell ref="E332:F332"/>
    <mergeCell ref="B333:D333"/>
    <mergeCell ref="E333:F333"/>
    <mergeCell ref="E334:F334"/>
    <mergeCell ref="E328:F328"/>
    <mergeCell ref="B343:D343"/>
    <mergeCell ref="E343:F343"/>
    <mergeCell ref="B338:D338"/>
    <mergeCell ref="E338:F338"/>
    <mergeCell ref="B339:D339"/>
    <mergeCell ref="E339:F339"/>
    <mergeCell ref="E340:F340"/>
    <mergeCell ref="B341:D341"/>
    <mergeCell ref="E341:F341"/>
  </mergeCells>
  <conditionalFormatting sqref="M41:M54 M87:M89 I87:I89 I91 M91 M94:M100 I94:I100">
    <cfRule type="expression" dxfId="1157" priority="293">
      <formula>IF(ISBLANK(H41),FALSE,TRUE)</formula>
    </cfRule>
  </conditionalFormatting>
  <conditionalFormatting sqref="I41:I54">
    <cfRule type="expression" dxfId="1156" priority="292">
      <formula>IF(ISBLANK(H41),FALSE,TRUE)</formula>
    </cfRule>
  </conditionalFormatting>
  <conditionalFormatting sqref="M56:M68">
    <cfRule type="expression" dxfId="1155" priority="291">
      <formula>IF(ISBLANK(L56),FALSE,TRUE)</formula>
    </cfRule>
  </conditionalFormatting>
  <conditionalFormatting sqref="I56:I68">
    <cfRule type="expression" dxfId="1154" priority="290">
      <formula>IF(ISBLANK(H56),FALSE,TRUE)</formula>
    </cfRule>
  </conditionalFormatting>
  <conditionalFormatting sqref="M71:M83">
    <cfRule type="expression" dxfId="1153" priority="289">
      <formula>IF(ISBLANK(L71),FALSE,TRUE)</formula>
    </cfRule>
  </conditionalFormatting>
  <conditionalFormatting sqref="I71:I83">
    <cfRule type="expression" dxfId="1152" priority="288">
      <formula>IF(ISBLANK(H71),FALSE,TRUE)</formula>
    </cfRule>
  </conditionalFormatting>
  <conditionalFormatting sqref="M69">
    <cfRule type="expression" dxfId="1151" priority="287">
      <formula>IF(ISBLANK(L69),FALSE,TRUE)</formula>
    </cfRule>
  </conditionalFormatting>
  <conditionalFormatting sqref="I69">
    <cfRule type="expression" dxfId="1150" priority="286">
      <formula>IF(ISBLANK(H69),FALSE,TRUE)</formula>
    </cfRule>
  </conditionalFormatting>
  <conditionalFormatting sqref="M84">
    <cfRule type="expression" dxfId="1149" priority="285">
      <formula>IF(ISBLANK(L84),FALSE,TRUE)</formula>
    </cfRule>
  </conditionalFormatting>
  <conditionalFormatting sqref="I84">
    <cfRule type="expression" dxfId="1148" priority="284">
      <formula>IF(ISBLANK(H84),FALSE,TRUE)</formula>
    </cfRule>
  </conditionalFormatting>
  <conditionalFormatting sqref="M86">
    <cfRule type="expression" dxfId="1147" priority="283">
      <formula>IF(ISBLANK(L86),FALSE,TRUE)</formula>
    </cfRule>
  </conditionalFormatting>
  <conditionalFormatting sqref="I86">
    <cfRule type="expression" dxfId="1146" priority="282">
      <formula>IF(ISBLANK(H86),FALSE,TRUE)</formula>
    </cfRule>
  </conditionalFormatting>
  <conditionalFormatting sqref="M103:M115">
    <cfRule type="expression" dxfId="1145" priority="279">
      <formula>IF(ISBLANK(L103),FALSE,TRUE)</formula>
    </cfRule>
  </conditionalFormatting>
  <conditionalFormatting sqref="I103:I115">
    <cfRule type="expression" dxfId="1144" priority="278">
      <formula>IF(ISBLANK(H103),FALSE,TRUE)</formula>
    </cfRule>
  </conditionalFormatting>
  <conditionalFormatting sqref="M118:M130">
    <cfRule type="expression" dxfId="1143" priority="275">
      <formula>IF(ISBLANK(L118),FALSE,TRUE)</formula>
    </cfRule>
  </conditionalFormatting>
  <conditionalFormatting sqref="I118:I130">
    <cfRule type="expression" dxfId="1142" priority="274">
      <formula>IF(ISBLANK(H118),FALSE,TRUE)</formula>
    </cfRule>
  </conditionalFormatting>
  <conditionalFormatting sqref="M133:M145">
    <cfRule type="expression" dxfId="1141" priority="271">
      <formula>IF(ISBLANK(L133),FALSE,TRUE)</formula>
    </cfRule>
  </conditionalFormatting>
  <conditionalFormatting sqref="I133:I145">
    <cfRule type="expression" dxfId="1140" priority="270">
      <formula>IF(ISBLANK(H133),FALSE,TRUE)</formula>
    </cfRule>
  </conditionalFormatting>
  <conditionalFormatting sqref="M194:M198">
    <cfRule type="expression" dxfId="1139" priority="134">
      <formula>IF(ISBLANK(L194),FALSE,TRUE)</formula>
    </cfRule>
  </conditionalFormatting>
  <conditionalFormatting sqref="I194:I198">
    <cfRule type="expression" dxfId="1138" priority="133">
      <formula>IF(ISBLANK(H194),FALSE,TRUE)</formula>
    </cfRule>
  </conditionalFormatting>
  <conditionalFormatting sqref="M183:M190">
    <cfRule type="expression" dxfId="1137" priority="142">
      <formula>IF(ISBLANK(L183),FALSE,TRUE)</formula>
    </cfRule>
  </conditionalFormatting>
  <conditionalFormatting sqref="M176">
    <cfRule type="expression" dxfId="1136" priority="152">
      <formula>IF(ISBLANK(L176),FALSE,TRUE)</formula>
    </cfRule>
  </conditionalFormatting>
  <conditionalFormatting sqref="I176">
    <cfRule type="expression" dxfId="1135" priority="151">
      <formula>IF(ISBLANK(H176),FALSE,TRUE)</formula>
    </cfRule>
  </conditionalFormatting>
  <conditionalFormatting sqref="I163">
    <cfRule type="expression" dxfId="1134" priority="161">
      <formula>IF(ISBLANK(H163),FALSE,TRUE)</formula>
    </cfRule>
  </conditionalFormatting>
  <conditionalFormatting sqref="M149:M151">
    <cfRule type="expression" dxfId="1133" priority="170">
      <formula>IF(ISBLANK(L149),FALSE,TRUE)</formula>
    </cfRule>
  </conditionalFormatting>
  <conditionalFormatting sqref="I149:I151">
    <cfRule type="expression" dxfId="1132" priority="169">
      <formula>IF(ISBLANK(H149),FALSE,TRUE)</formula>
    </cfRule>
  </conditionalFormatting>
  <conditionalFormatting sqref="I131">
    <cfRule type="expression" dxfId="1131" priority="244">
      <formula>IF(ISBLANK(H131),FALSE,TRUE)</formula>
    </cfRule>
  </conditionalFormatting>
  <conditionalFormatting sqref="I146">
    <cfRule type="expression" dxfId="1130" priority="242">
      <formula>IF(ISBLANK(H146),FALSE,TRUE)</formula>
    </cfRule>
  </conditionalFormatting>
  <conditionalFormatting sqref="M101">
    <cfRule type="expression" dxfId="1129" priority="249">
      <formula>IF(ISBLANK(L101),FALSE,TRUE)</formula>
    </cfRule>
  </conditionalFormatting>
  <conditionalFormatting sqref="I101">
    <cfRule type="expression" dxfId="1128" priority="248">
      <formula>IF(ISBLANK(H101),FALSE,TRUE)</formula>
    </cfRule>
  </conditionalFormatting>
  <conditionalFormatting sqref="M116">
    <cfRule type="expression" dxfId="1127" priority="247">
      <formula>IF(ISBLANK(L116),FALSE,TRUE)</formula>
    </cfRule>
  </conditionalFormatting>
  <conditionalFormatting sqref="I116">
    <cfRule type="expression" dxfId="1126" priority="246">
      <formula>IF(ISBLANK(H116),FALSE,TRUE)</formula>
    </cfRule>
  </conditionalFormatting>
  <conditionalFormatting sqref="M131">
    <cfRule type="expression" dxfId="1125" priority="245">
      <formula>IF(ISBLANK(L131),FALSE,TRUE)</formula>
    </cfRule>
  </conditionalFormatting>
  <conditionalFormatting sqref="M146">
    <cfRule type="expression" dxfId="1124" priority="243">
      <formula>IF(ISBLANK(L146),FALSE,TRUE)</formula>
    </cfRule>
  </conditionalFormatting>
  <conditionalFormatting sqref="I224:I226">
    <cfRule type="expression" dxfId="1123" priority="109">
      <formula>IF(ISBLANK(H224),FALSE,TRUE)</formula>
    </cfRule>
  </conditionalFormatting>
  <conditionalFormatting sqref="M213:M220">
    <cfRule type="expression" dxfId="1122" priority="118">
      <formula>IF(ISBLANK(L213),FALSE,TRUE)</formula>
    </cfRule>
  </conditionalFormatting>
  <conditionalFormatting sqref="I199:I205">
    <cfRule type="expression" dxfId="1121" priority="129">
      <formula>IF(ISBLANK(H199),FALSE,TRUE)</formula>
    </cfRule>
  </conditionalFormatting>
  <conditionalFormatting sqref="M206">
    <cfRule type="expression" dxfId="1120" priority="128">
      <formula>IF(ISBLANK(L206),FALSE,TRUE)</formula>
    </cfRule>
  </conditionalFormatting>
  <conditionalFormatting sqref="I191">
    <cfRule type="expression" dxfId="1119" priority="139">
      <formula>IF(ISBLANK(H191),FALSE,TRUE)</formula>
    </cfRule>
  </conditionalFormatting>
  <conditionalFormatting sqref="M193">
    <cfRule type="expression" dxfId="1118" priority="138">
      <formula>IF(ISBLANK(L193),FALSE,TRUE)</formula>
    </cfRule>
  </conditionalFormatting>
  <conditionalFormatting sqref="I178">
    <cfRule type="expression" dxfId="1117" priority="149">
      <formula>IF(ISBLANK(H178),FALSE,TRUE)</formula>
    </cfRule>
  </conditionalFormatting>
  <conditionalFormatting sqref="M164:M171">
    <cfRule type="expression" dxfId="1116" priority="158">
      <formula>IF(ISBLANK(L164),FALSE,TRUE)</formula>
    </cfRule>
  </conditionalFormatting>
  <conditionalFormatting sqref="G41:G47 G87:G89 K87:K89 K91 G91 G94:G98 K94:K98">
    <cfRule type="expression" dxfId="1115" priority="207">
      <formula>H41&lt;&gt;""</formula>
    </cfRule>
  </conditionalFormatting>
  <conditionalFormatting sqref="G56:G66">
    <cfRule type="expression" dxfId="1114" priority="206">
      <formula>H56&lt;&gt;""</formula>
    </cfRule>
  </conditionalFormatting>
  <conditionalFormatting sqref="G71:G77 G86 G103:G106 G118:G127 G133:G141">
    <cfRule type="expression" dxfId="1113" priority="205">
      <formula>H71&lt;&gt;""</formula>
    </cfRule>
  </conditionalFormatting>
  <conditionalFormatting sqref="K41:K47 K56:K66 K71:K77 K86 K103:K106 K118:K127 K133:K141">
    <cfRule type="expression" dxfId="1112" priority="204">
      <formula>L41&lt;&gt;""</formula>
    </cfRule>
  </conditionalFormatting>
  <conditionalFormatting sqref="M90 I90">
    <cfRule type="expression" dxfId="1111" priority="195">
      <formula>IF(ISBLANK(H90),FALSE,TRUE)</formula>
    </cfRule>
  </conditionalFormatting>
  <conditionalFormatting sqref="G90 K90">
    <cfRule type="expression" dxfId="1110" priority="194">
      <formula>H90&lt;&gt;""</formula>
    </cfRule>
  </conditionalFormatting>
  <conditionalFormatting sqref="I92 M92">
    <cfRule type="expression" dxfId="1109" priority="193">
      <formula>IF(ISBLANK(H92),FALSE,TRUE)</formula>
    </cfRule>
  </conditionalFormatting>
  <conditionalFormatting sqref="K92 G92">
    <cfRule type="expression" dxfId="1108" priority="192">
      <formula>H92&lt;&gt;""</formula>
    </cfRule>
  </conditionalFormatting>
  <conditionalFormatting sqref="I93 M93">
    <cfRule type="expression" dxfId="1107" priority="191">
      <formula>IF(ISBLANK(H93),FALSE,TRUE)</formula>
    </cfRule>
  </conditionalFormatting>
  <conditionalFormatting sqref="K93 G93">
    <cfRule type="expression" dxfId="1106" priority="190">
      <formula>H93&lt;&gt;""</formula>
    </cfRule>
  </conditionalFormatting>
  <conditionalFormatting sqref="K313">
    <cfRule type="expression" dxfId="1105" priority="47">
      <formula>L313&lt;&gt;""</formula>
    </cfRule>
  </conditionalFormatting>
  <conditionalFormatting sqref="G314:G316">
    <cfRule type="expression" dxfId="1104" priority="44">
      <formula>H314&lt;&gt;""</formula>
    </cfRule>
  </conditionalFormatting>
  <conditionalFormatting sqref="K314:K316">
    <cfRule type="expression" dxfId="1103" priority="43">
      <formula>L314&lt;&gt;""</formula>
    </cfRule>
  </conditionalFormatting>
  <conditionalFormatting sqref="G328">
    <cfRule type="expression" dxfId="1102" priority="34">
      <formula>H328&lt;&gt;""</formula>
    </cfRule>
  </conditionalFormatting>
  <conditionalFormatting sqref="K328">
    <cfRule type="expression" dxfId="1101" priority="33">
      <formula>L328&lt;&gt;""</formula>
    </cfRule>
  </conditionalFormatting>
  <conditionalFormatting sqref="M148">
    <cfRule type="expression" dxfId="1100" priority="174">
      <formula>IF(ISBLANK(L148),FALSE,TRUE)</formula>
    </cfRule>
  </conditionalFormatting>
  <conditionalFormatting sqref="I148">
    <cfRule type="expression" dxfId="1099" priority="173">
      <formula>IF(ISBLANK(H148),FALSE,TRUE)</formula>
    </cfRule>
  </conditionalFormatting>
  <conditionalFormatting sqref="G148">
    <cfRule type="expression" dxfId="1098" priority="172">
      <formula>H148&lt;&gt;""</formula>
    </cfRule>
  </conditionalFormatting>
  <conditionalFormatting sqref="K148">
    <cfRule type="expression" dxfId="1097" priority="171">
      <formula>L148&lt;&gt;""</formula>
    </cfRule>
  </conditionalFormatting>
  <conditionalFormatting sqref="G149:G151">
    <cfRule type="expression" dxfId="1096" priority="168">
      <formula>H149&lt;&gt;""</formula>
    </cfRule>
  </conditionalFormatting>
  <conditionalFormatting sqref="K149:K151">
    <cfRule type="expression" dxfId="1095" priority="167">
      <formula>L149&lt;&gt;""</formula>
    </cfRule>
  </conditionalFormatting>
  <conditionalFormatting sqref="M152:M160">
    <cfRule type="expression" dxfId="1094" priority="166">
      <formula>IF(ISBLANK(L152),FALSE,TRUE)</formula>
    </cfRule>
  </conditionalFormatting>
  <conditionalFormatting sqref="I152:I160">
    <cfRule type="expression" dxfId="1093" priority="165">
      <formula>IF(ISBLANK(H152),FALSE,TRUE)</formula>
    </cfRule>
  </conditionalFormatting>
  <conditionalFormatting sqref="M161">
    <cfRule type="expression" dxfId="1092" priority="164">
      <formula>IF(ISBLANK(L161),FALSE,TRUE)</formula>
    </cfRule>
  </conditionalFormatting>
  <conditionalFormatting sqref="I161">
    <cfRule type="expression" dxfId="1091" priority="163">
      <formula>IF(ISBLANK(H161),FALSE,TRUE)</formula>
    </cfRule>
  </conditionalFormatting>
  <conditionalFormatting sqref="M163">
    <cfRule type="expression" dxfId="1090" priority="162">
      <formula>IF(ISBLANK(L163),FALSE,TRUE)</formula>
    </cfRule>
  </conditionalFormatting>
  <conditionalFormatting sqref="G163">
    <cfRule type="expression" dxfId="1089" priority="160">
      <formula>H163&lt;&gt;""</formula>
    </cfRule>
  </conditionalFormatting>
  <conditionalFormatting sqref="K163">
    <cfRule type="expression" dxfId="1088" priority="159">
      <formula>L163&lt;&gt;""</formula>
    </cfRule>
  </conditionalFormatting>
  <conditionalFormatting sqref="I164:I171">
    <cfRule type="expression" dxfId="1087" priority="157">
      <formula>IF(ISBLANK(H164),FALSE,TRUE)</formula>
    </cfRule>
  </conditionalFormatting>
  <conditionalFormatting sqref="G164:G171">
    <cfRule type="expression" dxfId="1086" priority="156">
      <formula>H164&lt;&gt;""</formula>
    </cfRule>
  </conditionalFormatting>
  <conditionalFormatting sqref="K164:K171">
    <cfRule type="expression" dxfId="1085" priority="155">
      <formula>L164&lt;&gt;""</formula>
    </cfRule>
  </conditionalFormatting>
  <conditionalFormatting sqref="M172:M175">
    <cfRule type="expression" dxfId="1084" priority="154">
      <formula>IF(ISBLANK(L172),FALSE,TRUE)</formula>
    </cfRule>
  </conditionalFormatting>
  <conditionalFormatting sqref="I172:I175">
    <cfRule type="expression" dxfId="1083" priority="153">
      <formula>IF(ISBLANK(H172),FALSE,TRUE)</formula>
    </cfRule>
  </conditionalFormatting>
  <conditionalFormatting sqref="M178">
    <cfRule type="expression" dxfId="1082" priority="150">
      <formula>IF(ISBLANK(L178),FALSE,TRUE)</formula>
    </cfRule>
  </conditionalFormatting>
  <conditionalFormatting sqref="G178">
    <cfRule type="expression" dxfId="1081" priority="148">
      <formula>H178&lt;&gt;""</formula>
    </cfRule>
  </conditionalFormatting>
  <conditionalFormatting sqref="K178">
    <cfRule type="expression" dxfId="1080" priority="147">
      <formula>L178&lt;&gt;""</formula>
    </cfRule>
  </conditionalFormatting>
  <conditionalFormatting sqref="M179:M182">
    <cfRule type="expression" dxfId="1079" priority="146">
      <formula>IF(ISBLANK(L179),FALSE,TRUE)</formula>
    </cfRule>
  </conditionalFormatting>
  <conditionalFormatting sqref="I179:I182">
    <cfRule type="expression" dxfId="1078" priority="145">
      <formula>IF(ISBLANK(H179),FALSE,TRUE)</formula>
    </cfRule>
  </conditionalFormatting>
  <conditionalFormatting sqref="G179:G182">
    <cfRule type="expression" dxfId="1077" priority="144">
      <formula>H179&lt;&gt;""</formula>
    </cfRule>
  </conditionalFormatting>
  <conditionalFormatting sqref="K179:K182">
    <cfRule type="expression" dxfId="1076" priority="143">
      <formula>L179&lt;&gt;""</formula>
    </cfRule>
  </conditionalFormatting>
  <conditionalFormatting sqref="I183:I190">
    <cfRule type="expression" dxfId="1075" priority="141">
      <formula>IF(ISBLANK(H183),FALSE,TRUE)</formula>
    </cfRule>
  </conditionalFormatting>
  <conditionalFormatting sqref="M191">
    <cfRule type="expression" dxfId="1074" priority="140">
      <formula>IF(ISBLANK(L191),FALSE,TRUE)</formula>
    </cfRule>
  </conditionalFormatting>
  <conditionalFormatting sqref="I193">
    <cfRule type="expression" dxfId="1073" priority="137">
      <formula>IF(ISBLANK(H193),FALSE,TRUE)</formula>
    </cfRule>
  </conditionalFormatting>
  <conditionalFormatting sqref="G193">
    <cfRule type="expression" dxfId="1072" priority="136">
      <formula>H193&lt;&gt;""</formula>
    </cfRule>
  </conditionalFormatting>
  <conditionalFormatting sqref="K193">
    <cfRule type="expression" dxfId="1071" priority="135">
      <formula>L193&lt;&gt;""</formula>
    </cfRule>
  </conditionalFormatting>
  <conditionalFormatting sqref="G194:G198">
    <cfRule type="expression" dxfId="1070" priority="132">
      <formula>H194&lt;&gt;""</formula>
    </cfRule>
  </conditionalFormatting>
  <conditionalFormatting sqref="K194:K198">
    <cfRule type="expression" dxfId="1069" priority="131">
      <formula>L194&lt;&gt;""</formula>
    </cfRule>
  </conditionalFormatting>
  <conditionalFormatting sqref="M199:M205">
    <cfRule type="expression" dxfId="1068" priority="130">
      <formula>IF(ISBLANK(L199),FALSE,TRUE)</formula>
    </cfRule>
  </conditionalFormatting>
  <conditionalFormatting sqref="I206">
    <cfRule type="expression" dxfId="1067" priority="127">
      <formula>IF(ISBLANK(H206),FALSE,TRUE)</formula>
    </cfRule>
  </conditionalFormatting>
  <conditionalFormatting sqref="M208">
    <cfRule type="expression" dxfId="1066" priority="126">
      <formula>IF(ISBLANK(L208),FALSE,TRUE)</formula>
    </cfRule>
  </conditionalFormatting>
  <conditionalFormatting sqref="I208">
    <cfRule type="expression" dxfId="1065" priority="125">
      <formula>IF(ISBLANK(H208),FALSE,TRUE)</formula>
    </cfRule>
  </conditionalFormatting>
  <conditionalFormatting sqref="G208">
    <cfRule type="expression" dxfId="1064" priority="124">
      <formula>H208&lt;&gt;""</formula>
    </cfRule>
  </conditionalFormatting>
  <conditionalFormatting sqref="K208">
    <cfRule type="expression" dxfId="1063" priority="123">
      <formula>L208&lt;&gt;""</formula>
    </cfRule>
  </conditionalFormatting>
  <conditionalFormatting sqref="M209:M212">
    <cfRule type="expression" dxfId="1062" priority="122">
      <formula>IF(ISBLANK(L209),FALSE,TRUE)</formula>
    </cfRule>
  </conditionalFormatting>
  <conditionalFormatting sqref="I209:I212">
    <cfRule type="expression" dxfId="1061" priority="121">
      <formula>IF(ISBLANK(H209),FALSE,TRUE)</formula>
    </cfRule>
  </conditionalFormatting>
  <conditionalFormatting sqref="G209:G212">
    <cfRule type="expression" dxfId="1060" priority="120">
      <formula>H209&lt;&gt;""</formula>
    </cfRule>
  </conditionalFormatting>
  <conditionalFormatting sqref="K209:K212">
    <cfRule type="expression" dxfId="1059" priority="119">
      <formula>L209&lt;&gt;""</formula>
    </cfRule>
  </conditionalFormatting>
  <conditionalFormatting sqref="I213:I220">
    <cfRule type="expression" dxfId="1058" priority="117">
      <formula>IF(ISBLANK(H213),FALSE,TRUE)</formula>
    </cfRule>
  </conditionalFormatting>
  <conditionalFormatting sqref="M221">
    <cfRule type="expression" dxfId="1057" priority="116">
      <formula>IF(ISBLANK(L221),FALSE,TRUE)</formula>
    </cfRule>
  </conditionalFormatting>
  <conditionalFormatting sqref="I221">
    <cfRule type="expression" dxfId="1056" priority="115">
      <formula>IF(ISBLANK(H221),FALSE,TRUE)</formula>
    </cfRule>
  </conditionalFormatting>
  <conditionalFormatting sqref="M223">
    <cfRule type="expression" dxfId="1055" priority="114">
      <formula>IF(ISBLANK(L223),FALSE,TRUE)</formula>
    </cfRule>
  </conditionalFormatting>
  <conditionalFormatting sqref="I223">
    <cfRule type="expression" dxfId="1054" priority="113">
      <formula>IF(ISBLANK(H223),FALSE,TRUE)</formula>
    </cfRule>
  </conditionalFormatting>
  <conditionalFormatting sqref="G223">
    <cfRule type="expression" dxfId="1053" priority="112">
      <formula>H223&lt;&gt;""</formula>
    </cfRule>
  </conditionalFormatting>
  <conditionalFormatting sqref="K223">
    <cfRule type="expression" dxfId="1052" priority="111">
      <formula>L223&lt;&gt;""</formula>
    </cfRule>
  </conditionalFormatting>
  <conditionalFormatting sqref="M224:M226">
    <cfRule type="expression" dxfId="1051" priority="110">
      <formula>IF(ISBLANK(L224),FALSE,TRUE)</formula>
    </cfRule>
  </conditionalFormatting>
  <conditionalFormatting sqref="G224:G226">
    <cfRule type="expression" dxfId="1050" priority="108">
      <formula>H224&lt;&gt;""</formula>
    </cfRule>
  </conditionalFormatting>
  <conditionalFormatting sqref="K224:K226">
    <cfRule type="expression" dxfId="1049" priority="107">
      <formula>L224&lt;&gt;""</formula>
    </cfRule>
  </conditionalFormatting>
  <conditionalFormatting sqref="M227:M235">
    <cfRule type="expression" dxfId="1048" priority="106">
      <formula>IF(ISBLANK(L227),FALSE,TRUE)</formula>
    </cfRule>
  </conditionalFormatting>
  <conditionalFormatting sqref="I227:I235">
    <cfRule type="expression" dxfId="1047" priority="105">
      <formula>IF(ISBLANK(H227),FALSE,TRUE)</formula>
    </cfRule>
  </conditionalFormatting>
  <conditionalFormatting sqref="M236">
    <cfRule type="expression" dxfId="1046" priority="104">
      <formula>IF(ISBLANK(L236),FALSE,TRUE)</formula>
    </cfRule>
  </conditionalFormatting>
  <conditionalFormatting sqref="I236">
    <cfRule type="expression" dxfId="1045" priority="103">
      <formula>IF(ISBLANK(H236),FALSE,TRUE)</formula>
    </cfRule>
  </conditionalFormatting>
  <conditionalFormatting sqref="M238">
    <cfRule type="expression" dxfId="1044" priority="102">
      <formula>IF(ISBLANK(L238),FALSE,TRUE)</formula>
    </cfRule>
  </conditionalFormatting>
  <conditionalFormatting sqref="I238">
    <cfRule type="expression" dxfId="1043" priority="101">
      <formula>IF(ISBLANK(H238),FALSE,TRUE)</formula>
    </cfRule>
  </conditionalFormatting>
  <conditionalFormatting sqref="G238">
    <cfRule type="expression" dxfId="1042" priority="100">
      <formula>H238&lt;&gt;""</formula>
    </cfRule>
  </conditionalFormatting>
  <conditionalFormatting sqref="K238">
    <cfRule type="expression" dxfId="1041" priority="99">
      <formula>L238&lt;&gt;""</formula>
    </cfRule>
  </conditionalFormatting>
  <conditionalFormatting sqref="M239:M245">
    <cfRule type="expression" dxfId="1040" priority="98">
      <formula>IF(ISBLANK(L239),FALSE,TRUE)</formula>
    </cfRule>
  </conditionalFormatting>
  <conditionalFormatting sqref="I239:I245">
    <cfRule type="expression" dxfId="1039" priority="97">
      <formula>IF(ISBLANK(H239),FALSE,TRUE)</formula>
    </cfRule>
  </conditionalFormatting>
  <conditionalFormatting sqref="G239:G245">
    <cfRule type="expression" dxfId="1038" priority="96">
      <formula>H239&lt;&gt;""</formula>
    </cfRule>
  </conditionalFormatting>
  <conditionalFormatting sqref="K239:K245">
    <cfRule type="expression" dxfId="1037" priority="95">
      <formula>L239&lt;&gt;""</formula>
    </cfRule>
  </conditionalFormatting>
  <conditionalFormatting sqref="M246:M250">
    <cfRule type="expression" dxfId="1036" priority="94">
      <formula>IF(ISBLANK(L246),FALSE,TRUE)</formula>
    </cfRule>
  </conditionalFormatting>
  <conditionalFormatting sqref="I246:I250">
    <cfRule type="expression" dxfId="1035" priority="93">
      <formula>IF(ISBLANK(H246),FALSE,TRUE)</formula>
    </cfRule>
  </conditionalFormatting>
  <conditionalFormatting sqref="M251">
    <cfRule type="expression" dxfId="1034" priority="92">
      <formula>IF(ISBLANK(L251),FALSE,TRUE)</formula>
    </cfRule>
  </conditionalFormatting>
  <conditionalFormatting sqref="I251">
    <cfRule type="expression" dxfId="1033" priority="91">
      <formula>IF(ISBLANK(H251),FALSE,TRUE)</formula>
    </cfRule>
  </conditionalFormatting>
  <conditionalFormatting sqref="M253">
    <cfRule type="expression" dxfId="1032" priority="90">
      <formula>IF(ISBLANK(L253),FALSE,TRUE)</formula>
    </cfRule>
  </conditionalFormatting>
  <conditionalFormatting sqref="I253">
    <cfRule type="expression" dxfId="1031" priority="89">
      <formula>IF(ISBLANK(H253),FALSE,TRUE)</formula>
    </cfRule>
  </conditionalFormatting>
  <conditionalFormatting sqref="G253">
    <cfRule type="expression" dxfId="1030" priority="88">
      <formula>H253&lt;&gt;""</formula>
    </cfRule>
  </conditionalFormatting>
  <conditionalFormatting sqref="K253">
    <cfRule type="expression" dxfId="1029" priority="87">
      <formula>L253&lt;&gt;""</formula>
    </cfRule>
  </conditionalFormatting>
  <conditionalFormatting sqref="M254:M256">
    <cfRule type="expression" dxfId="1028" priority="86">
      <formula>IF(ISBLANK(L254),FALSE,TRUE)</formula>
    </cfRule>
  </conditionalFormatting>
  <conditionalFormatting sqref="I254:I256">
    <cfRule type="expression" dxfId="1027" priority="85">
      <formula>IF(ISBLANK(H254),FALSE,TRUE)</formula>
    </cfRule>
  </conditionalFormatting>
  <conditionalFormatting sqref="G254:G256">
    <cfRule type="expression" dxfId="1026" priority="84">
      <formula>H254&lt;&gt;""</formula>
    </cfRule>
  </conditionalFormatting>
  <conditionalFormatting sqref="K254:K256">
    <cfRule type="expression" dxfId="1025" priority="83">
      <formula>L254&lt;&gt;""</formula>
    </cfRule>
  </conditionalFormatting>
  <conditionalFormatting sqref="M257:M265">
    <cfRule type="expression" dxfId="1024" priority="82">
      <formula>IF(ISBLANK(L257),FALSE,TRUE)</formula>
    </cfRule>
  </conditionalFormatting>
  <conditionalFormatting sqref="I257:I265">
    <cfRule type="expression" dxfId="1023" priority="81">
      <formula>IF(ISBLANK(H257),FALSE,TRUE)</formula>
    </cfRule>
  </conditionalFormatting>
  <conditionalFormatting sqref="M266">
    <cfRule type="expression" dxfId="1022" priority="80">
      <formula>IF(ISBLANK(L266),FALSE,TRUE)</formula>
    </cfRule>
  </conditionalFormatting>
  <conditionalFormatting sqref="I266">
    <cfRule type="expression" dxfId="1021" priority="79">
      <formula>IF(ISBLANK(H266),FALSE,TRUE)</formula>
    </cfRule>
  </conditionalFormatting>
  <conditionalFormatting sqref="M268">
    <cfRule type="expression" dxfId="1020" priority="78">
      <formula>IF(ISBLANK(L268),FALSE,TRUE)</formula>
    </cfRule>
  </conditionalFormatting>
  <conditionalFormatting sqref="I268">
    <cfRule type="expression" dxfId="1019" priority="77">
      <formula>IF(ISBLANK(H268),FALSE,TRUE)</formula>
    </cfRule>
  </conditionalFormatting>
  <conditionalFormatting sqref="G268">
    <cfRule type="expression" dxfId="1018" priority="76">
      <formula>H268&lt;&gt;""</formula>
    </cfRule>
  </conditionalFormatting>
  <conditionalFormatting sqref="K268">
    <cfRule type="expression" dxfId="1017" priority="75">
      <formula>L268&lt;&gt;""</formula>
    </cfRule>
  </conditionalFormatting>
  <conditionalFormatting sqref="M269:M276">
    <cfRule type="expression" dxfId="1016" priority="74">
      <formula>IF(ISBLANK(L269),FALSE,TRUE)</formula>
    </cfRule>
  </conditionalFormatting>
  <conditionalFormatting sqref="I269:I276">
    <cfRule type="expression" dxfId="1015" priority="73">
      <formula>IF(ISBLANK(H269),FALSE,TRUE)</formula>
    </cfRule>
  </conditionalFormatting>
  <conditionalFormatting sqref="G269:G276">
    <cfRule type="expression" dxfId="1014" priority="72">
      <formula>H269&lt;&gt;""</formula>
    </cfRule>
  </conditionalFormatting>
  <conditionalFormatting sqref="K269:K276">
    <cfRule type="expression" dxfId="1013" priority="71">
      <formula>L269&lt;&gt;""</formula>
    </cfRule>
  </conditionalFormatting>
  <conditionalFormatting sqref="M277:M280">
    <cfRule type="expression" dxfId="1012" priority="70">
      <formula>IF(ISBLANK(L277),FALSE,TRUE)</formula>
    </cfRule>
  </conditionalFormatting>
  <conditionalFormatting sqref="I277:I280">
    <cfRule type="expression" dxfId="1011" priority="69">
      <formula>IF(ISBLANK(H277),FALSE,TRUE)</formula>
    </cfRule>
  </conditionalFormatting>
  <conditionalFormatting sqref="M281">
    <cfRule type="expression" dxfId="1010" priority="68">
      <formula>IF(ISBLANK(L281),FALSE,TRUE)</formula>
    </cfRule>
  </conditionalFormatting>
  <conditionalFormatting sqref="I281">
    <cfRule type="expression" dxfId="1009" priority="67">
      <formula>IF(ISBLANK(H281),FALSE,TRUE)</formula>
    </cfRule>
  </conditionalFormatting>
  <conditionalFormatting sqref="M283">
    <cfRule type="expression" dxfId="1008" priority="66">
      <formula>IF(ISBLANK(L283),FALSE,TRUE)</formula>
    </cfRule>
  </conditionalFormatting>
  <conditionalFormatting sqref="I283">
    <cfRule type="expression" dxfId="1007" priority="65">
      <formula>IF(ISBLANK(H283),FALSE,TRUE)</formula>
    </cfRule>
  </conditionalFormatting>
  <conditionalFormatting sqref="G283">
    <cfRule type="expression" dxfId="1006" priority="64">
      <formula>H283&lt;&gt;""</formula>
    </cfRule>
  </conditionalFormatting>
  <conditionalFormatting sqref="K283">
    <cfRule type="expression" dxfId="1005" priority="63">
      <formula>L283&lt;&gt;""</formula>
    </cfRule>
  </conditionalFormatting>
  <conditionalFormatting sqref="M284:M290">
    <cfRule type="expression" dxfId="1004" priority="62">
      <formula>IF(ISBLANK(L284),FALSE,TRUE)</formula>
    </cfRule>
  </conditionalFormatting>
  <conditionalFormatting sqref="I284:I290">
    <cfRule type="expression" dxfId="1003" priority="61">
      <formula>IF(ISBLANK(H284),FALSE,TRUE)</formula>
    </cfRule>
  </conditionalFormatting>
  <conditionalFormatting sqref="G284:G290">
    <cfRule type="expression" dxfId="1002" priority="60">
      <formula>H284&lt;&gt;""</formula>
    </cfRule>
  </conditionalFormatting>
  <conditionalFormatting sqref="K284:K290">
    <cfRule type="expression" dxfId="1001" priority="59">
      <formula>L284&lt;&gt;""</formula>
    </cfRule>
  </conditionalFormatting>
  <conditionalFormatting sqref="M291:M295">
    <cfRule type="expression" dxfId="1000" priority="58">
      <formula>IF(ISBLANK(L291),FALSE,TRUE)</formula>
    </cfRule>
  </conditionalFormatting>
  <conditionalFormatting sqref="I291:I295">
    <cfRule type="expression" dxfId="999" priority="57">
      <formula>IF(ISBLANK(H291),FALSE,TRUE)</formula>
    </cfRule>
  </conditionalFormatting>
  <conditionalFormatting sqref="M296">
    <cfRule type="expression" dxfId="998" priority="56">
      <formula>IF(ISBLANK(L296),FALSE,TRUE)</formula>
    </cfRule>
  </conditionalFormatting>
  <conditionalFormatting sqref="I296">
    <cfRule type="expression" dxfId="997" priority="55">
      <formula>IF(ISBLANK(H296),FALSE,TRUE)</formula>
    </cfRule>
  </conditionalFormatting>
  <conditionalFormatting sqref="M298:M310">
    <cfRule type="expression" dxfId="996" priority="54">
      <formula>IF(ISBLANK(L298),FALSE,TRUE)</formula>
    </cfRule>
  </conditionalFormatting>
  <conditionalFormatting sqref="I298:I310">
    <cfRule type="expression" dxfId="995" priority="53">
      <formula>IF(ISBLANK(H298),FALSE,TRUE)</formula>
    </cfRule>
  </conditionalFormatting>
  <conditionalFormatting sqref="M311">
    <cfRule type="expression" dxfId="994" priority="52">
      <formula>IF(ISBLANK(L311),FALSE,TRUE)</formula>
    </cfRule>
  </conditionalFormatting>
  <conditionalFormatting sqref="I311">
    <cfRule type="expression" dxfId="993" priority="51">
      <formula>IF(ISBLANK(H311),FALSE,TRUE)</formula>
    </cfRule>
  </conditionalFormatting>
  <conditionalFormatting sqref="M313">
    <cfRule type="expression" dxfId="992" priority="50">
      <formula>IF(ISBLANK(L313),FALSE,TRUE)</formula>
    </cfRule>
  </conditionalFormatting>
  <conditionalFormatting sqref="I313">
    <cfRule type="expression" dxfId="991" priority="49">
      <formula>IF(ISBLANK(H313),FALSE,TRUE)</formula>
    </cfRule>
  </conditionalFormatting>
  <conditionalFormatting sqref="G313">
    <cfRule type="expression" dxfId="990" priority="48">
      <formula>H313&lt;&gt;""</formula>
    </cfRule>
  </conditionalFormatting>
  <conditionalFormatting sqref="M314:M316">
    <cfRule type="expression" dxfId="989" priority="46">
      <formula>IF(ISBLANK(L314),FALSE,TRUE)</formula>
    </cfRule>
  </conditionalFormatting>
  <conditionalFormatting sqref="I314:I316">
    <cfRule type="expression" dxfId="988" priority="45">
      <formula>IF(ISBLANK(H314),FALSE,TRUE)</formula>
    </cfRule>
  </conditionalFormatting>
  <conditionalFormatting sqref="M317:M325">
    <cfRule type="expression" dxfId="987" priority="42">
      <formula>IF(ISBLANK(L317),FALSE,TRUE)</formula>
    </cfRule>
  </conditionalFormatting>
  <conditionalFormatting sqref="I317:I325">
    <cfRule type="expression" dxfId="986" priority="41">
      <formula>IF(ISBLANK(H317),FALSE,TRUE)</formula>
    </cfRule>
  </conditionalFormatting>
  <conditionalFormatting sqref="M326">
    <cfRule type="expression" dxfId="985" priority="40">
      <formula>IF(ISBLANK(L326),FALSE,TRUE)</formula>
    </cfRule>
  </conditionalFormatting>
  <conditionalFormatting sqref="I326">
    <cfRule type="expression" dxfId="984" priority="39">
      <formula>IF(ISBLANK(H326),FALSE,TRUE)</formula>
    </cfRule>
  </conditionalFormatting>
  <conditionalFormatting sqref="M329:M333">
    <cfRule type="expression" dxfId="983" priority="38">
      <formula>IF(ISBLANK(L329),FALSE,TRUE)</formula>
    </cfRule>
  </conditionalFormatting>
  <conditionalFormatting sqref="I329:I333">
    <cfRule type="expression" dxfId="982" priority="37">
      <formula>IF(ISBLANK(H329),FALSE,TRUE)</formula>
    </cfRule>
  </conditionalFormatting>
  <conditionalFormatting sqref="M328">
    <cfRule type="expression" dxfId="981" priority="36">
      <formula>IF(ISBLANK(L328),FALSE,TRUE)</formula>
    </cfRule>
  </conditionalFormatting>
  <conditionalFormatting sqref="I328">
    <cfRule type="expression" dxfId="980" priority="35">
      <formula>IF(ISBLANK(H328),FALSE,TRUE)</formula>
    </cfRule>
  </conditionalFormatting>
  <conditionalFormatting sqref="G334">
    <cfRule type="expression" dxfId="979" priority="28">
      <formula>H334&lt;&gt;""</formula>
    </cfRule>
  </conditionalFormatting>
  <conditionalFormatting sqref="K334">
    <cfRule type="expression" dxfId="978" priority="27">
      <formula>L334&lt;&gt;""</formula>
    </cfRule>
  </conditionalFormatting>
  <conditionalFormatting sqref="M335:M339">
    <cfRule type="expression" dxfId="977" priority="32">
      <formula>IF(ISBLANK(L335),FALSE,TRUE)</formula>
    </cfRule>
  </conditionalFormatting>
  <conditionalFormatting sqref="I335:I339">
    <cfRule type="expression" dxfId="976" priority="31">
      <formula>IF(ISBLANK(H335),FALSE,TRUE)</formula>
    </cfRule>
  </conditionalFormatting>
  <conditionalFormatting sqref="M334">
    <cfRule type="expression" dxfId="975" priority="30">
      <formula>IF(ISBLANK(L334),FALSE,TRUE)</formula>
    </cfRule>
  </conditionalFormatting>
  <conditionalFormatting sqref="I334">
    <cfRule type="expression" dxfId="974" priority="29">
      <formula>IF(ISBLANK(H334),FALSE,TRUE)</formula>
    </cfRule>
  </conditionalFormatting>
  <conditionalFormatting sqref="K342">
    <cfRule type="expression" dxfId="973" priority="21">
      <formula>L342&lt;&gt;""</formula>
    </cfRule>
  </conditionalFormatting>
  <conditionalFormatting sqref="M340">
    <cfRule type="expression" dxfId="972" priority="26">
      <formula>IF(ISBLANK(L340),FALSE,TRUE)</formula>
    </cfRule>
  </conditionalFormatting>
  <conditionalFormatting sqref="I340">
    <cfRule type="expression" dxfId="971" priority="25">
      <formula>IF(ISBLANK(H340),FALSE,TRUE)</formula>
    </cfRule>
  </conditionalFormatting>
  <conditionalFormatting sqref="M342">
    <cfRule type="expression" dxfId="970" priority="24">
      <formula>IF(ISBLANK(L342),FALSE,TRUE)</formula>
    </cfRule>
  </conditionalFormatting>
  <conditionalFormatting sqref="I342">
    <cfRule type="expression" dxfId="969" priority="23">
      <formula>IF(ISBLANK(H342),FALSE,TRUE)</formula>
    </cfRule>
  </conditionalFormatting>
  <conditionalFormatting sqref="G342">
    <cfRule type="expression" dxfId="968" priority="22">
      <formula>H342&lt;&gt;""</formula>
    </cfRule>
  </conditionalFormatting>
  <conditionalFormatting sqref="K343:K345">
    <cfRule type="expression" dxfId="967" priority="17">
      <formula>L343&lt;&gt;""</formula>
    </cfRule>
  </conditionalFormatting>
  <conditionalFormatting sqref="M343:M345">
    <cfRule type="expression" dxfId="966" priority="20">
      <formula>IF(ISBLANK(L343),FALSE,TRUE)</formula>
    </cfRule>
  </conditionalFormatting>
  <conditionalFormatting sqref="I343:I345">
    <cfRule type="expression" dxfId="965" priority="19">
      <formula>IF(ISBLANK(H343),FALSE,TRUE)</formula>
    </cfRule>
  </conditionalFormatting>
  <conditionalFormatting sqref="G343:G345">
    <cfRule type="expression" dxfId="964" priority="18">
      <formula>H343&lt;&gt;""</formula>
    </cfRule>
  </conditionalFormatting>
  <conditionalFormatting sqref="G346:G352">
    <cfRule type="expression" dxfId="963" priority="14">
      <formula>H346&lt;&gt;""</formula>
    </cfRule>
  </conditionalFormatting>
  <conditionalFormatting sqref="K346:K352">
    <cfRule type="expression" dxfId="962" priority="13">
      <formula>L346&lt;&gt;""</formula>
    </cfRule>
  </conditionalFormatting>
  <conditionalFormatting sqref="M346:M352">
    <cfRule type="expression" dxfId="961" priority="16">
      <formula>IF(ISBLANK(L346),FALSE,TRUE)</formula>
    </cfRule>
  </conditionalFormatting>
  <conditionalFormatting sqref="I346:I352">
    <cfRule type="expression" dxfId="960" priority="15">
      <formula>IF(ISBLANK(H346),FALSE,TRUE)</formula>
    </cfRule>
  </conditionalFormatting>
  <conditionalFormatting sqref="M353:M354">
    <cfRule type="expression" dxfId="959" priority="12">
      <formula>IF(ISBLANK(L353),FALSE,TRUE)</formula>
    </cfRule>
  </conditionalFormatting>
  <conditionalFormatting sqref="I353:I354">
    <cfRule type="expression" dxfId="958" priority="11">
      <formula>IF(ISBLANK(H353),FALSE,TRUE)</formula>
    </cfRule>
  </conditionalFormatting>
  <conditionalFormatting sqref="M355">
    <cfRule type="expression" dxfId="957" priority="10">
      <formula>IF(ISBLANK(L355),FALSE,TRUE)</formula>
    </cfRule>
  </conditionalFormatting>
  <conditionalFormatting sqref="I355">
    <cfRule type="expression" dxfId="956" priority="9">
      <formula>IF(ISBLANK(H355),FALSE,TRUE)</formula>
    </cfRule>
  </conditionalFormatting>
  <hyperlinks>
    <hyperlink ref="F2" location="Neu_in_Version" display="i" xr:uid="{00000000-0004-0000-0900-000000000000}"/>
  </hyperlinks>
  <printOptions horizontalCentered="1"/>
  <pageMargins left="0.5" right="0.39" top="0.39370078740157483" bottom="0.62992125984251968" header="0.39370078740157483" footer="0.31496062992125984"/>
  <pageSetup paperSize="9" scale="89" firstPageNumber="3" fitToHeight="0" orientation="portrait" r:id="rId1"/>
  <headerFooter scaleWithDoc="0">
    <oddFooter>&amp;L&amp;8Druckdatum  &amp;D&amp;C&amp;8&amp;F/&amp;A&amp;R&amp;8Seite &amp;P / &amp;N</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theme="9" tint="0.39997558519241921"/>
    <outlinePr summaryBelow="0"/>
  </sheetPr>
  <dimension ref="A1:BV167"/>
  <sheetViews>
    <sheetView showGridLines="0" showZeros="0" zoomScaleNormal="100" zoomScaleSheetLayoutView="100" workbookViewId="0">
      <selection activeCell="B11" sqref="B11:D11"/>
    </sheetView>
  </sheetViews>
  <sheetFormatPr baseColWidth="10" defaultColWidth="11.42578125" defaultRowHeight="12.95" customHeight="1" x14ac:dyDescent="0.2"/>
  <cols>
    <col min="1" max="1" width="15.42578125" style="34" customWidth="1"/>
    <col min="2" max="2" width="13.7109375" style="34" customWidth="1"/>
    <col min="3" max="3" width="9.42578125" style="33" customWidth="1"/>
    <col min="4" max="5" width="6.5703125" style="33" customWidth="1"/>
    <col min="6" max="6" width="6.28515625" style="33" customWidth="1"/>
    <col min="7" max="7" width="8.5703125" style="33" customWidth="1"/>
    <col min="8" max="9" width="4.42578125" style="32" customWidth="1"/>
    <col min="10" max="10" width="10.7109375" style="32" customWidth="1"/>
    <col min="11" max="11" width="4.85546875" style="34" customWidth="1"/>
    <col min="12" max="13" width="4.28515625" style="34" customWidth="1"/>
    <col min="14" max="14" width="9.7109375" style="34" customWidth="1"/>
    <col min="15" max="15" width="4.28515625" style="34" customWidth="1"/>
    <col min="16" max="16" width="15.7109375" style="34" customWidth="1"/>
    <col min="17" max="19" width="8.7109375" style="523" customWidth="1"/>
    <col min="20" max="20" width="8.7109375" style="544" customWidth="1"/>
    <col min="21" max="33" width="8.7109375" style="523" customWidth="1"/>
    <col min="34" max="36" width="8.7109375" style="174" customWidth="1"/>
    <col min="37" max="69" width="8.7109375" style="175" customWidth="1"/>
    <col min="70" max="70" width="5" style="32" customWidth="1"/>
    <col min="71" max="16384" width="11.42578125" style="32"/>
  </cols>
  <sheetData>
    <row r="1" spans="1:69" s="1570" customFormat="1" ht="54" customHeight="1" x14ac:dyDescent="0.2">
      <c r="D1" s="1556"/>
      <c r="E1" s="1556"/>
      <c r="F1" s="1556"/>
      <c r="G1" s="1556"/>
      <c r="H1" s="67"/>
      <c r="I1" s="67"/>
      <c r="J1" s="67"/>
    </row>
    <row r="2" spans="1:69" s="1570" customFormat="1" ht="15" customHeight="1" x14ac:dyDescent="0.25">
      <c r="A2" s="1565" t="str">
        <f>CONCATENATE("Variantenvergleich Energiesysteme - Version ",Versionsinfo!$B$4)</f>
        <v>Variantenvergleich Energiesysteme - Version 3.0</v>
      </c>
      <c r="B2" s="716"/>
      <c r="C2" s="716"/>
      <c r="D2" s="717"/>
      <c r="E2" s="717"/>
      <c r="F2" s="651"/>
      <c r="G2" s="652" t="s">
        <v>586</v>
      </c>
      <c r="J2" s="67"/>
      <c r="M2" s="1376"/>
    </row>
    <row r="3" spans="1:69" s="425" customFormat="1" ht="12.75" customHeight="1" x14ac:dyDescent="0.2">
      <c r="A3" s="1557" t="s">
        <v>781</v>
      </c>
      <c r="D3" s="427"/>
      <c r="E3" s="427"/>
      <c r="F3" s="427"/>
      <c r="G3" s="427"/>
      <c r="I3" s="903">
        <f>Projektdaten!$C$8</f>
        <v>0</v>
      </c>
      <c r="J3" s="903"/>
      <c r="K3" s="903"/>
      <c r="L3" s="903"/>
      <c r="M3" s="903"/>
      <c r="N3" s="903"/>
      <c r="O3" s="428"/>
    </row>
    <row r="4" spans="1:69" s="425" customFormat="1" ht="16.5" customHeight="1" x14ac:dyDescent="0.2">
      <c r="A4" s="430"/>
      <c r="I4" s="903">
        <f>Projektdaten!$J$8</f>
        <v>0</v>
      </c>
      <c r="J4" s="903"/>
      <c r="K4" s="904"/>
      <c r="L4" s="905"/>
      <c r="M4" s="905"/>
      <c r="N4" s="905"/>
    </row>
    <row r="5" spans="1:69" s="50" customFormat="1" ht="16.5" customHeight="1" x14ac:dyDescent="0.25">
      <c r="A5" s="1581" t="s">
        <v>715</v>
      </c>
      <c r="B5" s="601"/>
      <c r="I5" s="1435" t="str">
        <f>CONCATENATE("Version: ",Projektdaten!$F$13)</f>
        <v>Version: 1</v>
      </c>
      <c r="J5" s="1435"/>
      <c r="K5" s="1435"/>
      <c r="L5" s="1435"/>
      <c r="M5" s="2199">
        <f ca="1">Projektdaten!$F$15</f>
        <v>45372</v>
      </c>
      <c r="N5" s="2199"/>
      <c r="O5" s="901"/>
      <c r="P5" s="145"/>
      <c r="Q5" s="123"/>
      <c r="R5" s="126"/>
      <c r="S5" s="1376"/>
      <c r="T5" s="127"/>
      <c r="U5" s="123"/>
      <c r="V5" s="123"/>
      <c r="W5" s="123"/>
      <c r="X5" s="123"/>
      <c r="Y5" s="123"/>
      <c r="Z5" s="123"/>
      <c r="AA5" s="123"/>
      <c r="AB5" s="123"/>
      <c r="AC5" s="123"/>
      <c r="AD5" s="123"/>
      <c r="AE5" s="123"/>
      <c r="AF5" s="123"/>
      <c r="AG5" s="123"/>
      <c r="AH5" s="174"/>
      <c r="AI5" s="174"/>
      <c r="AJ5" s="174"/>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c r="BN5" s="175"/>
      <c r="BO5" s="175"/>
      <c r="BP5" s="175"/>
      <c r="BQ5" s="175"/>
    </row>
    <row r="6" spans="1:69" ht="13.5" customHeight="1" x14ac:dyDescent="0.2">
      <c r="Q6" s="123"/>
      <c r="R6" s="123"/>
      <c r="S6" s="123"/>
      <c r="T6" s="127"/>
      <c r="U6" s="123"/>
      <c r="V6" s="123"/>
      <c r="W6" s="123"/>
      <c r="X6" s="123"/>
      <c r="Y6" s="123"/>
      <c r="Z6" s="123"/>
      <c r="AA6" s="123"/>
      <c r="AB6" s="123"/>
      <c r="AC6" s="123"/>
      <c r="AD6" s="123"/>
      <c r="AE6" s="123"/>
      <c r="AF6" s="123"/>
      <c r="AG6" s="123"/>
    </row>
    <row r="7" spans="1:69" s="48" customFormat="1" ht="15" customHeight="1" x14ac:dyDescent="0.25">
      <c r="A7" s="280" t="s">
        <v>17</v>
      </c>
      <c r="B7" s="78">
        <f>EV_Var2!$C$7</f>
        <v>0</v>
      </c>
      <c r="C7" s="696"/>
      <c r="D7" s="167"/>
      <c r="E7" s="167"/>
      <c r="F7" s="1582">
        <f>EV_Var2!$J$7</f>
        <v>0</v>
      </c>
      <c r="G7" s="1582"/>
      <c r="H7" s="517"/>
      <c r="I7" s="517"/>
      <c r="J7" s="518"/>
      <c r="K7" s="518"/>
      <c r="L7" s="518"/>
      <c r="M7" s="518"/>
      <c r="N7" s="518"/>
      <c r="P7" s="146"/>
      <c r="Q7" s="144"/>
      <c r="R7" s="128"/>
      <c r="S7" s="216"/>
      <c r="T7" s="125"/>
      <c r="U7" s="217"/>
      <c r="V7" s="183"/>
      <c r="W7" s="217"/>
      <c r="X7" s="217"/>
      <c r="Y7" s="217"/>
      <c r="Z7" s="217"/>
      <c r="AA7" s="217"/>
      <c r="AB7" s="218"/>
      <c r="AC7" s="218"/>
      <c r="AD7" s="218"/>
      <c r="AE7" s="218"/>
      <c r="AF7" s="218"/>
      <c r="AG7" s="218"/>
      <c r="AH7" s="219"/>
      <c r="AI7" s="219"/>
      <c r="AJ7" s="219"/>
      <c r="AK7" s="220"/>
      <c r="AL7" s="220"/>
      <c r="AM7" s="221"/>
      <c r="AN7" s="221"/>
      <c r="AO7" s="221"/>
      <c r="AP7" s="221"/>
      <c r="AQ7" s="221"/>
      <c r="AR7" s="221"/>
      <c r="AS7" s="221"/>
      <c r="AT7" s="221"/>
      <c r="AU7" s="221"/>
      <c r="AV7" s="221"/>
      <c r="AW7" s="221"/>
      <c r="AX7" s="221"/>
      <c r="AY7" s="221"/>
      <c r="AZ7" s="221"/>
      <c r="BA7" s="221"/>
      <c r="BB7" s="221"/>
      <c r="BC7" s="221"/>
      <c r="BD7" s="221"/>
      <c r="BE7" s="221"/>
      <c r="BF7" s="221"/>
      <c r="BG7" s="221"/>
      <c r="BH7" s="221"/>
      <c r="BI7" s="221"/>
      <c r="BJ7" s="221"/>
      <c r="BK7" s="221"/>
      <c r="BL7" s="221"/>
      <c r="BM7" s="221"/>
      <c r="BN7" s="221"/>
      <c r="BO7" s="221"/>
      <c r="BP7" s="221"/>
      <c r="BQ7" s="221"/>
    </row>
    <row r="8" spans="1:69" s="46" customFormat="1" ht="6" customHeight="1" x14ac:dyDescent="0.25">
      <c r="A8" s="47"/>
      <c r="B8" s="47"/>
      <c r="H8" s="23" t="s">
        <v>11</v>
      </c>
      <c r="I8" s="23"/>
      <c r="J8" s="33"/>
      <c r="K8" s="33"/>
      <c r="L8" s="33"/>
      <c r="M8" s="33"/>
      <c r="N8" s="33"/>
      <c r="O8" s="33"/>
      <c r="P8" s="33"/>
      <c r="Q8" s="523"/>
      <c r="R8" s="521" t="s">
        <v>11</v>
      </c>
      <c r="S8" s="545" t="s">
        <v>11</v>
      </c>
      <c r="T8" s="525"/>
      <c r="U8" s="522"/>
      <c r="V8" s="522"/>
      <c r="W8" s="522"/>
      <c r="X8" s="522"/>
      <c r="Y8" s="522"/>
      <c r="Z8" s="522"/>
      <c r="AA8" s="522"/>
      <c r="AB8" s="523"/>
      <c r="AC8" s="523"/>
      <c r="AD8" s="523"/>
      <c r="AE8" s="523"/>
      <c r="AF8" s="523"/>
      <c r="AG8" s="523"/>
      <c r="AH8" s="174"/>
      <c r="AI8" s="174"/>
      <c r="AJ8" s="174"/>
      <c r="AK8" s="175"/>
      <c r="AL8" s="175"/>
      <c r="AM8" s="175"/>
      <c r="AN8" s="175"/>
      <c r="AO8" s="175"/>
      <c r="AP8" s="175"/>
      <c r="AQ8" s="175"/>
      <c r="AR8" s="175"/>
      <c r="AS8" s="175"/>
      <c r="AT8" s="175"/>
      <c r="AU8" s="175"/>
      <c r="AV8" s="175"/>
      <c r="AW8" s="175"/>
      <c r="AX8" s="175"/>
      <c r="AY8" s="175"/>
      <c r="AZ8" s="175"/>
      <c r="BA8" s="175"/>
      <c r="BB8" s="175"/>
      <c r="BC8" s="175"/>
      <c r="BD8" s="175"/>
      <c r="BE8" s="175"/>
      <c r="BF8" s="175"/>
      <c r="BG8" s="175"/>
      <c r="BH8" s="175"/>
      <c r="BI8" s="175"/>
      <c r="BJ8" s="175"/>
      <c r="BK8" s="175"/>
      <c r="BL8" s="175"/>
      <c r="BM8" s="175"/>
      <c r="BN8" s="175"/>
      <c r="BO8" s="175"/>
      <c r="BP8" s="175"/>
      <c r="BQ8" s="175"/>
    </row>
    <row r="9" spans="1:69" ht="17.25" customHeight="1" x14ac:dyDescent="0.25">
      <c r="A9" s="504" t="s">
        <v>629</v>
      </c>
      <c r="B9" s="504"/>
      <c r="I9" s="148" t="s">
        <v>651</v>
      </c>
      <c r="J9" s="149">
        <f>IF(ISBLANK(Grunddaten!$O$8),Grunddaten!$N$8,Grunddaten!$O$8)</f>
        <v>2.2499999999999999E-2</v>
      </c>
      <c r="K9" s="510" t="s">
        <v>494</v>
      </c>
      <c r="L9" s="45"/>
      <c r="M9" s="45"/>
      <c r="N9" s="45"/>
      <c r="O9" s="45"/>
      <c r="P9" s="2525" t="s">
        <v>489</v>
      </c>
      <c r="Q9" s="2525"/>
      <c r="R9" s="2525"/>
      <c r="S9" s="2525"/>
      <c r="T9" s="525"/>
      <c r="U9" s="522"/>
      <c r="V9" s="522"/>
      <c r="W9" s="522"/>
      <c r="X9" s="522"/>
      <c r="Y9" s="522"/>
      <c r="Z9" s="522"/>
      <c r="AA9" s="522"/>
    </row>
    <row r="10" spans="1:69" ht="2.25" customHeight="1" x14ac:dyDescent="0.2">
      <c r="O10" s="145"/>
      <c r="P10" s="509"/>
      <c r="Q10" s="511"/>
      <c r="R10" s="511"/>
      <c r="S10" s="511"/>
      <c r="T10" s="525"/>
      <c r="U10" s="522"/>
      <c r="V10" s="522"/>
      <c r="W10" s="522"/>
      <c r="X10" s="522"/>
      <c r="Y10" s="522"/>
      <c r="Z10" s="522"/>
      <c r="AA10" s="522"/>
    </row>
    <row r="11" spans="1:69" s="176" customFormat="1" ht="11.25" customHeight="1" x14ac:dyDescent="0.2">
      <c r="A11" s="1049" t="s">
        <v>258</v>
      </c>
      <c r="B11" s="2367" t="s">
        <v>504</v>
      </c>
      <c r="C11" s="2368"/>
      <c r="D11" s="2369"/>
      <c r="E11" s="2378" t="s">
        <v>563</v>
      </c>
      <c r="F11" s="2379"/>
      <c r="G11" s="2376" t="s">
        <v>565</v>
      </c>
      <c r="H11" s="2378" t="s">
        <v>578</v>
      </c>
      <c r="I11" s="2379"/>
      <c r="J11" s="2376" t="s">
        <v>630</v>
      </c>
      <c r="K11" s="2378" t="s">
        <v>631</v>
      </c>
      <c r="L11" s="2405"/>
      <c r="M11" s="2405"/>
      <c r="N11" s="2379"/>
      <c r="O11" s="145"/>
      <c r="P11" s="512" t="s">
        <v>490</v>
      </c>
      <c r="Q11" s="2533" t="s">
        <v>497</v>
      </c>
      <c r="R11" s="2533"/>
      <c r="S11" s="2533"/>
      <c r="T11" s="521"/>
      <c r="U11" s="587" t="s">
        <v>507</v>
      </c>
      <c r="V11" s="588"/>
      <c r="W11" s="589"/>
      <c r="X11" s="593" t="b">
        <f>(U11=B11)</f>
        <v>0</v>
      </c>
      <c r="Y11" s="522"/>
      <c r="Z11" s="522"/>
      <c r="AA11" s="523"/>
      <c r="AB11" s="523"/>
      <c r="AC11" s="523"/>
      <c r="AD11" s="523"/>
      <c r="AE11" s="523"/>
      <c r="AF11" s="523"/>
      <c r="AG11" s="174"/>
      <c r="AH11" s="174"/>
      <c r="AI11" s="174"/>
      <c r="AJ11" s="175"/>
      <c r="AK11" s="175"/>
    </row>
    <row r="12" spans="1:69" s="176" customFormat="1" ht="11.25" customHeight="1" x14ac:dyDescent="0.2">
      <c r="A12" s="1050"/>
      <c r="B12" s="1196"/>
      <c r="C12" s="1197"/>
      <c r="D12" s="1197"/>
      <c r="E12" s="2380"/>
      <c r="F12" s="2381"/>
      <c r="G12" s="2377"/>
      <c r="H12" s="2380"/>
      <c r="I12" s="2381"/>
      <c r="J12" s="2377"/>
      <c r="K12" s="2380"/>
      <c r="L12" s="2406"/>
      <c r="M12" s="2406"/>
      <c r="N12" s="2381"/>
      <c r="O12" s="145"/>
      <c r="P12" s="513"/>
      <c r="Q12" s="2533"/>
      <c r="R12" s="2533"/>
      <c r="S12" s="2533"/>
      <c r="T12" s="521"/>
      <c r="U12" s="590" t="s">
        <v>504</v>
      </c>
      <c r="V12" s="591"/>
      <c r="W12" s="592"/>
      <c r="X12" s="594" t="b">
        <f>(U12=B11)</f>
        <v>1</v>
      </c>
      <c r="Y12" s="522"/>
      <c r="Z12" s="522"/>
      <c r="AA12" s="523"/>
      <c r="AB12" s="523"/>
      <c r="AC12" s="523"/>
      <c r="AD12" s="523"/>
      <c r="AE12" s="523"/>
      <c r="AF12" s="523"/>
      <c r="AG12" s="174"/>
      <c r="AH12" s="174"/>
      <c r="AI12" s="174"/>
      <c r="AJ12" s="175"/>
      <c r="AK12" s="175"/>
    </row>
    <row r="13" spans="1:69" s="176" customFormat="1" ht="11.25" customHeight="1" x14ac:dyDescent="0.2">
      <c r="A13" s="1050"/>
      <c r="B13" s="1196"/>
      <c r="C13" s="1197"/>
      <c r="D13" s="1197"/>
      <c r="E13" s="2382" t="s">
        <v>564</v>
      </c>
      <c r="F13" s="2383"/>
      <c r="G13" s="1198" t="s">
        <v>20</v>
      </c>
      <c r="H13" s="2512" t="s">
        <v>555</v>
      </c>
      <c r="I13" s="2430"/>
      <c r="J13" s="1198" t="s">
        <v>567</v>
      </c>
      <c r="K13" s="1261" t="s">
        <v>580</v>
      </c>
      <c r="L13" s="2554" t="s">
        <v>579</v>
      </c>
      <c r="M13" s="2554"/>
      <c r="N13" s="1262" t="s">
        <v>567</v>
      </c>
      <c r="O13" s="145"/>
      <c r="P13" s="513"/>
      <c r="Q13" s="2533"/>
      <c r="R13" s="2533"/>
      <c r="S13" s="2533"/>
      <c r="T13" s="521"/>
      <c r="U13" s="522"/>
      <c r="V13" s="522"/>
      <c r="W13" s="522"/>
      <c r="X13" s="522"/>
      <c r="Y13" s="522"/>
      <c r="Z13" s="522"/>
      <c r="AA13" s="523"/>
      <c r="AB13" s="523"/>
      <c r="AC13" s="523"/>
      <c r="AD13" s="523"/>
      <c r="AE13" s="523"/>
      <c r="AF13" s="523"/>
      <c r="AG13" s="174"/>
      <c r="AH13" s="174"/>
      <c r="AI13" s="174"/>
      <c r="AJ13" s="175"/>
      <c r="AK13" s="175"/>
    </row>
    <row r="14" spans="1:69" s="36" customFormat="1" ht="12" customHeight="1" x14ac:dyDescent="0.2">
      <c r="A14" s="2370" t="s">
        <v>496</v>
      </c>
      <c r="B14" s="2371"/>
      <c r="C14" s="2371"/>
      <c r="D14" s="2722"/>
      <c r="E14" s="2384">
        <f>DK_Var2!E404</f>
        <v>0</v>
      </c>
      <c r="F14" s="2385"/>
      <c r="G14" s="974">
        <f>DK_Var2!G404</f>
        <v>0</v>
      </c>
      <c r="H14" s="2372">
        <f>DK_Var2!I404</f>
        <v>0</v>
      </c>
      <c r="I14" s="2373"/>
      <c r="J14" s="975">
        <f>DK_Var2!J404</f>
        <v>0</v>
      </c>
      <c r="K14" s="1278">
        <f>IF(E14=0,0,N14/E14*100)</f>
        <v>0</v>
      </c>
      <c r="L14" s="2727"/>
      <c r="M14" s="2727"/>
      <c r="N14" s="1279">
        <f>DK_Var2!M404</f>
        <v>0</v>
      </c>
      <c r="O14" s="145"/>
      <c r="P14" s="2534" t="s">
        <v>495</v>
      </c>
      <c r="Q14" s="2534"/>
      <c r="R14" s="2534"/>
      <c r="S14" s="2534"/>
      <c r="T14" s="521"/>
      <c r="U14" s="521"/>
      <c r="V14" s="521"/>
      <c r="W14" s="521"/>
      <c r="X14" s="521"/>
      <c r="Y14" s="521"/>
      <c r="Z14" s="521"/>
      <c r="AA14" s="546"/>
      <c r="AB14" s="546"/>
      <c r="AC14" s="546"/>
      <c r="AD14" s="546"/>
      <c r="AE14" s="546"/>
      <c r="AF14" s="546"/>
      <c r="AG14" s="222"/>
      <c r="AH14" s="222"/>
      <c r="AI14" s="222"/>
      <c r="AJ14" s="176"/>
      <c r="AK14" s="176"/>
      <c r="AL14" s="176"/>
      <c r="AM14" s="176"/>
      <c r="AN14" s="176"/>
      <c r="AO14" s="176"/>
      <c r="AP14" s="176"/>
      <c r="AQ14" s="176"/>
      <c r="AR14" s="176"/>
      <c r="AS14" s="176"/>
      <c r="AT14" s="176"/>
      <c r="AU14" s="176"/>
      <c r="AV14" s="176"/>
      <c r="AW14" s="176"/>
      <c r="AX14" s="176"/>
      <c r="AY14" s="176"/>
      <c r="AZ14" s="176"/>
      <c r="BA14" s="176"/>
      <c r="BB14" s="176"/>
      <c r="BC14" s="176"/>
      <c r="BD14" s="176"/>
      <c r="BE14" s="176"/>
      <c r="BF14" s="176"/>
      <c r="BG14" s="176"/>
      <c r="BH14" s="176"/>
      <c r="BI14" s="176"/>
      <c r="BJ14" s="176"/>
      <c r="BK14" s="176"/>
      <c r="BL14" s="176"/>
      <c r="BM14" s="176"/>
      <c r="BN14" s="176"/>
      <c r="BO14" s="176"/>
      <c r="BP14" s="176"/>
    </row>
    <row r="15" spans="1:69" s="36" customFormat="1" ht="11.25" customHeight="1" x14ac:dyDescent="0.2">
      <c r="A15" s="1597"/>
      <c r="B15" s="1598"/>
      <c r="C15" s="1599"/>
      <c r="D15" s="1599"/>
      <c r="E15" s="2723"/>
      <c r="F15" s="2724"/>
      <c r="G15" s="1600"/>
      <c r="H15" s="2374">
        <f t="shared" ref="H15:H38" si="0">IF($G15&gt;0,-PMT(($J$9),$G15,1),0)</f>
        <v>0</v>
      </c>
      <c r="I15" s="2375"/>
      <c r="J15" s="982">
        <f t="shared" ref="J15:J38" si="1">ROUND(E15*H15,-1)</f>
        <v>0</v>
      </c>
      <c r="K15" s="1280"/>
      <c r="L15" s="2728"/>
      <c r="M15" s="2728"/>
      <c r="N15" s="1283">
        <f>IF(L15,L15,ROUND(E15/100*K15,-1))</f>
        <v>0</v>
      </c>
      <c r="O15" s="145"/>
      <c r="P15" s="513"/>
      <c r="Q15" s="514"/>
      <c r="R15" s="515"/>
      <c r="S15" s="516"/>
      <c r="T15" s="521"/>
      <c r="U15" s="521"/>
      <c r="V15" s="521"/>
      <c r="W15" s="521"/>
      <c r="X15" s="521"/>
      <c r="Y15" s="521"/>
      <c r="Z15" s="521"/>
      <c r="AA15" s="546"/>
      <c r="AB15" s="546"/>
      <c r="AC15" s="546"/>
      <c r="AD15" s="546"/>
      <c r="AE15" s="546"/>
      <c r="AF15" s="546"/>
      <c r="AG15" s="222"/>
      <c r="AH15" s="222"/>
      <c r="AI15" s="222"/>
      <c r="AJ15" s="176"/>
      <c r="AK15" s="176"/>
      <c r="AL15" s="176"/>
      <c r="AM15" s="176"/>
      <c r="AN15" s="176"/>
      <c r="AO15" s="176"/>
      <c r="AP15" s="176"/>
      <c r="AQ15" s="176"/>
      <c r="AR15" s="176"/>
      <c r="AS15" s="176"/>
      <c r="AT15" s="176"/>
      <c r="AU15" s="176"/>
      <c r="AV15" s="176"/>
      <c r="AW15" s="176"/>
      <c r="AX15" s="176"/>
      <c r="AY15" s="176"/>
      <c r="AZ15" s="176"/>
      <c r="BA15" s="176"/>
      <c r="BB15" s="176"/>
      <c r="BC15" s="176"/>
      <c r="BD15" s="176"/>
      <c r="BE15" s="176"/>
      <c r="BF15" s="176"/>
      <c r="BG15" s="176"/>
      <c r="BH15" s="176"/>
      <c r="BI15" s="176"/>
      <c r="BJ15" s="176"/>
      <c r="BK15" s="176"/>
      <c r="BL15" s="176"/>
      <c r="BM15" s="176"/>
      <c r="BN15" s="176"/>
      <c r="BO15" s="176"/>
      <c r="BP15" s="176"/>
    </row>
    <row r="16" spans="1:69" s="36" customFormat="1" ht="11.25" customHeight="1" x14ac:dyDescent="0.2">
      <c r="A16" s="1597"/>
      <c r="B16" s="705"/>
      <c r="C16" s="706"/>
      <c r="D16" s="706"/>
      <c r="E16" s="2725"/>
      <c r="F16" s="2726"/>
      <c r="G16" s="1601"/>
      <c r="H16" s="2352">
        <f t="shared" si="0"/>
        <v>0</v>
      </c>
      <c r="I16" s="2353"/>
      <c r="J16" s="989">
        <f t="shared" si="1"/>
        <v>0</v>
      </c>
      <c r="K16" s="1281"/>
      <c r="L16" s="2718"/>
      <c r="M16" s="2718"/>
      <c r="N16" s="1284">
        <f t="shared" ref="N16:N38" si="2">IF(L16,L16,ROUND(E16/100*K16,-1))</f>
        <v>0</v>
      </c>
      <c r="O16" s="145"/>
      <c r="P16" s="512"/>
      <c r="Q16" s="514"/>
      <c r="R16" s="515"/>
      <c r="S16" s="516"/>
      <c r="T16" s="521"/>
      <c r="U16" s="521"/>
      <c r="V16" s="521"/>
      <c r="W16" s="521"/>
      <c r="X16" s="521"/>
      <c r="Y16" s="521"/>
      <c r="Z16" s="521"/>
      <c r="AA16" s="546"/>
      <c r="AB16" s="546"/>
      <c r="AC16" s="546"/>
      <c r="AD16" s="546"/>
      <c r="AE16" s="546"/>
      <c r="AF16" s="546"/>
      <c r="AG16" s="222"/>
      <c r="AH16" s="222"/>
      <c r="AI16" s="222"/>
      <c r="AJ16" s="176"/>
      <c r="AK16" s="176"/>
      <c r="AL16" s="176"/>
      <c r="AM16" s="176"/>
      <c r="AN16" s="176"/>
      <c r="AO16" s="176"/>
      <c r="AP16" s="176"/>
      <c r="AQ16" s="176"/>
      <c r="AR16" s="176"/>
      <c r="AS16" s="176"/>
      <c r="AT16" s="176"/>
      <c r="AU16" s="176"/>
      <c r="AV16" s="176"/>
      <c r="AW16" s="176"/>
      <c r="AX16" s="176"/>
      <c r="AY16" s="176"/>
      <c r="AZ16" s="176"/>
      <c r="BA16" s="176"/>
      <c r="BB16" s="176"/>
      <c r="BC16" s="176"/>
      <c r="BD16" s="176"/>
      <c r="BE16" s="176"/>
      <c r="BF16" s="176"/>
      <c r="BG16" s="176"/>
      <c r="BH16" s="176"/>
      <c r="BI16" s="176"/>
      <c r="BJ16" s="176"/>
      <c r="BK16" s="176"/>
      <c r="BL16" s="176"/>
      <c r="BM16" s="176"/>
      <c r="BN16" s="176"/>
      <c r="BO16" s="176"/>
      <c r="BP16" s="176"/>
    </row>
    <row r="17" spans="1:68" s="36" customFormat="1" ht="11.25" customHeight="1" x14ac:dyDescent="0.2">
      <c r="A17" s="1597"/>
      <c r="B17" s="705"/>
      <c r="C17" s="706"/>
      <c r="D17" s="706"/>
      <c r="E17" s="2725"/>
      <c r="F17" s="2726"/>
      <c r="G17" s="1601"/>
      <c r="H17" s="2352">
        <f t="shared" si="0"/>
        <v>0</v>
      </c>
      <c r="I17" s="2353"/>
      <c r="J17" s="989">
        <f t="shared" si="1"/>
        <v>0</v>
      </c>
      <c r="K17" s="1281"/>
      <c r="L17" s="2718"/>
      <c r="M17" s="2718"/>
      <c r="N17" s="1284">
        <f t="shared" si="2"/>
        <v>0</v>
      </c>
      <c r="O17" s="145"/>
      <c r="P17" s="513"/>
      <c r="Q17" s="514"/>
      <c r="R17" s="515"/>
      <c r="S17" s="516"/>
      <c r="T17" s="521"/>
      <c r="U17" s="521"/>
      <c r="V17" s="521"/>
      <c r="W17" s="521"/>
      <c r="X17" s="521"/>
      <c r="Y17" s="521"/>
      <c r="Z17" s="521"/>
      <c r="AA17" s="546"/>
      <c r="AB17" s="546"/>
      <c r="AC17" s="546"/>
      <c r="AD17" s="546"/>
      <c r="AE17" s="546"/>
      <c r="AF17" s="546"/>
      <c r="AG17" s="222"/>
      <c r="AH17" s="222"/>
      <c r="AI17" s="222"/>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c r="BP17" s="176"/>
    </row>
    <row r="18" spans="1:68" s="36" customFormat="1" ht="11.25" customHeight="1" x14ac:dyDescent="0.2">
      <c r="A18" s="985"/>
      <c r="B18" s="986"/>
      <c r="C18" s="987"/>
      <c r="D18" s="987"/>
      <c r="E18" s="2395"/>
      <c r="F18" s="2396"/>
      <c r="G18" s="988"/>
      <c r="H18" s="2352">
        <f t="shared" si="0"/>
        <v>0</v>
      </c>
      <c r="I18" s="2353"/>
      <c r="J18" s="989">
        <f t="shared" si="1"/>
        <v>0</v>
      </c>
      <c r="K18" s="1281"/>
      <c r="L18" s="2718"/>
      <c r="M18" s="2718"/>
      <c r="N18" s="1284">
        <f t="shared" si="2"/>
        <v>0</v>
      </c>
      <c r="O18" s="145"/>
      <c r="P18" s="513"/>
      <c r="Q18" s="514"/>
      <c r="R18" s="515"/>
      <c r="S18" s="516"/>
      <c r="T18" s="521"/>
      <c r="U18" s="521"/>
      <c r="V18" s="521"/>
      <c r="W18" s="521"/>
      <c r="X18" s="521"/>
      <c r="Y18" s="521"/>
      <c r="Z18" s="521"/>
      <c r="AA18" s="546"/>
      <c r="AB18" s="546"/>
      <c r="AC18" s="546"/>
      <c r="AD18" s="546"/>
      <c r="AE18" s="546"/>
      <c r="AF18" s="546"/>
      <c r="AG18" s="222"/>
      <c r="AH18" s="222"/>
      <c r="AI18" s="222"/>
      <c r="AJ18" s="176"/>
      <c r="AK18" s="176"/>
      <c r="AL18" s="176"/>
      <c r="AM18" s="176"/>
      <c r="AN18" s="176"/>
      <c r="AO18" s="176"/>
      <c r="AP18" s="176"/>
      <c r="AQ18" s="176"/>
      <c r="AR18" s="176"/>
      <c r="AS18" s="176"/>
      <c r="AT18" s="176"/>
      <c r="AU18" s="176"/>
      <c r="AV18" s="176"/>
      <c r="AW18" s="176"/>
      <c r="AX18" s="176"/>
      <c r="AY18" s="176"/>
      <c r="AZ18" s="176"/>
      <c r="BA18" s="176"/>
      <c r="BB18" s="176"/>
      <c r="BC18" s="176"/>
      <c r="BD18" s="176"/>
      <c r="BE18" s="176"/>
      <c r="BF18" s="176"/>
      <c r="BG18" s="176"/>
      <c r="BH18" s="176"/>
      <c r="BI18" s="176"/>
      <c r="BJ18" s="176"/>
      <c r="BK18" s="176"/>
      <c r="BL18" s="176"/>
      <c r="BM18" s="176"/>
      <c r="BN18" s="176"/>
      <c r="BO18" s="176"/>
      <c r="BP18" s="176"/>
    </row>
    <row r="19" spans="1:68" s="36" customFormat="1" ht="11.25" customHeight="1" x14ac:dyDescent="0.2">
      <c r="A19" s="985"/>
      <c r="B19" s="986"/>
      <c r="C19" s="987"/>
      <c r="D19" s="1275"/>
      <c r="E19" s="2395"/>
      <c r="F19" s="2396"/>
      <c r="G19" s="988"/>
      <c r="H19" s="2352">
        <f t="shared" si="0"/>
        <v>0</v>
      </c>
      <c r="I19" s="2353"/>
      <c r="J19" s="989">
        <f t="shared" si="1"/>
        <v>0</v>
      </c>
      <c r="K19" s="1281"/>
      <c r="L19" s="2718"/>
      <c r="M19" s="2718"/>
      <c r="N19" s="1284">
        <f t="shared" si="2"/>
        <v>0</v>
      </c>
      <c r="O19" s="145"/>
      <c r="P19" s="513"/>
      <c r="Q19" s="514"/>
      <c r="R19" s="515"/>
      <c r="S19" s="516"/>
      <c r="T19" s="521"/>
      <c r="U19" s="521"/>
      <c r="V19" s="521"/>
      <c r="W19" s="521"/>
      <c r="X19" s="521"/>
      <c r="Y19" s="521"/>
      <c r="Z19" s="521"/>
      <c r="AA19" s="546"/>
      <c r="AB19" s="546"/>
      <c r="AC19" s="546"/>
      <c r="AD19" s="546"/>
      <c r="AE19" s="546"/>
      <c r="AF19" s="546"/>
      <c r="AG19" s="222"/>
      <c r="AH19" s="222"/>
      <c r="AI19" s="222"/>
      <c r="AJ19" s="176"/>
      <c r="AK19" s="176"/>
      <c r="AL19" s="176"/>
      <c r="AM19" s="176"/>
      <c r="AN19" s="176"/>
      <c r="AO19" s="176"/>
      <c r="AP19" s="176"/>
      <c r="AQ19" s="176"/>
      <c r="AR19" s="176"/>
      <c r="AS19" s="176"/>
      <c r="AT19" s="176"/>
      <c r="AU19" s="176"/>
      <c r="AV19" s="176"/>
      <c r="AW19" s="176"/>
      <c r="AX19" s="176"/>
      <c r="AY19" s="176"/>
      <c r="AZ19" s="176"/>
      <c r="BA19" s="176"/>
      <c r="BB19" s="176"/>
      <c r="BC19" s="176"/>
      <c r="BD19" s="176"/>
      <c r="BE19" s="176"/>
      <c r="BF19" s="176"/>
      <c r="BG19" s="176"/>
      <c r="BH19" s="176"/>
      <c r="BI19" s="176"/>
      <c r="BJ19" s="176"/>
      <c r="BK19" s="176"/>
      <c r="BL19" s="176"/>
      <c r="BM19" s="176"/>
      <c r="BN19" s="176"/>
      <c r="BO19" s="176"/>
      <c r="BP19" s="176"/>
    </row>
    <row r="20" spans="1:68" s="36" customFormat="1" ht="11.25" customHeight="1" x14ac:dyDescent="0.2">
      <c r="A20" s="985"/>
      <c r="B20" s="986"/>
      <c r="C20" s="987"/>
      <c r="D20" s="1275"/>
      <c r="E20" s="2395"/>
      <c r="F20" s="2396"/>
      <c r="G20" s="988"/>
      <c r="H20" s="2352">
        <f t="shared" si="0"/>
        <v>0</v>
      </c>
      <c r="I20" s="2353"/>
      <c r="J20" s="989">
        <f t="shared" si="1"/>
        <v>0</v>
      </c>
      <c r="K20" s="1281"/>
      <c r="L20" s="2718"/>
      <c r="M20" s="2718"/>
      <c r="N20" s="1284">
        <f t="shared" si="2"/>
        <v>0</v>
      </c>
      <c r="O20" s="145"/>
      <c r="P20" s="513"/>
      <c r="Q20" s="514"/>
      <c r="R20" s="515"/>
      <c r="S20" s="516"/>
      <c r="T20" s="521"/>
      <c r="U20" s="521"/>
      <c r="V20" s="521"/>
      <c r="W20" s="521"/>
      <c r="X20" s="521"/>
      <c r="Y20" s="521"/>
      <c r="Z20" s="521"/>
      <c r="AA20" s="546"/>
      <c r="AB20" s="546"/>
      <c r="AC20" s="546"/>
      <c r="AD20" s="546"/>
      <c r="AE20" s="546"/>
      <c r="AF20" s="546"/>
      <c r="AG20" s="222"/>
      <c r="AH20" s="222"/>
      <c r="AI20" s="222"/>
      <c r="AJ20" s="176"/>
      <c r="AK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BG20" s="176"/>
      <c r="BH20" s="176"/>
      <c r="BI20" s="176"/>
      <c r="BJ20" s="176"/>
      <c r="BK20" s="176"/>
      <c r="BL20" s="176"/>
      <c r="BM20" s="176"/>
      <c r="BN20" s="176"/>
      <c r="BO20" s="176"/>
      <c r="BP20" s="176"/>
    </row>
    <row r="21" spans="1:68" s="36" customFormat="1" ht="11.25" customHeight="1" x14ac:dyDescent="0.2">
      <c r="A21" s="985"/>
      <c r="B21" s="986"/>
      <c r="C21" s="987"/>
      <c r="D21" s="1275"/>
      <c r="E21" s="2395"/>
      <c r="F21" s="2396"/>
      <c r="G21" s="988"/>
      <c r="H21" s="2352">
        <f t="shared" si="0"/>
        <v>0</v>
      </c>
      <c r="I21" s="2353"/>
      <c r="J21" s="989">
        <f t="shared" si="1"/>
        <v>0</v>
      </c>
      <c r="K21" s="1281"/>
      <c r="L21" s="2718"/>
      <c r="M21" s="2718"/>
      <c r="N21" s="1284">
        <f t="shared" si="2"/>
        <v>0</v>
      </c>
      <c r="O21" s="145"/>
      <c r="P21" s="513"/>
      <c r="Q21" s="514"/>
      <c r="R21" s="515"/>
      <c r="S21" s="516"/>
      <c r="T21" s="521"/>
      <c r="U21" s="521"/>
      <c r="V21" s="521"/>
      <c r="W21" s="521"/>
      <c r="X21" s="521"/>
      <c r="Y21" s="521"/>
      <c r="Z21" s="521"/>
      <c r="AA21" s="546"/>
      <c r="AB21" s="546"/>
      <c r="AC21" s="546"/>
      <c r="AD21" s="546"/>
      <c r="AE21" s="546"/>
      <c r="AF21" s="546"/>
      <c r="AG21" s="222"/>
      <c r="AH21" s="222"/>
      <c r="AI21" s="222"/>
      <c r="AJ21" s="176"/>
      <c r="AK21" s="176"/>
      <c r="AL21" s="176"/>
      <c r="AM21" s="176"/>
      <c r="AN21" s="176"/>
      <c r="AO21" s="176"/>
      <c r="AP21" s="176"/>
      <c r="AQ21" s="176"/>
      <c r="AR21" s="176"/>
      <c r="AS21" s="176"/>
      <c r="AT21" s="176"/>
      <c r="AU21" s="176"/>
      <c r="AV21" s="176"/>
      <c r="AW21" s="176"/>
      <c r="AX21" s="176"/>
      <c r="AY21" s="176"/>
      <c r="AZ21" s="176"/>
      <c r="BA21" s="176"/>
      <c r="BB21" s="176"/>
      <c r="BC21" s="176"/>
      <c r="BD21" s="176"/>
      <c r="BE21" s="176"/>
      <c r="BF21" s="176"/>
      <c r="BG21" s="176"/>
      <c r="BH21" s="176"/>
      <c r="BI21" s="176"/>
      <c r="BJ21" s="176"/>
      <c r="BK21" s="176"/>
      <c r="BL21" s="176"/>
      <c r="BM21" s="176"/>
      <c r="BN21" s="176"/>
      <c r="BO21" s="176"/>
      <c r="BP21" s="176"/>
    </row>
    <row r="22" spans="1:68" s="36" customFormat="1" ht="11.25" customHeight="1" x14ac:dyDescent="0.2">
      <c r="A22" s="985"/>
      <c r="B22" s="986"/>
      <c r="C22" s="987"/>
      <c r="D22" s="1275"/>
      <c r="E22" s="2395"/>
      <c r="F22" s="2396"/>
      <c r="G22" s="988"/>
      <c r="H22" s="2352">
        <f t="shared" si="0"/>
        <v>0</v>
      </c>
      <c r="I22" s="2353"/>
      <c r="J22" s="989">
        <f t="shared" si="1"/>
        <v>0</v>
      </c>
      <c r="K22" s="1281"/>
      <c r="L22" s="2718"/>
      <c r="M22" s="2718"/>
      <c r="N22" s="1284">
        <f t="shared" si="2"/>
        <v>0</v>
      </c>
      <c r="O22" s="145"/>
      <c r="P22" s="513"/>
      <c r="Q22" s="514"/>
      <c r="R22" s="515"/>
      <c r="S22" s="516"/>
      <c r="T22" s="521"/>
      <c r="U22" s="521"/>
      <c r="V22" s="521"/>
      <c r="W22" s="521"/>
      <c r="X22" s="521"/>
      <c r="Y22" s="521"/>
      <c r="Z22" s="521"/>
      <c r="AA22" s="546"/>
      <c r="AB22" s="546"/>
      <c r="AC22" s="546"/>
      <c r="AD22" s="546"/>
      <c r="AE22" s="546"/>
      <c r="AF22" s="546"/>
      <c r="AG22" s="222"/>
      <c r="AH22" s="222"/>
      <c r="AI22" s="222"/>
      <c r="AJ22" s="176"/>
      <c r="AK22" s="176"/>
      <c r="AL22" s="176"/>
      <c r="AM22" s="176"/>
      <c r="AN22" s="176"/>
      <c r="AO22" s="176"/>
      <c r="AP22" s="176"/>
      <c r="AQ22" s="176"/>
      <c r="AR22" s="176"/>
      <c r="AS22" s="176"/>
      <c r="AT22" s="176"/>
      <c r="AU22" s="176"/>
      <c r="AV22" s="176"/>
      <c r="AW22" s="176"/>
      <c r="AX22" s="176"/>
      <c r="AY22" s="176"/>
      <c r="AZ22" s="176"/>
      <c r="BA22" s="176"/>
      <c r="BB22" s="176"/>
      <c r="BC22" s="176"/>
      <c r="BD22" s="176"/>
      <c r="BE22" s="176"/>
      <c r="BF22" s="176"/>
      <c r="BG22" s="176"/>
      <c r="BH22" s="176"/>
      <c r="BI22" s="176"/>
      <c r="BJ22" s="176"/>
      <c r="BK22" s="176"/>
      <c r="BL22" s="176"/>
      <c r="BM22" s="176"/>
      <c r="BN22" s="176"/>
      <c r="BO22" s="176"/>
      <c r="BP22" s="176"/>
    </row>
    <row r="23" spans="1:68" s="36" customFormat="1" ht="11.25" customHeight="1" x14ac:dyDescent="0.2">
      <c r="A23" s="992"/>
      <c r="B23" s="993"/>
      <c r="C23" s="993"/>
      <c r="D23" s="1276"/>
      <c r="E23" s="2395"/>
      <c r="F23" s="2396"/>
      <c r="G23" s="988"/>
      <c r="H23" s="2352">
        <f t="shared" si="0"/>
        <v>0</v>
      </c>
      <c r="I23" s="2353"/>
      <c r="J23" s="989">
        <f t="shared" si="1"/>
        <v>0</v>
      </c>
      <c r="K23" s="1281"/>
      <c r="L23" s="2718"/>
      <c r="M23" s="2718"/>
      <c r="N23" s="1284">
        <f t="shared" si="2"/>
        <v>0</v>
      </c>
      <c r="O23" s="145"/>
      <c r="P23" s="513"/>
      <c r="Q23" s="514"/>
      <c r="R23" s="515"/>
      <c r="S23" s="516"/>
      <c r="T23" s="521"/>
      <c r="U23" s="521"/>
      <c r="V23" s="521"/>
      <c r="W23" s="521"/>
      <c r="X23" s="521"/>
      <c r="Y23" s="521"/>
      <c r="Z23" s="521"/>
      <c r="AA23" s="546"/>
      <c r="AB23" s="546"/>
      <c r="AC23" s="546"/>
      <c r="AD23" s="546"/>
      <c r="AE23" s="546"/>
      <c r="AF23" s="546"/>
      <c r="AG23" s="222"/>
      <c r="AH23" s="222"/>
      <c r="AI23" s="222"/>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row>
    <row r="24" spans="1:68" s="36" customFormat="1" ht="11.25" customHeight="1" x14ac:dyDescent="0.2">
      <c r="A24" s="992"/>
      <c r="B24" s="993"/>
      <c r="C24" s="993"/>
      <c r="D24" s="1276"/>
      <c r="E24" s="2395"/>
      <c r="F24" s="2396"/>
      <c r="G24" s="988"/>
      <c r="H24" s="2352">
        <f t="shared" si="0"/>
        <v>0</v>
      </c>
      <c r="I24" s="2353"/>
      <c r="J24" s="989">
        <f t="shared" si="1"/>
        <v>0</v>
      </c>
      <c r="K24" s="1281"/>
      <c r="L24" s="2718"/>
      <c r="M24" s="2718"/>
      <c r="N24" s="1284">
        <f t="shared" si="2"/>
        <v>0</v>
      </c>
      <c r="O24" s="145"/>
      <c r="P24" s="513"/>
      <c r="Q24" s="514"/>
      <c r="R24" s="515"/>
      <c r="S24" s="516"/>
      <c r="T24" s="521"/>
      <c r="U24" s="521"/>
      <c r="V24" s="521"/>
      <c r="W24" s="521"/>
      <c r="X24" s="521"/>
      <c r="Y24" s="521"/>
      <c r="Z24" s="521"/>
      <c r="AA24" s="546"/>
      <c r="AB24" s="546"/>
      <c r="AC24" s="546"/>
      <c r="AD24" s="546"/>
      <c r="AE24" s="546"/>
      <c r="AF24" s="546"/>
      <c r="AG24" s="222"/>
      <c r="AH24" s="222"/>
      <c r="AI24" s="222"/>
      <c r="AJ24" s="176"/>
      <c r="AK24" s="176"/>
      <c r="AL24" s="176"/>
      <c r="AM24" s="176"/>
      <c r="AN24" s="176"/>
      <c r="AO24" s="176"/>
      <c r="AP24" s="176"/>
      <c r="AQ24" s="176"/>
      <c r="AR24" s="176"/>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c r="BP24" s="176"/>
    </row>
    <row r="25" spans="1:68" s="36" customFormat="1" ht="11.25" customHeight="1" x14ac:dyDescent="0.2">
      <c r="A25" s="992"/>
      <c r="B25" s="993"/>
      <c r="C25" s="993"/>
      <c r="D25" s="1276"/>
      <c r="E25" s="2395"/>
      <c r="F25" s="2396"/>
      <c r="G25" s="988"/>
      <c r="H25" s="2352">
        <f t="shared" si="0"/>
        <v>0</v>
      </c>
      <c r="I25" s="2353"/>
      <c r="J25" s="989">
        <f t="shared" si="1"/>
        <v>0</v>
      </c>
      <c r="K25" s="1281"/>
      <c r="L25" s="2718"/>
      <c r="M25" s="2718"/>
      <c r="N25" s="1284">
        <f t="shared" si="2"/>
        <v>0</v>
      </c>
      <c r="O25" s="145"/>
      <c r="P25" s="513"/>
      <c r="Q25" s="514"/>
      <c r="R25" s="515"/>
      <c r="S25" s="516"/>
      <c r="T25" s="521"/>
      <c r="U25" s="521"/>
      <c r="V25" s="521"/>
      <c r="W25" s="521"/>
      <c r="X25" s="521"/>
      <c r="Y25" s="521"/>
      <c r="Z25" s="521"/>
      <c r="AA25" s="546"/>
      <c r="AB25" s="546"/>
      <c r="AC25" s="546"/>
      <c r="AD25" s="546"/>
      <c r="AE25" s="546"/>
      <c r="AF25" s="546"/>
      <c r="AG25" s="222"/>
      <c r="AH25" s="222"/>
      <c r="AI25" s="222"/>
      <c r="AJ25" s="176"/>
      <c r="AK25" s="176"/>
      <c r="AL25" s="176"/>
      <c r="AM25" s="176"/>
      <c r="AN25" s="176"/>
      <c r="AO25" s="176"/>
      <c r="AP25" s="176"/>
      <c r="AQ25" s="176"/>
      <c r="AR25" s="176"/>
      <c r="AS25" s="176"/>
      <c r="AT25" s="176"/>
      <c r="AU25" s="176"/>
      <c r="AV25" s="176"/>
      <c r="AW25" s="176"/>
      <c r="AX25" s="176"/>
      <c r="AY25" s="176"/>
      <c r="AZ25" s="176"/>
      <c r="BA25" s="176"/>
      <c r="BB25" s="176"/>
      <c r="BC25" s="176"/>
      <c r="BD25" s="176"/>
      <c r="BE25" s="176"/>
      <c r="BF25" s="176"/>
      <c r="BG25" s="176"/>
      <c r="BH25" s="176"/>
      <c r="BI25" s="176"/>
      <c r="BJ25" s="176"/>
      <c r="BK25" s="176"/>
      <c r="BL25" s="176"/>
      <c r="BM25" s="176"/>
      <c r="BN25" s="176"/>
      <c r="BO25" s="176"/>
      <c r="BP25" s="176"/>
    </row>
    <row r="26" spans="1:68" s="36" customFormat="1" ht="11.25" customHeight="1" x14ac:dyDescent="0.2">
      <c r="A26" s="992"/>
      <c r="B26" s="993"/>
      <c r="C26" s="993"/>
      <c r="D26" s="1276"/>
      <c r="E26" s="2395"/>
      <c r="F26" s="2396"/>
      <c r="G26" s="988"/>
      <c r="H26" s="2352">
        <f t="shared" si="0"/>
        <v>0</v>
      </c>
      <c r="I26" s="2353"/>
      <c r="J26" s="989">
        <f t="shared" si="1"/>
        <v>0</v>
      </c>
      <c r="K26" s="1281"/>
      <c r="L26" s="2718"/>
      <c r="M26" s="2718"/>
      <c r="N26" s="1284">
        <f t="shared" si="2"/>
        <v>0</v>
      </c>
      <c r="O26" s="145"/>
      <c r="P26" s="2535" t="s">
        <v>492</v>
      </c>
      <c r="Q26" s="2536" t="s">
        <v>493</v>
      </c>
      <c r="R26" s="2536"/>
      <c r="S26" s="2536"/>
      <c r="T26" s="521"/>
      <c r="U26" s="521"/>
      <c r="V26" s="521"/>
      <c r="W26" s="521"/>
      <c r="X26" s="521"/>
      <c r="Y26" s="521"/>
      <c r="Z26" s="521"/>
      <c r="AA26" s="546"/>
      <c r="AB26" s="546"/>
      <c r="AC26" s="546"/>
      <c r="AD26" s="546"/>
      <c r="AE26" s="546"/>
      <c r="AF26" s="546"/>
      <c r="AG26" s="222"/>
      <c r="AH26" s="222"/>
      <c r="AI26" s="222"/>
      <c r="AJ26" s="176"/>
      <c r="AK26" s="176"/>
      <c r="AL26" s="176"/>
      <c r="AM26" s="176"/>
      <c r="AN26" s="176"/>
      <c r="AO26" s="176"/>
      <c r="AP26" s="176"/>
      <c r="AQ26" s="176"/>
      <c r="AR26" s="176"/>
      <c r="AS26" s="176"/>
      <c r="AT26" s="176"/>
      <c r="AU26" s="176"/>
      <c r="AV26" s="176"/>
      <c r="AW26" s="176"/>
      <c r="AX26" s="176"/>
      <c r="AY26" s="176"/>
      <c r="AZ26" s="176"/>
      <c r="BA26" s="176"/>
      <c r="BB26" s="176"/>
      <c r="BC26" s="176"/>
      <c r="BD26" s="176"/>
      <c r="BE26" s="176"/>
      <c r="BF26" s="176"/>
      <c r="BG26" s="176"/>
      <c r="BH26" s="176"/>
      <c r="BI26" s="176"/>
      <c r="BJ26" s="176"/>
      <c r="BK26" s="176"/>
      <c r="BL26" s="176"/>
      <c r="BM26" s="176"/>
      <c r="BN26" s="176"/>
      <c r="BO26" s="176"/>
      <c r="BP26" s="176"/>
    </row>
    <row r="27" spans="1:68" s="36" customFormat="1" ht="11.25" customHeight="1" x14ac:dyDescent="0.2">
      <c r="A27" s="992"/>
      <c r="B27" s="993"/>
      <c r="C27" s="993"/>
      <c r="D27" s="1276"/>
      <c r="E27" s="2395"/>
      <c r="F27" s="2396"/>
      <c r="G27" s="988"/>
      <c r="H27" s="2352">
        <f t="shared" si="0"/>
        <v>0</v>
      </c>
      <c r="I27" s="2353"/>
      <c r="J27" s="989">
        <f t="shared" si="1"/>
        <v>0</v>
      </c>
      <c r="K27" s="1281"/>
      <c r="L27" s="2718"/>
      <c r="M27" s="2718"/>
      <c r="N27" s="1284">
        <f t="shared" si="2"/>
        <v>0</v>
      </c>
      <c r="O27" s="145"/>
      <c r="P27" s="2535"/>
      <c r="Q27" s="2536"/>
      <c r="R27" s="2536"/>
      <c r="S27" s="2536"/>
      <c r="T27" s="521"/>
      <c r="U27" s="521"/>
      <c r="V27" s="521"/>
      <c r="W27" s="521"/>
      <c r="X27" s="521"/>
      <c r="Y27" s="521"/>
      <c r="Z27" s="521"/>
      <c r="AA27" s="546"/>
      <c r="AB27" s="546"/>
      <c r="AC27" s="546"/>
      <c r="AD27" s="546"/>
      <c r="AE27" s="546"/>
      <c r="AF27" s="546"/>
      <c r="AG27" s="222"/>
      <c r="AH27" s="222"/>
      <c r="AI27" s="222"/>
      <c r="AJ27" s="176"/>
      <c r="AK27" s="176"/>
      <c r="AL27" s="176"/>
      <c r="AM27" s="176"/>
      <c r="AN27" s="176"/>
      <c r="AO27" s="176"/>
      <c r="AP27" s="176"/>
      <c r="AQ27" s="176"/>
      <c r="AR27" s="176"/>
      <c r="AS27" s="176"/>
      <c r="AT27" s="176"/>
      <c r="AU27" s="176"/>
      <c r="AV27" s="176"/>
      <c r="AW27" s="176"/>
      <c r="AX27" s="176"/>
      <c r="AY27" s="176"/>
      <c r="AZ27" s="176"/>
      <c r="BA27" s="176"/>
      <c r="BB27" s="176"/>
      <c r="BC27" s="176"/>
      <c r="BD27" s="176"/>
      <c r="BE27" s="176"/>
      <c r="BF27" s="176"/>
      <c r="BG27" s="176"/>
      <c r="BH27" s="176"/>
      <c r="BI27" s="176"/>
      <c r="BJ27" s="176"/>
      <c r="BK27" s="176"/>
      <c r="BL27" s="176"/>
      <c r="BM27" s="176"/>
      <c r="BN27" s="176"/>
      <c r="BO27" s="176"/>
      <c r="BP27" s="176"/>
    </row>
    <row r="28" spans="1:68" s="36" customFormat="1" ht="11.25" customHeight="1" x14ac:dyDescent="0.2">
      <c r="A28" s="992"/>
      <c r="B28" s="993"/>
      <c r="C28" s="993"/>
      <c r="D28" s="1276"/>
      <c r="E28" s="2395"/>
      <c r="F28" s="2396"/>
      <c r="G28" s="988"/>
      <c r="H28" s="2352">
        <f t="shared" si="0"/>
        <v>0</v>
      </c>
      <c r="I28" s="2353"/>
      <c r="J28" s="989">
        <f t="shared" si="1"/>
        <v>0</v>
      </c>
      <c r="K28" s="1281"/>
      <c r="L28" s="2718"/>
      <c r="M28" s="2718"/>
      <c r="N28" s="1284">
        <f t="shared" si="2"/>
        <v>0</v>
      </c>
      <c r="O28" s="145"/>
      <c r="P28" s="513"/>
      <c r="Q28" s="514"/>
      <c r="R28" s="515"/>
      <c r="S28" s="516"/>
      <c r="T28" s="521"/>
      <c r="U28" s="521"/>
      <c r="V28" s="521"/>
      <c r="W28" s="521"/>
      <c r="X28" s="521"/>
      <c r="Y28" s="521"/>
      <c r="Z28" s="521"/>
      <c r="AA28" s="546"/>
      <c r="AB28" s="546"/>
      <c r="AC28" s="546"/>
      <c r="AD28" s="546"/>
      <c r="AE28" s="546"/>
      <c r="AF28" s="546"/>
      <c r="AG28" s="222"/>
      <c r="AH28" s="222"/>
      <c r="AI28" s="222"/>
      <c r="AJ28" s="176"/>
      <c r="AK28" s="176"/>
      <c r="AL28" s="176"/>
      <c r="AM28" s="176"/>
      <c r="AN28" s="176"/>
      <c r="AO28" s="176"/>
      <c r="AP28" s="176"/>
      <c r="AQ28" s="176"/>
      <c r="AR28" s="176"/>
      <c r="AS28" s="176"/>
      <c r="AT28" s="176"/>
      <c r="AU28" s="176"/>
      <c r="AV28" s="176"/>
      <c r="AW28" s="176"/>
      <c r="AX28" s="176"/>
      <c r="AY28" s="176"/>
      <c r="AZ28" s="176"/>
      <c r="BA28" s="176"/>
      <c r="BB28" s="176"/>
      <c r="BC28" s="176"/>
      <c r="BD28" s="176"/>
      <c r="BE28" s="176"/>
      <c r="BF28" s="176"/>
      <c r="BG28" s="176"/>
      <c r="BH28" s="176"/>
      <c r="BI28" s="176"/>
      <c r="BJ28" s="176"/>
      <c r="BK28" s="176"/>
      <c r="BL28" s="176"/>
      <c r="BM28" s="176"/>
      <c r="BN28" s="176"/>
      <c r="BO28" s="176"/>
      <c r="BP28" s="176"/>
    </row>
    <row r="29" spans="1:68" s="36" customFormat="1" ht="11.25" customHeight="1" x14ac:dyDescent="0.2">
      <c r="A29" s="992"/>
      <c r="B29" s="993"/>
      <c r="C29" s="993"/>
      <c r="D29" s="1276"/>
      <c r="E29" s="2395"/>
      <c r="F29" s="2396"/>
      <c r="G29" s="988"/>
      <c r="H29" s="2352">
        <f t="shared" si="0"/>
        <v>0</v>
      </c>
      <c r="I29" s="2353"/>
      <c r="J29" s="989">
        <f t="shared" si="1"/>
        <v>0</v>
      </c>
      <c r="K29" s="1281"/>
      <c r="L29" s="2718"/>
      <c r="M29" s="2718"/>
      <c r="N29" s="1284">
        <f t="shared" si="2"/>
        <v>0</v>
      </c>
      <c r="O29" s="145"/>
      <c r="P29" s="513"/>
      <c r="Q29" s="514"/>
      <c r="R29" s="515"/>
      <c r="S29" s="516"/>
      <c r="T29" s="521"/>
      <c r="U29" s="521"/>
      <c r="V29" s="521"/>
      <c r="W29" s="521"/>
      <c r="X29" s="521"/>
      <c r="Y29" s="521"/>
      <c r="Z29" s="521"/>
      <c r="AA29" s="546"/>
      <c r="AB29" s="546"/>
      <c r="AC29" s="546"/>
      <c r="AD29" s="546"/>
      <c r="AE29" s="546"/>
      <c r="AF29" s="546"/>
      <c r="AG29" s="222"/>
      <c r="AH29" s="222"/>
      <c r="AI29" s="222"/>
      <c r="AJ29" s="176"/>
      <c r="AK29" s="176"/>
      <c r="AL29" s="176"/>
      <c r="AM29" s="176"/>
      <c r="AN29" s="176"/>
      <c r="AO29" s="176"/>
      <c r="AP29" s="176"/>
      <c r="AQ29" s="176"/>
      <c r="AR29" s="176"/>
      <c r="AS29" s="176"/>
      <c r="AT29" s="176"/>
      <c r="AU29" s="176"/>
      <c r="AV29" s="176"/>
      <c r="AW29" s="176"/>
      <c r="AX29" s="176"/>
      <c r="AY29" s="176"/>
      <c r="AZ29" s="176"/>
      <c r="BA29" s="176"/>
      <c r="BB29" s="176"/>
      <c r="BC29" s="176"/>
      <c r="BD29" s="176"/>
      <c r="BE29" s="176"/>
      <c r="BF29" s="176"/>
      <c r="BG29" s="176"/>
      <c r="BH29" s="176"/>
      <c r="BI29" s="176"/>
      <c r="BJ29" s="176"/>
      <c r="BK29" s="176"/>
      <c r="BL29" s="176"/>
      <c r="BM29" s="176"/>
      <c r="BN29" s="176"/>
      <c r="BO29" s="176"/>
      <c r="BP29" s="176"/>
    </row>
    <row r="30" spans="1:68" s="36" customFormat="1" ht="11.25" customHeight="1" x14ac:dyDescent="0.2">
      <c r="A30" s="992"/>
      <c r="B30" s="993"/>
      <c r="C30" s="993"/>
      <c r="D30" s="1276"/>
      <c r="E30" s="2395"/>
      <c r="F30" s="2396"/>
      <c r="G30" s="988"/>
      <c r="H30" s="2352">
        <f t="shared" si="0"/>
        <v>0</v>
      </c>
      <c r="I30" s="2353"/>
      <c r="J30" s="989">
        <f t="shared" si="1"/>
        <v>0</v>
      </c>
      <c r="K30" s="1281"/>
      <c r="L30" s="2718"/>
      <c r="M30" s="2718"/>
      <c r="N30" s="1284">
        <f t="shared" si="2"/>
        <v>0</v>
      </c>
      <c r="O30" s="145"/>
      <c r="P30" s="513"/>
      <c r="Q30" s="514"/>
      <c r="R30" s="515"/>
      <c r="S30" s="516"/>
      <c r="T30" s="521"/>
      <c r="U30" s="521"/>
      <c r="V30" s="521"/>
      <c r="W30" s="521"/>
      <c r="X30" s="521"/>
      <c r="Y30" s="521"/>
      <c r="Z30" s="521"/>
      <c r="AA30" s="546"/>
      <c r="AB30" s="546"/>
      <c r="AC30" s="546"/>
      <c r="AD30" s="546"/>
      <c r="AE30" s="546"/>
      <c r="AF30" s="546"/>
      <c r="AG30" s="222"/>
      <c r="AH30" s="222"/>
      <c r="AI30" s="222"/>
      <c r="AJ30" s="176"/>
      <c r="AK30" s="176"/>
      <c r="AL30" s="176"/>
      <c r="AM30" s="176"/>
      <c r="AN30" s="176"/>
      <c r="AO30" s="176"/>
      <c r="AP30" s="176"/>
      <c r="AQ30" s="176"/>
      <c r="AR30" s="176"/>
      <c r="AS30" s="176"/>
      <c r="AT30" s="176"/>
      <c r="AU30" s="176"/>
      <c r="AV30" s="176"/>
      <c r="AW30" s="176"/>
      <c r="AX30" s="176"/>
      <c r="AY30" s="176"/>
      <c r="AZ30" s="176"/>
      <c r="BA30" s="176"/>
      <c r="BB30" s="176"/>
      <c r="BC30" s="176"/>
      <c r="BD30" s="176"/>
      <c r="BE30" s="176"/>
      <c r="BF30" s="176"/>
      <c r="BG30" s="176"/>
      <c r="BH30" s="176"/>
      <c r="BI30" s="176"/>
      <c r="BJ30" s="176"/>
      <c r="BK30" s="176"/>
      <c r="BL30" s="176"/>
      <c r="BM30" s="176"/>
      <c r="BN30" s="176"/>
      <c r="BO30" s="176"/>
      <c r="BP30" s="176"/>
    </row>
    <row r="31" spans="1:68" s="36" customFormat="1" ht="11.25" customHeight="1" x14ac:dyDescent="0.2">
      <c r="A31" s="992"/>
      <c r="B31" s="993"/>
      <c r="C31" s="993"/>
      <c r="D31" s="1276"/>
      <c r="E31" s="2395"/>
      <c r="F31" s="2396"/>
      <c r="G31" s="988"/>
      <c r="H31" s="2352">
        <f t="shared" si="0"/>
        <v>0</v>
      </c>
      <c r="I31" s="2353"/>
      <c r="J31" s="989">
        <f t="shared" si="1"/>
        <v>0</v>
      </c>
      <c r="K31" s="1281"/>
      <c r="L31" s="2718"/>
      <c r="M31" s="2718"/>
      <c r="N31" s="1284">
        <f t="shared" si="2"/>
        <v>0</v>
      </c>
      <c r="O31" s="145"/>
      <c r="P31" s="513"/>
      <c r="Q31" s="514"/>
      <c r="R31" s="515"/>
      <c r="S31" s="516"/>
      <c r="T31" s="521"/>
      <c r="U31" s="521"/>
      <c r="V31" s="521"/>
      <c r="W31" s="521"/>
      <c r="X31" s="521"/>
      <c r="Y31" s="521"/>
      <c r="Z31" s="521"/>
      <c r="AA31" s="546"/>
      <c r="AB31" s="546"/>
      <c r="AC31" s="546"/>
      <c r="AD31" s="546"/>
      <c r="AE31" s="546"/>
      <c r="AF31" s="546"/>
      <c r="AG31" s="222"/>
      <c r="AH31" s="222"/>
      <c r="AI31" s="222"/>
      <c r="AJ31" s="176"/>
      <c r="AK31" s="176"/>
      <c r="AL31" s="176"/>
      <c r="AM31" s="176"/>
      <c r="AN31" s="176"/>
      <c r="AO31" s="176"/>
      <c r="AP31" s="176"/>
      <c r="AQ31" s="176"/>
      <c r="AR31" s="176"/>
      <c r="AS31" s="176"/>
      <c r="AT31" s="176"/>
      <c r="AU31" s="176"/>
      <c r="AV31" s="176"/>
      <c r="AW31" s="176"/>
      <c r="AX31" s="176"/>
      <c r="AY31" s="176"/>
      <c r="AZ31" s="176"/>
      <c r="BA31" s="176"/>
      <c r="BB31" s="176"/>
      <c r="BC31" s="176"/>
      <c r="BD31" s="176"/>
      <c r="BE31" s="176"/>
      <c r="BF31" s="176"/>
      <c r="BG31" s="176"/>
      <c r="BH31" s="176"/>
      <c r="BI31" s="176"/>
      <c r="BJ31" s="176"/>
      <c r="BK31" s="176"/>
      <c r="BL31" s="176"/>
      <c r="BM31" s="176"/>
      <c r="BN31" s="176"/>
      <c r="BO31" s="176"/>
      <c r="BP31" s="176"/>
    </row>
    <row r="32" spans="1:68" s="36" customFormat="1" ht="11.25" customHeight="1" x14ac:dyDescent="0.2">
      <c r="A32" s="992"/>
      <c r="B32" s="993"/>
      <c r="C32" s="993"/>
      <c r="D32" s="1276"/>
      <c r="E32" s="2395"/>
      <c r="F32" s="2396"/>
      <c r="G32" s="988"/>
      <c r="H32" s="2352">
        <f t="shared" si="0"/>
        <v>0</v>
      </c>
      <c r="I32" s="2353"/>
      <c r="J32" s="989">
        <f t="shared" si="1"/>
        <v>0</v>
      </c>
      <c r="K32" s="1281"/>
      <c r="L32" s="2718"/>
      <c r="M32" s="2718"/>
      <c r="N32" s="1284">
        <f t="shared" si="2"/>
        <v>0</v>
      </c>
      <c r="O32" s="145"/>
      <c r="P32" s="513"/>
      <c r="Q32" s="514"/>
      <c r="R32" s="515"/>
      <c r="S32" s="516"/>
      <c r="T32" s="521"/>
      <c r="U32" s="521"/>
      <c r="V32" s="521"/>
      <c r="W32" s="521"/>
      <c r="X32" s="521"/>
      <c r="Y32" s="521"/>
      <c r="Z32" s="521"/>
      <c r="AA32" s="546"/>
      <c r="AB32" s="546"/>
      <c r="AC32" s="546"/>
      <c r="AD32" s="546"/>
      <c r="AE32" s="546"/>
      <c r="AF32" s="546"/>
      <c r="AG32" s="222"/>
      <c r="AH32" s="222"/>
      <c r="AI32" s="222"/>
      <c r="AJ32" s="176"/>
      <c r="AK32" s="176"/>
      <c r="AL32" s="176"/>
      <c r="AM32" s="176"/>
      <c r="AN32" s="176"/>
      <c r="AO32" s="176"/>
      <c r="AP32" s="176"/>
      <c r="AQ32" s="176"/>
      <c r="AR32" s="176"/>
      <c r="AS32" s="176"/>
      <c r="AT32" s="176"/>
      <c r="AU32" s="176"/>
      <c r="AV32" s="176"/>
      <c r="AW32" s="176"/>
      <c r="AX32" s="176"/>
      <c r="AY32" s="176"/>
      <c r="AZ32" s="176"/>
      <c r="BA32" s="176"/>
      <c r="BB32" s="176"/>
      <c r="BC32" s="176"/>
      <c r="BD32" s="176"/>
      <c r="BE32" s="176"/>
      <c r="BF32" s="176"/>
      <c r="BG32" s="176"/>
      <c r="BH32" s="176"/>
      <c r="BI32" s="176"/>
      <c r="BJ32" s="176"/>
      <c r="BK32" s="176"/>
      <c r="BL32" s="176"/>
      <c r="BM32" s="176"/>
      <c r="BN32" s="176"/>
      <c r="BO32" s="176"/>
      <c r="BP32" s="176"/>
    </row>
    <row r="33" spans="1:69" s="36" customFormat="1" ht="11.25" customHeight="1" x14ac:dyDescent="0.2">
      <c r="A33" s="992"/>
      <c r="B33" s="993"/>
      <c r="C33" s="993"/>
      <c r="D33" s="1276"/>
      <c r="E33" s="2395"/>
      <c r="F33" s="2396"/>
      <c r="G33" s="988"/>
      <c r="H33" s="2352">
        <f t="shared" si="0"/>
        <v>0</v>
      </c>
      <c r="I33" s="2353"/>
      <c r="J33" s="989">
        <f t="shared" si="1"/>
        <v>0</v>
      </c>
      <c r="K33" s="1281"/>
      <c r="L33" s="2718"/>
      <c r="M33" s="2718"/>
      <c r="N33" s="1284">
        <f t="shared" si="2"/>
        <v>0</v>
      </c>
      <c r="O33" s="145"/>
      <c r="P33" s="513"/>
      <c r="Q33" s="514"/>
      <c r="R33" s="515"/>
      <c r="S33" s="516"/>
      <c r="T33" s="521"/>
      <c r="U33" s="521"/>
      <c r="V33" s="521"/>
      <c r="W33" s="521"/>
      <c r="X33" s="521"/>
      <c r="Y33" s="521"/>
      <c r="Z33" s="521"/>
      <c r="AA33" s="546"/>
      <c r="AB33" s="546"/>
      <c r="AC33" s="546"/>
      <c r="AD33" s="546"/>
      <c r="AE33" s="546"/>
      <c r="AF33" s="546"/>
      <c r="AG33" s="222"/>
      <c r="AH33" s="222"/>
      <c r="AI33" s="222"/>
      <c r="AJ33" s="176"/>
      <c r="AK33" s="176"/>
      <c r="AL33" s="176"/>
      <c r="AM33" s="176"/>
      <c r="AN33" s="176"/>
      <c r="AO33" s="176"/>
      <c r="AP33" s="176"/>
      <c r="AQ33" s="176"/>
      <c r="AR33" s="176"/>
      <c r="AS33" s="176"/>
      <c r="AT33" s="176"/>
      <c r="AU33" s="176"/>
      <c r="AV33" s="176"/>
      <c r="AW33" s="176"/>
      <c r="AX33" s="176"/>
      <c r="AY33" s="176"/>
      <c r="AZ33" s="176"/>
      <c r="BA33" s="176"/>
      <c r="BB33" s="176"/>
      <c r="BC33" s="176"/>
      <c r="BD33" s="176"/>
      <c r="BE33" s="176"/>
      <c r="BF33" s="176"/>
      <c r="BG33" s="176"/>
      <c r="BH33" s="176"/>
      <c r="BI33" s="176"/>
      <c r="BJ33" s="176"/>
      <c r="BK33" s="176"/>
      <c r="BL33" s="176"/>
      <c r="BM33" s="176"/>
      <c r="BN33" s="176"/>
      <c r="BO33" s="176"/>
      <c r="BP33" s="176"/>
    </row>
    <row r="34" spans="1:69" s="36" customFormat="1" ht="11.25" customHeight="1" x14ac:dyDescent="0.2">
      <c r="A34" s="992"/>
      <c r="B34" s="993"/>
      <c r="C34" s="993"/>
      <c r="D34" s="1276"/>
      <c r="E34" s="2395"/>
      <c r="F34" s="2396"/>
      <c r="G34" s="988"/>
      <c r="H34" s="2352">
        <f t="shared" si="0"/>
        <v>0</v>
      </c>
      <c r="I34" s="2353"/>
      <c r="J34" s="989">
        <f t="shared" si="1"/>
        <v>0</v>
      </c>
      <c r="K34" s="1281"/>
      <c r="L34" s="2718"/>
      <c r="M34" s="2718"/>
      <c r="N34" s="1284">
        <f t="shared" si="2"/>
        <v>0</v>
      </c>
      <c r="O34" s="145"/>
      <c r="P34" s="513"/>
      <c r="Q34" s="514"/>
      <c r="R34" s="515"/>
      <c r="S34" s="516"/>
      <c r="T34" s="521"/>
      <c r="U34" s="521"/>
      <c r="V34" s="521"/>
      <c r="W34" s="521"/>
      <c r="X34" s="521"/>
      <c r="Y34" s="521"/>
      <c r="Z34" s="521"/>
      <c r="AA34" s="546"/>
      <c r="AB34" s="546"/>
      <c r="AC34" s="546"/>
      <c r="AD34" s="546"/>
      <c r="AE34" s="546"/>
      <c r="AF34" s="546"/>
      <c r="AG34" s="222"/>
      <c r="AH34" s="222"/>
      <c r="AI34" s="222"/>
      <c r="AJ34" s="176"/>
      <c r="AK34" s="176"/>
      <c r="AL34" s="176"/>
      <c r="AM34" s="176"/>
      <c r="AN34" s="176"/>
      <c r="AO34" s="176"/>
      <c r="AP34" s="176"/>
      <c r="AQ34" s="176"/>
      <c r="AR34" s="176"/>
      <c r="AS34" s="176"/>
      <c r="AT34" s="176"/>
      <c r="AU34" s="176"/>
      <c r="AV34" s="176"/>
      <c r="AW34" s="176"/>
      <c r="AX34" s="176"/>
      <c r="AY34" s="176"/>
      <c r="AZ34" s="176"/>
      <c r="BA34" s="176"/>
      <c r="BB34" s="176"/>
      <c r="BC34" s="176"/>
      <c r="BD34" s="176"/>
      <c r="BE34" s="176"/>
      <c r="BF34" s="176"/>
      <c r="BG34" s="176"/>
      <c r="BH34" s="176"/>
      <c r="BI34" s="176"/>
      <c r="BJ34" s="176"/>
      <c r="BK34" s="176"/>
      <c r="BL34" s="176"/>
      <c r="BM34" s="176"/>
      <c r="BN34" s="176"/>
      <c r="BO34" s="176"/>
      <c r="BP34" s="176"/>
    </row>
    <row r="35" spans="1:69" s="36" customFormat="1" ht="11.25" customHeight="1" x14ac:dyDescent="0.2">
      <c r="A35" s="992"/>
      <c r="B35" s="993"/>
      <c r="C35" s="993"/>
      <c r="D35" s="1276"/>
      <c r="E35" s="2395"/>
      <c r="F35" s="2396"/>
      <c r="G35" s="988"/>
      <c r="H35" s="2352">
        <f t="shared" si="0"/>
        <v>0</v>
      </c>
      <c r="I35" s="2353"/>
      <c r="J35" s="989">
        <f t="shared" si="1"/>
        <v>0</v>
      </c>
      <c r="K35" s="1281"/>
      <c r="L35" s="2718"/>
      <c r="M35" s="2718"/>
      <c r="N35" s="1284">
        <f t="shared" si="2"/>
        <v>0</v>
      </c>
      <c r="O35" s="145"/>
      <c r="P35" s="513"/>
      <c r="Q35" s="514"/>
      <c r="R35" s="515"/>
      <c r="S35" s="516"/>
      <c r="T35" s="521"/>
      <c r="U35" s="521"/>
      <c r="V35" s="521"/>
      <c r="W35" s="521"/>
      <c r="X35" s="521"/>
      <c r="Y35" s="521"/>
      <c r="Z35" s="521"/>
      <c r="AA35" s="546"/>
      <c r="AB35" s="546"/>
      <c r="AC35" s="546"/>
      <c r="AD35" s="546"/>
      <c r="AE35" s="546"/>
      <c r="AF35" s="546"/>
      <c r="AG35" s="222"/>
      <c r="AH35" s="222"/>
      <c r="AI35" s="222"/>
      <c r="AJ35" s="176"/>
      <c r="AK35" s="176"/>
      <c r="AL35" s="176"/>
      <c r="AM35" s="176"/>
      <c r="AN35" s="176"/>
      <c r="AO35" s="176"/>
      <c r="AP35" s="176"/>
      <c r="AQ35" s="176"/>
      <c r="AR35" s="176"/>
      <c r="AS35" s="176"/>
      <c r="AT35" s="176"/>
      <c r="AU35" s="176"/>
      <c r="AV35" s="176"/>
      <c r="AW35" s="176"/>
      <c r="AX35" s="176"/>
      <c r="AY35" s="176"/>
      <c r="AZ35" s="176"/>
      <c r="BA35" s="176"/>
      <c r="BB35" s="176"/>
      <c r="BC35" s="176"/>
      <c r="BD35" s="176"/>
      <c r="BE35" s="176"/>
      <c r="BF35" s="176"/>
      <c r="BG35" s="176"/>
      <c r="BH35" s="176"/>
      <c r="BI35" s="176"/>
      <c r="BJ35" s="176"/>
      <c r="BK35" s="176"/>
      <c r="BL35" s="176"/>
      <c r="BM35" s="176"/>
      <c r="BN35" s="176"/>
      <c r="BO35" s="176"/>
      <c r="BP35" s="176"/>
    </row>
    <row r="36" spans="1:69" s="36" customFormat="1" ht="11.25" customHeight="1" x14ac:dyDescent="0.2">
      <c r="A36" s="992"/>
      <c r="B36" s="993"/>
      <c r="C36" s="993"/>
      <c r="D36" s="1276"/>
      <c r="E36" s="2395"/>
      <c r="F36" s="2396"/>
      <c r="G36" s="988"/>
      <c r="H36" s="2352">
        <f t="shared" si="0"/>
        <v>0</v>
      </c>
      <c r="I36" s="2353"/>
      <c r="J36" s="989">
        <f t="shared" si="1"/>
        <v>0</v>
      </c>
      <c r="K36" s="1281"/>
      <c r="L36" s="2718"/>
      <c r="M36" s="2718"/>
      <c r="N36" s="1284">
        <f t="shared" si="2"/>
        <v>0</v>
      </c>
      <c r="O36" s="145"/>
      <c r="P36" s="513"/>
      <c r="Q36" s="514"/>
      <c r="R36" s="515"/>
      <c r="S36" s="516"/>
      <c r="T36" s="521"/>
      <c r="U36" s="521"/>
      <c r="V36" s="521"/>
      <c r="W36" s="521"/>
      <c r="X36" s="521"/>
      <c r="Y36" s="521"/>
      <c r="Z36" s="521"/>
      <c r="AA36" s="546"/>
      <c r="AB36" s="546"/>
      <c r="AC36" s="546"/>
      <c r="AD36" s="546"/>
      <c r="AE36" s="546"/>
      <c r="AF36" s="546"/>
      <c r="AG36" s="222"/>
      <c r="AH36" s="222"/>
      <c r="AI36" s="222"/>
      <c r="AJ36" s="176"/>
      <c r="AK36" s="176"/>
      <c r="AL36" s="176"/>
      <c r="AM36" s="176"/>
      <c r="AN36" s="176"/>
      <c r="AO36" s="176"/>
      <c r="AP36" s="176"/>
      <c r="AQ36" s="176"/>
      <c r="AR36" s="176"/>
      <c r="AS36" s="176"/>
      <c r="AT36" s="176"/>
      <c r="AU36" s="176"/>
      <c r="AV36" s="176"/>
      <c r="AW36" s="176"/>
      <c r="AX36" s="176"/>
      <c r="AY36" s="176"/>
      <c r="AZ36" s="176"/>
      <c r="BA36" s="176"/>
      <c r="BB36" s="176"/>
      <c r="BC36" s="176"/>
      <c r="BD36" s="176"/>
      <c r="BE36" s="176"/>
      <c r="BF36" s="176"/>
      <c r="BG36" s="176"/>
      <c r="BH36" s="176"/>
      <c r="BI36" s="176"/>
      <c r="BJ36" s="176"/>
      <c r="BK36" s="176"/>
      <c r="BL36" s="176"/>
      <c r="BM36" s="176"/>
      <c r="BN36" s="176"/>
      <c r="BO36" s="176"/>
      <c r="BP36" s="176"/>
    </row>
    <row r="37" spans="1:69" s="36" customFormat="1" ht="11.25" customHeight="1" x14ac:dyDescent="0.2">
      <c r="A37" s="992"/>
      <c r="B37" s="993"/>
      <c r="C37" s="993"/>
      <c r="D37" s="1276"/>
      <c r="E37" s="2395"/>
      <c r="F37" s="2396"/>
      <c r="G37" s="988"/>
      <c r="H37" s="2352">
        <f t="shared" si="0"/>
        <v>0</v>
      </c>
      <c r="I37" s="2353"/>
      <c r="J37" s="989">
        <f t="shared" si="1"/>
        <v>0</v>
      </c>
      <c r="K37" s="1281"/>
      <c r="L37" s="2718"/>
      <c r="M37" s="2718"/>
      <c r="N37" s="1284">
        <f t="shared" si="2"/>
        <v>0</v>
      </c>
      <c r="O37" s="145"/>
      <c r="P37" s="513"/>
      <c r="Q37" s="514"/>
      <c r="R37" s="515"/>
      <c r="S37" s="516"/>
      <c r="T37" s="521"/>
      <c r="U37" s="521"/>
      <c r="V37" s="521"/>
      <c r="W37" s="521"/>
      <c r="X37" s="521"/>
      <c r="Y37" s="521"/>
      <c r="Z37" s="521"/>
      <c r="AA37" s="546"/>
      <c r="AB37" s="546"/>
      <c r="AC37" s="546"/>
      <c r="AD37" s="546"/>
      <c r="AE37" s="546"/>
      <c r="AF37" s="546"/>
      <c r="AG37" s="222"/>
      <c r="AH37" s="222"/>
      <c r="AI37" s="222"/>
      <c r="AJ37" s="176"/>
      <c r="AK37" s="176"/>
      <c r="AL37" s="176"/>
      <c r="AM37" s="176"/>
      <c r="AN37" s="176"/>
      <c r="AO37" s="176"/>
      <c r="AP37" s="176"/>
      <c r="AQ37" s="176"/>
      <c r="AR37" s="176"/>
      <c r="AS37" s="176"/>
      <c r="AT37" s="176"/>
      <c r="AU37" s="176"/>
      <c r="AV37" s="176"/>
      <c r="AW37" s="176"/>
      <c r="AX37" s="176"/>
      <c r="AY37" s="176"/>
      <c r="AZ37" s="176"/>
      <c r="BA37" s="176"/>
      <c r="BB37" s="176"/>
      <c r="BC37" s="176"/>
      <c r="BD37" s="176"/>
      <c r="BE37" s="176"/>
      <c r="BF37" s="176"/>
      <c r="BG37" s="176"/>
      <c r="BH37" s="176"/>
      <c r="BI37" s="176"/>
      <c r="BJ37" s="176"/>
      <c r="BK37" s="176"/>
      <c r="BL37" s="176"/>
      <c r="BM37" s="176"/>
      <c r="BN37" s="176"/>
      <c r="BO37" s="176"/>
      <c r="BP37" s="176"/>
    </row>
    <row r="38" spans="1:69" s="36" customFormat="1" ht="11.25" customHeight="1" x14ac:dyDescent="0.2">
      <c r="A38" s="994"/>
      <c r="B38" s="995"/>
      <c r="C38" s="995"/>
      <c r="D38" s="1277"/>
      <c r="E38" s="2549"/>
      <c r="F38" s="2550"/>
      <c r="G38" s="996"/>
      <c r="H38" s="2354">
        <f t="shared" si="0"/>
        <v>0</v>
      </c>
      <c r="I38" s="2355"/>
      <c r="J38" s="997">
        <f t="shared" si="1"/>
        <v>0</v>
      </c>
      <c r="K38" s="1282"/>
      <c r="L38" s="2729"/>
      <c r="M38" s="2729"/>
      <c r="N38" s="1285">
        <f t="shared" si="2"/>
        <v>0</v>
      </c>
      <c r="O38" s="145"/>
      <c r="P38" s="513"/>
      <c r="Q38" s="514"/>
      <c r="R38" s="515"/>
      <c r="S38" s="516"/>
      <c r="T38" s="521"/>
      <c r="U38" s="521"/>
      <c r="V38" s="521"/>
      <c r="W38" s="521"/>
      <c r="X38" s="521"/>
      <c r="Y38" s="521"/>
      <c r="Z38" s="521"/>
      <c r="AA38" s="546"/>
      <c r="AB38" s="546"/>
      <c r="AC38" s="546"/>
      <c r="AD38" s="546"/>
      <c r="AE38" s="546"/>
      <c r="AF38" s="546"/>
      <c r="AG38" s="222"/>
      <c r="AH38" s="222"/>
      <c r="AI38" s="222"/>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row>
    <row r="39" spans="1:69" s="36" customFormat="1" ht="14.1" customHeight="1" x14ac:dyDescent="0.2">
      <c r="A39" s="1051" t="s">
        <v>13</v>
      </c>
      <c r="B39" s="1201"/>
      <c r="C39" s="1202"/>
      <c r="D39" s="1286"/>
      <c r="E39" s="2539">
        <f>IF($X$11,E14,ROUND(SUM(E15:E38),-2))</f>
        <v>0</v>
      </c>
      <c r="F39" s="2540"/>
      <c r="G39" s="1203">
        <f>IF($X$11,G14,IF($E$39&gt;0,SUMPRODUCT($E$15:$E$38,$G$15:$G$38)/$E$39,0))</f>
        <v>0</v>
      </c>
      <c r="H39" s="2357">
        <f>IF(E39=0,0,J39/E39)</f>
        <v>0</v>
      </c>
      <c r="I39" s="2358"/>
      <c r="J39" s="1052">
        <f>IF($X$11,J14,ROUND(SUM(J15:J38),0))</f>
        <v>0</v>
      </c>
      <c r="K39" s="1263">
        <f>IF(E39=0,0,N39/E39*100)</f>
        <v>0</v>
      </c>
      <c r="L39" s="2555"/>
      <c r="M39" s="2555"/>
      <c r="N39" s="1107">
        <f>IF($X$11,N14,ROUND(SUM(N15:N38),-1))</f>
        <v>0</v>
      </c>
      <c r="O39" s="145"/>
      <c r="P39" s="527"/>
      <c r="Q39" s="528"/>
      <c r="R39" s="521"/>
      <c r="S39" s="529"/>
      <c r="T39" s="530"/>
      <c r="U39" s="522"/>
      <c r="V39" s="522"/>
      <c r="W39" s="522"/>
      <c r="X39" s="522"/>
      <c r="Y39" s="522"/>
      <c r="Z39" s="522"/>
      <c r="AA39" s="523"/>
      <c r="AB39" s="523"/>
      <c r="AC39" s="523"/>
      <c r="AD39" s="523"/>
      <c r="AE39" s="523"/>
      <c r="AF39" s="523"/>
      <c r="AG39" s="174"/>
      <c r="AH39" s="174"/>
      <c r="AI39" s="174"/>
      <c r="AJ39" s="175"/>
      <c r="AK39" s="175"/>
      <c r="AL39" s="176"/>
      <c r="AM39" s="176"/>
      <c r="AN39" s="176"/>
      <c r="AO39" s="176"/>
      <c r="AP39" s="176"/>
      <c r="AQ39" s="176"/>
      <c r="AR39" s="176"/>
      <c r="AS39" s="176"/>
      <c r="AT39" s="176"/>
      <c r="AU39" s="176"/>
      <c r="AV39" s="176"/>
      <c r="AW39" s="176"/>
      <c r="AX39" s="176"/>
      <c r="AY39" s="176"/>
      <c r="AZ39" s="176"/>
      <c r="BA39" s="176"/>
      <c r="BB39" s="176"/>
      <c r="BC39" s="176"/>
      <c r="BD39" s="176"/>
      <c r="BE39" s="176"/>
      <c r="BF39" s="176"/>
      <c r="BG39" s="176"/>
      <c r="BH39" s="176"/>
      <c r="BI39" s="176"/>
      <c r="BJ39" s="176"/>
      <c r="BK39" s="176"/>
      <c r="BL39" s="176"/>
      <c r="BM39" s="176"/>
      <c r="BN39" s="176"/>
      <c r="BO39" s="176"/>
      <c r="BP39" s="176"/>
    </row>
    <row r="40" spans="1:69" ht="6" customHeight="1" x14ac:dyDescent="0.2">
      <c r="A40" s="34" t="s">
        <v>11</v>
      </c>
      <c r="C40" s="43"/>
      <c r="D40" s="43"/>
      <c r="E40" s="43"/>
      <c r="F40" s="43"/>
      <c r="G40" s="43"/>
      <c r="P40" s="523"/>
      <c r="Q40" s="524"/>
      <c r="R40" s="524"/>
      <c r="S40" s="525"/>
      <c r="T40" s="522"/>
      <c r="U40" s="522"/>
      <c r="V40" s="522"/>
      <c r="W40" s="522"/>
      <c r="X40" s="522"/>
      <c r="Y40" s="522"/>
      <c r="Z40" s="522"/>
      <c r="AG40" s="174"/>
      <c r="AJ40" s="175"/>
      <c r="BQ40" s="32"/>
    </row>
    <row r="41" spans="1:69" ht="17.25" customHeight="1" x14ac:dyDescent="0.25">
      <c r="A41" s="49" t="s">
        <v>91</v>
      </c>
      <c r="B41" s="49"/>
      <c r="F41" s="44"/>
      <c r="G41" s="44"/>
      <c r="H41" s="402"/>
      <c r="I41" s="402"/>
      <c r="J41" s="402"/>
      <c r="K41" s="402"/>
      <c r="L41" s="402"/>
      <c r="M41" s="43"/>
      <c r="N41" s="43"/>
      <c r="O41" s="43"/>
      <c r="P41" s="145"/>
      <c r="Q41" s="145"/>
      <c r="R41" s="526"/>
      <c r="S41" s="526"/>
      <c r="T41" s="526"/>
      <c r="V41" s="522"/>
      <c r="W41" s="522"/>
      <c r="AD41" s="174"/>
      <c r="AE41" s="174"/>
      <c r="AF41" s="174"/>
      <c r="AG41" s="175"/>
      <c r="AH41" s="175"/>
      <c r="AI41" s="175"/>
      <c r="AJ41" s="175"/>
      <c r="BQ41" s="32"/>
    </row>
    <row r="42" spans="1:69" ht="2.25" customHeight="1" x14ac:dyDescent="0.2">
      <c r="C42" s="43"/>
      <c r="D42" s="43"/>
      <c r="E42" s="43"/>
      <c r="F42" s="43"/>
      <c r="G42" s="43"/>
      <c r="H42" s="402"/>
      <c r="I42" s="402"/>
      <c r="J42" s="402"/>
      <c r="K42" s="402"/>
      <c r="L42" s="402"/>
      <c r="P42" s="145"/>
      <c r="Q42" s="145"/>
      <c r="R42" s="524"/>
      <c r="S42" s="522"/>
      <c r="T42" s="522"/>
      <c r="U42" s="522"/>
      <c r="V42" s="522"/>
      <c r="W42" s="522"/>
      <c r="AD42" s="174"/>
      <c r="AE42" s="174"/>
      <c r="AF42" s="174"/>
      <c r="AG42" s="175"/>
      <c r="AH42" s="175"/>
      <c r="AI42" s="175"/>
      <c r="AJ42" s="175"/>
      <c r="BQ42" s="32"/>
    </row>
    <row r="43" spans="1:69" s="176" customFormat="1" ht="12" customHeight="1" x14ac:dyDescent="0.2">
      <c r="A43" s="1051" t="s">
        <v>471</v>
      </c>
      <c r="B43" s="2566" t="s">
        <v>472</v>
      </c>
      <c r="C43" s="2567"/>
      <c r="D43" s="2568"/>
      <c r="E43" s="2564" t="s">
        <v>568</v>
      </c>
      <c r="F43" s="2565"/>
      <c r="G43" s="1206" t="s">
        <v>259</v>
      </c>
      <c r="H43" s="1207"/>
      <c r="I43" s="1207"/>
      <c r="J43" s="1207"/>
      <c r="K43" s="1207"/>
      <c r="L43" s="1207"/>
      <c r="M43" s="1207"/>
      <c r="N43" s="1208"/>
      <c r="O43" s="145"/>
      <c r="P43" s="145"/>
      <c r="Q43" s="145"/>
      <c r="R43" s="520"/>
      <c r="S43" s="520"/>
      <c r="T43" s="521"/>
      <c r="U43" s="522"/>
      <c r="V43" s="522"/>
      <c r="W43" s="522"/>
      <c r="X43" s="522"/>
      <c r="Y43" s="522"/>
      <c r="Z43" s="522"/>
      <c r="AA43" s="523"/>
      <c r="AB43" s="523"/>
      <c r="AC43" s="523"/>
      <c r="AD43" s="523"/>
      <c r="AE43" s="523"/>
      <c r="AF43" s="523"/>
      <c r="AG43" s="174"/>
      <c r="AH43" s="174"/>
      <c r="AI43" s="174"/>
      <c r="AJ43" s="175"/>
      <c r="AK43" s="175"/>
    </row>
    <row r="44" spans="1:69" s="176" customFormat="1" ht="11.25" customHeight="1" x14ac:dyDescent="0.2">
      <c r="A44" s="1000" t="s">
        <v>718</v>
      </c>
      <c r="B44" s="2577"/>
      <c r="C44" s="2578"/>
      <c r="D44" s="2579"/>
      <c r="E44" s="2586"/>
      <c r="F44" s="2587"/>
      <c r="G44" s="2569"/>
      <c r="H44" s="2569"/>
      <c r="I44" s="2569"/>
      <c r="J44" s="2569"/>
      <c r="K44" s="2569"/>
      <c r="L44" s="2569"/>
      <c r="M44" s="2569"/>
      <c r="N44" s="2570"/>
      <c r="O44" s="145"/>
      <c r="P44" s="145"/>
      <c r="Q44" s="145"/>
      <c r="T44" s="521"/>
      <c r="U44" s="522"/>
      <c r="V44" s="522"/>
      <c r="W44" s="522"/>
      <c r="X44" s="522"/>
      <c r="Y44" s="522"/>
      <c r="Z44" s="522"/>
      <c r="AA44" s="523"/>
      <c r="AB44" s="523"/>
      <c r="AC44" s="523"/>
      <c r="AD44" s="523"/>
      <c r="AE44" s="523"/>
      <c r="AF44" s="523"/>
      <c r="AG44" s="174"/>
      <c r="AH44" s="174"/>
      <c r="AI44" s="174"/>
      <c r="AJ44" s="175"/>
      <c r="AK44" s="175"/>
    </row>
    <row r="45" spans="1:69" s="176" customFormat="1" ht="11.25" customHeight="1" x14ac:dyDescent="0.2">
      <c r="A45" s="1001" t="s">
        <v>473</v>
      </c>
      <c r="B45" s="2580"/>
      <c r="C45" s="2581"/>
      <c r="D45" s="2582"/>
      <c r="E45" s="2558"/>
      <c r="F45" s="2559"/>
      <c r="G45" s="2571"/>
      <c r="H45" s="2571"/>
      <c r="I45" s="2571"/>
      <c r="J45" s="2571"/>
      <c r="K45" s="2571"/>
      <c r="L45" s="2571"/>
      <c r="M45" s="2571"/>
      <c r="N45" s="2572"/>
      <c r="O45" s="145"/>
      <c r="T45" s="521"/>
      <c r="U45" s="522"/>
      <c r="V45" s="522"/>
      <c r="W45" s="522"/>
      <c r="X45" s="522"/>
      <c r="Y45" s="522"/>
      <c r="Z45" s="522"/>
      <c r="AA45" s="523"/>
      <c r="AB45" s="523"/>
      <c r="AC45" s="523"/>
      <c r="AD45" s="523"/>
      <c r="AE45" s="523"/>
      <c r="AF45" s="523"/>
      <c r="AG45" s="174"/>
      <c r="AH45" s="174"/>
      <c r="AI45" s="174"/>
      <c r="AJ45" s="175"/>
      <c r="AK45" s="175"/>
    </row>
    <row r="46" spans="1:69" s="176" customFormat="1" ht="11.25" customHeight="1" x14ac:dyDescent="0.2">
      <c r="A46" s="1002" t="s">
        <v>474</v>
      </c>
      <c r="B46" s="2583"/>
      <c r="C46" s="2584"/>
      <c r="D46" s="2585"/>
      <c r="E46" s="2560"/>
      <c r="F46" s="2561"/>
      <c r="G46" s="2573"/>
      <c r="H46" s="2573"/>
      <c r="I46" s="2573"/>
      <c r="J46" s="2573"/>
      <c r="K46" s="2573"/>
      <c r="L46" s="2573"/>
      <c r="M46" s="2573"/>
      <c r="N46" s="2574"/>
      <c r="O46" s="145"/>
      <c r="T46" s="521"/>
      <c r="U46" s="522"/>
      <c r="V46" s="522"/>
      <c r="W46" s="522"/>
      <c r="X46" s="522"/>
      <c r="Y46" s="522"/>
      <c r="Z46" s="522"/>
      <c r="AA46" s="523"/>
      <c r="AB46" s="523"/>
      <c r="AC46" s="523"/>
      <c r="AD46" s="523"/>
      <c r="AE46" s="523"/>
      <c r="AF46" s="523"/>
      <c r="AG46" s="174"/>
      <c r="AH46" s="174"/>
      <c r="AI46" s="174"/>
      <c r="AJ46" s="175"/>
      <c r="AK46" s="175"/>
    </row>
    <row r="47" spans="1:69" s="176" customFormat="1" ht="13.5" customHeight="1" x14ac:dyDescent="0.2">
      <c r="A47" s="1053" t="s">
        <v>13</v>
      </c>
      <c r="B47" s="1054"/>
      <c r="C47" s="1054"/>
      <c r="D47" s="1054"/>
      <c r="E47" s="2562">
        <f>SUM(E44:F46)</f>
        <v>0</v>
      </c>
      <c r="F47" s="2563"/>
      <c r="G47" s="1209"/>
      <c r="H47" s="1209"/>
      <c r="I47" s="1209"/>
      <c r="J47" s="1209"/>
      <c r="K47" s="1209"/>
      <c r="L47" s="1209"/>
      <c r="M47" s="1209"/>
      <c r="N47" s="1210"/>
      <c r="O47" s="145"/>
      <c r="R47" s="520"/>
      <c r="S47" s="520"/>
      <c r="T47" s="521"/>
      <c r="U47" s="522"/>
      <c r="V47" s="522"/>
      <c r="W47" s="522"/>
      <c r="X47" s="522"/>
      <c r="Y47" s="522"/>
      <c r="Z47" s="522"/>
      <c r="AA47" s="523"/>
      <c r="AB47" s="523"/>
      <c r="AC47" s="523"/>
      <c r="AD47" s="523"/>
      <c r="AE47" s="523"/>
      <c r="AF47" s="523"/>
      <c r="AG47" s="174"/>
      <c r="AH47" s="174"/>
      <c r="AI47" s="174"/>
      <c r="AJ47" s="175"/>
      <c r="AK47" s="175"/>
    </row>
    <row r="48" spans="1:69" ht="6" customHeight="1" x14ac:dyDescent="0.2">
      <c r="A48" s="34" t="s">
        <v>11</v>
      </c>
      <c r="C48" s="43"/>
      <c r="D48" s="43"/>
      <c r="E48" s="43"/>
      <c r="F48" s="43"/>
      <c r="G48" s="43"/>
      <c r="P48" s="145"/>
      <c r="Q48" s="145"/>
      <c r="R48" s="524"/>
      <c r="S48" s="525"/>
      <c r="T48" s="522"/>
      <c r="U48" s="522"/>
      <c r="V48" s="522"/>
      <c r="W48" s="522"/>
      <c r="X48" s="522"/>
      <c r="Y48" s="522"/>
      <c r="Z48" s="522"/>
      <c r="AG48" s="174"/>
      <c r="AJ48" s="175"/>
      <c r="BQ48" s="32"/>
    </row>
    <row r="49" spans="1:69" ht="17.25" customHeight="1" x14ac:dyDescent="0.25">
      <c r="A49" s="504" t="s">
        <v>632</v>
      </c>
      <c r="B49" s="504"/>
      <c r="F49" s="44"/>
      <c r="G49" s="44"/>
      <c r="H49" s="145"/>
      <c r="I49" s="145"/>
      <c r="J49" s="145"/>
      <c r="K49" s="145"/>
      <c r="L49" s="145"/>
      <c r="M49" s="43"/>
      <c r="N49" s="43"/>
      <c r="O49" s="43"/>
      <c r="P49" s="145"/>
      <c r="Q49" s="145"/>
      <c r="R49" s="145"/>
      <c r="S49" s="145"/>
      <c r="T49" s="526"/>
      <c r="V49" s="522"/>
      <c r="W49" s="522"/>
      <c r="AD49" s="174"/>
      <c r="AE49" s="174"/>
      <c r="AF49" s="174"/>
      <c r="AG49" s="175"/>
      <c r="AH49" s="175"/>
      <c r="AI49" s="175"/>
      <c r="AJ49" s="175"/>
      <c r="BQ49" s="32"/>
    </row>
    <row r="50" spans="1:69" ht="2.25" customHeight="1" x14ac:dyDescent="0.2">
      <c r="C50" s="43"/>
      <c r="D50" s="43"/>
      <c r="E50" s="43"/>
      <c r="F50" s="43"/>
      <c r="G50" s="43"/>
      <c r="H50" s="145"/>
      <c r="I50" s="145"/>
      <c r="J50" s="145"/>
      <c r="K50" s="145"/>
      <c r="L50" s="145"/>
      <c r="P50" s="145"/>
      <c r="Q50" s="145"/>
      <c r="R50" s="145"/>
      <c r="S50" s="145"/>
      <c r="T50" s="522"/>
      <c r="U50" s="522"/>
      <c r="V50" s="522"/>
      <c r="W50" s="522"/>
      <c r="AD50" s="174"/>
      <c r="AE50" s="174"/>
      <c r="AF50" s="174"/>
      <c r="AG50" s="175"/>
      <c r="AH50" s="175"/>
      <c r="AI50" s="175"/>
      <c r="AJ50" s="175"/>
      <c r="BQ50" s="32"/>
    </row>
    <row r="51" spans="1:69" s="176" customFormat="1" ht="11.25" customHeight="1" x14ac:dyDescent="0.2">
      <c r="A51" s="1049" t="s">
        <v>258</v>
      </c>
      <c r="B51" s="1211"/>
      <c r="C51" s="1100"/>
      <c r="D51" s="1100"/>
      <c r="E51" s="2378" t="s">
        <v>563</v>
      </c>
      <c r="F51" s="2379"/>
      <c r="G51" s="2376" t="s">
        <v>565</v>
      </c>
      <c r="H51" s="2378" t="s">
        <v>578</v>
      </c>
      <c r="I51" s="2379"/>
      <c r="J51" s="2376" t="s">
        <v>630</v>
      </c>
      <c r="K51" s="2405" t="s">
        <v>631</v>
      </c>
      <c r="L51" s="2405"/>
      <c r="M51" s="2405"/>
      <c r="N51" s="2379"/>
      <c r="O51" s="145"/>
      <c r="P51" s="145"/>
      <c r="Q51" s="145"/>
      <c r="R51" s="145"/>
      <c r="S51" s="145"/>
      <c r="T51" s="521"/>
      <c r="U51" s="522"/>
      <c r="V51" s="522"/>
      <c r="W51" s="522"/>
      <c r="X51" s="522"/>
      <c r="Y51" s="522"/>
      <c r="Z51" s="522"/>
      <c r="AA51" s="523"/>
      <c r="AB51" s="523"/>
      <c r="AC51" s="523"/>
      <c r="AD51" s="523"/>
      <c r="AE51" s="523"/>
      <c r="AF51" s="523"/>
      <c r="AG51" s="174"/>
      <c r="AH51" s="174"/>
      <c r="AI51" s="174"/>
      <c r="AJ51" s="175"/>
      <c r="AK51" s="175"/>
    </row>
    <row r="52" spans="1:69" s="176" customFormat="1" ht="11.25" customHeight="1" x14ac:dyDescent="0.2">
      <c r="A52" s="1050"/>
      <c r="B52" s="1196"/>
      <c r="C52" s="1101"/>
      <c r="D52" s="1101"/>
      <c r="E52" s="2380"/>
      <c r="F52" s="2381"/>
      <c r="G52" s="2377"/>
      <c r="H52" s="2380"/>
      <c r="I52" s="2381"/>
      <c r="J52" s="2377"/>
      <c r="K52" s="2406"/>
      <c r="L52" s="2406"/>
      <c r="M52" s="2406"/>
      <c r="N52" s="2381"/>
      <c r="O52" s="145"/>
      <c r="P52" s="145"/>
      <c r="Q52" s="145"/>
      <c r="R52" s="145"/>
      <c r="S52" s="145"/>
      <c r="T52" s="521"/>
      <c r="U52" s="522"/>
      <c r="V52" s="522"/>
      <c r="W52" s="522"/>
      <c r="X52" s="522"/>
      <c r="Y52" s="522"/>
      <c r="Z52" s="522"/>
      <c r="AA52" s="523"/>
      <c r="AB52" s="523"/>
      <c r="AC52" s="523"/>
      <c r="AD52" s="523"/>
      <c r="AE52" s="523"/>
      <c r="AF52" s="523"/>
      <c r="AG52" s="174"/>
      <c r="AH52" s="174"/>
      <c r="AI52" s="174"/>
      <c r="AJ52" s="175"/>
      <c r="AK52" s="175"/>
    </row>
    <row r="53" spans="1:69" s="176" customFormat="1" ht="11.25" customHeight="1" x14ac:dyDescent="0.2">
      <c r="A53" s="1050"/>
      <c r="B53" s="1196"/>
      <c r="C53" s="1212"/>
      <c r="D53" s="1212"/>
      <c r="E53" s="2382" t="s">
        <v>564</v>
      </c>
      <c r="F53" s="2383"/>
      <c r="G53" s="1198" t="s">
        <v>20</v>
      </c>
      <c r="H53" s="2512" t="s">
        <v>555</v>
      </c>
      <c r="I53" s="2430"/>
      <c r="J53" s="1198" t="s">
        <v>567</v>
      </c>
      <c r="K53" s="1261" t="s">
        <v>580</v>
      </c>
      <c r="L53" s="2554" t="s">
        <v>579</v>
      </c>
      <c r="M53" s="2554"/>
      <c r="N53" s="1262" t="s">
        <v>567</v>
      </c>
      <c r="O53" s="145"/>
      <c r="P53" s="145"/>
      <c r="Q53" s="145"/>
      <c r="R53" s="145"/>
      <c r="S53" s="145"/>
      <c r="T53" s="521"/>
      <c r="U53" s="522"/>
      <c r="V53" s="522"/>
      <c r="W53" s="522"/>
      <c r="X53" s="522"/>
      <c r="Y53" s="522"/>
      <c r="Z53" s="522"/>
      <c r="AA53" s="523"/>
      <c r="AB53" s="523"/>
      <c r="AC53" s="523"/>
      <c r="AD53" s="523"/>
      <c r="AE53" s="523"/>
      <c r="AF53" s="523"/>
      <c r="AG53" s="174"/>
      <c r="AH53" s="174"/>
      <c r="AI53" s="174"/>
      <c r="AJ53" s="175"/>
      <c r="AK53" s="175"/>
    </row>
    <row r="54" spans="1:69" s="36" customFormat="1" ht="13.5" customHeight="1" x14ac:dyDescent="0.2">
      <c r="A54" s="1051" t="s">
        <v>13</v>
      </c>
      <c r="B54" s="1201"/>
      <c r="C54" s="1202"/>
      <c r="D54" s="1202"/>
      <c r="E54" s="2539">
        <f>E39-E47</f>
        <v>0</v>
      </c>
      <c r="F54" s="2540"/>
      <c r="G54" s="1203">
        <f>G39</f>
        <v>0</v>
      </c>
      <c r="H54" s="2357">
        <f>H39</f>
        <v>0</v>
      </c>
      <c r="I54" s="2358"/>
      <c r="J54" s="1052">
        <f>ROUND(E54*H54,-1)</f>
        <v>0</v>
      </c>
      <c r="K54" s="1263">
        <f>IF(E54=0,0,N54/E54*100)</f>
        <v>0</v>
      </c>
      <c r="L54" s="2555"/>
      <c r="M54" s="2555"/>
      <c r="N54" s="1107">
        <f>N39</f>
        <v>0</v>
      </c>
      <c r="O54" s="145"/>
      <c r="P54" s="527"/>
      <c r="Q54" s="528"/>
      <c r="R54" s="521"/>
      <c r="S54" s="529"/>
      <c r="T54" s="530"/>
      <c r="U54" s="522"/>
      <c r="V54" s="522"/>
      <c r="W54" s="522"/>
      <c r="X54" s="522"/>
      <c r="Y54" s="522"/>
      <c r="Z54" s="522"/>
      <c r="AA54" s="523"/>
      <c r="AB54" s="523"/>
      <c r="AC54" s="523"/>
      <c r="AD54" s="523"/>
      <c r="AE54" s="523"/>
      <c r="AF54" s="523"/>
      <c r="AG54" s="174"/>
      <c r="AH54" s="174"/>
      <c r="AI54" s="174"/>
      <c r="AJ54" s="175"/>
      <c r="AK54" s="175"/>
      <c r="AL54" s="176"/>
      <c r="AM54" s="176"/>
      <c r="AN54" s="176"/>
      <c r="AO54" s="176"/>
      <c r="AP54" s="176"/>
      <c r="AQ54" s="176"/>
      <c r="AR54" s="176"/>
      <c r="AS54" s="176"/>
      <c r="AT54" s="176"/>
      <c r="AU54" s="176"/>
      <c r="AV54" s="176"/>
      <c r="AW54" s="176"/>
      <c r="AX54" s="176"/>
      <c r="AY54" s="176"/>
      <c r="AZ54" s="176"/>
      <c r="BA54" s="176"/>
      <c r="BB54" s="176"/>
      <c r="BC54" s="176"/>
      <c r="BD54" s="176"/>
      <c r="BE54" s="176"/>
      <c r="BF54" s="176"/>
      <c r="BG54" s="176"/>
      <c r="BH54" s="176"/>
      <c r="BI54" s="176"/>
      <c r="BJ54" s="176"/>
      <c r="BK54" s="176"/>
      <c r="BL54" s="176"/>
      <c r="BM54" s="176"/>
      <c r="BN54" s="176"/>
      <c r="BO54" s="176"/>
      <c r="BP54" s="176"/>
    </row>
    <row r="55" spans="1:69" s="390" customFormat="1" ht="6" customHeight="1" x14ac:dyDescent="0.2">
      <c r="A55" s="519"/>
      <c r="B55" s="519"/>
      <c r="C55" s="2557"/>
      <c r="D55" s="2557"/>
      <c r="E55" s="2557"/>
      <c r="F55" s="2556"/>
      <c r="G55" s="2556"/>
      <c r="H55" s="531"/>
      <c r="I55" s="531"/>
      <c r="J55" s="531"/>
      <c r="K55" s="531"/>
      <c r="L55" s="531"/>
      <c r="M55" s="531"/>
      <c r="N55" s="531"/>
      <c r="O55" s="531"/>
      <c r="P55" s="532">
        <f>IF(ISBLANK(I55),H55,I55)</f>
        <v>0</v>
      </c>
      <c r="Q55" s="533"/>
      <c r="R55" s="534"/>
      <c r="S55" s="535"/>
      <c r="T55" s="536"/>
      <c r="U55" s="536"/>
      <c r="V55" s="536"/>
      <c r="W55" s="536"/>
      <c r="X55" s="536"/>
      <c r="Y55" s="536"/>
      <c r="Z55" s="536"/>
      <c r="AA55" s="537"/>
      <c r="AB55" s="537"/>
      <c r="AC55" s="537"/>
      <c r="AD55" s="537"/>
      <c r="AE55" s="537"/>
      <c r="AF55" s="537"/>
      <c r="AG55" s="395"/>
      <c r="AH55" s="395"/>
      <c r="AI55" s="395"/>
      <c r="AJ55" s="298"/>
      <c r="AK55" s="298"/>
      <c r="AL55" s="298"/>
      <c r="AM55" s="298"/>
      <c r="AN55" s="298"/>
      <c r="AO55" s="298"/>
      <c r="AP55" s="298"/>
      <c r="AQ55" s="298"/>
      <c r="AR55" s="298"/>
      <c r="AS55" s="298"/>
      <c r="AT55" s="298"/>
      <c r="AU55" s="298"/>
      <c r="AV55" s="298"/>
      <c r="AW55" s="298"/>
      <c r="AX55" s="298"/>
      <c r="AY55" s="298"/>
      <c r="AZ55" s="298"/>
      <c r="BA55" s="298"/>
      <c r="BB55" s="298"/>
      <c r="BC55" s="298"/>
      <c r="BD55" s="298"/>
      <c r="BE55" s="298"/>
      <c r="BF55" s="298"/>
      <c r="BG55" s="298"/>
      <c r="BH55" s="298"/>
      <c r="BI55" s="298"/>
      <c r="BJ55" s="298"/>
      <c r="BK55" s="298"/>
      <c r="BL55" s="298"/>
      <c r="BM55" s="298"/>
      <c r="BN55" s="298"/>
      <c r="BO55" s="298"/>
      <c r="BP55" s="298"/>
    </row>
    <row r="56" spans="1:69" ht="17.25" customHeight="1" x14ac:dyDescent="0.25">
      <c r="A56" s="504" t="s">
        <v>21</v>
      </c>
      <c r="B56" s="504"/>
      <c r="C56" s="2538" t="str">
        <f>IF(R109=TRUE,"(inkl. externe Kosten)","(ohne externe Kosten)")</f>
        <v>(ohne externe Kosten)</v>
      </c>
      <c r="D56" s="2538"/>
      <c r="F56" s="44"/>
      <c r="G56" s="44"/>
      <c r="K56" s="43"/>
      <c r="L56" s="43"/>
      <c r="M56" s="43"/>
      <c r="N56" s="43"/>
      <c r="O56" s="43"/>
      <c r="P56" s="523"/>
      <c r="Q56" s="538"/>
      <c r="R56" s="526"/>
      <c r="S56" s="526"/>
      <c r="T56" s="526"/>
      <c r="V56" s="522"/>
      <c r="W56" s="522"/>
      <c r="AD56" s="174"/>
      <c r="AE56" s="174"/>
      <c r="AF56" s="174"/>
      <c r="AG56" s="175"/>
      <c r="AH56" s="175"/>
      <c r="AI56" s="175"/>
      <c r="AJ56" s="175"/>
      <c r="BQ56" s="32"/>
    </row>
    <row r="57" spans="1:69" ht="2.25" customHeight="1" x14ac:dyDescent="0.2">
      <c r="C57" s="43"/>
      <c r="D57" s="43"/>
      <c r="E57" s="43"/>
      <c r="F57" s="43"/>
      <c r="G57" s="43"/>
      <c r="H57" s="34"/>
      <c r="I57" s="34"/>
      <c r="J57" s="34"/>
      <c r="P57" s="525"/>
      <c r="Q57" s="524"/>
      <c r="R57" s="524"/>
      <c r="S57" s="522"/>
      <c r="T57" s="522"/>
      <c r="U57" s="522"/>
      <c r="V57" s="522"/>
      <c r="W57" s="522"/>
      <c r="AD57" s="174"/>
      <c r="AE57" s="174"/>
      <c r="AF57" s="174"/>
      <c r="AG57" s="175"/>
      <c r="AH57" s="175"/>
      <c r="AI57" s="175"/>
      <c r="AJ57" s="175"/>
      <c r="BQ57" s="32"/>
    </row>
    <row r="58" spans="1:69" s="36" customFormat="1" ht="11.25" customHeight="1" x14ac:dyDescent="0.2">
      <c r="A58" s="1049" t="s">
        <v>12</v>
      </c>
      <c r="B58" s="1211"/>
      <c r="C58" s="1211"/>
      <c r="D58" s="1213"/>
      <c r="E58" s="2378" t="s">
        <v>547</v>
      </c>
      <c r="F58" s="2379"/>
      <c r="G58" s="2378" t="s">
        <v>22</v>
      </c>
      <c r="H58" s="2405"/>
      <c r="I58" s="2379"/>
      <c r="J58" s="2378" t="s">
        <v>238</v>
      </c>
      <c r="K58" s="2379"/>
      <c r="L58" s="2378" t="s">
        <v>570</v>
      </c>
      <c r="M58" s="2405"/>
      <c r="N58" s="2379"/>
      <c r="S58" s="539" t="s">
        <v>409</v>
      </c>
      <c r="T58" s="520"/>
      <c r="U58" s="521"/>
      <c r="V58" s="522"/>
      <c r="W58" s="522"/>
      <c r="X58" s="522"/>
      <c r="Y58" s="522"/>
      <c r="Z58" s="522"/>
      <c r="AA58" s="523"/>
      <c r="AB58" s="523"/>
      <c r="AC58" s="523"/>
      <c r="AD58" s="523"/>
      <c r="AE58" s="523"/>
      <c r="AF58" s="523"/>
      <c r="AG58" s="174"/>
      <c r="AH58" s="174"/>
      <c r="AI58" s="174"/>
      <c r="AJ58" s="175"/>
      <c r="AK58" s="175"/>
      <c r="AL58" s="176"/>
      <c r="AM58" s="176"/>
      <c r="AN58" s="176"/>
      <c r="AO58" s="176"/>
      <c r="AP58" s="176"/>
      <c r="AQ58" s="176"/>
      <c r="AR58" s="176"/>
      <c r="AS58" s="176"/>
      <c r="AT58" s="176"/>
      <c r="AU58" s="176"/>
      <c r="AV58" s="176"/>
      <c r="AW58" s="176"/>
      <c r="AX58" s="176"/>
      <c r="AY58" s="176"/>
      <c r="AZ58" s="176"/>
      <c r="BA58" s="176"/>
      <c r="BB58" s="176"/>
      <c r="BC58" s="176"/>
      <c r="BD58" s="176"/>
      <c r="BE58" s="176"/>
      <c r="BF58" s="176"/>
      <c r="BG58" s="176"/>
      <c r="BH58" s="176"/>
      <c r="BI58" s="176"/>
      <c r="BJ58" s="176"/>
      <c r="BK58" s="176"/>
      <c r="BL58" s="176"/>
      <c r="BM58" s="176"/>
      <c r="BN58" s="176"/>
      <c r="BO58" s="176"/>
      <c r="BP58" s="176"/>
      <c r="BQ58" s="176"/>
    </row>
    <row r="59" spans="1:69" s="36" customFormat="1" ht="11.25" customHeight="1" x14ac:dyDescent="0.2">
      <c r="A59" s="1050"/>
      <c r="B59" s="1196"/>
      <c r="C59" s="1196"/>
      <c r="D59" s="1214"/>
      <c r="E59" s="2380"/>
      <c r="F59" s="2381"/>
      <c r="G59" s="2380"/>
      <c r="H59" s="2406"/>
      <c r="I59" s="2381"/>
      <c r="J59" s="2380"/>
      <c r="K59" s="2381"/>
      <c r="L59" s="2380"/>
      <c r="M59" s="2406"/>
      <c r="N59" s="2381"/>
      <c r="S59" s="540">
        <f ca="1">Grunddaten!$AS$16</f>
        <v>2024</v>
      </c>
      <c r="T59" s="541">
        <f ca="1">S59+1</f>
        <v>2025</v>
      </c>
      <c r="U59" s="541">
        <f t="shared" ref="U59:BP59" ca="1" si="3">T59+1</f>
        <v>2026</v>
      </c>
      <c r="V59" s="541">
        <f t="shared" ca="1" si="3"/>
        <v>2027</v>
      </c>
      <c r="W59" s="541">
        <f t="shared" ca="1" si="3"/>
        <v>2028</v>
      </c>
      <c r="X59" s="541">
        <f t="shared" ca="1" si="3"/>
        <v>2029</v>
      </c>
      <c r="Y59" s="541">
        <f t="shared" ca="1" si="3"/>
        <v>2030</v>
      </c>
      <c r="Z59" s="541">
        <f t="shared" ca="1" si="3"/>
        <v>2031</v>
      </c>
      <c r="AA59" s="541">
        <f t="shared" ca="1" si="3"/>
        <v>2032</v>
      </c>
      <c r="AB59" s="541">
        <f t="shared" ca="1" si="3"/>
        <v>2033</v>
      </c>
      <c r="AC59" s="541">
        <f t="shared" ca="1" si="3"/>
        <v>2034</v>
      </c>
      <c r="AD59" s="541">
        <f t="shared" ca="1" si="3"/>
        <v>2035</v>
      </c>
      <c r="AE59" s="541">
        <f t="shared" ca="1" si="3"/>
        <v>2036</v>
      </c>
      <c r="AF59" s="541">
        <f t="shared" ca="1" si="3"/>
        <v>2037</v>
      </c>
      <c r="AG59" s="541">
        <f t="shared" ca="1" si="3"/>
        <v>2038</v>
      </c>
      <c r="AH59" s="541">
        <f t="shared" ca="1" si="3"/>
        <v>2039</v>
      </c>
      <c r="AI59" s="541">
        <f t="shared" ca="1" si="3"/>
        <v>2040</v>
      </c>
      <c r="AJ59" s="541">
        <f t="shared" ca="1" si="3"/>
        <v>2041</v>
      </c>
      <c r="AK59" s="541">
        <f t="shared" ca="1" si="3"/>
        <v>2042</v>
      </c>
      <c r="AL59" s="541">
        <f t="shared" ca="1" si="3"/>
        <v>2043</v>
      </c>
      <c r="AM59" s="541">
        <f t="shared" ca="1" si="3"/>
        <v>2044</v>
      </c>
      <c r="AN59" s="541">
        <f t="shared" ca="1" si="3"/>
        <v>2045</v>
      </c>
      <c r="AO59" s="541">
        <f t="shared" ca="1" si="3"/>
        <v>2046</v>
      </c>
      <c r="AP59" s="541">
        <f t="shared" ca="1" si="3"/>
        <v>2047</v>
      </c>
      <c r="AQ59" s="541">
        <f t="shared" ca="1" si="3"/>
        <v>2048</v>
      </c>
      <c r="AR59" s="541">
        <f t="shared" ca="1" si="3"/>
        <v>2049</v>
      </c>
      <c r="AS59" s="541">
        <f t="shared" ca="1" si="3"/>
        <v>2050</v>
      </c>
      <c r="AT59" s="541">
        <f t="shared" ca="1" si="3"/>
        <v>2051</v>
      </c>
      <c r="AU59" s="541">
        <f t="shared" ca="1" si="3"/>
        <v>2052</v>
      </c>
      <c r="AV59" s="541">
        <f t="shared" ca="1" si="3"/>
        <v>2053</v>
      </c>
      <c r="AW59" s="541">
        <f t="shared" ca="1" si="3"/>
        <v>2054</v>
      </c>
      <c r="AX59" s="541">
        <f t="shared" ca="1" si="3"/>
        <v>2055</v>
      </c>
      <c r="AY59" s="541">
        <f t="shared" ca="1" si="3"/>
        <v>2056</v>
      </c>
      <c r="AZ59" s="541">
        <f t="shared" ca="1" si="3"/>
        <v>2057</v>
      </c>
      <c r="BA59" s="541">
        <f t="shared" ca="1" si="3"/>
        <v>2058</v>
      </c>
      <c r="BB59" s="541">
        <f t="shared" ca="1" si="3"/>
        <v>2059</v>
      </c>
      <c r="BC59" s="541">
        <f t="shared" ca="1" si="3"/>
        <v>2060</v>
      </c>
      <c r="BD59" s="541">
        <f t="shared" ca="1" si="3"/>
        <v>2061</v>
      </c>
      <c r="BE59" s="541">
        <f t="shared" ca="1" si="3"/>
        <v>2062</v>
      </c>
      <c r="BF59" s="541">
        <f t="shared" ca="1" si="3"/>
        <v>2063</v>
      </c>
      <c r="BG59" s="541">
        <f t="shared" ca="1" si="3"/>
        <v>2064</v>
      </c>
      <c r="BH59" s="541">
        <f t="shared" ca="1" si="3"/>
        <v>2065</v>
      </c>
      <c r="BI59" s="541">
        <f t="shared" ca="1" si="3"/>
        <v>2066</v>
      </c>
      <c r="BJ59" s="541">
        <f t="shared" ca="1" si="3"/>
        <v>2067</v>
      </c>
      <c r="BK59" s="541">
        <f t="shared" ca="1" si="3"/>
        <v>2068</v>
      </c>
      <c r="BL59" s="541">
        <f t="shared" ca="1" si="3"/>
        <v>2069</v>
      </c>
      <c r="BM59" s="541">
        <f t="shared" ca="1" si="3"/>
        <v>2070</v>
      </c>
      <c r="BN59" s="541">
        <f t="shared" ca="1" si="3"/>
        <v>2071</v>
      </c>
      <c r="BO59" s="541">
        <f t="shared" ca="1" si="3"/>
        <v>2072</v>
      </c>
      <c r="BP59" s="541">
        <f t="shared" ca="1" si="3"/>
        <v>2073</v>
      </c>
      <c r="BQ59" s="542">
        <f ca="1">BP59+1</f>
        <v>2074</v>
      </c>
    </row>
    <row r="60" spans="1:69" s="36" customFormat="1" ht="11.25" customHeight="1" x14ac:dyDescent="0.2">
      <c r="A60" s="1053"/>
      <c r="B60" s="1215"/>
      <c r="C60" s="1215"/>
      <c r="D60" s="1216"/>
      <c r="E60" s="2551" t="s">
        <v>567</v>
      </c>
      <c r="F60" s="2552"/>
      <c r="G60" s="2551" t="s">
        <v>23</v>
      </c>
      <c r="H60" s="2553"/>
      <c r="I60" s="2552"/>
      <c r="J60" s="2551" t="s">
        <v>569</v>
      </c>
      <c r="K60" s="2552"/>
      <c r="L60" s="2551" t="s">
        <v>567</v>
      </c>
      <c r="M60" s="2553"/>
      <c r="N60" s="2552"/>
      <c r="S60" s="642"/>
      <c r="T60" s="526"/>
      <c r="U60" s="526"/>
      <c r="V60" s="526"/>
      <c r="W60" s="526"/>
      <c r="X60" s="526"/>
      <c r="Y60" s="526"/>
      <c r="Z60" s="526"/>
      <c r="AA60" s="526"/>
      <c r="AB60" s="526"/>
      <c r="AC60" s="526"/>
      <c r="AD60" s="526"/>
      <c r="AE60" s="526"/>
      <c r="AF60" s="526"/>
      <c r="AG60" s="526"/>
      <c r="AH60" s="526"/>
      <c r="AI60" s="526"/>
      <c r="AJ60" s="526"/>
      <c r="AK60" s="526"/>
      <c r="AL60" s="526"/>
      <c r="AM60" s="526"/>
      <c r="AN60" s="526"/>
      <c r="AO60" s="526"/>
      <c r="AP60" s="526"/>
      <c r="AQ60" s="526"/>
      <c r="AR60" s="526"/>
      <c r="AS60" s="526"/>
      <c r="AT60" s="526"/>
      <c r="AU60" s="526"/>
      <c r="AV60" s="526"/>
      <c r="AW60" s="526"/>
      <c r="AX60" s="526"/>
      <c r="AY60" s="526"/>
      <c r="AZ60" s="526"/>
      <c r="BA60" s="526"/>
      <c r="BB60" s="526"/>
      <c r="BC60" s="526"/>
      <c r="BD60" s="526"/>
      <c r="BE60" s="526"/>
      <c r="BF60" s="526"/>
      <c r="BG60" s="526"/>
      <c r="BH60" s="526"/>
      <c r="BI60" s="526"/>
      <c r="BJ60" s="526"/>
      <c r="BK60" s="526"/>
      <c r="BL60" s="526"/>
      <c r="BM60" s="526"/>
      <c r="BN60" s="526"/>
      <c r="BO60" s="526"/>
      <c r="BP60" s="526"/>
      <c r="BQ60" s="643"/>
    </row>
    <row r="61" spans="1:69" s="36" customFormat="1" ht="11.25" customHeight="1" x14ac:dyDescent="0.2">
      <c r="A61" s="1005" t="s">
        <v>24</v>
      </c>
      <c r="B61" s="1006" t="str">
        <f>Projektdaten!H20</f>
        <v>Stadt Zürich - Verwaltungsmix</v>
      </c>
      <c r="C61" s="1006"/>
      <c r="D61" s="1006"/>
      <c r="E61" s="2397">
        <f xml:space="preserve"> VLOOKUP(Projektdaten!H20,Grunddaten!C17:AI44,33,FALSE) * EV_Var2!I68</f>
        <v>0</v>
      </c>
      <c r="F61" s="2398"/>
      <c r="G61" s="2402" t="s">
        <v>25</v>
      </c>
      <c r="H61" s="2403"/>
      <c r="I61" s="2404"/>
      <c r="J61" s="2402" t="s">
        <v>26</v>
      </c>
      <c r="K61" s="2404"/>
      <c r="L61" s="2402" t="s">
        <v>26</v>
      </c>
      <c r="M61" s="2403"/>
      <c r="N61" s="2404"/>
      <c r="S61" s="201"/>
      <c r="T61" s="202"/>
      <c r="U61" s="202"/>
      <c r="V61" s="202"/>
      <c r="W61" s="202"/>
      <c r="X61" s="202"/>
      <c r="Y61" s="202"/>
      <c r="Z61" s="202"/>
      <c r="AA61" s="202"/>
      <c r="AB61" s="202"/>
      <c r="AC61" s="202"/>
      <c r="AD61" s="202"/>
      <c r="AE61" s="202"/>
      <c r="AF61" s="202"/>
      <c r="AG61" s="202"/>
      <c r="AH61" s="202"/>
      <c r="AI61" s="202"/>
      <c r="AJ61" s="202"/>
      <c r="AK61" s="202"/>
      <c r="AL61" s="202"/>
      <c r="AM61" s="202"/>
      <c r="AN61" s="202"/>
      <c r="AO61" s="202"/>
      <c r="AP61" s="202"/>
      <c r="AQ61" s="202"/>
      <c r="AR61" s="202"/>
      <c r="AS61" s="202"/>
      <c r="AT61" s="202"/>
      <c r="AU61" s="202"/>
      <c r="AV61" s="202"/>
      <c r="AW61" s="202"/>
      <c r="AX61" s="202"/>
      <c r="AY61" s="202"/>
      <c r="AZ61" s="202"/>
      <c r="BA61" s="202"/>
      <c r="BB61" s="202"/>
      <c r="BC61" s="202"/>
      <c r="BD61" s="202"/>
      <c r="BE61" s="202"/>
      <c r="BF61" s="202"/>
      <c r="BG61" s="202"/>
      <c r="BH61" s="202"/>
      <c r="BI61" s="202"/>
      <c r="BJ61" s="202"/>
      <c r="BK61" s="202"/>
      <c r="BL61" s="202"/>
      <c r="BM61" s="202"/>
      <c r="BN61" s="202"/>
      <c r="BO61" s="202"/>
      <c r="BP61" s="202"/>
      <c r="BQ61" s="203"/>
    </row>
    <row r="62" spans="1:69" s="36" customFormat="1" ht="11.25" customHeight="1" x14ac:dyDescent="0.2">
      <c r="A62" s="1007" t="s">
        <v>41</v>
      </c>
      <c r="B62" s="1004"/>
      <c r="C62" s="2423">
        <v>0.7</v>
      </c>
      <c r="D62" s="2423"/>
      <c r="E62" s="2400">
        <f>IF(G62,E$61*G62/SUM(G$62:G$65),0)</f>
        <v>0</v>
      </c>
      <c r="F62" s="2401"/>
      <c r="G62" s="2544">
        <f>IF(EV_Var2!$E$68&gt;0,IF(EV_Var2!$E$68&gt;=(EV_Var2!$E$34 + EV_Var2!$E$38),EV_Var2!$E$68-(EV_Var2!$E$34 + EV_Var2!$E$38),0),EV_Var2!$E$68)*C62</f>
        <v>-612.5</v>
      </c>
      <c r="H62" s="2545"/>
      <c r="I62" s="2546"/>
      <c r="J62" s="2388">
        <f ca="1">OFFSET(Grunddaten!$AJ$17,El_Produkt,0)-(1-$R$109)*OFFSET(Grunddaten!$Q$17,El_Produkt,0)</f>
        <v>26.638089320000002</v>
      </c>
      <c r="K62" s="2389"/>
      <c r="L62" s="2319">
        <f t="shared" ref="L62:L76" ca="1" si="4">ROUND(E62+G62*J62/100,-1)</f>
        <v>-160</v>
      </c>
      <c r="M62" s="2320"/>
      <c r="N62" s="2321"/>
      <c r="S62" s="547">
        <f ca="1">IF($G62=0,0,ROUND(OFFSET(Grunddaten!AS17,El_Produkt,0)*((OFFSET(Grunddaten!$AJ$17,El_Produkt,0)-OFFSET(Grunddaten!$Q$17,El_Produkt,0))/100*$G62+$E62),-1))</f>
        <v>-160</v>
      </c>
      <c r="T62" s="548">
        <f ca="1">IF($G62=0,0,ROUND(OFFSET(Grunddaten!AT17,El_Produkt,0)*((OFFSET(Grunddaten!$AJ$17,El_Produkt,0)-OFFSET(Grunddaten!$Q$17,El_Produkt,0))/100*$G62+$E62),-1))</f>
        <v>-160</v>
      </c>
      <c r="U62" s="548">
        <f ca="1">IF($G62=0,0,ROUND(OFFSET(Grunddaten!AU17,El_Produkt,0)*((OFFSET(Grunddaten!$AJ$17,El_Produkt,0)-OFFSET(Grunddaten!$Q$17,El_Produkt,0))/100*$G62+$E62),-1))</f>
        <v>-170</v>
      </c>
      <c r="V62" s="548">
        <f ca="1">IF($G62=0,0,ROUND(OFFSET(Grunddaten!AV17,El_Produkt,0)*((OFFSET(Grunddaten!$AJ$17,El_Produkt,0)-OFFSET(Grunddaten!$Q$17,El_Produkt,0))/100*$G62+$E62),-1))</f>
        <v>-170</v>
      </c>
      <c r="W62" s="548">
        <f ca="1">IF($G62=0,0,ROUND(OFFSET(Grunddaten!AW17,El_Produkt,0)*((OFFSET(Grunddaten!$AJ$17,El_Produkt,0)-OFFSET(Grunddaten!$Q$17,El_Produkt,0))/100*$G62+$E62),-1))</f>
        <v>-170</v>
      </c>
      <c r="X62" s="548">
        <f ca="1">IF($G62=0,0,ROUND(OFFSET(Grunddaten!AX17,El_Produkt,0)*((OFFSET(Grunddaten!$AJ$17,El_Produkt,0)-OFFSET(Grunddaten!$Q$17,El_Produkt,0))/100*$G62+$E62),-1))</f>
        <v>-170</v>
      </c>
      <c r="Y62" s="548">
        <f ca="1">IF($G62=0,0,ROUND(OFFSET(Grunddaten!AY17,El_Produkt,0)*((OFFSET(Grunddaten!$AJ$17,El_Produkt,0)-OFFSET(Grunddaten!$Q$17,El_Produkt,0))/100*$G62+$E62),-1))</f>
        <v>-170</v>
      </c>
      <c r="Z62" s="548">
        <f ca="1">IF($G62=0,0,ROUND(OFFSET(Grunddaten!AZ17,El_Produkt,0)*((OFFSET(Grunddaten!$AJ$17,El_Produkt,0)-OFFSET(Grunddaten!$Q$17,El_Produkt,0))/100*$G62+$E62),-1))</f>
        <v>-170</v>
      </c>
      <c r="AA62" s="548">
        <f ca="1">IF($G62=0,0,ROUND(OFFSET(Grunddaten!BA17,El_Produkt,0)*((OFFSET(Grunddaten!$AJ$17,El_Produkt,0)-OFFSET(Grunddaten!$Q$17,El_Produkt,0))/100*$G62+$E62),-1))</f>
        <v>-170</v>
      </c>
      <c r="AB62" s="247">
        <f ca="1">IF($G62=0,0,ROUND(OFFSET(Grunddaten!BB17,El_Produkt,0)*((OFFSET(Grunddaten!$AJ$17,El_Produkt,0)-OFFSET(Grunddaten!$Q$17,El_Produkt,0))/100*$G62+$E62),-1))</f>
        <v>-170</v>
      </c>
      <c r="AC62" s="247">
        <f ca="1">IF($G62=0,0,ROUND(OFFSET(Grunddaten!BC17,El_Produkt,0)*((OFFSET(Grunddaten!$AJ$17,El_Produkt,0)-OFFSET(Grunddaten!$Q$17,El_Produkt,0))/100*$G62+$E62),-1))</f>
        <v>-170</v>
      </c>
      <c r="AD62" s="247">
        <f ca="1">IF($G62=0,0,ROUND(OFFSET(Grunddaten!BD17,El_Produkt,0)*((OFFSET(Grunddaten!$AJ$17,El_Produkt,0)-OFFSET(Grunddaten!$Q$17,El_Produkt,0))/100*$G62+$E62),-1))</f>
        <v>-170</v>
      </c>
      <c r="AE62" s="247">
        <f ca="1">IF($G62=0,0,ROUND(OFFSET(Grunddaten!BE17,El_Produkt,0)*((OFFSET(Grunddaten!$AJ$17,El_Produkt,0)-OFFSET(Grunddaten!$Q$17,El_Produkt,0))/100*$G62+$E62),-1))</f>
        <v>-180</v>
      </c>
      <c r="AF62" s="247">
        <f ca="1">IF($G62=0,0,ROUND(OFFSET(Grunddaten!BF17,El_Produkt,0)*((OFFSET(Grunddaten!$AJ$17,El_Produkt,0)-OFFSET(Grunddaten!$Q$17,El_Produkt,0))/100*$G62+$E62),-1))</f>
        <v>-180</v>
      </c>
      <c r="AG62" s="247">
        <f ca="1">IF($G62=0,0,ROUND(OFFSET(Grunddaten!BG17,El_Produkt,0)*((OFFSET(Grunddaten!$AJ$17,El_Produkt,0)-OFFSET(Grunddaten!$Q$17,El_Produkt,0))/100*$G62+$E62),-1))</f>
        <v>-180</v>
      </c>
      <c r="AH62" s="247">
        <f ca="1">IF($G62=0,0,ROUND(OFFSET(Grunddaten!BH17,El_Produkt,0)*((OFFSET(Grunddaten!$AJ$17,El_Produkt,0)-OFFSET(Grunddaten!$Q$17,El_Produkt,0))/100*$G62+$E62),-1))</f>
        <v>-180</v>
      </c>
      <c r="AI62" s="247">
        <f ca="1">IF($G62=0,0,ROUND(OFFSET(Grunddaten!BI17,El_Produkt,0)*((OFFSET(Grunddaten!$AJ$17,El_Produkt,0)-OFFSET(Grunddaten!$Q$17,El_Produkt,0))/100*$G62+$E62),-1))</f>
        <v>-180</v>
      </c>
      <c r="AJ62" s="247">
        <f ca="1">IF($G62=0,0,ROUND(OFFSET(Grunddaten!BJ17,El_Produkt,0)*((OFFSET(Grunddaten!$AJ$17,El_Produkt,0)-OFFSET(Grunddaten!$Q$17,El_Produkt,0))/100*$G62+$E62),-1))</f>
        <v>-180</v>
      </c>
      <c r="AK62" s="247">
        <f ca="1">IF($G62=0,0,ROUND(OFFSET(Grunddaten!BK17,El_Produkt,0)*((OFFSET(Grunddaten!$AJ$17,El_Produkt,0)-OFFSET(Grunddaten!$Q$17,El_Produkt,0))/100*$G62+$E62),-1))</f>
        <v>-180</v>
      </c>
      <c r="AL62" s="247">
        <f ca="1">IF($G62=0,0,ROUND(OFFSET(Grunddaten!BL17,El_Produkt,0)*((OFFSET(Grunddaten!$AJ$17,El_Produkt,0)-OFFSET(Grunddaten!$Q$17,El_Produkt,0))/100*$G62+$E62),-1))</f>
        <v>-180</v>
      </c>
      <c r="AM62" s="247">
        <f ca="1">IF($G62=0,0,ROUND(OFFSET(Grunddaten!BM17,El_Produkt,0)*((OFFSET(Grunddaten!$AJ$17,El_Produkt,0)-OFFSET(Grunddaten!$Q$17,El_Produkt,0))/100*$G62+$E62),-1))</f>
        <v>-180</v>
      </c>
      <c r="AN62" s="247">
        <f ca="1">IF($G62=0,0,ROUND(OFFSET(Grunddaten!BN17,El_Produkt,0)*((OFFSET(Grunddaten!$AJ$17,El_Produkt,0)-OFFSET(Grunddaten!$Q$17,El_Produkt,0))/100*$G62+$E62),-1))</f>
        <v>-190</v>
      </c>
      <c r="AO62" s="247">
        <f ca="1">IF($G62=0,0,ROUND(OFFSET(Grunddaten!BO17,El_Produkt,0)*((OFFSET(Grunddaten!$AJ$17,El_Produkt,0)-OFFSET(Grunddaten!$Q$17,El_Produkt,0))/100*$G62+$E62),-1))</f>
        <v>-190</v>
      </c>
      <c r="AP62" s="247">
        <f ca="1">IF($G62=0,0,ROUND(OFFSET(Grunddaten!BP17,El_Produkt,0)*((OFFSET(Grunddaten!$AJ$17,El_Produkt,0)-OFFSET(Grunddaten!$Q$17,El_Produkt,0))/100*$G62+$E62),-1))</f>
        <v>-190</v>
      </c>
      <c r="AQ62" s="247">
        <f ca="1">IF($G62=0,0,ROUND(OFFSET(Grunddaten!BQ17,El_Produkt,0)*((OFFSET(Grunddaten!$AJ$17,El_Produkt,0)-OFFSET(Grunddaten!$Q$17,El_Produkt,0))/100*$G62+$E62),-1))</f>
        <v>-190</v>
      </c>
      <c r="AR62" s="247">
        <f ca="1">IF($G62=0,0,ROUND(OFFSET(Grunddaten!BR17,El_Produkt,0)*((OFFSET(Grunddaten!$AJ$17,El_Produkt,0)-OFFSET(Grunddaten!$Q$17,El_Produkt,0))/100*$G62+$E62),-1))</f>
        <v>-190</v>
      </c>
      <c r="AS62" s="247">
        <f ca="1">IF($G62=0,0,ROUND(OFFSET(Grunddaten!BS17,El_Produkt,0)*((OFFSET(Grunddaten!$AJ$17,El_Produkt,0)-OFFSET(Grunddaten!$Q$17,El_Produkt,0))/100*$G62+$E62),-1))</f>
        <v>-190</v>
      </c>
      <c r="AT62" s="247">
        <f ca="1">IF($G62=0,0,ROUND(OFFSET(Grunddaten!BT17,El_Produkt,0)*((OFFSET(Grunddaten!$AJ$17,El_Produkt,0)-OFFSET(Grunddaten!$Q$17,El_Produkt,0))/100*$G62+$E62),-1))</f>
        <v>-190</v>
      </c>
      <c r="AU62" s="247">
        <f ca="1">IF($G62=0,0,ROUND(OFFSET(Grunddaten!BU17,El_Produkt,0)*((OFFSET(Grunddaten!$AJ$17,El_Produkt,0)-OFFSET(Grunddaten!$Q$17,El_Produkt,0))/100*$G62+$E62),-1))</f>
        <v>-190</v>
      </c>
      <c r="AV62" s="247">
        <f ca="1">IF($G62=0,0,ROUND(OFFSET(Grunddaten!BV17,El_Produkt,0)*((OFFSET(Grunddaten!$AJ$17,El_Produkt,0)-OFFSET(Grunddaten!$Q$17,El_Produkt,0))/100*$G62+$E62),-1))</f>
        <v>-190</v>
      </c>
      <c r="AW62" s="247">
        <f ca="1">IF($G62=0,0,ROUND(OFFSET(Grunddaten!BW17,El_Produkt,0)*((OFFSET(Grunddaten!$AJ$17,El_Produkt,0)-OFFSET(Grunddaten!$Q$17,El_Produkt,0))/100*$G62+$E62),-1))</f>
        <v>-190</v>
      </c>
      <c r="AX62" s="247">
        <f ca="1">IF($G62=0,0,ROUND(OFFSET(Grunddaten!BX17,El_Produkt,0)*((OFFSET(Grunddaten!$AJ$17,El_Produkt,0)-OFFSET(Grunddaten!$Q$17,El_Produkt,0))/100*$G62+$E62),-1))</f>
        <v>-200</v>
      </c>
      <c r="AY62" s="247">
        <f ca="1">IF($G62=0,0,ROUND(OFFSET(Grunddaten!BY17,El_Produkt,0)*((OFFSET(Grunddaten!$AJ$17,El_Produkt,0)-OFFSET(Grunddaten!$Q$17,El_Produkt,0))/100*$G62+$E62),-1))</f>
        <v>-200</v>
      </c>
      <c r="AZ62" s="247">
        <f ca="1">IF($G62=0,0,ROUND(OFFSET(Grunddaten!BZ17,El_Produkt,0)*((OFFSET(Grunddaten!$AJ$17,El_Produkt,0)-OFFSET(Grunddaten!$Q$17,El_Produkt,0))/100*$G62+$E62),-1))</f>
        <v>-200</v>
      </c>
      <c r="BA62" s="247">
        <f ca="1">IF($G62=0,0,ROUND(OFFSET(Grunddaten!CA17,El_Produkt,0)*((OFFSET(Grunddaten!$AJ$17,El_Produkt,0)-OFFSET(Grunddaten!$Q$17,El_Produkt,0))/100*$G62+$E62),-1))</f>
        <v>-200</v>
      </c>
      <c r="BB62" s="247">
        <f ca="1">IF($G62=0,0,ROUND(OFFSET(Grunddaten!CB17,El_Produkt,0)*((OFFSET(Grunddaten!$AJ$17,El_Produkt,0)-OFFSET(Grunddaten!$Q$17,El_Produkt,0))/100*$G62+$E62),-1))</f>
        <v>-200</v>
      </c>
      <c r="BC62" s="247">
        <f ca="1">IF($G62=0,0,ROUND(OFFSET(Grunddaten!CC17,El_Produkt,0)*((OFFSET(Grunddaten!$AJ$17,El_Produkt,0)-OFFSET(Grunddaten!$Q$17,El_Produkt,0))/100*$G62+$E62),-1))</f>
        <v>-200</v>
      </c>
      <c r="BD62" s="247">
        <f ca="1">IF($G62=0,0,ROUND(OFFSET(Grunddaten!CD17,El_Produkt,0)*((OFFSET(Grunddaten!$AJ$17,El_Produkt,0)-OFFSET(Grunddaten!$Q$17,El_Produkt,0))/100*$G62+$E62),-1))</f>
        <v>-200</v>
      </c>
      <c r="BE62" s="247">
        <f ca="1">IF($G62=0,0,ROUND(OFFSET(Grunddaten!CE17,El_Produkt,0)*((OFFSET(Grunddaten!$AJ$17,El_Produkt,0)-OFFSET(Grunddaten!$Q$17,El_Produkt,0))/100*$G62+$E62),-1))</f>
        <v>-200</v>
      </c>
      <c r="BF62" s="247">
        <f ca="1">IF($G62=0,0,ROUND(OFFSET(Grunddaten!CF17,El_Produkt,0)*((OFFSET(Grunddaten!$AJ$17,El_Produkt,0)-OFFSET(Grunddaten!$Q$17,El_Produkt,0))/100*$G62+$E62),-1))</f>
        <v>-200</v>
      </c>
      <c r="BG62" s="247">
        <f ca="1">IF($G62=0,0,ROUND(OFFSET(Grunddaten!CG17,El_Produkt,0)*((OFFSET(Grunddaten!$AJ$17,El_Produkt,0)-OFFSET(Grunddaten!$Q$17,El_Produkt,0))/100*$G62+$E62),-1))</f>
        <v>-200</v>
      </c>
      <c r="BH62" s="247">
        <f ca="1">IF($G62=0,0,ROUND(OFFSET(Grunddaten!CH17,El_Produkt,0)*((OFFSET(Grunddaten!$AJ$17,El_Produkt,0)-OFFSET(Grunddaten!$Q$17,El_Produkt,0))/100*$G62+$E62),-1))</f>
        <v>-210</v>
      </c>
      <c r="BI62" s="247">
        <f ca="1">IF($G62=0,0,ROUND(OFFSET(Grunddaten!CI17,El_Produkt,0)*((OFFSET(Grunddaten!$AJ$17,El_Produkt,0)-OFFSET(Grunddaten!$Q$17,El_Produkt,0))/100*$G62+$E62),-1))</f>
        <v>-210</v>
      </c>
      <c r="BJ62" s="247">
        <f ca="1">IF($G62=0,0,ROUND(OFFSET(Grunddaten!CJ17,El_Produkt,0)*((OFFSET(Grunddaten!$AJ$17,El_Produkt,0)-OFFSET(Grunddaten!$Q$17,El_Produkt,0))/100*$G62+$E62),-1))</f>
        <v>-210</v>
      </c>
      <c r="BK62" s="247">
        <f ca="1">IF($G62=0,0,ROUND(OFFSET(Grunddaten!CK17,El_Produkt,0)*((OFFSET(Grunddaten!$AJ$17,El_Produkt,0)-OFFSET(Grunddaten!$Q$17,El_Produkt,0))/100*$G62+$E62),-1))</f>
        <v>-210</v>
      </c>
      <c r="BL62" s="247">
        <f ca="1">IF($G62=0,0,ROUND(OFFSET(Grunddaten!CL17,El_Produkt,0)*((OFFSET(Grunddaten!$AJ$17,El_Produkt,0)-OFFSET(Grunddaten!$Q$17,El_Produkt,0))/100*$G62+$E62),-1))</f>
        <v>-210</v>
      </c>
      <c r="BM62" s="247">
        <f ca="1">IF($G62=0,0,ROUND(OFFSET(Grunddaten!CM17,El_Produkt,0)*((OFFSET(Grunddaten!$AJ$17,El_Produkt,0)-OFFSET(Grunddaten!$Q$17,El_Produkt,0))/100*$G62+$E62),-1))</f>
        <v>-210</v>
      </c>
      <c r="BN62" s="247">
        <f ca="1">IF($G62=0,0,ROUND(OFFSET(Grunddaten!CN17,El_Produkt,0)*((OFFSET(Grunddaten!$AJ$17,El_Produkt,0)-OFFSET(Grunddaten!$Q$17,El_Produkt,0))/100*$G62+$E62),-1))</f>
        <v>-210</v>
      </c>
      <c r="BO62" s="247">
        <f ca="1">IF($G62=0,0,ROUND(OFFSET(Grunddaten!CO17,El_Produkt,0)*((OFFSET(Grunddaten!$AJ$17,El_Produkt,0)-OFFSET(Grunddaten!$Q$17,El_Produkt,0))/100*$G62+$E62),-1))</f>
        <v>-210</v>
      </c>
      <c r="BP62" s="247">
        <f ca="1">IF($G62=0,0,ROUND(OFFSET(Grunddaten!CP17,El_Produkt,0)*((OFFSET(Grunddaten!$AJ$17,El_Produkt,0)-OFFSET(Grunddaten!$Q$17,El_Produkt,0))/100*$G62+$E62),-1))</f>
        <v>-210</v>
      </c>
      <c r="BQ62" s="248">
        <f ca="1">IF($G62=0,0,ROUND(OFFSET(Grunddaten!CQ17,El_Produkt,0)*((OFFSET(Grunddaten!$AJ$17,El_Produkt,0)-OFFSET(Grunddaten!$Q$17,El_Produkt,0))/100*$G62+$E62),-1))</f>
        <v>-220</v>
      </c>
    </row>
    <row r="63" spans="1:69" s="36" customFormat="1" ht="11.25" customHeight="1" x14ac:dyDescent="0.2">
      <c r="A63" s="1008" t="s">
        <v>42</v>
      </c>
      <c r="B63" s="1009"/>
      <c r="C63" s="2524">
        <f>1-C62</f>
        <v>0.30000000000000004</v>
      </c>
      <c r="D63" s="2524"/>
      <c r="E63" s="2397">
        <f>IF(G63,E$61*G63/SUM(G$62:G$65),0)</f>
        <v>0</v>
      </c>
      <c r="F63" s="2398"/>
      <c r="G63" s="2392">
        <f>IF(EV_Var2!$E$68&gt;0,IF(EV_Var2!$E$68&gt;=(EV_Var2!$E$34 + EV_Var2!$E$38),EV_Var2!$E$68-(EV_Var2!$E$34 + EV_Var2!$E$38),0),EV_Var2!$E$68)*C63</f>
        <v>-262.50000000000006</v>
      </c>
      <c r="H63" s="2393"/>
      <c r="I63" s="2394"/>
      <c r="J63" s="2390">
        <f ca="1">OFFSET(Grunddaten!$AK17,El_Produkt,0)-(1-$R$109)*OFFSET(Grunddaten!$Q$17,El_Produkt,0)</f>
        <v>17.706284570000001</v>
      </c>
      <c r="K63" s="2391"/>
      <c r="L63" s="2424">
        <f t="shared" ca="1" si="4"/>
        <v>-50</v>
      </c>
      <c r="M63" s="2425"/>
      <c r="N63" s="2426"/>
      <c r="S63" s="549">
        <f ca="1">IF($G63=0,0,ROUND(OFFSET(Grunddaten!AS17,El_Produkt,0)*((OFFSET(Grunddaten!$AK$17,El_Produkt,0)-OFFSET(Grunddaten!$Q$17,El_Produkt,0))/100*$G63+$E63),-1))</f>
        <v>-50</v>
      </c>
      <c r="T63" s="550">
        <f ca="1">IF($G63=0,0,ROUND(OFFSET(Grunddaten!AT17,El_Produkt,0)*((OFFSET(Grunddaten!$AK$17,El_Produkt,0)-OFFSET(Grunddaten!$Q$17,El_Produkt,0))/100*$G63+$E63),-1))</f>
        <v>-50</v>
      </c>
      <c r="U63" s="550">
        <f ca="1">IF($G63=0,0,ROUND(OFFSET(Grunddaten!AU17,El_Produkt,0)*((OFFSET(Grunddaten!$AK$17,El_Produkt,0)-OFFSET(Grunddaten!$Q$17,El_Produkt,0))/100*$G63+$E63),-1))</f>
        <v>-50</v>
      </c>
      <c r="V63" s="550">
        <f ca="1">IF($G63=0,0,ROUND(OFFSET(Grunddaten!AV17,El_Produkt,0)*((OFFSET(Grunddaten!$AK$17,El_Produkt,0)-OFFSET(Grunddaten!$Q$17,El_Produkt,0))/100*$G63+$E63),-1))</f>
        <v>-50</v>
      </c>
      <c r="W63" s="550">
        <f ca="1">IF($G63=0,0,ROUND(OFFSET(Grunddaten!AW17,El_Produkt,0)*((OFFSET(Grunddaten!$AK$17,El_Produkt,0)-OFFSET(Grunddaten!$Q$17,El_Produkt,0))/100*$G63+$E63),-1))</f>
        <v>-50</v>
      </c>
      <c r="X63" s="550">
        <f ca="1">IF($G63=0,0,ROUND(OFFSET(Grunddaten!AX17,El_Produkt,0)*((OFFSET(Grunddaten!$AK$17,El_Produkt,0)-OFFSET(Grunddaten!$Q$17,El_Produkt,0))/100*$G63+$E63),-1))</f>
        <v>-50</v>
      </c>
      <c r="Y63" s="550">
        <f ca="1">IF($G63=0,0,ROUND(OFFSET(Grunddaten!AY17,El_Produkt,0)*((OFFSET(Grunddaten!$AK$17,El_Produkt,0)-OFFSET(Grunddaten!$Q$17,El_Produkt,0))/100*$G63+$E63),-1))</f>
        <v>-50</v>
      </c>
      <c r="Z63" s="550">
        <f ca="1">IF($G63=0,0,ROUND(OFFSET(Grunddaten!AZ17,El_Produkt,0)*((OFFSET(Grunddaten!$AK$17,El_Produkt,0)-OFFSET(Grunddaten!$Q$17,El_Produkt,0))/100*$G63+$E63),-1))</f>
        <v>-50</v>
      </c>
      <c r="AA63" s="550">
        <f ca="1">IF($G63=0,0,ROUND(OFFSET(Grunddaten!BA17,El_Produkt,0)*((OFFSET(Grunddaten!$AK$17,El_Produkt,0)-OFFSET(Grunddaten!$Q$17,El_Produkt,0))/100*$G63+$E63),-1))</f>
        <v>-50</v>
      </c>
      <c r="AB63" s="250">
        <f ca="1">IF($G63=0,0,ROUND(OFFSET(Grunddaten!BB17,El_Produkt,0)*((OFFSET(Grunddaten!$AK$17,El_Produkt,0)-OFFSET(Grunddaten!$Q$17,El_Produkt,0))/100*$G63+$E63),-1))</f>
        <v>-50</v>
      </c>
      <c r="AC63" s="250">
        <f ca="1">IF($G63=0,0,ROUND(OFFSET(Grunddaten!BC17,El_Produkt,0)*((OFFSET(Grunddaten!$AK$17,El_Produkt,0)-OFFSET(Grunddaten!$Q$17,El_Produkt,0))/100*$G63+$E63),-1))</f>
        <v>-50</v>
      </c>
      <c r="AD63" s="250">
        <f ca="1">IF($G63=0,0,ROUND(OFFSET(Grunddaten!BD17,El_Produkt,0)*((OFFSET(Grunddaten!$AK$17,El_Produkt,0)-OFFSET(Grunddaten!$Q$17,El_Produkt,0))/100*$G63+$E63),-1))</f>
        <v>-50</v>
      </c>
      <c r="AE63" s="250">
        <f ca="1">IF($G63=0,0,ROUND(OFFSET(Grunddaten!BE17,El_Produkt,0)*((OFFSET(Grunddaten!$AK$17,El_Produkt,0)-OFFSET(Grunddaten!$Q$17,El_Produkt,0))/100*$G63+$E63),-1))</f>
        <v>-50</v>
      </c>
      <c r="AF63" s="250">
        <f ca="1">IF($G63=0,0,ROUND(OFFSET(Grunddaten!BF17,El_Produkt,0)*((OFFSET(Grunddaten!$AK$17,El_Produkt,0)-OFFSET(Grunddaten!$Q$17,El_Produkt,0))/100*$G63+$E63),-1))</f>
        <v>-50</v>
      </c>
      <c r="AG63" s="250">
        <f ca="1">IF($G63=0,0,ROUND(OFFSET(Grunddaten!BG17,El_Produkt,0)*((OFFSET(Grunddaten!$AK$17,El_Produkt,0)-OFFSET(Grunddaten!$Q$17,El_Produkt,0))/100*$G63+$E63),-1))</f>
        <v>-50</v>
      </c>
      <c r="AH63" s="250">
        <f ca="1">IF($G63=0,0,ROUND(OFFSET(Grunddaten!BH17,El_Produkt,0)*((OFFSET(Grunddaten!$AK$17,El_Produkt,0)-OFFSET(Grunddaten!$Q$17,El_Produkt,0))/100*$G63+$E63),-1))</f>
        <v>-50</v>
      </c>
      <c r="AI63" s="250">
        <f ca="1">IF($G63=0,0,ROUND(OFFSET(Grunddaten!BI17,El_Produkt,0)*((OFFSET(Grunddaten!$AK$17,El_Produkt,0)-OFFSET(Grunddaten!$Q$17,El_Produkt,0))/100*$G63+$E63),-1))</f>
        <v>-50</v>
      </c>
      <c r="AJ63" s="250">
        <f ca="1">IF($G63=0,0,ROUND(OFFSET(Grunddaten!BJ17,El_Produkt,0)*((OFFSET(Grunddaten!$AK$17,El_Produkt,0)-OFFSET(Grunddaten!$Q$17,El_Produkt,0))/100*$G63+$E63),-1))</f>
        <v>-50</v>
      </c>
      <c r="AK63" s="250">
        <f ca="1">IF($G63=0,0,ROUND(OFFSET(Grunddaten!BK17,El_Produkt,0)*((OFFSET(Grunddaten!$AK$17,El_Produkt,0)-OFFSET(Grunddaten!$Q$17,El_Produkt,0))/100*$G63+$E63),-1))</f>
        <v>-50</v>
      </c>
      <c r="AL63" s="250">
        <f ca="1">IF($G63=0,0,ROUND(OFFSET(Grunddaten!BL17,El_Produkt,0)*((OFFSET(Grunddaten!$AK$17,El_Produkt,0)-OFFSET(Grunddaten!$Q$17,El_Produkt,0))/100*$G63+$E63),-1))</f>
        <v>-50</v>
      </c>
      <c r="AM63" s="250">
        <f ca="1">IF($G63=0,0,ROUND(OFFSET(Grunddaten!BM17,El_Produkt,0)*((OFFSET(Grunddaten!$AK$17,El_Produkt,0)-OFFSET(Grunddaten!$Q$17,El_Produkt,0))/100*$G63+$E63),-1))</f>
        <v>-50</v>
      </c>
      <c r="AN63" s="250">
        <f ca="1">IF($G63=0,0,ROUND(OFFSET(Grunddaten!BN17,El_Produkt,0)*((OFFSET(Grunddaten!$AK$17,El_Produkt,0)-OFFSET(Grunddaten!$Q$17,El_Produkt,0))/100*$G63+$E63),-1))</f>
        <v>-50</v>
      </c>
      <c r="AO63" s="250">
        <f ca="1">IF($G63=0,0,ROUND(OFFSET(Grunddaten!BO17,El_Produkt,0)*((OFFSET(Grunddaten!$AK$17,El_Produkt,0)-OFFSET(Grunddaten!$Q$17,El_Produkt,0))/100*$G63+$E63),-1))</f>
        <v>-50</v>
      </c>
      <c r="AP63" s="250">
        <f ca="1">IF($G63=0,0,ROUND(OFFSET(Grunddaten!BP17,El_Produkt,0)*((OFFSET(Grunddaten!$AK$17,El_Produkt,0)-OFFSET(Grunddaten!$Q$17,El_Produkt,0))/100*$G63+$E63),-1))</f>
        <v>-50</v>
      </c>
      <c r="AQ63" s="250">
        <f ca="1">IF($G63=0,0,ROUND(OFFSET(Grunddaten!BQ17,El_Produkt,0)*((OFFSET(Grunddaten!$AK$17,El_Produkt,0)-OFFSET(Grunddaten!$Q$17,El_Produkt,0))/100*$G63+$E63),-1))</f>
        <v>-50</v>
      </c>
      <c r="AR63" s="250">
        <f ca="1">IF($G63=0,0,ROUND(OFFSET(Grunddaten!BR17,El_Produkt,0)*((OFFSET(Grunddaten!$AK$17,El_Produkt,0)-OFFSET(Grunddaten!$Q$17,El_Produkt,0))/100*$G63+$E63),-1))</f>
        <v>-50</v>
      </c>
      <c r="AS63" s="250">
        <f ca="1">IF($G63=0,0,ROUND(OFFSET(Grunddaten!BS17,El_Produkt,0)*((OFFSET(Grunddaten!$AK$17,El_Produkt,0)-OFFSET(Grunddaten!$Q$17,El_Produkt,0))/100*$G63+$E63),-1))</f>
        <v>-50</v>
      </c>
      <c r="AT63" s="250">
        <f ca="1">IF($G63=0,0,ROUND(OFFSET(Grunddaten!BT17,El_Produkt,0)*((OFFSET(Grunddaten!$AK$17,El_Produkt,0)-OFFSET(Grunddaten!$Q$17,El_Produkt,0))/100*$G63+$E63),-1))</f>
        <v>-50</v>
      </c>
      <c r="AU63" s="250">
        <f ca="1">IF($G63=0,0,ROUND(OFFSET(Grunddaten!BU17,El_Produkt,0)*((OFFSET(Grunddaten!$AK$17,El_Produkt,0)-OFFSET(Grunddaten!$Q$17,El_Produkt,0))/100*$G63+$E63),-1))</f>
        <v>-50</v>
      </c>
      <c r="AV63" s="250">
        <f ca="1">IF($G63=0,0,ROUND(OFFSET(Grunddaten!BV17,El_Produkt,0)*((OFFSET(Grunddaten!$AK$17,El_Produkt,0)-OFFSET(Grunddaten!$Q$17,El_Produkt,0))/100*$G63+$E63),-1))</f>
        <v>-60</v>
      </c>
      <c r="AW63" s="250">
        <f ca="1">IF($G63=0,0,ROUND(OFFSET(Grunddaten!BW17,El_Produkt,0)*((OFFSET(Grunddaten!$AK$17,El_Produkt,0)-OFFSET(Grunddaten!$Q$17,El_Produkt,0))/100*$G63+$E63),-1))</f>
        <v>-60</v>
      </c>
      <c r="AX63" s="250">
        <f ca="1">IF($G63=0,0,ROUND(OFFSET(Grunddaten!BX17,El_Produkt,0)*((OFFSET(Grunddaten!$AK$17,El_Produkt,0)-OFFSET(Grunddaten!$Q$17,El_Produkt,0))/100*$G63+$E63),-1))</f>
        <v>-60</v>
      </c>
      <c r="AY63" s="250">
        <f ca="1">IF($G63=0,0,ROUND(OFFSET(Grunddaten!BY17,El_Produkt,0)*((OFFSET(Grunddaten!$AK$17,El_Produkt,0)-OFFSET(Grunddaten!$Q$17,El_Produkt,0))/100*$G63+$E63),-1))</f>
        <v>-60</v>
      </c>
      <c r="AZ63" s="250">
        <f ca="1">IF($G63=0,0,ROUND(OFFSET(Grunddaten!BZ17,El_Produkt,0)*((OFFSET(Grunddaten!$AK$17,El_Produkt,0)-OFFSET(Grunddaten!$Q$17,El_Produkt,0))/100*$G63+$E63),-1))</f>
        <v>-60</v>
      </c>
      <c r="BA63" s="250">
        <f ca="1">IF($G63=0,0,ROUND(OFFSET(Grunddaten!CA17,El_Produkt,0)*((OFFSET(Grunddaten!$AK$17,El_Produkt,0)-OFFSET(Grunddaten!$Q$17,El_Produkt,0))/100*$G63+$E63),-1))</f>
        <v>-60</v>
      </c>
      <c r="BB63" s="250">
        <f ca="1">IF($G63=0,0,ROUND(OFFSET(Grunddaten!CB17,El_Produkt,0)*((OFFSET(Grunddaten!$AK$17,El_Produkt,0)-OFFSET(Grunddaten!$Q$17,El_Produkt,0))/100*$G63+$E63),-1))</f>
        <v>-60</v>
      </c>
      <c r="BC63" s="250">
        <f ca="1">IF($G63=0,0,ROUND(OFFSET(Grunddaten!CC17,El_Produkt,0)*((OFFSET(Grunddaten!$AK$17,El_Produkt,0)-OFFSET(Grunddaten!$Q$17,El_Produkt,0))/100*$G63+$E63),-1))</f>
        <v>-60</v>
      </c>
      <c r="BD63" s="250">
        <f ca="1">IF($G63=0,0,ROUND(OFFSET(Grunddaten!CD17,El_Produkt,0)*((OFFSET(Grunddaten!$AK$17,El_Produkt,0)-OFFSET(Grunddaten!$Q$17,El_Produkt,0))/100*$G63+$E63),-1))</f>
        <v>-60</v>
      </c>
      <c r="BE63" s="250">
        <f ca="1">IF($G63=0,0,ROUND(OFFSET(Grunddaten!CE17,El_Produkt,0)*((OFFSET(Grunddaten!$AK$17,El_Produkt,0)-OFFSET(Grunddaten!$Q$17,El_Produkt,0))/100*$G63+$E63),-1))</f>
        <v>-60</v>
      </c>
      <c r="BF63" s="250">
        <f ca="1">IF($G63=0,0,ROUND(OFFSET(Grunddaten!CF17,El_Produkt,0)*((OFFSET(Grunddaten!$AK$17,El_Produkt,0)-OFFSET(Grunddaten!$Q$17,El_Produkt,0))/100*$G63+$E63),-1))</f>
        <v>-60</v>
      </c>
      <c r="BG63" s="250">
        <f ca="1">IF($G63=0,0,ROUND(OFFSET(Grunddaten!CG17,El_Produkt,0)*((OFFSET(Grunddaten!$AK$17,El_Produkt,0)-OFFSET(Grunddaten!$Q$17,El_Produkt,0))/100*$G63+$E63),-1))</f>
        <v>-60</v>
      </c>
      <c r="BH63" s="250">
        <f ca="1">IF($G63=0,0,ROUND(OFFSET(Grunddaten!CH17,El_Produkt,0)*((OFFSET(Grunddaten!$AK$17,El_Produkt,0)-OFFSET(Grunddaten!$Q$17,El_Produkt,0))/100*$G63+$E63),-1))</f>
        <v>-60</v>
      </c>
      <c r="BI63" s="250">
        <f ca="1">IF($G63=0,0,ROUND(OFFSET(Grunddaten!CI17,El_Produkt,0)*((OFFSET(Grunddaten!$AK$17,El_Produkt,0)-OFFSET(Grunddaten!$Q$17,El_Produkt,0))/100*$G63+$E63),-1))</f>
        <v>-60</v>
      </c>
      <c r="BJ63" s="250">
        <f ca="1">IF($G63=0,0,ROUND(OFFSET(Grunddaten!CJ17,El_Produkt,0)*((OFFSET(Grunddaten!$AK$17,El_Produkt,0)-OFFSET(Grunddaten!$Q$17,El_Produkt,0))/100*$G63+$E63),-1))</f>
        <v>-60</v>
      </c>
      <c r="BK63" s="250">
        <f ca="1">IF($G63=0,0,ROUND(OFFSET(Grunddaten!CK17,El_Produkt,0)*((OFFSET(Grunddaten!$AK$17,El_Produkt,0)-OFFSET(Grunddaten!$Q$17,El_Produkt,0))/100*$G63+$E63),-1))</f>
        <v>-60</v>
      </c>
      <c r="BL63" s="250">
        <f ca="1">IF($G63=0,0,ROUND(OFFSET(Grunddaten!CL17,El_Produkt,0)*((OFFSET(Grunddaten!$AK$17,El_Produkt,0)-OFFSET(Grunddaten!$Q$17,El_Produkt,0))/100*$G63+$E63),-1))</f>
        <v>-60</v>
      </c>
      <c r="BM63" s="250">
        <f ca="1">IF($G63=0,0,ROUND(OFFSET(Grunddaten!CM17,El_Produkt,0)*((OFFSET(Grunddaten!$AK$17,El_Produkt,0)-OFFSET(Grunddaten!$Q$17,El_Produkt,0))/100*$G63+$E63),-1))</f>
        <v>-60</v>
      </c>
      <c r="BN63" s="250">
        <f ca="1">IF($G63=0,0,ROUND(OFFSET(Grunddaten!CN17,El_Produkt,0)*((OFFSET(Grunddaten!$AK$17,El_Produkt,0)-OFFSET(Grunddaten!$Q$17,El_Produkt,0))/100*$G63+$E63),-1))</f>
        <v>-60</v>
      </c>
      <c r="BO63" s="250">
        <f ca="1">IF($G63=0,0,ROUND(OFFSET(Grunddaten!CO17,El_Produkt,0)*((OFFSET(Grunddaten!$AK$17,El_Produkt,0)-OFFSET(Grunddaten!$Q$17,El_Produkt,0))/100*$G63+$E63),-1))</f>
        <v>-60</v>
      </c>
      <c r="BP63" s="250">
        <f ca="1">IF($G63=0,0,ROUND(OFFSET(Grunddaten!CP17,El_Produkt,0)*((OFFSET(Grunddaten!$AK$17,El_Produkt,0)-OFFSET(Grunddaten!$Q$17,El_Produkt,0))/100*$G63+$E63),-1))</f>
        <v>-60</v>
      </c>
      <c r="BQ63" s="251">
        <f ca="1">IF($G63=0,0,ROUND(OFFSET(Grunddaten!CQ17,El_Produkt,0)*((OFFSET(Grunddaten!$AK$17,El_Produkt,0)-OFFSET(Grunddaten!$Q$17,El_Produkt,0))/100*$G63+$E63),-1))</f>
        <v>-60</v>
      </c>
    </row>
    <row r="64" spans="1:69" s="36" customFormat="1" ht="11.25" customHeight="1" x14ac:dyDescent="0.2">
      <c r="A64" s="1010" t="s">
        <v>392</v>
      </c>
      <c r="B64" s="1003"/>
      <c r="C64" s="2423">
        <v>0.7</v>
      </c>
      <c r="D64" s="2423"/>
      <c r="E64" s="2400">
        <f>IF(G64,E$61*G64/SUM(G$62:G$65),0)</f>
        <v>0</v>
      </c>
      <c r="F64" s="2401"/>
      <c r="G64" s="2544">
        <f>IF(EV_Var2!$E$68&gt;=0,IF(EV_Var2!$E$68&gt;=(EV_Var2!$E$34 + EV_Var2!$E$38),(EV_Var2!$E$34 + EV_Var2!$E$38),EV_Var2!$E$68),0)*C64</f>
        <v>0</v>
      </c>
      <c r="H64" s="2545"/>
      <c r="I64" s="2546"/>
      <c r="J64" s="2388">
        <f ca="1">OFFSET(Grunddaten!$AL$17,El_Produkt,0)-(1-$R$109)*OFFSET(Grunddaten!$Q$17,El_Produkt,0)</f>
        <v>26.638089320000002</v>
      </c>
      <c r="K64" s="2389"/>
      <c r="L64" s="2319">
        <f t="shared" ca="1" si="4"/>
        <v>0</v>
      </c>
      <c r="M64" s="2320"/>
      <c r="N64" s="2321"/>
      <c r="S64" s="547">
        <f ca="1">IF($G64=0,0,ROUND(OFFSET(Grunddaten!AS17,El_Produkt,0)*((OFFSET(Grunddaten!$AL$17,El_Produkt,0)-OFFSET(Grunddaten!$Q$17,El_Produkt,0))/100*$G64+$E64),-1))</f>
        <v>0</v>
      </c>
      <c r="T64" s="548">
        <f ca="1">IF($G64=0,0,ROUND(OFFSET(Grunddaten!AT17,El_Produkt,0)*((OFFSET(Grunddaten!$AL$17,El_Produkt,0)-OFFSET(Grunddaten!$Q$17,El_Produkt,0))/100*$G64+$E64),-1))</f>
        <v>0</v>
      </c>
      <c r="U64" s="548">
        <f ca="1">IF($G64=0,0,ROUND(OFFSET(Grunddaten!AU17,El_Produkt,0)*((OFFSET(Grunddaten!$AL$17,El_Produkt,0)-OFFSET(Grunddaten!$Q$17,El_Produkt,0))/100*$G64+$E64),-1))</f>
        <v>0</v>
      </c>
      <c r="V64" s="548">
        <f ca="1">IF($G64=0,0,ROUND(OFFSET(Grunddaten!AV17,El_Produkt,0)*((OFFSET(Grunddaten!$AL$17,El_Produkt,0)-OFFSET(Grunddaten!$Q$17,El_Produkt,0))/100*$G64+$E64),-1))</f>
        <v>0</v>
      </c>
      <c r="W64" s="548">
        <f ca="1">IF($G64=0,0,ROUND(OFFSET(Grunddaten!AW17,El_Produkt,0)*((OFFSET(Grunddaten!$AL$17,El_Produkt,0)-OFFSET(Grunddaten!$Q$17,El_Produkt,0))/100*$G64+$E64),-1))</f>
        <v>0</v>
      </c>
      <c r="X64" s="548">
        <f ca="1">IF($G64=0,0,ROUND(OFFSET(Grunddaten!AX17,El_Produkt,0)*((OFFSET(Grunddaten!$AL$17,El_Produkt,0)-OFFSET(Grunddaten!$Q$17,El_Produkt,0))/100*$G64+$E64),-1))</f>
        <v>0</v>
      </c>
      <c r="Y64" s="548">
        <f ca="1">IF($G64=0,0,ROUND(OFFSET(Grunddaten!AY17,El_Produkt,0)*((OFFSET(Grunddaten!$AL$17,El_Produkt,0)-OFFSET(Grunddaten!$Q$17,El_Produkt,0))/100*$G64+$E64),-1))</f>
        <v>0</v>
      </c>
      <c r="Z64" s="548">
        <f ca="1">IF($G64=0,0,ROUND(OFFSET(Grunddaten!AZ17,El_Produkt,0)*((OFFSET(Grunddaten!$AL$17,El_Produkt,0)-OFFSET(Grunddaten!$Q$17,El_Produkt,0))/100*$G64+$E64),-1))</f>
        <v>0</v>
      </c>
      <c r="AA64" s="548">
        <f ca="1">IF($G64=0,0,ROUND(OFFSET(Grunddaten!BA17,El_Produkt,0)*((OFFSET(Grunddaten!$AL$17,El_Produkt,0)-OFFSET(Grunddaten!$Q$17,El_Produkt,0))/100*$G64+$E64),-1))</f>
        <v>0</v>
      </c>
      <c r="AB64" s="247">
        <f ca="1">IF($G64=0,0,ROUND(OFFSET(Grunddaten!BB17,El_Produkt,0)*((OFFSET(Grunddaten!$AL$17,El_Produkt,0)-OFFSET(Grunddaten!$Q$17,El_Produkt,0))/100*$G64+$E64),-1))</f>
        <v>0</v>
      </c>
      <c r="AC64" s="247">
        <f ca="1">IF($G64=0,0,ROUND(OFFSET(Grunddaten!BC17,El_Produkt,0)*((OFFSET(Grunddaten!$AL$17,El_Produkt,0)-OFFSET(Grunddaten!$Q$17,El_Produkt,0))/100*$G64+$E64),-1))</f>
        <v>0</v>
      </c>
      <c r="AD64" s="247">
        <f ca="1">IF($G64=0,0,ROUND(OFFSET(Grunddaten!BD17,El_Produkt,0)*((OFFSET(Grunddaten!$AL$17,El_Produkt,0)-OFFSET(Grunddaten!$Q$17,El_Produkt,0))/100*$G64+$E64),-1))</f>
        <v>0</v>
      </c>
      <c r="AE64" s="247">
        <f ca="1">IF($G64=0,0,ROUND(OFFSET(Grunddaten!BE17,El_Produkt,0)*((OFFSET(Grunddaten!$AL$17,El_Produkt,0)-OFFSET(Grunddaten!$Q$17,El_Produkt,0))/100*$G64+$E64),-1))</f>
        <v>0</v>
      </c>
      <c r="AF64" s="247">
        <f ca="1">IF($G64=0,0,ROUND(OFFSET(Grunddaten!BF17,El_Produkt,0)*((OFFSET(Grunddaten!$AL$17,El_Produkt,0)-OFFSET(Grunddaten!$Q$17,El_Produkt,0))/100*$G64+$E64),-1))</f>
        <v>0</v>
      </c>
      <c r="AG64" s="247">
        <f ca="1">IF($G64=0,0,ROUND(OFFSET(Grunddaten!BG17,El_Produkt,0)*((OFFSET(Grunddaten!$AL$17,El_Produkt,0)-OFFSET(Grunddaten!$Q$17,El_Produkt,0))/100*$G64+$E64),-1))</f>
        <v>0</v>
      </c>
      <c r="AH64" s="247">
        <f ca="1">IF($G64=0,0,ROUND(OFFSET(Grunddaten!BH17,El_Produkt,0)*((OFFSET(Grunddaten!$AL$17,El_Produkt,0)-OFFSET(Grunddaten!$Q$17,El_Produkt,0))/100*$G64+$E64),-1))</f>
        <v>0</v>
      </c>
      <c r="AI64" s="247">
        <f ca="1">IF($G64=0,0,ROUND(OFFSET(Grunddaten!BI17,El_Produkt,0)*((OFFSET(Grunddaten!$AL$17,El_Produkt,0)-OFFSET(Grunddaten!$Q$17,El_Produkt,0))/100*$G64+$E64),-1))</f>
        <v>0</v>
      </c>
      <c r="AJ64" s="247">
        <f ca="1">IF($G64=0,0,ROUND(OFFSET(Grunddaten!BJ17,El_Produkt,0)*((OFFSET(Grunddaten!$AL$17,El_Produkt,0)-OFFSET(Grunddaten!$Q$17,El_Produkt,0))/100*$G64+$E64),-1))</f>
        <v>0</v>
      </c>
      <c r="AK64" s="247">
        <f ca="1">IF($G64=0,0,ROUND(OFFSET(Grunddaten!BK17,El_Produkt,0)*((OFFSET(Grunddaten!$AL$17,El_Produkt,0)-OFFSET(Grunddaten!$Q$17,El_Produkt,0))/100*$G64+$E64),-1))</f>
        <v>0</v>
      </c>
      <c r="AL64" s="247">
        <f ca="1">IF($G64=0,0,ROUND(OFFSET(Grunddaten!BL17,El_Produkt,0)*((OFFSET(Grunddaten!$AL$17,El_Produkt,0)-OFFSET(Grunddaten!$Q$17,El_Produkt,0))/100*$G64+$E64),-1))</f>
        <v>0</v>
      </c>
      <c r="AM64" s="247">
        <f ca="1">IF($G64=0,0,ROUND(OFFSET(Grunddaten!BM17,El_Produkt,0)*((OFFSET(Grunddaten!$AL$17,El_Produkt,0)-OFFSET(Grunddaten!$Q$17,El_Produkt,0))/100*$G64+$E64),-1))</f>
        <v>0</v>
      </c>
      <c r="AN64" s="247">
        <f ca="1">IF($G64=0,0,ROUND(OFFSET(Grunddaten!BN17,El_Produkt,0)*((OFFSET(Grunddaten!$AL$17,El_Produkt,0)-OFFSET(Grunddaten!$Q$17,El_Produkt,0))/100*$G64+$E64),-1))</f>
        <v>0</v>
      </c>
      <c r="AO64" s="247">
        <f ca="1">IF($G64=0,0,ROUND(OFFSET(Grunddaten!BO17,El_Produkt,0)*((OFFSET(Grunddaten!$AL$17,El_Produkt,0)-OFFSET(Grunddaten!$Q$17,El_Produkt,0))/100*$G64+$E64),-1))</f>
        <v>0</v>
      </c>
      <c r="AP64" s="247">
        <f ca="1">IF($G64=0,0,ROUND(OFFSET(Grunddaten!BP17,El_Produkt,0)*((OFFSET(Grunddaten!$AL$17,El_Produkt,0)-OFFSET(Grunddaten!$Q$17,El_Produkt,0))/100*$G64+$E64),-1))</f>
        <v>0</v>
      </c>
      <c r="AQ64" s="247">
        <f ca="1">IF($G64=0,0,ROUND(OFFSET(Grunddaten!BQ17,El_Produkt,0)*((OFFSET(Grunddaten!$AL$17,El_Produkt,0)-OFFSET(Grunddaten!$Q$17,El_Produkt,0))/100*$G64+$E64),-1))</f>
        <v>0</v>
      </c>
      <c r="AR64" s="247">
        <f ca="1">IF($G64=0,0,ROUND(OFFSET(Grunddaten!BR17,El_Produkt,0)*((OFFSET(Grunddaten!$AL$17,El_Produkt,0)-OFFSET(Grunddaten!$Q$17,El_Produkt,0))/100*$G64+$E64),-1))</f>
        <v>0</v>
      </c>
      <c r="AS64" s="247">
        <f ca="1">IF($G64=0,0,ROUND(OFFSET(Grunddaten!BS17,El_Produkt,0)*((OFFSET(Grunddaten!$AL$17,El_Produkt,0)-OFFSET(Grunddaten!$Q$17,El_Produkt,0))/100*$G64+$E64),-1))</f>
        <v>0</v>
      </c>
      <c r="AT64" s="247">
        <f ca="1">IF($G64=0,0,ROUND(OFFSET(Grunddaten!BT17,El_Produkt,0)*((OFFSET(Grunddaten!$AL$17,El_Produkt,0)-OFFSET(Grunddaten!$Q$17,El_Produkt,0))/100*$G64+$E64),-1))</f>
        <v>0</v>
      </c>
      <c r="AU64" s="247">
        <f ca="1">IF($G64=0,0,ROUND(OFFSET(Grunddaten!BU17,El_Produkt,0)*((OFFSET(Grunddaten!$AL$17,El_Produkt,0)-OFFSET(Grunddaten!$Q$17,El_Produkt,0))/100*$G64+$E64),-1))</f>
        <v>0</v>
      </c>
      <c r="AV64" s="247">
        <f ca="1">IF($G64=0,0,ROUND(OFFSET(Grunddaten!BV17,El_Produkt,0)*((OFFSET(Grunddaten!$AL$17,El_Produkt,0)-OFFSET(Grunddaten!$Q$17,El_Produkt,0))/100*$G64+$E64),-1))</f>
        <v>0</v>
      </c>
      <c r="AW64" s="247">
        <f ca="1">IF($G64=0,0,ROUND(OFFSET(Grunddaten!BW17,El_Produkt,0)*((OFFSET(Grunddaten!$AL$17,El_Produkt,0)-OFFSET(Grunddaten!$Q$17,El_Produkt,0))/100*$G64+$E64),-1))</f>
        <v>0</v>
      </c>
      <c r="AX64" s="247">
        <f ca="1">IF($G64=0,0,ROUND(OFFSET(Grunddaten!BX17,El_Produkt,0)*((OFFSET(Grunddaten!$AL$17,El_Produkt,0)-OFFSET(Grunddaten!$Q$17,El_Produkt,0))/100*$G64+$E64),-1))</f>
        <v>0</v>
      </c>
      <c r="AY64" s="247">
        <f ca="1">IF($G64=0,0,ROUND(OFFSET(Grunddaten!BY17,El_Produkt,0)*((OFFSET(Grunddaten!$AL$17,El_Produkt,0)-OFFSET(Grunddaten!$Q$17,El_Produkt,0))/100*$G64+$E64),-1))</f>
        <v>0</v>
      </c>
      <c r="AZ64" s="247">
        <f ca="1">IF($G64=0,0,ROUND(OFFSET(Grunddaten!BZ17,El_Produkt,0)*((OFFSET(Grunddaten!$AL$17,El_Produkt,0)-OFFSET(Grunddaten!$Q$17,El_Produkt,0))/100*$G64+$E64),-1))</f>
        <v>0</v>
      </c>
      <c r="BA64" s="247">
        <f ca="1">IF($G64=0,0,ROUND(OFFSET(Grunddaten!CA17,El_Produkt,0)*((OFFSET(Grunddaten!$AL$17,El_Produkt,0)-OFFSET(Grunddaten!$Q$17,El_Produkt,0))/100*$G64+$E64),-1))</f>
        <v>0</v>
      </c>
      <c r="BB64" s="247">
        <f ca="1">IF($G64=0,0,ROUND(OFFSET(Grunddaten!CB17,El_Produkt,0)*((OFFSET(Grunddaten!$AL$17,El_Produkt,0)-OFFSET(Grunddaten!$Q$17,El_Produkt,0))/100*$G64+$E64),-1))</f>
        <v>0</v>
      </c>
      <c r="BC64" s="247">
        <f ca="1">IF($G64=0,0,ROUND(OFFSET(Grunddaten!CC17,El_Produkt,0)*((OFFSET(Grunddaten!$AL$17,El_Produkt,0)-OFFSET(Grunddaten!$Q$17,El_Produkt,0))/100*$G64+$E64),-1))</f>
        <v>0</v>
      </c>
      <c r="BD64" s="247">
        <f ca="1">IF($G64=0,0,ROUND(OFFSET(Grunddaten!CD17,El_Produkt,0)*((OFFSET(Grunddaten!$AL$17,El_Produkt,0)-OFFSET(Grunddaten!$Q$17,El_Produkt,0))/100*$G64+$E64),-1))</f>
        <v>0</v>
      </c>
      <c r="BE64" s="247">
        <f ca="1">IF($G64=0,0,ROUND(OFFSET(Grunddaten!CE17,El_Produkt,0)*((OFFSET(Grunddaten!$AL$17,El_Produkt,0)-OFFSET(Grunddaten!$Q$17,El_Produkt,0))/100*$G64+$E64),-1))</f>
        <v>0</v>
      </c>
      <c r="BF64" s="247">
        <f ca="1">IF($G64=0,0,ROUND(OFFSET(Grunddaten!CF17,El_Produkt,0)*((OFFSET(Grunddaten!$AL$17,El_Produkt,0)-OFFSET(Grunddaten!$Q$17,El_Produkt,0))/100*$G64+$E64),-1))</f>
        <v>0</v>
      </c>
      <c r="BG64" s="247">
        <f ca="1">IF($G64=0,0,ROUND(OFFSET(Grunddaten!CG17,El_Produkt,0)*((OFFSET(Grunddaten!$AL$17,El_Produkt,0)-OFFSET(Grunddaten!$Q$17,El_Produkt,0))/100*$G64+$E64),-1))</f>
        <v>0</v>
      </c>
      <c r="BH64" s="247">
        <f ca="1">IF($G64=0,0,ROUND(OFFSET(Grunddaten!CH17,El_Produkt,0)*((OFFSET(Grunddaten!$AL$17,El_Produkt,0)-OFFSET(Grunddaten!$Q$17,El_Produkt,0))/100*$G64+$E64),-1))</f>
        <v>0</v>
      </c>
      <c r="BI64" s="247">
        <f ca="1">IF($G64=0,0,ROUND(OFFSET(Grunddaten!CI17,El_Produkt,0)*((OFFSET(Grunddaten!$AL$17,El_Produkt,0)-OFFSET(Grunddaten!$Q$17,El_Produkt,0))/100*$G64+$E64),-1))</f>
        <v>0</v>
      </c>
      <c r="BJ64" s="247">
        <f ca="1">IF($G64=0,0,ROUND(OFFSET(Grunddaten!CJ17,El_Produkt,0)*((OFFSET(Grunddaten!$AL$17,El_Produkt,0)-OFFSET(Grunddaten!$Q$17,El_Produkt,0))/100*$G64+$E64),-1))</f>
        <v>0</v>
      </c>
      <c r="BK64" s="247">
        <f ca="1">IF($G64=0,0,ROUND(OFFSET(Grunddaten!CK17,El_Produkt,0)*((OFFSET(Grunddaten!$AL$17,El_Produkt,0)-OFFSET(Grunddaten!$Q$17,El_Produkt,0))/100*$G64+$E64),-1))</f>
        <v>0</v>
      </c>
      <c r="BL64" s="247">
        <f ca="1">IF($G64=0,0,ROUND(OFFSET(Grunddaten!CL17,El_Produkt,0)*((OFFSET(Grunddaten!$AL$17,El_Produkt,0)-OFFSET(Grunddaten!$Q$17,El_Produkt,0))/100*$G64+$E64),-1))</f>
        <v>0</v>
      </c>
      <c r="BM64" s="247">
        <f ca="1">IF($G64=0,0,ROUND(OFFSET(Grunddaten!CM17,El_Produkt,0)*((OFFSET(Grunddaten!$AL$17,El_Produkt,0)-OFFSET(Grunddaten!$Q$17,El_Produkt,0))/100*$G64+$E64),-1))</f>
        <v>0</v>
      </c>
      <c r="BN64" s="247">
        <f ca="1">IF($G64=0,0,ROUND(OFFSET(Grunddaten!CN17,El_Produkt,0)*((OFFSET(Grunddaten!$AL$17,El_Produkt,0)-OFFSET(Grunddaten!$Q$17,El_Produkt,0))/100*$G64+$E64),-1))</f>
        <v>0</v>
      </c>
      <c r="BO64" s="247">
        <f ca="1">IF($G64=0,0,ROUND(OFFSET(Grunddaten!CO17,El_Produkt,0)*((OFFSET(Grunddaten!$AL$17,El_Produkt,0)-OFFSET(Grunddaten!$Q$17,El_Produkt,0))/100*$G64+$E64),-1))</f>
        <v>0</v>
      </c>
      <c r="BP64" s="247">
        <f ca="1">IF($G64=0,0,ROUND(OFFSET(Grunddaten!CP17,El_Produkt,0)*((OFFSET(Grunddaten!$AL$17,El_Produkt,0)-OFFSET(Grunddaten!$Q$17,El_Produkt,0))/100*$G64+$E64),-1))</f>
        <v>0</v>
      </c>
      <c r="BQ64" s="248">
        <f ca="1">IF($G64=0,0,ROUND(OFFSET(Grunddaten!CQ17,El_Produkt,0)*((OFFSET(Grunddaten!$AL$17,El_Produkt,0)-OFFSET(Grunddaten!$Q$17,El_Produkt,0))/100*$G64+$E64),-1))</f>
        <v>0</v>
      </c>
    </row>
    <row r="65" spans="1:69" s="36" customFormat="1" ht="11.25" customHeight="1" x14ac:dyDescent="0.2">
      <c r="A65" s="1005" t="s">
        <v>393</v>
      </c>
      <c r="B65" s="1006"/>
      <c r="C65" s="2524">
        <f>1-C64</f>
        <v>0.30000000000000004</v>
      </c>
      <c r="D65" s="2524"/>
      <c r="E65" s="2397">
        <f>IF(G65,E$61*G65/SUM(G$62:G$65),0)</f>
        <v>0</v>
      </c>
      <c r="F65" s="2398"/>
      <c r="G65" s="2392">
        <f>IF(EV_Var2!$E$68&gt;=0,IF(EV_Var2!$E$68&gt;=(EV_Var2!$E$34 + EV_Var2!$E$38),(EV_Var2!$E$34 + EV_Var2!$E$38),EV_Var2!$E$68),0)*C65</f>
        <v>0</v>
      </c>
      <c r="H65" s="2393"/>
      <c r="I65" s="2394"/>
      <c r="J65" s="2390">
        <f ca="1">OFFSET(Grunddaten!$AM$17,El_Produkt,0)-(1-$R$109)*OFFSET(Grunddaten!$Q$17,El_Produkt,0)</f>
        <v>17.706284570000001</v>
      </c>
      <c r="K65" s="2391"/>
      <c r="L65" s="2424">
        <f t="shared" ca="1" si="4"/>
        <v>0</v>
      </c>
      <c r="M65" s="2425"/>
      <c r="N65" s="2426"/>
      <c r="S65" s="549">
        <f ca="1">IF($G65=0,0,ROUND(OFFSET(Grunddaten!AS17,El_Produkt,0)*((OFFSET(Grunddaten!$AM$17,El_Produkt,0)-OFFSET(Grunddaten!$Q$17,El_Produkt,0))/100*$G65+$E65),-1))</f>
        <v>0</v>
      </c>
      <c r="T65" s="550">
        <f ca="1">IF($G65=0,0,ROUND(OFFSET(Grunddaten!AT17,El_Produkt,0)*((OFFSET(Grunddaten!$AM$17,El_Produkt,0)-OFFSET(Grunddaten!$Q$17,El_Produkt,0))/100*$G65+$E65),-1))</f>
        <v>0</v>
      </c>
      <c r="U65" s="550">
        <f ca="1">IF($G65=0,0,ROUND(OFFSET(Grunddaten!AU17,El_Produkt,0)*((OFFSET(Grunddaten!$AM$17,El_Produkt,0)-OFFSET(Grunddaten!$Q$17,El_Produkt,0))/100*$G65+$E65),-1))</f>
        <v>0</v>
      </c>
      <c r="V65" s="550">
        <f ca="1">IF($G65=0,0,ROUND(OFFSET(Grunddaten!AV17,El_Produkt,0)*((OFFSET(Grunddaten!$AM$17,El_Produkt,0)-OFFSET(Grunddaten!$Q$17,El_Produkt,0))/100*$G65+$E65),-1))</f>
        <v>0</v>
      </c>
      <c r="W65" s="550">
        <f ca="1">IF($G65=0,0,ROUND(OFFSET(Grunddaten!AW17,El_Produkt,0)*((OFFSET(Grunddaten!$AM$17,El_Produkt,0)-OFFSET(Grunddaten!$Q$17,El_Produkt,0))/100*$G65+$E65),-1))</f>
        <v>0</v>
      </c>
      <c r="X65" s="550">
        <f ca="1">IF($G65=0,0,ROUND(OFFSET(Grunddaten!AX17,El_Produkt,0)*((OFFSET(Grunddaten!$AM$17,El_Produkt,0)-OFFSET(Grunddaten!$Q$17,El_Produkt,0))/100*$G65+$E65),-1))</f>
        <v>0</v>
      </c>
      <c r="Y65" s="550">
        <f ca="1">IF($G65=0,0,ROUND(OFFSET(Grunddaten!AY17,El_Produkt,0)*((OFFSET(Grunddaten!$AM$17,El_Produkt,0)-OFFSET(Grunddaten!$Q$17,El_Produkt,0))/100*$G65+$E65),-1))</f>
        <v>0</v>
      </c>
      <c r="Z65" s="550">
        <f ca="1">IF($G65=0,0,ROUND(OFFSET(Grunddaten!AZ17,El_Produkt,0)*((OFFSET(Grunddaten!$AM$17,El_Produkt,0)-OFFSET(Grunddaten!$Q$17,El_Produkt,0))/100*$G65+$E65),-1))</f>
        <v>0</v>
      </c>
      <c r="AA65" s="550">
        <f ca="1">IF($G65=0,0,ROUND(OFFSET(Grunddaten!BA17,El_Produkt,0)*((OFFSET(Grunddaten!$AM$17,El_Produkt,0)-OFFSET(Grunddaten!$Q$17,El_Produkt,0))/100*$G65+$E65),-1))</f>
        <v>0</v>
      </c>
      <c r="AB65" s="250">
        <f ca="1">IF($G65=0,0,ROUND(OFFSET(Grunddaten!BB17,El_Produkt,0)*((OFFSET(Grunddaten!$AM$17,El_Produkt,0)-OFFSET(Grunddaten!$Q$17,El_Produkt,0))/100*$G65+$E65),-1))</f>
        <v>0</v>
      </c>
      <c r="AC65" s="250">
        <f ca="1">IF($G65=0,0,ROUND(OFFSET(Grunddaten!BC17,El_Produkt,0)*((OFFSET(Grunddaten!$AM$17,El_Produkt,0)-OFFSET(Grunddaten!$Q$17,El_Produkt,0))/100*$G65+$E65),-1))</f>
        <v>0</v>
      </c>
      <c r="AD65" s="250">
        <f ca="1">IF($G65=0,0,ROUND(OFFSET(Grunddaten!BD17,El_Produkt,0)*((OFFSET(Grunddaten!$AM$17,El_Produkt,0)-OFFSET(Grunddaten!$Q$17,El_Produkt,0))/100*$G65+$E65),-1))</f>
        <v>0</v>
      </c>
      <c r="AE65" s="250">
        <f ca="1">IF($G65=0,0,ROUND(OFFSET(Grunddaten!BE17,El_Produkt,0)*((OFFSET(Grunddaten!$AM$17,El_Produkt,0)-OFFSET(Grunddaten!$Q$17,El_Produkt,0))/100*$G65+$E65),-1))</f>
        <v>0</v>
      </c>
      <c r="AF65" s="250">
        <f ca="1">IF($G65=0,0,ROUND(OFFSET(Grunddaten!BF17,El_Produkt,0)*((OFFSET(Grunddaten!$AM$17,El_Produkt,0)-OFFSET(Grunddaten!$Q$17,El_Produkt,0))/100*$G65+$E65),-1))</f>
        <v>0</v>
      </c>
      <c r="AG65" s="250">
        <f ca="1">IF($G65=0,0,ROUND(OFFSET(Grunddaten!BG17,El_Produkt,0)*((OFFSET(Grunddaten!$AM$17,El_Produkt,0)-OFFSET(Grunddaten!$Q$17,El_Produkt,0))/100*$G65+$E65),-1))</f>
        <v>0</v>
      </c>
      <c r="AH65" s="250">
        <f ca="1">IF($G65=0,0,ROUND(OFFSET(Grunddaten!BH17,El_Produkt,0)*((OFFSET(Grunddaten!$AM$17,El_Produkt,0)-OFFSET(Grunddaten!$Q$17,El_Produkt,0))/100*$G65+$E65),-1))</f>
        <v>0</v>
      </c>
      <c r="AI65" s="250">
        <f ca="1">IF($G65=0,0,ROUND(OFFSET(Grunddaten!BI17,El_Produkt,0)*((OFFSET(Grunddaten!$AM$17,El_Produkt,0)-OFFSET(Grunddaten!$Q$17,El_Produkt,0))/100*$G65+$E65),-1))</f>
        <v>0</v>
      </c>
      <c r="AJ65" s="250">
        <f ca="1">IF($G65=0,0,ROUND(OFFSET(Grunddaten!BJ17,El_Produkt,0)*((OFFSET(Grunddaten!$AM$17,El_Produkt,0)-OFFSET(Grunddaten!$Q$17,El_Produkt,0))/100*$G65+$E65),-1))</f>
        <v>0</v>
      </c>
      <c r="AK65" s="250">
        <f ca="1">IF($G65=0,0,ROUND(OFFSET(Grunddaten!BK17,El_Produkt,0)*((OFFSET(Grunddaten!$AM$17,El_Produkt,0)-OFFSET(Grunddaten!$Q$17,El_Produkt,0))/100*$G65+$E65),-1))</f>
        <v>0</v>
      </c>
      <c r="AL65" s="250">
        <f ca="1">IF($G65=0,0,ROUND(OFFSET(Grunddaten!BL17,El_Produkt,0)*((OFFSET(Grunddaten!$AM$17,El_Produkt,0)-OFFSET(Grunddaten!$Q$17,El_Produkt,0))/100*$G65+$E65),-1))</f>
        <v>0</v>
      </c>
      <c r="AM65" s="250">
        <f ca="1">IF($G65=0,0,ROUND(OFFSET(Grunddaten!BM17,El_Produkt,0)*((OFFSET(Grunddaten!$AM$17,El_Produkt,0)-OFFSET(Grunddaten!$Q$17,El_Produkt,0))/100*$G65+$E65),-1))</f>
        <v>0</v>
      </c>
      <c r="AN65" s="250">
        <f ca="1">IF($G65=0,0,ROUND(OFFSET(Grunddaten!BN17,El_Produkt,0)*((OFFSET(Grunddaten!$AM$17,El_Produkt,0)-OFFSET(Grunddaten!$Q$17,El_Produkt,0))/100*$G65+$E65),-1))</f>
        <v>0</v>
      </c>
      <c r="AO65" s="250">
        <f ca="1">IF($G65=0,0,ROUND(OFFSET(Grunddaten!BO17,El_Produkt,0)*((OFFSET(Grunddaten!$AM$17,El_Produkt,0)-OFFSET(Grunddaten!$Q$17,El_Produkt,0))/100*$G65+$E65),-1))</f>
        <v>0</v>
      </c>
      <c r="AP65" s="250">
        <f ca="1">IF($G65=0,0,ROUND(OFFSET(Grunddaten!BP17,El_Produkt,0)*((OFFSET(Grunddaten!$AM$17,El_Produkt,0)-OFFSET(Grunddaten!$Q$17,El_Produkt,0))/100*$G65+$E65),-1))</f>
        <v>0</v>
      </c>
      <c r="AQ65" s="250">
        <f ca="1">IF($G65=0,0,ROUND(OFFSET(Grunddaten!BQ17,El_Produkt,0)*((OFFSET(Grunddaten!$AM$17,El_Produkt,0)-OFFSET(Grunddaten!$Q$17,El_Produkt,0))/100*$G65+$E65),-1))</f>
        <v>0</v>
      </c>
      <c r="AR65" s="250">
        <f ca="1">IF($G65=0,0,ROUND(OFFSET(Grunddaten!BR17,El_Produkt,0)*((OFFSET(Grunddaten!$AM$17,El_Produkt,0)-OFFSET(Grunddaten!$Q$17,El_Produkt,0))/100*$G65+$E65),-1))</f>
        <v>0</v>
      </c>
      <c r="AS65" s="250">
        <f ca="1">IF($G65=0,0,ROUND(OFFSET(Grunddaten!BS17,El_Produkt,0)*((OFFSET(Grunddaten!$AM$17,El_Produkt,0)-OFFSET(Grunddaten!$Q$17,El_Produkt,0))/100*$G65+$E65),-1))</f>
        <v>0</v>
      </c>
      <c r="AT65" s="250">
        <f ca="1">IF($G65=0,0,ROUND(OFFSET(Grunddaten!BT17,El_Produkt,0)*((OFFSET(Grunddaten!$AM$17,El_Produkt,0)-OFFSET(Grunddaten!$Q$17,El_Produkt,0))/100*$G65+$E65),-1))</f>
        <v>0</v>
      </c>
      <c r="AU65" s="250">
        <f ca="1">IF($G65=0,0,ROUND(OFFSET(Grunddaten!BU17,El_Produkt,0)*((OFFSET(Grunddaten!$AM$17,El_Produkt,0)-OFFSET(Grunddaten!$Q$17,El_Produkt,0))/100*$G65+$E65),-1))</f>
        <v>0</v>
      </c>
      <c r="AV65" s="250">
        <f ca="1">IF($G65=0,0,ROUND(OFFSET(Grunddaten!BV17,El_Produkt,0)*((OFFSET(Grunddaten!$AM$17,El_Produkt,0)-OFFSET(Grunddaten!$Q$17,El_Produkt,0))/100*$G65+$E65),-1))</f>
        <v>0</v>
      </c>
      <c r="AW65" s="250">
        <f ca="1">IF($G65=0,0,ROUND(OFFSET(Grunddaten!BW17,El_Produkt,0)*((OFFSET(Grunddaten!$AM$17,El_Produkt,0)-OFFSET(Grunddaten!$Q$17,El_Produkt,0))/100*$G65+$E65),-1))</f>
        <v>0</v>
      </c>
      <c r="AX65" s="250">
        <f ca="1">IF($G65=0,0,ROUND(OFFSET(Grunddaten!BX17,El_Produkt,0)*((OFFSET(Grunddaten!$AM$17,El_Produkt,0)-OFFSET(Grunddaten!$Q$17,El_Produkt,0))/100*$G65+$E65),-1))</f>
        <v>0</v>
      </c>
      <c r="AY65" s="250">
        <f ca="1">IF($G65=0,0,ROUND(OFFSET(Grunddaten!BY17,El_Produkt,0)*((OFFSET(Grunddaten!$AM$17,El_Produkt,0)-OFFSET(Grunddaten!$Q$17,El_Produkt,0))/100*$G65+$E65),-1))</f>
        <v>0</v>
      </c>
      <c r="AZ65" s="250">
        <f ca="1">IF($G65=0,0,ROUND(OFFSET(Grunddaten!BZ17,El_Produkt,0)*((OFFSET(Grunddaten!$AM$17,El_Produkt,0)-OFFSET(Grunddaten!$Q$17,El_Produkt,0))/100*$G65+$E65),-1))</f>
        <v>0</v>
      </c>
      <c r="BA65" s="250">
        <f ca="1">IF($G65=0,0,ROUND(OFFSET(Grunddaten!CA17,El_Produkt,0)*((OFFSET(Grunddaten!$AM$17,El_Produkt,0)-OFFSET(Grunddaten!$Q$17,El_Produkt,0))/100*$G65+$E65),-1))</f>
        <v>0</v>
      </c>
      <c r="BB65" s="250">
        <f ca="1">IF($G65=0,0,ROUND(OFFSET(Grunddaten!CB17,El_Produkt,0)*((OFFSET(Grunddaten!$AM$17,El_Produkt,0)-OFFSET(Grunddaten!$Q$17,El_Produkt,0))/100*$G65+$E65),-1))</f>
        <v>0</v>
      </c>
      <c r="BC65" s="250">
        <f ca="1">IF($G65=0,0,ROUND(OFFSET(Grunddaten!CC17,El_Produkt,0)*((OFFSET(Grunddaten!$AM$17,El_Produkt,0)-OFFSET(Grunddaten!$Q$17,El_Produkt,0))/100*$G65+$E65),-1))</f>
        <v>0</v>
      </c>
      <c r="BD65" s="250">
        <f ca="1">IF($G65=0,0,ROUND(OFFSET(Grunddaten!CD17,El_Produkt,0)*((OFFSET(Grunddaten!$AM$17,El_Produkt,0)-OFFSET(Grunddaten!$Q$17,El_Produkt,0))/100*$G65+$E65),-1))</f>
        <v>0</v>
      </c>
      <c r="BE65" s="250">
        <f ca="1">IF($G65=0,0,ROUND(OFFSET(Grunddaten!CE17,El_Produkt,0)*((OFFSET(Grunddaten!$AM$17,El_Produkt,0)-OFFSET(Grunddaten!$Q$17,El_Produkt,0))/100*$G65+$E65),-1))</f>
        <v>0</v>
      </c>
      <c r="BF65" s="250">
        <f ca="1">IF($G65=0,0,ROUND(OFFSET(Grunddaten!CF17,El_Produkt,0)*((OFFSET(Grunddaten!$AM$17,El_Produkt,0)-OFFSET(Grunddaten!$Q$17,El_Produkt,0))/100*$G65+$E65),-1))</f>
        <v>0</v>
      </c>
      <c r="BG65" s="250">
        <f ca="1">IF($G65=0,0,ROUND(OFFSET(Grunddaten!CG17,El_Produkt,0)*((OFFSET(Grunddaten!$AM$17,El_Produkt,0)-OFFSET(Grunddaten!$Q$17,El_Produkt,0))/100*$G65+$E65),-1))</f>
        <v>0</v>
      </c>
      <c r="BH65" s="250">
        <f ca="1">IF($G65=0,0,ROUND(OFFSET(Grunddaten!CH17,El_Produkt,0)*((OFFSET(Grunddaten!$AM$17,El_Produkt,0)-OFFSET(Grunddaten!$Q$17,El_Produkt,0))/100*$G65+$E65),-1))</f>
        <v>0</v>
      </c>
      <c r="BI65" s="250">
        <f ca="1">IF($G65=0,0,ROUND(OFFSET(Grunddaten!CI17,El_Produkt,0)*((OFFSET(Grunddaten!$AM$17,El_Produkt,0)-OFFSET(Grunddaten!$Q$17,El_Produkt,0))/100*$G65+$E65),-1))</f>
        <v>0</v>
      </c>
      <c r="BJ65" s="250">
        <f ca="1">IF($G65=0,0,ROUND(OFFSET(Grunddaten!CJ17,El_Produkt,0)*((OFFSET(Grunddaten!$AM$17,El_Produkt,0)-OFFSET(Grunddaten!$Q$17,El_Produkt,0))/100*$G65+$E65),-1))</f>
        <v>0</v>
      </c>
      <c r="BK65" s="250">
        <f ca="1">IF($G65=0,0,ROUND(OFFSET(Grunddaten!CK17,El_Produkt,0)*((OFFSET(Grunddaten!$AM$17,El_Produkt,0)-OFFSET(Grunddaten!$Q$17,El_Produkt,0))/100*$G65+$E65),-1))</f>
        <v>0</v>
      </c>
      <c r="BL65" s="250">
        <f ca="1">IF($G65=0,0,ROUND(OFFSET(Grunddaten!CL17,El_Produkt,0)*((OFFSET(Grunddaten!$AM$17,El_Produkt,0)-OFFSET(Grunddaten!$Q$17,El_Produkt,0))/100*$G65+$E65),-1))</f>
        <v>0</v>
      </c>
      <c r="BM65" s="250">
        <f ca="1">IF($G65=0,0,ROUND(OFFSET(Grunddaten!CM17,El_Produkt,0)*((OFFSET(Grunddaten!$AM$17,El_Produkt,0)-OFFSET(Grunddaten!$Q$17,El_Produkt,0))/100*$G65+$E65),-1))</f>
        <v>0</v>
      </c>
      <c r="BN65" s="250">
        <f ca="1">IF($G65=0,0,ROUND(OFFSET(Grunddaten!CN17,El_Produkt,0)*((OFFSET(Grunddaten!$AM$17,El_Produkt,0)-OFFSET(Grunddaten!$Q$17,El_Produkt,0))/100*$G65+$E65),-1))</f>
        <v>0</v>
      </c>
      <c r="BO65" s="250">
        <f ca="1">IF($G65=0,0,ROUND(OFFSET(Grunddaten!CO17,El_Produkt,0)*((OFFSET(Grunddaten!$AM$17,El_Produkt,0)-OFFSET(Grunddaten!$Q$17,El_Produkt,0))/100*$G65+$E65),-1))</f>
        <v>0</v>
      </c>
      <c r="BP65" s="250">
        <f ca="1">IF($G65=0,0,ROUND(OFFSET(Grunddaten!CP17,El_Produkt,0)*((OFFSET(Grunddaten!$AM$17,El_Produkt,0)-OFFSET(Grunddaten!$Q$17,El_Produkt,0))/100*$G65+$E65),-1))</f>
        <v>0</v>
      </c>
      <c r="BQ65" s="251">
        <f ca="1">IF($G65=0,0,ROUND(OFFSET(Grunddaten!CQ17,El_Produkt,0)*((OFFSET(Grunddaten!$AM$17,El_Produkt,0)-OFFSET(Grunddaten!$Q$17,El_Produkt,0))/100*$G65+$E65),-1))</f>
        <v>0</v>
      </c>
    </row>
    <row r="66" spans="1:69" s="36" customFormat="1" ht="11.25" customHeight="1" x14ac:dyDescent="0.2">
      <c r="A66" s="1010" t="s">
        <v>543</v>
      </c>
      <c r="B66" s="1003"/>
      <c r="C66" s="2423">
        <v>0.9</v>
      </c>
      <c r="D66" s="2423"/>
      <c r="E66" s="2400"/>
      <c r="F66" s="2401"/>
      <c r="G66" s="2544">
        <f>-Berechnungen!$F$48*C66</f>
        <v>0</v>
      </c>
      <c r="H66" s="2545"/>
      <c r="I66" s="2546"/>
      <c r="J66" s="2388">
        <f>Grunddaten!$S$41-(1-$R$109)*Grunddaten!$Q$41</f>
        <v>14.5985</v>
      </c>
      <c r="K66" s="2389"/>
      <c r="L66" s="2319">
        <f t="shared" si="4"/>
        <v>0</v>
      </c>
      <c r="M66" s="2320"/>
      <c r="N66" s="2321"/>
      <c r="S66" s="547">
        <f ca="1">ROUND(Grunddaten!AS41*((Grunddaten!$S41-Grunddaten!$Q41)/100*$G66+$E66),-1)</f>
        <v>0</v>
      </c>
      <c r="T66" s="548">
        <f ca="1">ROUND(Grunddaten!AT41*((Grunddaten!$S41-Grunddaten!$Q41)/100*$G66+$E66),-1)</f>
        <v>0</v>
      </c>
      <c r="U66" s="548">
        <f ca="1">ROUND(Grunddaten!AU41*((Grunddaten!$S41-Grunddaten!$Q41)/100*$G66+$E66),-1)</f>
        <v>0</v>
      </c>
      <c r="V66" s="548">
        <f ca="1">ROUND(Grunddaten!AV41*((Grunddaten!$S41-Grunddaten!$Q41)/100*$G66+$E66),-1)</f>
        <v>0</v>
      </c>
      <c r="W66" s="548">
        <f ca="1">ROUND(Grunddaten!AW41*((Grunddaten!$S41-Grunddaten!$Q41)/100*$G66+$E66),-1)</f>
        <v>0</v>
      </c>
      <c r="X66" s="548">
        <f ca="1">ROUND(Grunddaten!AX41*((Grunddaten!$S41-Grunddaten!$Q41)/100*$G66+$E66),-1)</f>
        <v>0</v>
      </c>
      <c r="Y66" s="548">
        <f ca="1">ROUND(Grunddaten!AY41*((Grunddaten!$S41-Grunddaten!$Q41)/100*$G66+$E66),-1)</f>
        <v>0</v>
      </c>
      <c r="Z66" s="548">
        <f ca="1">ROUND(Grunddaten!AZ41*((Grunddaten!$S41-Grunddaten!$Q41)/100*$G66+$E66),-1)</f>
        <v>0</v>
      </c>
      <c r="AA66" s="548">
        <f ca="1">ROUND(Grunddaten!BA41*((Grunddaten!$S41-Grunddaten!$Q41)/100*$G66+$E66),-1)</f>
        <v>0</v>
      </c>
      <c r="AB66" s="247">
        <f ca="1">ROUND(Grunddaten!BB41*((Grunddaten!$S41-Grunddaten!$Q41)/100*$G66+$E66),-1)</f>
        <v>0</v>
      </c>
      <c r="AC66" s="247">
        <f ca="1">ROUND(Grunddaten!BC41*((Grunddaten!$S41-Grunddaten!$Q41)/100*$G66+$E66),-1)</f>
        <v>0</v>
      </c>
      <c r="AD66" s="247">
        <f ca="1">ROUND(Grunddaten!BD41*((Grunddaten!$S41-Grunddaten!$Q41)/100*$G66+$E66),-1)</f>
        <v>0</v>
      </c>
      <c r="AE66" s="247">
        <f ca="1">ROUND(Grunddaten!BE41*((Grunddaten!$S41-Grunddaten!$Q41)/100*$G66+$E66),-1)</f>
        <v>0</v>
      </c>
      <c r="AF66" s="247">
        <f ca="1">ROUND(Grunddaten!BF41*((Grunddaten!$S41-Grunddaten!$Q41)/100*$G66+$E66),-1)</f>
        <v>0</v>
      </c>
      <c r="AG66" s="247">
        <f ca="1">ROUND(Grunddaten!BG41*((Grunddaten!$S41-Grunddaten!$Q41)/100*$G66+$E66),-1)</f>
        <v>0</v>
      </c>
      <c r="AH66" s="247">
        <f ca="1">ROUND(Grunddaten!BH41*((Grunddaten!$S41-Grunddaten!$Q41)/100*$G66+$E66),-1)</f>
        <v>0</v>
      </c>
      <c r="AI66" s="247">
        <f ca="1">ROUND(Grunddaten!BI41*((Grunddaten!$S41-Grunddaten!$Q41)/100*$G66+$E66),-1)</f>
        <v>0</v>
      </c>
      <c r="AJ66" s="247">
        <f ca="1">ROUND(Grunddaten!BJ41*((Grunddaten!$S41-Grunddaten!$Q41)/100*$G66+$E66),-1)</f>
        <v>0</v>
      </c>
      <c r="AK66" s="247">
        <f ca="1">ROUND(Grunddaten!BK41*((Grunddaten!$S41-Grunddaten!$Q41)/100*$G66+$E66),-1)</f>
        <v>0</v>
      </c>
      <c r="AL66" s="247">
        <f ca="1">ROUND(Grunddaten!BL41*((Grunddaten!$S41-Grunddaten!$Q41)/100*$G66+$E66),-1)</f>
        <v>0</v>
      </c>
      <c r="AM66" s="247">
        <f ca="1">ROUND(Grunddaten!BM41*((Grunddaten!$S41-Grunddaten!$Q41)/100*$G66+$E66),-1)</f>
        <v>0</v>
      </c>
      <c r="AN66" s="247">
        <f ca="1">ROUND(Grunddaten!BN41*((Grunddaten!$S41-Grunddaten!$Q41)/100*$G66+$E66),-1)</f>
        <v>0</v>
      </c>
      <c r="AO66" s="247">
        <f ca="1">ROUND(Grunddaten!BO41*((Grunddaten!$S41-Grunddaten!$Q41)/100*$G66+$E66),-1)</f>
        <v>0</v>
      </c>
      <c r="AP66" s="247">
        <f ca="1">ROUND(Grunddaten!BP41*((Grunddaten!$S41-Grunddaten!$Q41)/100*$G66+$E66),-1)</f>
        <v>0</v>
      </c>
      <c r="AQ66" s="247">
        <f ca="1">ROUND(Grunddaten!BQ41*((Grunddaten!$S41-Grunddaten!$Q41)/100*$G66+$E66),-1)</f>
        <v>0</v>
      </c>
      <c r="AR66" s="247">
        <f ca="1">ROUND(Grunddaten!BR41*((Grunddaten!$S41-Grunddaten!$Q41)/100*$G66+$E66),-1)</f>
        <v>0</v>
      </c>
      <c r="AS66" s="247">
        <f ca="1">ROUND(Grunddaten!BS41*((Grunddaten!$S41-Grunddaten!$Q41)/100*$G66+$E66),-1)</f>
        <v>0</v>
      </c>
      <c r="AT66" s="247">
        <f ca="1">ROUND(Grunddaten!BT41*((Grunddaten!$S41-Grunddaten!$Q41)/100*$G66+$E66),-1)</f>
        <v>0</v>
      </c>
      <c r="AU66" s="247">
        <f ca="1">ROUND(Grunddaten!BU41*((Grunddaten!$S41-Grunddaten!$Q41)/100*$G66+$E66),-1)</f>
        <v>0</v>
      </c>
      <c r="AV66" s="247">
        <f ca="1">ROUND(Grunddaten!BV41*((Grunddaten!$S41-Grunddaten!$Q41)/100*$G66+$E66),-1)</f>
        <v>0</v>
      </c>
      <c r="AW66" s="247">
        <f ca="1">ROUND(Grunddaten!BW41*((Grunddaten!$S41-Grunddaten!$Q41)/100*$G66+$E66),-1)</f>
        <v>0</v>
      </c>
      <c r="AX66" s="247">
        <f ca="1">ROUND(Grunddaten!BX41*((Grunddaten!$S41-Grunddaten!$Q41)/100*$G66+$E66),-1)</f>
        <v>0</v>
      </c>
      <c r="AY66" s="247">
        <f ca="1">ROUND(Grunddaten!BY41*((Grunddaten!$S41-Grunddaten!$Q41)/100*$G66+$E66),-1)</f>
        <v>0</v>
      </c>
      <c r="AZ66" s="247">
        <f ca="1">ROUND(Grunddaten!BZ41*((Grunddaten!$S41-Grunddaten!$Q41)/100*$G66+$E66),-1)</f>
        <v>0</v>
      </c>
      <c r="BA66" s="247">
        <f ca="1">ROUND(Grunddaten!CA41*((Grunddaten!$S41-Grunddaten!$Q41)/100*$G66+$E66),-1)</f>
        <v>0</v>
      </c>
      <c r="BB66" s="247">
        <f ca="1">ROUND(Grunddaten!CB41*((Grunddaten!$S41-Grunddaten!$Q41)/100*$G66+$E66),-1)</f>
        <v>0</v>
      </c>
      <c r="BC66" s="247">
        <f ca="1">ROUND(Grunddaten!CC41*((Grunddaten!$S41-Grunddaten!$Q41)/100*$G66+$E66),-1)</f>
        <v>0</v>
      </c>
      <c r="BD66" s="247">
        <f ca="1">ROUND(Grunddaten!CD41*((Grunddaten!$S41-Grunddaten!$Q41)/100*$G66+$E66),-1)</f>
        <v>0</v>
      </c>
      <c r="BE66" s="247">
        <f ca="1">ROUND(Grunddaten!CE41*((Grunddaten!$S41-Grunddaten!$Q41)/100*$G66+$E66),-1)</f>
        <v>0</v>
      </c>
      <c r="BF66" s="247">
        <f ca="1">ROUND(Grunddaten!CF41*((Grunddaten!$S41-Grunddaten!$Q41)/100*$G66+$E66),-1)</f>
        <v>0</v>
      </c>
      <c r="BG66" s="247">
        <f ca="1">ROUND(Grunddaten!CG41*((Grunddaten!$S41-Grunddaten!$Q41)/100*$G66+$E66),-1)</f>
        <v>0</v>
      </c>
      <c r="BH66" s="247">
        <f ca="1">ROUND(Grunddaten!CH41*((Grunddaten!$S41-Grunddaten!$Q41)/100*$G66+$E66),-1)</f>
        <v>0</v>
      </c>
      <c r="BI66" s="247">
        <f ca="1">ROUND(Grunddaten!CI41*((Grunddaten!$S41-Grunddaten!$Q41)/100*$G66+$E66),-1)</f>
        <v>0</v>
      </c>
      <c r="BJ66" s="247">
        <f ca="1">ROUND(Grunddaten!CJ41*((Grunddaten!$S41-Grunddaten!$Q41)/100*$G66+$E66),-1)</f>
        <v>0</v>
      </c>
      <c r="BK66" s="247">
        <f ca="1">ROUND(Grunddaten!CK41*((Grunddaten!$S41-Grunddaten!$Q41)/100*$G66+$E66),-1)</f>
        <v>0</v>
      </c>
      <c r="BL66" s="247">
        <f ca="1">ROUND(Grunddaten!CL41*((Grunddaten!$S41-Grunddaten!$Q41)/100*$G66+$E66),-1)</f>
        <v>0</v>
      </c>
      <c r="BM66" s="247">
        <f ca="1">ROUND(Grunddaten!CM41*((Grunddaten!$S41-Grunddaten!$Q41)/100*$G66+$E66),-1)</f>
        <v>0</v>
      </c>
      <c r="BN66" s="247">
        <f ca="1">ROUND(Grunddaten!CN41*((Grunddaten!$S41-Grunddaten!$Q41)/100*$G66+$E66),-1)</f>
        <v>0</v>
      </c>
      <c r="BO66" s="247">
        <f ca="1">ROUND(Grunddaten!CO41*((Grunddaten!$S41-Grunddaten!$Q41)/100*$G66+$E66),-1)</f>
        <v>0</v>
      </c>
      <c r="BP66" s="247">
        <f ca="1">ROUND(Grunddaten!CP41*((Grunddaten!$S41-Grunddaten!$Q41)/100*$G66+$E66),-1)</f>
        <v>0</v>
      </c>
      <c r="BQ66" s="248">
        <f ca="1">ROUND(Grunddaten!CQ41*((Grunddaten!$S41-Grunddaten!$Q41)/100*$G66+$E66),-1)</f>
        <v>0</v>
      </c>
    </row>
    <row r="67" spans="1:69" s="36" customFormat="1" ht="11.25" customHeight="1" x14ac:dyDescent="0.2">
      <c r="A67" s="1005" t="s">
        <v>544</v>
      </c>
      <c r="B67" s="1006"/>
      <c r="C67" s="2524">
        <f>1-C66</f>
        <v>9.9999999999999978E-2</v>
      </c>
      <c r="D67" s="2524"/>
      <c r="E67" s="2397"/>
      <c r="F67" s="2398"/>
      <c r="G67" s="2392">
        <f>-Berechnungen!$F$48*C67</f>
        <v>0</v>
      </c>
      <c r="H67" s="2393"/>
      <c r="I67" s="2394"/>
      <c r="J67" s="2390">
        <f>Grunddaten!$S$42-(1-$R$109)*Grunddaten!$Q$41</f>
        <v>10.22045</v>
      </c>
      <c r="K67" s="2391"/>
      <c r="L67" s="2424">
        <f t="shared" si="4"/>
        <v>0</v>
      </c>
      <c r="M67" s="2425"/>
      <c r="N67" s="2426"/>
      <c r="P67" s="145"/>
      <c r="Q67" s="145"/>
      <c r="S67" s="549">
        <f ca="1">ROUND(Grunddaten!AS42*((Grunddaten!$S42-Grunddaten!$Q41)/100*$G67+$E67),-1)</f>
        <v>0</v>
      </c>
      <c r="T67" s="550">
        <f ca="1">ROUND(Grunddaten!AT42*((Grunddaten!$S42-Grunddaten!$Q41)/100*$G67+$E67),-1)</f>
        <v>0</v>
      </c>
      <c r="U67" s="550">
        <f ca="1">ROUND(Grunddaten!AU42*((Grunddaten!$S42-Grunddaten!$Q41)/100*$G67+$E67),-1)</f>
        <v>0</v>
      </c>
      <c r="V67" s="550">
        <f ca="1">ROUND(Grunddaten!AV42*((Grunddaten!$S42-Grunddaten!$Q41)/100*$G67+$E67),-1)</f>
        <v>0</v>
      </c>
      <c r="W67" s="550">
        <f ca="1">ROUND(Grunddaten!AW42*((Grunddaten!$S42-Grunddaten!$Q41)/100*$G67+$E67),-1)</f>
        <v>0</v>
      </c>
      <c r="X67" s="550">
        <f ca="1">ROUND(Grunddaten!AX42*((Grunddaten!$S42-Grunddaten!$Q41)/100*$G67+$E67),-1)</f>
        <v>0</v>
      </c>
      <c r="Y67" s="550">
        <f ca="1">ROUND(Grunddaten!AY42*((Grunddaten!$S42-Grunddaten!$Q41)/100*$G67+$E67),-1)</f>
        <v>0</v>
      </c>
      <c r="Z67" s="550">
        <f ca="1">ROUND(Grunddaten!AZ42*((Grunddaten!$S42-Grunddaten!$Q41)/100*$G67+$E67),-1)</f>
        <v>0</v>
      </c>
      <c r="AA67" s="550">
        <f ca="1">ROUND(Grunddaten!BA42*((Grunddaten!$S42-Grunddaten!$Q41)/100*$G67+$E67),-1)</f>
        <v>0</v>
      </c>
      <c r="AB67" s="250">
        <f ca="1">ROUND(Grunddaten!BB42*((Grunddaten!$S42-Grunddaten!$Q41)/100*$G67+$E67),-1)</f>
        <v>0</v>
      </c>
      <c r="AC67" s="250">
        <f ca="1">ROUND(Grunddaten!BC42*((Grunddaten!$S42-Grunddaten!$Q41)/100*$G67+$E67),-1)</f>
        <v>0</v>
      </c>
      <c r="AD67" s="250">
        <f ca="1">ROUND(Grunddaten!BD42*((Grunddaten!$S42-Grunddaten!$Q41)/100*$G67+$E67),-1)</f>
        <v>0</v>
      </c>
      <c r="AE67" s="250">
        <f ca="1">ROUND(Grunddaten!BE42*((Grunddaten!$S42-Grunddaten!$Q41)/100*$G67+$E67),-1)</f>
        <v>0</v>
      </c>
      <c r="AF67" s="250">
        <f ca="1">ROUND(Grunddaten!BF42*((Grunddaten!$S42-Grunddaten!$Q41)/100*$G67+$E67),-1)</f>
        <v>0</v>
      </c>
      <c r="AG67" s="250">
        <f ca="1">ROUND(Grunddaten!BG42*((Grunddaten!$S42-Grunddaten!$Q41)/100*$G67+$E67),-1)</f>
        <v>0</v>
      </c>
      <c r="AH67" s="250">
        <f ca="1">ROUND(Grunddaten!BH42*((Grunddaten!$S42-Grunddaten!$Q41)/100*$G67+$E67),-1)</f>
        <v>0</v>
      </c>
      <c r="AI67" s="250">
        <f ca="1">ROUND(Grunddaten!BI42*((Grunddaten!$S42-Grunddaten!$Q41)/100*$G67+$E67),-1)</f>
        <v>0</v>
      </c>
      <c r="AJ67" s="250">
        <f ca="1">ROUND(Grunddaten!BJ42*((Grunddaten!$S42-Grunddaten!$Q41)/100*$G67+$E67),-1)</f>
        <v>0</v>
      </c>
      <c r="AK67" s="250">
        <f ca="1">ROUND(Grunddaten!BK42*((Grunddaten!$S42-Grunddaten!$Q41)/100*$G67+$E67),-1)</f>
        <v>0</v>
      </c>
      <c r="AL67" s="250">
        <f ca="1">ROUND(Grunddaten!BL42*((Grunddaten!$S42-Grunddaten!$Q41)/100*$G67+$E67),-1)</f>
        <v>0</v>
      </c>
      <c r="AM67" s="250">
        <f ca="1">ROUND(Grunddaten!BM42*((Grunddaten!$S42-Grunddaten!$Q41)/100*$G67+$E67),-1)</f>
        <v>0</v>
      </c>
      <c r="AN67" s="250">
        <f ca="1">ROUND(Grunddaten!BN42*((Grunddaten!$S42-Grunddaten!$Q41)/100*$G67+$E67),-1)</f>
        <v>0</v>
      </c>
      <c r="AO67" s="250">
        <f ca="1">ROUND(Grunddaten!BO42*((Grunddaten!$S42-Grunddaten!$Q41)/100*$G67+$E67),-1)</f>
        <v>0</v>
      </c>
      <c r="AP67" s="250">
        <f ca="1">ROUND(Grunddaten!BP42*((Grunddaten!$S42-Grunddaten!$Q41)/100*$G67+$E67),-1)</f>
        <v>0</v>
      </c>
      <c r="AQ67" s="250">
        <f ca="1">ROUND(Grunddaten!BQ42*((Grunddaten!$S42-Grunddaten!$Q41)/100*$G67+$E67),-1)</f>
        <v>0</v>
      </c>
      <c r="AR67" s="250">
        <f ca="1">ROUND(Grunddaten!BR42*((Grunddaten!$S42-Grunddaten!$Q41)/100*$G67+$E67),-1)</f>
        <v>0</v>
      </c>
      <c r="AS67" s="250">
        <f ca="1">ROUND(Grunddaten!BS42*((Grunddaten!$S42-Grunddaten!$Q41)/100*$G67+$E67),-1)</f>
        <v>0</v>
      </c>
      <c r="AT67" s="250">
        <f ca="1">ROUND(Grunddaten!BT42*((Grunddaten!$S42-Grunddaten!$Q41)/100*$G67+$E67),-1)</f>
        <v>0</v>
      </c>
      <c r="AU67" s="250">
        <f ca="1">ROUND(Grunddaten!BU42*((Grunddaten!$S42-Grunddaten!$Q41)/100*$G67+$E67),-1)</f>
        <v>0</v>
      </c>
      <c r="AV67" s="250">
        <f ca="1">ROUND(Grunddaten!BV42*((Grunddaten!$S42-Grunddaten!$Q41)/100*$G67+$E67),-1)</f>
        <v>0</v>
      </c>
      <c r="AW67" s="250">
        <f ca="1">ROUND(Grunddaten!BW42*((Grunddaten!$S42-Grunddaten!$Q41)/100*$G67+$E67),-1)</f>
        <v>0</v>
      </c>
      <c r="AX67" s="250">
        <f ca="1">ROUND(Grunddaten!BX42*((Grunddaten!$S42-Grunddaten!$Q41)/100*$G67+$E67),-1)</f>
        <v>0</v>
      </c>
      <c r="AY67" s="250">
        <f ca="1">ROUND(Grunddaten!BY42*((Grunddaten!$S42-Grunddaten!$Q41)/100*$G67+$E67),-1)</f>
        <v>0</v>
      </c>
      <c r="AZ67" s="250">
        <f ca="1">ROUND(Grunddaten!BZ42*((Grunddaten!$S42-Grunddaten!$Q41)/100*$G67+$E67),-1)</f>
        <v>0</v>
      </c>
      <c r="BA67" s="250">
        <f ca="1">ROUND(Grunddaten!CA42*((Grunddaten!$S42-Grunddaten!$Q41)/100*$G67+$E67),-1)</f>
        <v>0</v>
      </c>
      <c r="BB67" s="250">
        <f ca="1">ROUND(Grunddaten!CB42*((Grunddaten!$S42-Grunddaten!$Q41)/100*$G67+$E67),-1)</f>
        <v>0</v>
      </c>
      <c r="BC67" s="250">
        <f ca="1">ROUND(Grunddaten!CC42*((Grunddaten!$S42-Grunddaten!$Q41)/100*$G67+$E67),-1)</f>
        <v>0</v>
      </c>
      <c r="BD67" s="250">
        <f ca="1">ROUND(Grunddaten!CD42*((Grunddaten!$S42-Grunddaten!$Q41)/100*$G67+$E67),-1)</f>
        <v>0</v>
      </c>
      <c r="BE67" s="250">
        <f ca="1">ROUND(Grunddaten!CE42*((Grunddaten!$S42-Grunddaten!$Q41)/100*$G67+$E67),-1)</f>
        <v>0</v>
      </c>
      <c r="BF67" s="250">
        <f ca="1">ROUND(Grunddaten!CF42*((Grunddaten!$S42-Grunddaten!$Q41)/100*$G67+$E67),-1)</f>
        <v>0</v>
      </c>
      <c r="BG67" s="250">
        <f ca="1">ROUND(Grunddaten!CG42*((Grunddaten!$S42-Grunddaten!$Q41)/100*$G67+$E67),-1)</f>
        <v>0</v>
      </c>
      <c r="BH67" s="250">
        <f ca="1">ROUND(Grunddaten!CH42*((Grunddaten!$S42-Grunddaten!$Q41)/100*$G67+$E67),-1)</f>
        <v>0</v>
      </c>
      <c r="BI67" s="250">
        <f ca="1">ROUND(Grunddaten!CI42*((Grunddaten!$S42-Grunddaten!$Q41)/100*$G67+$E67),-1)</f>
        <v>0</v>
      </c>
      <c r="BJ67" s="250">
        <f ca="1">ROUND(Grunddaten!CJ42*((Grunddaten!$S42-Grunddaten!$Q41)/100*$G67+$E67),-1)</f>
        <v>0</v>
      </c>
      <c r="BK67" s="250">
        <f ca="1">ROUND(Grunddaten!CK42*((Grunddaten!$S42-Grunddaten!$Q41)/100*$G67+$E67),-1)</f>
        <v>0</v>
      </c>
      <c r="BL67" s="250">
        <f ca="1">ROUND(Grunddaten!CL42*((Grunddaten!$S42-Grunddaten!$Q41)/100*$G67+$E67),-1)</f>
        <v>0</v>
      </c>
      <c r="BM67" s="250">
        <f ca="1">ROUND(Grunddaten!CM42*((Grunddaten!$S42-Grunddaten!$Q41)/100*$G67+$E67),-1)</f>
        <v>0</v>
      </c>
      <c r="BN67" s="250">
        <f ca="1">ROUND(Grunddaten!CN42*((Grunddaten!$S42-Grunddaten!$Q41)/100*$G67+$E67),-1)</f>
        <v>0</v>
      </c>
      <c r="BO67" s="250">
        <f ca="1">ROUND(Grunddaten!CO42*((Grunddaten!$S42-Grunddaten!$Q41)/100*$G67+$E67),-1)</f>
        <v>0</v>
      </c>
      <c r="BP67" s="250">
        <f ca="1">ROUND(Grunddaten!CP42*((Grunddaten!$S42-Grunddaten!$Q41)/100*$G67+$E67),-1)</f>
        <v>0</v>
      </c>
      <c r="BQ67" s="251">
        <f ca="1">ROUND(Grunddaten!CQ42*((Grunddaten!$S42-Grunddaten!$Q41)/100*$G67+$E67),-1)</f>
        <v>0</v>
      </c>
    </row>
    <row r="68" spans="1:69" s="36" customFormat="1" ht="11.25" customHeight="1" x14ac:dyDescent="0.2">
      <c r="A68" s="1010" t="s">
        <v>545</v>
      </c>
      <c r="B68" s="1003"/>
      <c r="C68" s="2423">
        <v>0.7</v>
      </c>
      <c r="D68" s="2423"/>
      <c r="E68" s="2400"/>
      <c r="F68" s="2401"/>
      <c r="G68" s="2544">
        <f>-Berechnungen!$F$47*C68</f>
        <v>0</v>
      </c>
      <c r="H68" s="2545"/>
      <c r="I68" s="2546"/>
      <c r="J68" s="2388">
        <f>Grunddaten!$S$43-(1-$R$109)*Grunddaten!$Q$43</f>
        <v>9.1884999999999994</v>
      </c>
      <c r="K68" s="2389"/>
      <c r="L68" s="2319">
        <f t="shared" ref="L68:L69" si="5">ROUND(E68+G68*J68/100,-1)</f>
        <v>0</v>
      </c>
      <c r="M68" s="2320"/>
      <c r="N68" s="2321"/>
      <c r="S68" s="547">
        <f ca="1">ROUND(Grunddaten!AS43*((Grunddaten!$S43-Grunddaten!$Q43)/100*$G68+$E68),-1)</f>
        <v>0</v>
      </c>
      <c r="T68" s="548">
        <f ca="1">ROUND(Grunddaten!AT43*((Grunddaten!$S43-Grunddaten!$Q43)/100*$G68+$E68),-1)</f>
        <v>0</v>
      </c>
      <c r="U68" s="548">
        <f ca="1">ROUND(Grunddaten!AU43*((Grunddaten!$S43-Grunddaten!$Q43)/100*$G68+$E68),-1)</f>
        <v>0</v>
      </c>
      <c r="V68" s="548">
        <f ca="1">ROUND(Grunddaten!AV43*((Grunddaten!$S43-Grunddaten!$Q43)/100*$G68+$E68),-1)</f>
        <v>0</v>
      </c>
      <c r="W68" s="548">
        <f ca="1">ROUND(Grunddaten!AW43*((Grunddaten!$S43-Grunddaten!$Q43)/100*$G68+$E68),-1)</f>
        <v>0</v>
      </c>
      <c r="X68" s="548">
        <f ca="1">ROUND(Grunddaten!AX43*((Grunddaten!$S43-Grunddaten!$Q43)/100*$G68+$E68),-1)</f>
        <v>0</v>
      </c>
      <c r="Y68" s="548">
        <f ca="1">ROUND(Grunddaten!AY43*((Grunddaten!$S43-Grunddaten!$Q43)/100*$G68+$E68),-1)</f>
        <v>0</v>
      </c>
      <c r="Z68" s="548">
        <f ca="1">ROUND(Grunddaten!AZ43*((Grunddaten!$S43-Grunddaten!$Q43)/100*$G68+$E68),-1)</f>
        <v>0</v>
      </c>
      <c r="AA68" s="548">
        <f ca="1">ROUND(Grunddaten!BA43*((Grunddaten!$S43-Grunddaten!$Q43)/100*$G68+$E68),-1)</f>
        <v>0</v>
      </c>
      <c r="AB68" s="247">
        <f ca="1">ROUND(Grunddaten!BB43*((Grunddaten!$S43-Grunddaten!$Q43)/100*$G68+$E68),-1)</f>
        <v>0</v>
      </c>
      <c r="AC68" s="247">
        <f ca="1">ROUND(Grunddaten!BC43*((Grunddaten!$S43-Grunddaten!$Q43)/100*$G68+$E68),-1)</f>
        <v>0</v>
      </c>
      <c r="AD68" s="247">
        <f ca="1">ROUND(Grunddaten!BD43*((Grunddaten!$S43-Grunddaten!$Q43)/100*$G68+$E68),-1)</f>
        <v>0</v>
      </c>
      <c r="AE68" s="247">
        <f ca="1">ROUND(Grunddaten!BE43*((Grunddaten!$S43-Grunddaten!$Q43)/100*$G68+$E68),-1)</f>
        <v>0</v>
      </c>
      <c r="AF68" s="247">
        <f ca="1">ROUND(Grunddaten!BF43*((Grunddaten!$S43-Grunddaten!$Q43)/100*$G68+$E68),-1)</f>
        <v>0</v>
      </c>
      <c r="AG68" s="247">
        <f ca="1">ROUND(Grunddaten!BG43*((Grunddaten!$S43-Grunddaten!$Q43)/100*$G68+$E68),-1)</f>
        <v>0</v>
      </c>
      <c r="AH68" s="247">
        <f ca="1">ROUND(Grunddaten!BH43*((Grunddaten!$S43-Grunddaten!$Q43)/100*$G68+$E68),-1)</f>
        <v>0</v>
      </c>
      <c r="AI68" s="247">
        <f ca="1">ROUND(Grunddaten!BI43*((Grunddaten!$S43-Grunddaten!$Q43)/100*$G68+$E68),-1)</f>
        <v>0</v>
      </c>
      <c r="AJ68" s="247">
        <f ca="1">ROUND(Grunddaten!BJ43*((Grunddaten!$S43-Grunddaten!$Q43)/100*$G68+$E68),-1)</f>
        <v>0</v>
      </c>
      <c r="AK68" s="247">
        <f ca="1">ROUND(Grunddaten!BK43*((Grunddaten!$S43-Grunddaten!$Q43)/100*$G68+$E68),-1)</f>
        <v>0</v>
      </c>
      <c r="AL68" s="247">
        <f ca="1">ROUND(Grunddaten!BL43*((Grunddaten!$S43-Grunddaten!$Q43)/100*$G68+$E68),-1)</f>
        <v>0</v>
      </c>
      <c r="AM68" s="247">
        <f ca="1">ROUND(Grunddaten!BM43*((Grunddaten!$S43-Grunddaten!$Q43)/100*$G68+$E68),-1)</f>
        <v>0</v>
      </c>
      <c r="AN68" s="247">
        <f ca="1">ROUND(Grunddaten!BN43*((Grunddaten!$S43-Grunddaten!$Q43)/100*$G68+$E68),-1)</f>
        <v>0</v>
      </c>
      <c r="AO68" s="247">
        <f ca="1">ROUND(Grunddaten!BO43*((Grunddaten!$S43-Grunddaten!$Q43)/100*$G68+$E68),-1)</f>
        <v>0</v>
      </c>
      <c r="AP68" s="247">
        <f ca="1">ROUND(Grunddaten!BP43*((Grunddaten!$S43-Grunddaten!$Q43)/100*$G68+$E68),-1)</f>
        <v>0</v>
      </c>
      <c r="AQ68" s="247">
        <f ca="1">ROUND(Grunddaten!BQ43*((Grunddaten!$S43-Grunddaten!$Q43)/100*$G68+$E68),-1)</f>
        <v>0</v>
      </c>
      <c r="AR68" s="247">
        <f ca="1">ROUND(Grunddaten!BR43*((Grunddaten!$S43-Grunddaten!$Q43)/100*$G68+$E68),-1)</f>
        <v>0</v>
      </c>
      <c r="AS68" s="247">
        <f ca="1">ROUND(Grunddaten!BS43*((Grunddaten!$S43-Grunddaten!$Q43)/100*$G68+$E68),-1)</f>
        <v>0</v>
      </c>
      <c r="AT68" s="247">
        <f ca="1">ROUND(Grunddaten!BT43*((Grunddaten!$S43-Grunddaten!$Q43)/100*$G68+$E68),-1)</f>
        <v>0</v>
      </c>
      <c r="AU68" s="247">
        <f ca="1">ROUND(Grunddaten!BU43*((Grunddaten!$S43-Grunddaten!$Q43)/100*$G68+$E68),-1)</f>
        <v>0</v>
      </c>
      <c r="AV68" s="247">
        <f ca="1">ROUND(Grunddaten!BV43*((Grunddaten!$S43-Grunddaten!$Q43)/100*$G68+$E68),-1)</f>
        <v>0</v>
      </c>
      <c r="AW68" s="247">
        <f ca="1">ROUND(Grunddaten!BW43*((Grunddaten!$S43-Grunddaten!$Q43)/100*$G68+$E68),-1)</f>
        <v>0</v>
      </c>
      <c r="AX68" s="247">
        <f ca="1">ROUND(Grunddaten!BX43*((Grunddaten!$S43-Grunddaten!$Q43)/100*$G68+$E68),-1)</f>
        <v>0</v>
      </c>
      <c r="AY68" s="247">
        <f ca="1">ROUND(Grunddaten!BY43*((Grunddaten!$S43-Grunddaten!$Q43)/100*$G68+$E68),-1)</f>
        <v>0</v>
      </c>
      <c r="AZ68" s="247">
        <f ca="1">ROUND(Grunddaten!BZ43*((Grunddaten!$S43-Grunddaten!$Q43)/100*$G68+$E68),-1)</f>
        <v>0</v>
      </c>
      <c r="BA68" s="247">
        <f ca="1">ROUND(Grunddaten!CA43*((Grunddaten!$S43-Grunddaten!$Q43)/100*$G68+$E68),-1)</f>
        <v>0</v>
      </c>
      <c r="BB68" s="247">
        <f ca="1">ROUND(Grunddaten!CB43*((Grunddaten!$S43-Grunddaten!$Q43)/100*$G68+$E68),-1)</f>
        <v>0</v>
      </c>
      <c r="BC68" s="247">
        <f ca="1">ROUND(Grunddaten!CC43*((Grunddaten!$S43-Grunddaten!$Q43)/100*$G68+$E68),-1)</f>
        <v>0</v>
      </c>
      <c r="BD68" s="247">
        <f ca="1">ROUND(Grunddaten!CD43*((Grunddaten!$S43-Grunddaten!$Q43)/100*$G68+$E68),-1)</f>
        <v>0</v>
      </c>
      <c r="BE68" s="247">
        <f ca="1">ROUND(Grunddaten!CE43*((Grunddaten!$S43-Grunddaten!$Q43)/100*$G68+$E68),-1)</f>
        <v>0</v>
      </c>
      <c r="BF68" s="247">
        <f ca="1">ROUND(Grunddaten!CF43*((Grunddaten!$S43-Grunddaten!$Q43)/100*$G68+$E68),-1)</f>
        <v>0</v>
      </c>
      <c r="BG68" s="247">
        <f ca="1">ROUND(Grunddaten!CG43*((Grunddaten!$S43-Grunddaten!$Q43)/100*$G68+$E68),-1)</f>
        <v>0</v>
      </c>
      <c r="BH68" s="247">
        <f ca="1">ROUND(Grunddaten!CH43*((Grunddaten!$S43-Grunddaten!$Q43)/100*$G68+$E68),-1)</f>
        <v>0</v>
      </c>
      <c r="BI68" s="247">
        <f ca="1">ROUND(Grunddaten!CI43*((Grunddaten!$S43-Grunddaten!$Q43)/100*$G68+$E68),-1)</f>
        <v>0</v>
      </c>
      <c r="BJ68" s="247">
        <f ca="1">ROUND(Grunddaten!CJ43*((Grunddaten!$S43-Grunddaten!$Q43)/100*$G68+$E68),-1)</f>
        <v>0</v>
      </c>
      <c r="BK68" s="247">
        <f ca="1">ROUND(Grunddaten!CK43*((Grunddaten!$S43-Grunddaten!$Q43)/100*$G68+$E68),-1)</f>
        <v>0</v>
      </c>
      <c r="BL68" s="247">
        <f ca="1">ROUND(Grunddaten!CL43*((Grunddaten!$S43-Grunddaten!$Q43)/100*$G68+$E68),-1)</f>
        <v>0</v>
      </c>
      <c r="BM68" s="247">
        <f ca="1">ROUND(Grunddaten!CM43*((Grunddaten!$S43-Grunddaten!$Q43)/100*$G68+$E68),-1)</f>
        <v>0</v>
      </c>
      <c r="BN68" s="247">
        <f ca="1">ROUND(Grunddaten!CN43*((Grunddaten!$S43-Grunddaten!$Q43)/100*$G68+$E68),-1)</f>
        <v>0</v>
      </c>
      <c r="BO68" s="247">
        <f ca="1">ROUND(Grunddaten!CO43*((Grunddaten!$S43-Grunddaten!$Q43)/100*$G68+$E68),-1)</f>
        <v>0</v>
      </c>
      <c r="BP68" s="247">
        <f ca="1">ROUND(Grunddaten!CP43*((Grunddaten!$S43-Grunddaten!$Q43)/100*$G68+$E68),-1)</f>
        <v>0</v>
      </c>
      <c r="BQ68" s="248">
        <f ca="1">ROUND(Grunddaten!CQ43*((Grunddaten!$S43-Grunddaten!$Q43)/100*$G68+$E68),-1)</f>
        <v>0</v>
      </c>
    </row>
    <row r="69" spans="1:69" s="36" customFormat="1" ht="11.25" customHeight="1" x14ac:dyDescent="0.2">
      <c r="A69" s="1005" t="s">
        <v>546</v>
      </c>
      <c r="B69" s="1006"/>
      <c r="C69" s="2524">
        <f>1-C68</f>
        <v>0.30000000000000004</v>
      </c>
      <c r="D69" s="2524"/>
      <c r="E69" s="2397"/>
      <c r="F69" s="2398"/>
      <c r="G69" s="2392">
        <f>-Berechnungen!$F$47*C69</f>
        <v>0</v>
      </c>
      <c r="H69" s="2393"/>
      <c r="I69" s="2394"/>
      <c r="J69" s="2390">
        <f>Grunddaten!$S$44-(1-$R$109)*Grunddaten!$Q$43</f>
        <v>4.8104500000000003</v>
      </c>
      <c r="K69" s="2391"/>
      <c r="L69" s="2424">
        <f t="shared" si="5"/>
        <v>0</v>
      </c>
      <c r="M69" s="2425"/>
      <c r="N69" s="2426"/>
      <c r="P69" s="145"/>
      <c r="Q69" s="145"/>
      <c r="S69" s="549">
        <f ca="1">ROUND(Grunddaten!AS44*((Grunddaten!$S44-Grunddaten!$Q43)/100*$G69+$E69),-1)</f>
        <v>0</v>
      </c>
      <c r="T69" s="550">
        <f ca="1">ROUND(Grunddaten!AT44*((Grunddaten!$S44-Grunddaten!$Q43)/100*$G69+$E69),-1)</f>
        <v>0</v>
      </c>
      <c r="U69" s="550">
        <f ca="1">ROUND(Grunddaten!AU44*((Grunddaten!$S44-Grunddaten!$Q43)/100*$G69+$E69),-1)</f>
        <v>0</v>
      </c>
      <c r="V69" s="550">
        <f ca="1">ROUND(Grunddaten!AV44*((Grunddaten!$S44-Grunddaten!$Q43)/100*$G69+$E69),-1)</f>
        <v>0</v>
      </c>
      <c r="W69" s="550">
        <f ca="1">ROUND(Grunddaten!AW44*((Grunddaten!$S44-Grunddaten!$Q43)/100*$G69+$E69),-1)</f>
        <v>0</v>
      </c>
      <c r="X69" s="550">
        <f ca="1">ROUND(Grunddaten!AX44*((Grunddaten!$S44-Grunddaten!$Q43)/100*$G69+$E69),-1)</f>
        <v>0</v>
      </c>
      <c r="Y69" s="550">
        <f ca="1">ROUND(Grunddaten!AY44*((Grunddaten!$S44-Grunddaten!$Q43)/100*$G69+$E69),-1)</f>
        <v>0</v>
      </c>
      <c r="Z69" s="550">
        <f ca="1">ROUND(Grunddaten!AZ44*((Grunddaten!$S44-Grunddaten!$Q43)/100*$G69+$E69),-1)</f>
        <v>0</v>
      </c>
      <c r="AA69" s="550">
        <f ca="1">ROUND(Grunddaten!BA44*((Grunddaten!$S44-Grunddaten!$Q43)/100*$G69+$E69),-1)</f>
        <v>0</v>
      </c>
      <c r="AB69" s="250">
        <f ca="1">ROUND(Grunddaten!BB44*((Grunddaten!$S44-Grunddaten!$Q43)/100*$G69+$E69),-1)</f>
        <v>0</v>
      </c>
      <c r="AC69" s="250">
        <f ca="1">ROUND(Grunddaten!BC44*((Grunddaten!$S44-Grunddaten!$Q43)/100*$G69+$E69),-1)</f>
        <v>0</v>
      </c>
      <c r="AD69" s="250">
        <f ca="1">ROUND(Grunddaten!BD44*((Grunddaten!$S44-Grunddaten!$Q43)/100*$G69+$E69),-1)</f>
        <v>0</v>
      </c>
      <c r="AE69" s="250">
        <f ca="1">ROUND(Grunddaten!BE44*((Grunddaten!$S44-Grunddaten!$Q43)/100*$G69+$E69),-1)</f>
        <v>0</v>
      </c>
      <c r="AF69" s="250">
        <f ca="1">ROUND(Grunddaten!BF44*((Grunddaten!$S44-Grunddaten!$Q43)/100*$G69+$E69),-1)</f>
        <v>0</v>
      </c>
      <c r="AG69" s="250">
        <f ca="1">ROUND(Grunddaten!BG44*((Grunddaten!$S44-Grunddaten!$Q43)/100*$G69+$E69),-1)</f>
        <v>0</v>
      </c>
      <c r="AH69" s="250">
        <f ca="1">ROUND(Grunddaten!BH44*((Grunddaten!$S44-Grunddaten!$Q43)/100*$G69+$E69),-1)</f>
        <v>0</v>
      </c>
      <c r="AI69" s="250">
        <f ca="1">ROUND(Grunddaten!BI44*((Grunddaten!$S44-Grunddaten!$Q43)/100*$G69+$E69),-1)</f>
        <v>0</v>
      </c>
      <c r="AJ69" s="250">
        <f ca="1">ROUND(Grunddaten!BJ44*((Grunddaten!$S44-Grunddaten!$Q43)/100*$G69+$E69),-1)</f>
        <v>0</v>
      </c>
      <c r="AK69" s="250">
        <f ca="1">ROUND(Grunddaten!BK44*((Grunddaten!$S44-Grunddaten!$Q43)/100*$G69+$E69),-1)</f>
        <v>0</v>
      </c>
      <c r="AL69" s="250">
        <f ca="1">ROUND(Grunddaten!BL44*((Grunddaten!$S44-Grunddaten!$Q43)/100*$G69+$E69),-1)</f>
        <v>0</v>
      </c>
      <c r="AM69" s="250">
        <f ca="1">ROUND(Grunddaten!BM44*((Grunddaten!$S44-Grunddaten!$Q43)/100*$G69+$E69),-1)</f>
        <v>0</v>
      </c>
      <c r="AN69" s="250">
        <f ca="1">ROUND(Grunddaten!BN44*((Grunddaten!$S44-Grunddaten!$Q43)/100*$G69+$E69),-1)</f>
        <v>0</v>
      </c>
      <c r="AO69" s="250">
        <f ca="1">ROUND(Grunddaten!BO44*((Grunddaten!$S44-Grunddaten!$Q43)/100*$G69+$E69),-1)</f>
        <v>0</v>
      </c>
      <c r="AP69" s="250">
        <f ca="1">ROUND(Grunddaten!BP44*((Grunddaten!$S44-Grunddaten!$Q43)/100*$G69+$E69),-1)</f>
        <v>0</v>
      </c>
      <c r="AQ69" s="250">
        <f ca="1">ROUND(Grunddaten!BQ44*((Grunddaten!$S44-Grunddaten!$Q43)/100*$G69+$E69),-1)</f>
        <v>0</v>
      </c>
      <c r="AR69" s="250">
        <f ca="1">ROUND(Grunddaten!BR44*((Grunddaten!$S44-Grunddaten!$Q43)/100*$G69+$E69),-1)</f>
        <v>0</v>
      </c>
      <c r="AS69" s="250">
        <f ca="1">ROUND(Grunddaten!BS44*((Grunddaten!$S44-Grunddaten!$Q43)/100*$G69+$E69),-1)</f>
        <v>0</v>
      </c>
      <c r="AT69" s="250">
        <f ca="1">ROUND(Grunddaten!BT44*((Grunddaten!$S44-Grunddaten!$Q43)/100*$G69+$E69),-1)</f>
        <v>0</v>
      </c>
      <c r="AU69" s="250">
        <f ca="1">ROUND(Grunddaten!BU44*((Grunddaten!$S44-Grunddaten!$Q43)/100*$G69+$E69),-1)</f>
        <v>0</v>
      </c>
      <c r="AV69" s="250">
        <f ca="1">ROUND(Grunddaten!BV44*((Grunddaten!$S44-Grunddaten!$Q43)/100*$G69+$E69),-1)</f>
        <v>0</v>
      </c>
      <c r="AW69" s="250">
        <f ca="1">ROUND(Grunddaten!BW44*((Grunddaten!$S44-Grunddaten!$Q43)/100*$G69+$E69),-1)</f>
        <v>0</v>
      </c>
      <c r="AX69" s="250">
        <f ca="1">ROUND(Grunddaten!BX44*((Grunddaten!$S44-Grunddaten!$Q43)/100*$G69+$E69),-1)</f>
        <v>0</v>
      </c>
      <c r="AY69" s="250">
        <f ca="1">ROUND(Grunddaten!BY44*((Grunddaten!$S44-Grunddaten!$Q43)/100*$G69+$E69),-1)</f>
        <v>0</v>
      </c>
      <c r="AZ69" s="250">
        <f ca="1">ROUND(Grunddaten!BZ44*((Grunddaten!$S44-Grunddaten!$Q43)/100*$G69+$E69),-1)</f>
        <v>0</v>
      </c>
      <c r="BA69" s="250">
        <f ca="1">ROUND(Grunddaten!CA44*((Grunddaten!$S44-Grunddaten!$Q43)/100*$G69+$E69),-1)</f>
        <v>0</v>
      </c>
      <c r="BB69" s="250">
        <f ca="1">ROUND(Grunddaten!CB44*((Grunddaten!$S44-Grunddaten!$Q43)/100*$G69+$E69),-1)</f>
        <v>0</v>
      </c>
      <c r="BC69" s="250">
        <f ca="1">ROUND(Grunddaten!CC44*((Grunddaten!$S44-Grunddaten!$Q43)/100*$G69+$E69),-1)</f>
        <v>0</v>
      </c>
      <c r="BD69" s="250">
        <f ca="1">ROUND(Grunddaten!CD44*((Grunddaten!$S44-Grunddaten!$Q43)/100*$G69+$E69),-1)</f>
        <v>0</v>
      </c>
      <c r="BE69" s="250">
        <f ca="1">ROUND(Grunddaten!CE44*((Grunddaten!$S44-Grunddaten!$Q43)/100*$G69+$E69),-1)</f>
        <v>0</v>
      </c>
      <c r="BF69" s="250">
        <f ca="1">ROUND(Grunddaten!CF44*((Grunddaten!$S44-Grunddaten!$Q43)/100*$G69+$E69),-1)</f>
        <v>0</v>
      </c>
      <c r="BG69" s="250">
        <f ca="1">ROUND(Grunddaten!CG44*((Grunddaten!$S44-Grunddaten!$Q43)/100*$G69+$E69),-1)</f>
        <v>0</v>
      </c>
      <c r="BH69" s="250">
        <f ca="1">ROUND(Grunddaten!CH44*((Grunddaten!$S44-Grunddaten!$Q43)/100*$G69+$E69),-1)</f>
        <v>0</v>
      </c>
      <c r="BI69" s="250">
        <f ca="1">ROUND(Grunddaten!CI44*((Grunddaten!$S44-Grunddaten!$Q43)/100*$G69+$E69),-1)</f>
        <v>0</v>
      </c>
      <c r="BJ69" s="250">
        <f ca="1">ROUND(Grunddaten!CJ44*((Grunddaten!$S44-Grunddaten!$Q43)/100*$G69+$E69),-1)</f>
        <v>0</v>
      </c>
      <c r="BK69" s="250">
        <f ca="1">ROUND(Grunddaten!CK44*((Grunddaten!$S44-Grunddaten!$Q43)/100*$G69+$E69),-1)</f>
        <v>0</v>
      </c>
      <c r="BL69" s="250">
        <f ca="1">ROUND(Grunddaten!CL44*((Grunddaten!$S44-Grunddaten!$Q43)/100*$G69+$E69),-1)</f>
        <v>0</v>
      </c>
      <c r="BM69" s="250">
        <f ca="1">ROUND(Grunddaten!CM44*((Grunddaten!$S44-Grunddaten!$Q43)/100*$G69+$E69),-1)</f>
        <v>0</v>
      </c>
      <c r="BN69" s="250">
        <f ca="1">ROUND(Grunddaten!CN44*((Grunddaten!$S44-Grunddaten!$Q43)/100*$G69+$E69),-1)</f>
        <v>0</v>
      </c>
      <c r="BO69" s="250">
        <f ca="1">ROUND(Grunddaten!CO44*((Grunddaten!$S44-Grunddaten!$Q43)/100*$G69+$E69),-1)</f>
        <v>0</v>
      </c>
      <c r="BP69" s="250">
        <f ca="1">ROUND(Grunddaten!CP44*((Grunddaten!$S44-Grunddaten!$Q43)/100*$G69+$E69),-1)</f>
        <v>0</v>
      </c>
      <c r="BQ69" s="251">
        <f ca="1">ROUND(Grunddaten!CQ44*((Grunddaten!$S44-Grunddaten!$Q43)/100*$G69+$E69),-1)</f>
        <v>0</v>
      </c>
    </row>
    <row r="70" spans="1:69" s="36" customFormat="1" ht="11.25" customHeight="1" x14ac:dyDescent="0.2">
      <c r="A70" s="1011" t="str">
        <f>Berechnungen!A36</f>
        <v>Holzpellets</v>
      </c>
      <c r="B70" s="1491"/>
      <c r="C70" s="1491"/>
      <c r="D70" s="1491"/>
      <c r="E70" s="2397"/>
      <c r="F70" s="2398"/>
      <c r="G70" s="2392">
        <f ca="1">SUMIF(EV_Var2!$A$11:$B$74,$A70,EV_Var2!$E$11:$E$74)</f>
        <v>0</v>
      </c>
      <c r="H70" s="2393"/>
      <c r="I70" s="2394"/>
      <c r="J70" s="2390">
        <f>Grunddaten!S45-(1-$R$109)*Grunddaten!Q45</f>
        <v>9.3000000000000007</v>
      </c>
      <c r="K70" s="2391"/>
      <c r="L70" s="2424">
        <f t="shared" ca="1" si="4"/>
        <v>0</v>
      </c>
      <c r="M70" s="2425"/>
      <c r="N70" s="2426"/>
      <c r="P70" s="145"/>
      <c r="Q70" s="145"/>
      <c r="S70" s="551">
        <f ca="1">ROUND(Grunddaten!AS45*((Grunddaten!$S45-Grunddaten!$Q45)/100*$G70+$E70),-1)</f>
        <v>0</v>
      </c>
      <c r="T70" s="552">
        <f ca="1">ROUND(Grunddaten!AT45*((Grunddaten!$S45-Grunddaten!$Q45)/100*$G70+$E70),-1)</f>
        <v>0</v>
      </c>
      <c r="U70" s="552">
        <f ca="1">ROUND(Grunddaten!AU45*((Grunddaten!$S45-Grunddaten!$Q45)/100*$G70+$E70),-1)</f>
        <v>0</v>
      </c>
      <c r="V70" s="552">
        <f ca="1">ROUND(Grunddaten!AV45*((Grunddaten!$S45-Grunddaten!$Q45)/100*$G70+$E70),-1)</f>
        <v>0</v>
      </c>
      <c r="W70" s="552">
        <f ca="1">ROUND(Grunddaten!AW45*((Grunddaten!$S45-Grunddaten!$Q45)/100*$G70+$E70),-1)</f>
        <v>0</v>
      </c>
      <c r="X70" s="552">
        <f ca="1">ROUND(Grunddaten!AX45*((Grunddaten!$S45-Grunddaten!$Q45)/100*$G70+$E70),-1)</f>
        <v>0</v>
      </c>
      <c r="Y70" s="552">
        <f ca="1">ROUND(Grunddaten!AY45*((Grunddaten!$S45-Grunddaten!$Q45)/100*$G70+$E70),-1)</f>
        <v>0</v>
      </c>
      <c r="Z70" s="552">
        <f ca="1">ROUND(Grunddaten!AZ45*((Grunddaten!$S45-Grunddaten!$Q45)/100*$G70+$E70),-1)</f>
        <v>0</v>
      </c>
      <c r="AA70" s="552">
        <f ca="1">ROUND(Grunddaten!BA45*((Grunddaten!$S45-Grunddaten!$Q45)/100*$G70+$E70),-1)</f>
        <v>0</v>
      </c>
      <c r="AB70" s="255">
        <f ca="1">ROUND(Grunddaten!BB45*((Grunddaten!$S45-Grunddaten!$Q45)/100*$G70+$E70),-1)</f>
        <v>0</v>
      </c>
      <c r="AC70" s="255">
        <f ca="1">ROUND(Grunddaten!BC45*((Grunddaten!$S45-Grunddaten!$Q45)/100*$G70+$E70),-1)</f>
        <v>0</v>
      </c>
      <c r="AD70" s="255">
        <f ca="1">ROUND(Grunddaten!BD45*((Grunddaten!$S45-Grunddaten!$Q45)/100*$G70+$E70),-1)</f>
        <v>0</v>
      </c>
      <c r="AE70" s="255">
        <f ca="1">ROUND(Grunddaten!BE45*((Grunddaten!$S45-Grunddaten!$Q45)/100*$G70+$E70),-1)</f>
        <v>0</v>
      </c>
      <c r="AF70" s="255">
        <f ca="1">ROUND(Grunddaten!BF45*((Grunddaten!$S45-Grunddaten!$Q45)/100*$G70+$E70),-1)</f>
        <v>0</v>
      </c>
      <c r="AG70" s="255">
        <f ca="1">ROUND(Grunddaten!BG45*((Grunddaten!$S45-Grunddaten!$Q45)/100*$G70+$E70),-1)</f>
        <v>0</v>
      </c>
      <c r="AH70" s="255">
        <f ca="1">ROUND(Grunddaten!BH45*((Grunddaten!$S45-Grunddaten!$Q45)/100*$G70+$E70),-1)</f>
        <v>0</v>
      </c>
      <c r="AI70" s="255">
        <f ca="1">ROUND(Grunddaten!BI45*((Grunddaten!$S45-Grunddaten!$Q45)/100*$G70+$E70),-1)</f>
        <v>0</v>
      </c>
      <c r="AJ70" s="255">
        <f ca="1">ROUND(Grunddaten!BJ45*((Grunddaten!$S45-Grunddaten!$Q45)/100*$G70+$E70),-1)</f>
        <v>0</v>
      </c>
      <c r="AK70" s="255">
        <f ca="1">ROUND(Grunddaten!BK45*((Grunddaten!$S45-Grunddaten!$Q45)/100*$G70+$E70),-1)</f>
        <v>0</v>
      </c>
      <c r="AL70" s="255">
        <f ca="1">ROUND(Grunddaten!BL45*((Grunddaten!$S45-Grunddaten!$Q45)/100*$G70+$E70),-1)</f>
        <v>0</v>
      </c>
      <c r="AM70" s="255">
        <f ca="1">ROUND(Grunddaten!BM45*((Grunddaten!$S45-Grunddaten!$Q45)/100*$G70+$E70),-1)</f>
        <v>0</v>
      </c>
      <c r="AN70" s="255">
        <f ca="1">ROUND(Grunddaten!BN45*((Grunddaten!$S45-Grunddaten!$Q45)/100*$G70+$E70),-1)</f>
        <v>0</v>
      </c>
      <c r="AO70" s="255">
        <f ca="1">ROUND(Grunddaten!BO45*((Grunddaten!$S45-Grunddaten!$Q45)/100*$G70+$E70),-1)</f>
        <v>0</v>
      </c>
      <c r="AP70" s="255">
        <f ca="1">ROUND(Grunddaten!BP45*((Grunddaten!$S45-Grunddaten!$Q45)/100*$G70+$E70),-1)</f>
        <v>0</v>
      </c>
      <c r="AQ70" s="255">
        <f ca="1">ROUND(Grunddaten!BQ45*((Grunddaten!$S45-Grunddaten!$Q45)/100*$G70+$E70),-1)</f>
        <v>0</v>
      </c>
      <c r="AR70" s="255">
        <f ca="1">ROUND(Grunddaten!BR45*((Grunddaten!$S45-Grunddaten!$Q45)/100*$G70+$E70),-1)</f>
        <v>0</v>
      </c>
      <c r="AS70" s="255">
        <f ca="1">ROUND(Grunddaten!BS45*((Grunddaten!$S45-Grunddaten!$Q45)/100*$G70+$E70),-1)</f>
        <v>0</v>
      </c>
      <c r="AT70" s="255">
        <f ca="1">ROUND(Grunddaten!BT45*((Grunddaten!$S45-Grunddaten!$Q45)/100*$G70+$E70),-1)</f>
        <v>0</v>
      </c>
      <c r="AU70" s="255">
        <f ca="1">ROUND(Grunddaten!BU45*((Grunddaten!$S45-Grunddaten!$Q45)/100*$G70+$E70),-1)</f>
        <v>0</v>
      </c>
      <c r="AV70" s="255">
        <f ca="1">ROUND(Grunddaten!BV45*((Grunddaten!$S45-Grunddaten!$Q45)/100*$G70+$E70),-1)</f>
        <v>0</v>
      </c>
      <c r="AW70" s="255">
        <f ca="1">ROUND(Grunddaten!BW45*((Grunddaten!$S45-Grunddaten!$Q45)/100*$G70+$E70),-1)</f>
        <v>0</v>
      </c>
      <c r="AX70" s="255">
        <f ca="1">ROUND(Grunddaten!BX45*((Grunddaten!$S45-Grunddaten!$Q45)/100*$G70+$E70),-1)</f>
        <v>0</v>
      </c>
      <c r="AY70" s="255">
        <f ca="1">ROUND(Grunddaten!BY45*((Grunddaten!$S45-Grunddaten!$Q45)/100*$G70+$E70),-1)</f>
        <v>0</v>
      </c>
      <c r="AZ70" s="255">
        <f ca="1">ROUND(Grunddaten!BZ45*((Grunddaten!$S45-Grunddaten!$Q45)/100*$G70+$E70),-1)</f>
        <v>0</v>
      </c>
      <c r="BA70" s="255">
        <f ca="1">ROUND(Grunddaten!CA45*((Grunddaten!$S45-Grunddaten!$Q45)/100*$G70+$E70),-1)</f>
        <v>0</v>
      </c>
      <c r="BB70" s="255">
        <f ca="1">ROUND(Grunddaten!CB45*((Grunddaten!$S45-Grunddaten!$Q45)/100*$G70+$E70),-1)</f>
        <v>0</v>
      </c>
      <c r="BC70" s="255">
        <f ca="1">ROUND(Grunddaten!CC45*((Grunddaten!$S45-Grunddaten!$Q45)/100*$G70+$E70),-1)</f>
        <v>0</v>
      </c>
      <c r="BD70" s="255">
        <f ca="1">ROUND(Grunddaten!CD45*((Grunddaten!$S45-Grunddaten!$Q45)/100*$G70+$E70),-1)</f>
        <v>0</v>
      </c>
      <c r="BE70" s="255">
        <f ca="1">ROUND(Grunddaten!CE45*((Grunddaten!$S45-Grunddaten!$Q45)/100*$G70+$E70),-1)</f>
        <v>0</v>
      </c>
      <c r="BF70" s="255">
        <f ca="1">ROUND(Grunddaten!CF45*((Grunddaten!$S45-Grunddaten!$Q45)/100*$G70+$E70),-1)</f>
        <v>0</v>
      </c>
      <c r="BG70" s="255">
        <f ca="1">ROUND(Grunddaten!CG45*((Grunddaten!$S45-Grunddaten!$Q45)/100*$G70+$E70),-1)</f>
        <v>0</v>
      </c>
      <c r="BH70" s="255">
        <f ca="1">ROUND(Grunddaten!CH45*((Grunddaten!$S45-Grunddaten!$Q45)/100*$G70+$E70),-1)</f>
        <v>0</v>
      </c>
      <c r="BI70" s="255">
        <f ca="1">ROUND(Grunddaten!CI45*((Grunddaten!$S45-Grunddaten!$Q45)/100*$G70+$E70),-1)</f>
        <v>0</v>
      </c>
      <c r="BJ70" s="255">
        <f ca="1">ROUND(Grunddaten!CJ45*((Grunddaten!$S45-Grunddaten!$Q45)/100*$G70+$E70),-1)</f>
        <v>0</v>
      </c>
      <c r="BK70" s="255">
        <f ca="1">ROUND(Grunddaten!CK45*((Grunddaten!$S45-Grunddaten!$Q45)/100*$G70+$E70),-1)</f>
        <v>0</v>
      </c>
      <c r="BL70" s="255">
        <f ca="1">ROUND(Grunddaten!CL45*((Grunddaten!$S45-Grunddaten!$Q45)/100*$G70+$E70),-1)</f>
        <v>0</v>
      </c>
      <c r="BM70" s="255">
        <f ca="1">ROUND(Grunddaten!CM45*((Grunddaten!$S45-Grunddaten!$Q45)/100*$G70+$E70),-1)</f>
        <v>0</v>
      </c>
      <c r="BN70" s="255">
        <f ca="1">ROUND(Grunddaten!CN45*((Grunddaten!$S45-Grunddaten!$Q45)/100*$G70+$E70),-1)</f>
        <v>0</v>
      </c>
      <c r="BO70" s="255">
        <f ca="1">ROUND(Grunddaten!CO45*((Grunddaten!$S45-Grunddaten!$Q45)/100*$G70+$E70),-1)</f>
        <v>0</v>
      </c>
      <c r="BP70" s="255">
        <f ca="1">ROUND(Grunddaten!CP45*((Grunddaten!$S45-Grunddaten!$Q45)/100*$G70+$E70),-1)</f>
        <v>0</v>
      </c>
      <c r="BQ70" s="256">
        <f ca="1">ROUND(Grunddaten!CQ45*((Grunddaten!$S45-Grunddaten!$Q45)/100*$G70+$E70),-1)</f>
        <v>0</v>
      </c>
    </row>
    <row r="71" spans="1:69" s="36" customFormat="1" ht="11.25" customHeight="1" x14ac:dyDescent="0.2">
      <c r="A71" s="1011" t="str">
        <f>Berechnungen!A35</f>
        <v>Holzschnitzel</v>
      </c>
      <c r="B71" s="1491"/>
      <c r="C71" s="1491"/>
      <c r="D71" s="1491"/>
      <c r="E71" s="2397"/>
      <c r="F71" s="2398"/>
      <c r="G71" s="2392">
        <f ca="1">SUMIF(EV_Var2!$A$11:$B$74,$A71,EV_Var2!$E$11:$E$74)</f>
        <v>0</v>
      </c>
      <c r="H71" s="2393"/>
      <c r="I71" s="2394"/>
      <c r="J71" s="2390">
        <f>Grunddaten!S46-(1-$R$109)*Grunddaten!Q46</f>
        <v>7.6</v>
      </c>
      <c r="K71" s="2391"/>
      <c r="L71" s="2424">
        <f t="shared" ca="1" si="4"/>
        <v>0</v>
      </c>
      <c r="M71" s="2425"/>
      <c r="N71" s="2426"/>
      <c r="P71" s="145"/>
      <c r="Q71" s="145"/>
      <c r="S71" s="551">
        <f ca="1">ROUND(Grunddaten!AS46*((Grunddaten!$S46-Grunddaten!$Q46)/100*$G71+$E71),-1)</f>
        <v>0</v>
      </c>
      <c r="T71" s="552">
        <f ca="1">ROUND(Grunddaten!AT46*((Grunddaten!$S46-Grunddaten!$Q46)/100*$G71+$E71),-1)</f>
        <v>0</v>
      </c>
      <c r="U71" s="552">
        <f ca="1">ROUND(Grunddaten!AU46*((Grunddaten!$S46-Grunddaten!$Q46)/100*$G71+$E71),-1)</f>
        <v>0</v>
      </c>
      <c r="V71" s="552">
        <f ca="1">ROUND(Grunddaten!AV46*((Grunddaten!$S46-Grunddaten!$Q46)/100*$G71+$E71),-1)</f>
        <v>0</v>
      </c>
      <c r="W71" s="552">
        <f ca="1">ROUND(Grunddaten!AW46*((Grunddaten!$S46-Grunddaten!$Q46)/100*$G71+$E71),-1)</f>
        <v>0</v>
      </c>
      <c r="X71" s="552">
        <f ca="1">ROUND(Grunddaten!AX46*((Grunddaten!$S46-Grunddaten!$Q46)/100*$G71+$E71),-1)</f>
        <v>0</v>
      </c>
      <c r="Y71" s="552">
        <f ca="1">ROUND(Grunddaten!AY46*((Grunddaten!$S46-Grunddaten!$Q46)/100*$G71+$E71),-1)</f>
        <v>0</v>
      </c>
      <c r="Z71" s="552">
        <f ca="1">ROUND(Grunddaten!AZ46*((Grunddaten!$S46-Grunddaten!$Q46)/100*$G71+$E71),-1)</f>
        <v>0</v>
      </c>
      <c r="AA71" s="552">
        <f ca="1">ROUND(Grunddaten!BA46*((Grunddaten!$S46-Grunddaten!$Q46)/100*$G71+$E71),-1)</f>
        <v>0</v>
      </c>
      <c r="AB71" s="255">
        <f ca="1">ROUND(Grunddaten!BB46*((Grunddaten!$S46-Grunddaten!$Q46)/100*$G71+$E71),-1)</f>
        <v>0</v>
      </c>
      <c r="AC71" s="255">
        <f ca="1">ROUND(Grunddaten!BC46*((Grunddaten!$S46-Grunddaten!$Q46)/100*$G71+$E71),-1)</f>
        <v>0</v>
      </c>
      <c r="AD71" s="255">
        <f ca="1">ROUND(Grunddaten!BD46*((Grunddaten!$S46-Grunddaten!$Q46)/100*$G71+$E71),-1)</f>
        <v>0</v>
      </c>
      <c r="AE71" s="255">
        <f ca="1">ROUND(Grunddaten!BE46*((Grunddaten!$S46-Grunddaten!$Q46)/100*$G71+$E71),-1)</f>
        <v>0</v>
      </c>
      <c r="AF71" s="255">
        <f ca="1">ROUND(Grunddaten!BF46*((Grunddaten!$S46-Grunddaten!$Q46)/100*$G71+$E71),-1)</f>
        <v>0</v>
      </c>
      <c r="AG71" s="255">
        <f ca="1">ROUND(Grunddaten!BG46*((Grunddaten!$S46-Grunddaten!$Q46)/100*$G71+$E71),-1)</f>
        <v>0</v>
      </c>
      <c r="AH71" s="255">
        <f ca="1">ROUND(Grunddaten!BH46*((Grunddaten!$S46-Grunddaten!$Q46)/100*$G71+$E71),-1)</f>
        <v>0</v>
      </c>
      <c r="AI71" s="255">
        <f ca="1">ROUND(Grunddaten!BI46*((Grunddaten!$S46-Grunddaten!$Q46)/100*$G71+$E71),-1)</f>
        <v>0</v>
      </c>
      <c r="AJ71" s="255">
        <f ca="1">ROUND(Grunddaten!BJ46*((Grunddaten!$S46-Grunddaten!$Q46)/100*$G71+$E71),-1)</f>
        <v>0</v>
      </c>
      <c r="AK71" s="255">
        <f ca="1">ROUND(Grunddaten!BK46*((Grunddaten!$S46-Grunddaten!$Q46)/100*$G71+$E71),-1)</f>
        <v>0</v>
      </c>
      <c r="AL71" s="255">
        <f ca="1">ROUND(Grunddaten!BL46*((Grunddaten!$S46-Grunddaten!$Q46)/100*$G71+$E71),-1)</f>
        <v>0</v>
      </c>
      <c r="AM71" s="255">
        <f ca="1">ROUND(Grunddaten!BM46*((Grunddaten!$S46-Grunddaten!$Q46)/100*$G71+$E71),-1)</f>
        <v>0</v>
      </c>
      <c r="AN71" s="255">
        <f ca="1">ROUND(Grunddaten!BN46*((Grunddaten!$S46-Grunddaten!$Q46)/100*$G71+$E71),-1)</f>
        <v>0</v>
      </c>
      <c r="AO71" s="255">
        <f ca="1">ROUND(Grunddaten!BO46*((Grunddaten!$S46-Grunddaten!$Q46)/100*$G71+$E71),-1)</f>
        <v>0</v>
      </c>
      <c r="AP71" s="255">
        <f ca="1">ROUND(Grunddaten!BP46*((Grunddaten!$S46-Grunddaten!$Q46)/100*$G71+$E71),-1)</f>
        <v>0</v>
      </c>
      <c r="AQ71" s="255">
        <f ca="1">ROUND(Grunddaten!BQ46*((Grunddaten!$S46-Grunddaten!$Q46)/100*$G71+$E71),-1)</f>
        <v>0</v>
      </c>
      <c r="AR71" s="255">
        <f ca="1">ROUND(Grunddaten!BR46*((Grunddaten!$S46-Grunddaten!$Q46)/100*$G71+$E71),-1)</f>
        <v>0</v>
      </c>
      <c r="AS71" s="255">
        <f ca="1">ROUND(Grunddaten!BS46*((Grunddaten!$S46-Grunddaten!$Q46)/100*$G71+$E71),-1)</f>
        <v>0</v>
      </c>
      <c r="AT71" s="255">
        <f ca="1">ROUND(Grunddaten!BT46*((Grunddaten!$S46-Grunddaten!$Q46)/100*$G71+$E71),-1)</f>
        <v>0</v>
      </c>
      <c r="AU71" s="255">
        <f ca="1">ROUND(Grunddaten!BU46*((Grunddaten!$S46-Grunddaten!$Q46)/100*$G71+$E71),-1)</f>
        <v>0</v>
      </c>
      <c r="AV71" s="255">
        <f ca="1">ROUND(Grunddaten!BV46*((Grunddaten!$S46-Grunddaten!$Q46)/100*$G71+$E71),-1)</f>
        <v>0</v>
      </c>
      <c r="AW71" s="255">
        <f ca="1">ROUND(Grunddaten!BW46*((Grunddaten!$S46-Grunddaten!$Q46)/100*$G71+$E71),-1)</f>
        <v>0</v>
      </c>
      <c r="AX71" s="255">
        <f ca="1">ROUND(Grunddaten!BX46*((Grunddaten!$S46-Grunddaten!$Q46)/100*$G71+$E71),-1)</f>
        <v>0</v>
      </c>
      <c r="AY71" s="255">
        <f ca="1">ROUND(Grunddaten!BY46*((Grunddaten!$S46-Grunddaten!$Q46)/100*$G71+$E71),-1)</f>
        <v>0</v>
      </c>
      <c r="AZ71" s="255">
        <f ca="1">ROUND(Grunddaten!BZ46*((Grunddaten!$S46-Grunddaten!$Q46)/100*$G71+$E71),-1)</f>
        <v>0</v>
      </c>
      <c r="BA71" s="255">
        <f ca="1">ROUND(Grunddaten!CA46*((Grunddaten!$S46-Grunddaten!$Q46)/100*$G71+$E71),-1)</f>
        <v>0</v>
      </c>
      <c r="BB71" s="255">
        <f ca="1">ROUND(Grunddaten!CB46*((Grunddaten!$S46-Grunddaten!$Q46)/100*$G71+$E71),-1)</f>
        <v>0</v>
      </c>
      <c r="BC71" s="255">
        <f ca="1">ROUND(Grunddaten!CC46*((Grunddaten!$S46-Grunddaten!$Q46)/100*$G71+$E71),-1)</f>
        <v>0</v>
      </c>
      <c r="BD71" s="255">
        <f ca="1">ROUND(Grunddaten!CD46*((Grunddaten!$S46-Grunddaten!$Q46)/100*$G71+$E71),-1)</f>
        <v>0</v>
      </c>
      <c r="BE71" s="255">
        <f ca="1">ROUND(Grunddaten!CE46*((Grunddaten!$S46-Grunddaten!$Q46)/100*$G71+$E71),-1)</f>
        <v>0</v>
      </c>
      <c r="BF71" s="255">
        <f ca="1">ROUND(Grunddaten!CF46*((Grunddaten!$S46-Grunddaten!$Q46)/100*$G71+$E71),-1)</f>
        <v>0</v>
      </c>
      <c r="BG71" s="255">
        <f ca="1">ROUND(Grunddaten!CG46*((Grunddaten!$S46-Grunddaten!$Q46)/100*$G71+$E71),-1)</f>
        <v>0</v>
      </c>
      <c r="BH71" s="255">
        <f ca="1">ROUND(Grunddaten!CH46*((Grunddaten!$S46-Grunddaten!$Q46)/100*$G71+$E71),-1)</f>
        <v>0</v>
      </c>
      <c r="BI71" s="255">
        <f ca="1">ROUND(Grunddaten!CI46*((Grunddaten!$S46-Grunddaten!$Q46)/100*$G71+$E71),-1)</f>
        <v>0</v>
      </c>
      <c r="BJ71" s="255">
        <f ca="1">ROUND(Grunddaten!CJ46*((Grunddaten!$S46-Grunddaten!$Q46)/100*$G71+$E71),-1)</f>
        <v>0</v>
      </c>
      <c r="BK71" s="255">
        <f ca="1">ROUND(Grunddaten!CK46*((Grunddaten!$S46-Grunddaten!$Q46)/100*$G71+$E71),-1)</f>
        <v>0</v>
      </c>
      <c r="BL71" s="255">
        <f ca="1">ROUND(Grunddaten!CL46*((Grunddaten!$S46-Grunddaten!$Q46)/100*$G71+$E71),-1)</f>
        <v>0</v>
      </c>
      <c r="BM71" s="255">
        <f ca="1">ROUND(Grunddaten!CM46*((Grunddaten!$S46-Grunddaten!$Q46)/100*$G71+$E71),-1)</f>
        <v>0</v>
      </c>
      <c r="BN71" s="255">
        <f ca="1">ROUND(Grunddaten!CN46*((Grunddaten!$S46-Grunddaten!$Q46)/100*$G71+$E71),-1)</f>
        <v>0</v>
      </c>
      <c r="BO71" s="255">
        <f ca="1">ROUND(Grunddaten!CO46*((Grunddaten!$S46-Grunddaten!$Q46)/100*$G71+$E71),-1)</f>
        <v>0</v>
      </c>
      <c r="BP71" s="255">
        <f ca="1">ROUND(Grunddaten!CP46*((Grunddaten!$S46-Grunddaten!$Q46)/100*$G71+$E71),-1)</f>
        <v>0</v>
      </c>
      <c r="BQ71" s="256">
        <f ca="1">ROUND(Grunddaten!CQ46*((Grunddaten!$S46-Grunddaten!$Q46)/100*$G71+$E71),-1)</f>
        <v>0</v>
      </c>
    </row>
    <row r="72" spans="1:69" s="36" customFormat="1" ht="11.25" customHeight="1" x14ac:dyDescent="0.2">
      <c r="A72" s="1011" t="str">
        <f>Berechnungen!A34</f>
        <v>Biogas</v>
      </c>
      <c r="B72" s="1494" t="str">
        <f>MID(Projektdaten!H24,10,50)</f>
        <v>Energie360°</v>
      </c>
      <c r="C72" s="1494"/>
      <c r="D72" s="1494"/>
      <c r="E72" s="2397">
        <f xml:space="preserve"> (IF(EV_Var2!$A$20=$A72,EV_Var2!$H$20,0) + IF(EV_Var2!$A$24=$A72,EV_Var2!$H$24,0) + IF(EV_Var2!$A$29=$A72,(EV_Var2!$H$28-EV_Var2!$AA$24),0) + IF(EV_Var2!$A$60=$A72,EV_Var2!$H$60,0)) * VLOOKUP(Projektdaten!H24,Grunddaten!C47:AI48,33,FALSE)</f>
        <v>0</v>
      </c>
      <c r="F72" s="2398"/>
      <c r="G72" s="2392">
        <f ca="1">SUMIF(EV_Var2!$A$11:$B$74,$A72,EV_Var2!$E$11:$E$74)</f>
        <v>0</v>
      </c>
      <c r="H72" s="2393"/>
      <c r="I72" s="2394"/>
      <c r="J72" s="2390">
        <f>VLOOKUP(Projektdaten!H24,Grunddaten!C47:AI48,17,FALSE) - (1-$R$109)*VLOOKUP(Projektdaten!H24,Grunddaten!C47:AI48,15,FALSE)</f>
        <v>18.7</v>
      </c>
      <c r="K72" s="2391"/>
      <c r="L72" s="2424">
        <f t="shared" ca="1" si="4"/>
        <v>0</v>
      </c>
      <c r="M72" s="2425"/>
      <c r="N72" s="2426"/>
      <c r="P72" s="145"/>
      <c r="Q72" s="145"/>
      <c r="S72" s="551">
        <f ca="1">ROUND(OFFSET(Grunddaten!AS47,Biogas_Produkt,0)*((OFFSET(Grunddaten!$S47,Biogas_Produkt,0)-OFFSET(Grunddaten!$Q47,Biogas_Produkt,0))/100*$G72+$E72),-1)</f>
        <v>0</v>
      </c>
      <c r="T72" s="552">
        <f ca="1">ROUND(OFFSET(Grunddaten!AT47,Biogas_Produkt,0)*((OFFSET(Grunddaten!$S47,Biogas_Produkt,0)-OFFSET(Grunddaten!$Q47,Biogas_Produkt,0))/100*$G72+$E72),-1)</f>
        <v>0</v>
      </c>
      <c r="U72" s="552">
        <f ca="1">ROUND(OFFSET(Grunddaten!AU47,Biogas_Produkt,0)*((OFFSET(Grunddaten!$S47,Biogas_Produkt,0)-OFFSET(Grunddaten!$Q47,Biogas_Produkt,0))/100*$G72+$E72),-1)</f>
        <v>0</v>
      </c>
      <c r="V72" s="552">
        <f ca="1">ROUND(OFFSET(Grunddaten!AV47,Biogas_Produkt,0)*((OFFSET(Grunddaten!$S47,Biogas_Produkt,0)-OFFSET(Grunddaten!$Q47,Biogas_Produkt,0))/100*$G72+$E72),-1)</f>
        <v>0</v>
      </c>
      <c r="W72" s="552">
        <f ca="1">ROUND(OFFSET(Grunddaten!AW47,Biogas_Produkt,0)*((OFFSET(Grunddaten!$S47,Biogas_Produkt,0)-OFFSET(Grunddaten!$Q47,Biogas_Produkt,0))/100*$G72+$E72),-1)</f>
        <v>0</v>
      </c>
      <c r="X72" s="552">
        <f ca="1">ROUND(OFFSET(Grunddaten!AX47,Biogas_Produkt,0)*((OFFSET(Grunddaten!$S47,Biogas_Produkt,0)-OFFSET(Grunddaten!$Q47,Biogas_Produkt,0))/100*$G72+$E72),-1)</f>
        <v>0</v>
      </c>
      <c r="Y72" s="552">
        <f ca="1">ROUND(OFFSET(Grunddaten!AY47,Biogas_Produkt,0)*((OFFSET(Grunddaten!$S47,Biogas_Produkt,0)-OFFSET(Grunddaten!$Q47,Biogas_Produkt,0))/100*$G72+$E72),-1)</f>
        <v>0</v>
      </c>
      <c r="Z72" s="552">
        <f ca="1">ROUND(OFFSET(Grunddaten!AZ47,Biogas_Produkt,0)*((OFFSET(Grunddaten!$S47,Biogas_Produkt,0)-OFFSET(Grunddaten!$Q47,Biogas_Produkt,0))/100*$G72+$E72),-1)</f>
        <v>0</v>
      </c>
      <c r="AA72" s="552">
        <f ca="1">ROUND(OFFSET(Grunddaten!BA47,Biogas_Produkt,0)*((OFFSET(Grunddaten!$S47,Biogas_Produkt,0)-OFFSET(Grunddaten!$Q47,Biogas_Produkt,0))/100*$G72+$E72),-1)</f>
        <v>0</v>
      </c>
      <c r="AB72" s="552">
        <f ca="1">ROUND(OFFSET(Grunddaten!BB47,Biogas_Produkt,0)*((OFFSET(Grunddaten!$S47,Biogas_Produkt,0)-OFFSET(Grunddaten!$Q47,Biogas_Produkt,0))/100*$G72+$E72),-1)</f>
        <v>0</v>
      </c>
      <c r="AC72" s="552">
        <f ca="1">ROUND(OFFSET(Grunddaten!BC47,Biogas_Produkt,0)*((OFFSET(Grunddaten!$S47,Biogas_Produkt,0)-OFFSET(Grunddaten!$Q47,Biogas_Produkt,0))/100*$G72+$E72),-1)</f>
        <v>0</v>
      </c>
      <c r="AD72" s="552">
        <f ca="1">ROUND(OFFSET(Grunddaten!BD47,Biogas_Produkt,0)*((OFFSET(Grunddaten!$S47,Biogas_Produkt,0)-OFFSET(Grunddaten!$Q47,Biogas_Produkt,0))/100*$G72+$E72),-1)</f>
        <v>0</v>
      </c>
      <c r="AE72" s="552">
        <f ca="1">ROUND(OFFSET(Grunddaten!BE47,Biogas_Produkt,0)*((OFFSET(Grunddaten!$S47,Biogas_Produkt,0)-OFFSET(Grunddaten!$Q47,Biogas_Produkt,0))/100*$G72+$E72),-1)</f>
        <v>0</v>
      </c>
      <c r="AF72" s="552">
        <f ca="1">ROUND(OFFSET(Grunddaten!BF47,Biogas_Produkt,0)*((OFFSET(Grunddaten!$S47,Biogas_Produkt,0)-OFFSET(Grunddaten!$Q47,Biogas_Produkt,0))/100*$G72+$E72),-1)</f>
        <v>0</v>
      </c>
      <c r="AG72" s="552">
        <f ca="1">ROUND(OFFSET(Grunddaten!BG47,Biogas_Produkt,0)*((OFFSET(Grunddaten!$S47,Biogas_Produkt,0)-OFFSET(Grunddaten!$Q47,Biogas_Produkt,0))/100*$G72+$E72),-1)</f>
        <v>0</v>
      </c>
      <c r="AH72" s="552">
        <f ca="1">ROUND(OFFSET(Grunddaten!BH47,Biogas_Produkt,0)*((OFFSET(Grunddaten!$S47,Biogas_Produkt,0)-OFFSET(Grunddaten!$Q47,Biogas_Produkt,0))/100*$G72+$E72),-1)</f>
        <v>0</v>
      </c>
      <c r="AI72" s="552">
        <f ca="1">ROUND(OFFSET(Grunddaten!BI47,Biogas_Produkt,0)*((OFFSET(Grunddaten!$S47,Biogas_Produkt,0)-OFFSET(Grunddaten!$Q47,Biogas_Produkt,0))/100*$G72+$E72),-1)</f>
        <v>0</v>
      </c>
      <c r="AJ72" s="552">
        <f ca="1">ROUND(OFFSET(Grunddaten!BJ47,Biogas_Produkt,0)*((OFFSET(Grunddaten!$S47,Biogas_Produkt,0)-OFFSET(Grunddaten!$Q47,Biogas_Produkt,0))/100*$G72+$E72),-1)</f>
        <v>0</v>
      </c>
      <c r="AK72" s="552">
        <f ca="1">ROUND(OFFSET(Grunddaten!BK47,Biogas_Produkt,0)*((OFFSET(Grunddaten!$S47,Biogas_Produkt,0)-OFFSET(Grunddaten!$Q47,Biogas_Produkt,0))/100*$G72+$E72),-1)</f>
        <v>0</v>
      </c>
      <c r="AL72" s="552">
        <f ca="1">ROUND(OFFSET(Grunddaten!BL47,Biogas_Produkt,0)*((OFFSET(Grunddaten!$S47,Biogas_Produkt,0)-OFFSET(Grunddaten!$Q47,Biogas_Produkt,0))/100*$G72+$E72),-1)</f>
        <v>0</v>
      </c>
      <c r="AM72" s="552">
        <f ca="1">ROUND(OFFSET(Grunddaten!BM47,Biogas_Produkt,0)*((OFFSET(Grunddaten!$S47,Biogas_Produkt,0)-OFFSET(Grunddaten!$Q47,Biogas_Produkt,0))/100*$G72+$E72),-1)</f>
        <v>0</v>
      </c>
      <c r="AN72" s="552">
        <f ca="1">ROUND(OFFSET(Grunddaten!BN47,Biogas_Produkt,0)*((OFFSET(Grunddaten!$S47,Biogas_Produkt,0)-OFFSET(Grunddaten!$Q47,Biogas_Produkt,0))/100*$G72+$E72),-1)</f>
        <v>0</v>
      </c>
      <c r="AO72" s="552">
        <f ca="1">ROUND(OFFSET(Grunddaten!BO47,Biogas_Produkt,0)*((OFFSET(Grunddaten!$S47,Biogas_Produkt,0)-OFFSET(Grunddaten!$Q47,Biogas_Produkt,0))/100*$G72+$E72),-1)</f>
        <v>0</v>
      </c>
      <c r="AP72" s="552">
        <f ca="1">ROUND(OFFSET(Grunddaten!BP47,Biogas_Produkt,0)*((OFFSET(Grunddaten!$S47,Biogas_Produkt,0)-OFFSET(Grunddaten!$Q47,Biogas_Produkt,0))/100*$G72+$E72),-1)</f>
        <v>0</v>
      </c>
      <c r="AQ72" s="552">
        <f ca="1">ROUND(OFFSET(Grunddaten!BQ47,Biogas_Produkt,0)*((OFFSET(Grunddaten!$S47,Biogas_Produkt,0)-OFFSET(Grunddaten!$Q47,Biogas_Produkt,0))/100*$G72+$E72),-1)</f>
        <v>0</v>
      </c>
      <c r="AR72" s="552">
        <f ca="1">ROUND(OFFSET(Grunddaten!BR47,Biogas_Produkt,0)*((OFFSET(Grunddaten!$S47,Biogas_Produkt,0)-OFFSET(Grunddaten!$Q47,Biogas_Produkt,0))/100*$G72+$E72),-1)</f>
        <v>0</v>
      </c>
      <c r="AS72" s="552">
        <f ca="1">ROUND(OFFSET(Grunddaten!BS47,Biogas_Produkt,0)*((OFFSET(Grunddaten!$S47,Biogas_Produkt,0)-OFFSET(Grunddaten!$Q47,Biogas_Produkt,0))/100*$G72+$E72),-1)</f>
        <v>0</v>
      </c>
      <c r="AT72" s="552">
        <f ca="1">ROUND(OFFSET(Grunddaten!BT47,Biogas_Produkt,0)*((OFFSET(Grunddaten!$S47,Biogas_Produkt,0)-OFFSET(Grunddaten!$Q47,Biogas_Produkt,0))/100*$G72+$E72),-1)</f>
        <v>0</v>
      </c>
      <c r="AU72" s="552">
        <f ca="1">ROUND(OFFSET(Grunddaten!BU47,Biogas_Produkt,0)*((OFFSET(Grunddaten!$S47,Biogas_Produkt,0)-OFFSET(Grunddaten!$Q47,Biogas_Produkt,0))/100*$G72+$E72),-1)</f>
        <v>0</v>
      </c>
      <c r="AV72" s="552">
        <f ca="1">ROUND(OFFSET(Grunddaten!BV47,Biogas_Produkt,0)*((OFFSET(Grunddaten!$S47,Biogas_Produkt,0)-OFFSET(Grunddaten!$Q47,Biogas_Produkt,0))/100*$G72+$E72),-1)</f>
        <v>0</v>
      </c>
      <c r="AW72" s="552">
        <f ca="1">ROUND(OFFSET(Grunddaten!BW47,Biogas_Produkt,0)*((OFFSET(Grunddaten!$S47,Biogas_Produkt,0)-OFFSET(Grunddaten!$Q47,Biogas_Produkt,0))/100*$G72+$E72),-1)</f>
        <v>0</v>
      </c>
      <c r="AX72" s="552">
        <f ca="1">ROUND(OFFSET(Grunddaten!BX47,Biogas_Produkt,0)*((OFFSET(Grunddaten!$S47,Biogas_Produkt,0)-OFFSET(Grunddaten!$Q47,Biogas_Produkt,0))/100*$G72+$E72),-1)</f>
        <v>0</v>
      </c>
      <c r="AY72" s="552">
        <f ca="1">ROUND(OFFSET(Grunddaten!BY47,Biogas_Produkt,0)*((OFFSET(Grunddaten!$S47,Biogas_Produkt,0)-OFFSET(Grunddaten!$Q47,Biogas_Produkt,0))/100*$G72+$E72),-1)</f>
        <v>0</v>
      </c>
      <c r="AZ72" s="552">
        <f ca="1">ROUND(OFFSET(Grunddaten!BZ47,Biogas_Produkt,0)*((OFFSET(Grunddaten!$S47,Biogas_Produkt,0)-OFFSET(Grunddaten!$Q47,Biogas_Produkt,0))/100*$G72+$E72),-1)</f>
        <v>0</v>
      </c>
      <c r="BA72" s="552">
        <f ca="1">ROUND(OFFSET(Grunddaten!CA47,Biogas_Produkt,0)*((OFFSET(Grunddaten!$S47,Biogas_Produkt,0)-OFFSET(Grunddaten!$Q47,Biogas_Produkt,0))/100*$G72+$E72),-1)</f>
        <v>0</v>
      </c>
      <c r="BB72" s="552">
        <f ca="1">ROUND(OFFSET(Grunddaten!CB47,Biogas_Produkt,0)*((OFFSET(Grunddaten!$S47,Biogas_Produkt,0)-OFFSET(Grunddaten!$Q47,Biogas_Produkt,0))/100*$G72+$E72),-1)</f>
        <v>0</v>
      </c>
      <c r="BC72" s="552">
        <f ca="1">ROUND(OFFSET(Grunddaten!CC47,Biogas_Produkt,0)*((OFFSET(Grunddaten!$S47,Biogas_Produkt,0)-OFFSET(Grunddaten!$Q47,Biogas_Produkt,0))/100*$G72+$E72),-1)</f>
        <v>0</v>
      </c>
      <c r="BD72" s="552">
        <f ca="1">ROUND(OFFSET(Grunddaten!CD47,Biogas_Produkt,0)*((OFFSET(Grunddaten!$S47,Biogas_Produkt,0)-OFFSET(Grunddaten!$Q47,Biogas_Produkt,0))/100*$G72+$E72),-1)</f>
        <v>0</v>
      </c>
      <c r="BE72" s="552">
        <f ca="1">ROUND(OFFSET(Grunddaten!CE47,Biogas_Produkt,0)*((OFFSET(Grunddaten!$S47,Biogas_Produkt,0)-OFFSET(Grunddaten!$Q47,Biogas_Produkt,0))/100*$G72+$E72),-1)</f>
        <v>0</v>
      </c>
      <c r="BF72" s="552">
        <f ca="1">ROUND(OFFSET(Grunddaten!CF47,Biogas_Produkt,0)*((OFFSET(Grunddaten!$S47,Biogas_Produkt,0)-OFFSET(Grunddaten!$Q47,Biogas_Produkt,0))/100*$G72+$E72),-1)</f>
        <v>0</v>
      </c>
      <c r="BG72" s="552">
        <f ca="1">ROUND(OFFSET(Grunddaten!CG47,Biogas_Produkt,0)*((OFFSET(Grunddaten!$S47,Biogas_Produkt,0)-OFFSET(Grunddaten!$Q47,Biogas_Produkt,0))/100*$G72+$E72),-1)</f>
        <v>0</v>
      </c>
      <c r="BH72" s="552">
        <f ca="1">ROUND(OFFSET(Grunddaten!CH47,Biogas_Produkt,0)*((OFFSET(Grunddaten!$S47,Biogas_Produkt,0)-OFFSET(Grunddaten!$Q47,Biogas_Produkt,0))/100*$G72+$E72),-1)</f>
        <v>0</v>
      </c>
      <c r="BI72" s="552">
        <f ca="1">ROUND(OFFSET(Grunddaten!CI47,Biogas_Produkt,0)*((OFFSET(Grunddaten!$S47,Biogas_Produkt,0)-OFFSET(Grunddaten!$Q47,Biogas_Produkt,0))/100*$G72+$E72),-1)</f>
        <v>0</v>
      </c>
      <c r="BJ72" s="552">
        <f ca="1">ROUND(OFFSET(Grunddaten!CJ47,Biogas_Produkt,0)*((OFFSET(Grunddaten!$S47,Biogas_Produkt,0)-OFFSET(Grunddaten!$Q47,Biogas_Produkt,0))/100*$G72+$E72),-1)</f>
        <v>0</v>
      </c>
      <c r="BK72" s="552">
        <f ca="1">ROUND(OFFSET(Grunddaten!CK47,Biogas_Produkt,0)*((OFFSET(Grunddaten!$S47,Biogas_Produkt,0)-OFFSET(Grunddaten!$Q47,Biogas_Produkt,0))/100*$G72+$E72),-1)</f>
        <v>0</v>
      </c>
      <c r="BL72" s="552">
        <f ca="1">ROUND(OFFSET(Grunddaten!CL47,Biogas_Produkt,0)*((OFFSET(Grunddaten!$S47,Biogas_Produkt,0)-OFFSET(Grunddaten!$Q47,Biogas_Produkt,0))/100*$G72+$E72),-1)</f>
        <v>0</v>
      </c>
      <c r="BM72" s="552">
        <f ca="1">ROUND(OFFSET(Grunddaten!CM47,Biogas_Produkt,0)*((OFFSET(Grunddaten!$S47,Biogas_Produkt,0)-OFFSET(Grunddaten!$Q47,Biogas_Produkt,0))/100*$G72+$E72),-1)</f>
        <v>0</v>
      </c>
      <c r="BN72" s="552">
        <f ca="1">ROUND(OFFSET(Grunddaten!CN47,Biogas_Produkt,0)*((OFFSET(Grunddaten!$S47,Biogas_Produkt,0)-OFFSET(Grunddaten!$Q47,Biogas_Produkt,0))/100*$G72+$E72),-1)</f>
        <v>0</v>
      </c>
      <c r="BO72" s="552">
        <f ca="1">ROUND(OFFSET(Grunddaten!CO47,Biogas_Produkt,0)*((OFFSET(Grunddaten!$S47,Biogas_Produkt,0)-OFFSET(Grunddaten!$Q47,Biogas_Produkt,0))/100*$G72+$E72),-1)</f>
        <v>0</v>
      </c>
      <c r="BP72" s="552">
        <f ca="1">ROUND(OFFSET(Grunddaten!CP47,Biogas_Produkt,0)*((OFFSET(Grunddaten!$S47,Biogas_Produkt,0)-OFFSET(Grunddaten!$Q47,Biogas_Produkt,0))/100*$G72+$E72),-1)</f>
        <v>0</v>
      </c>
      <c r="BQ72" s="553">
        <f ca="1">ROUND(OFFSET(Grunddaten!CQ47,Biogas_Produkt,0)*((OFFSET(Grunddaten!$S47,Biogas_Produkt,0)-OFFSET(Grunddaten!$Q47,Biogas_Produkt,0))/100*$G72+$E72),-1)</f>
        <v>0</v>
      </c>
    </row>
    <row r="73" spans="1:69" s="36" customFormat="1" ht="11.25" customHeight="1" x14ac:dyDescent="0.2">
      <c r="A73" s="1011" t="str">
        <f>Berechnungen!A33</f>
        <v>Erdgas</v>
      </c>
      <c r="B73" s="1014"/>
      <c r="C73" s="1491"/>
      <c r="D73" s="1491"/>
      <c r="E73" s="2397">
        <f xml:space="preserve"> (IF(EV_Var2!$A$20=$A73,EV_Var2!$H$20,0) + IF(EV_Var2!$A$24=$A73,EV_Var2!$H$24,0) + IF(EV_Var2!$A$29=$A73,(EV_Var2!$H$28-EV_Var2!$AA$24),0) + IF(EV_Var2!$A$60=$A73,EV_Var2!$H$60,0)) * Grunddaten!$AI49</f>
        <v>0</v>
      </c>
      <c r="F73" s="2398"/>
      <c r="G73" s="2392">
        <f ca="1">SUMIF(EV_Var2!$A$11:$B$74,$A73,EV_Var2!$E$11:$E$74)</f>
        <v>0</v>
      </c>
      <c r="H73" s="2393"/>
      <c r="I73" s="2394"/>
      <c r="J73" s="2390">
        <f>Grunddaten!S49-(1-$R$109)*Grunddaten!Q49</f>
        <v>12.3</v>
      </c>
      <c r="K73" s="2391"/>
      <c r="L73" s="2424">
        <f t="shared" ca="1" si="4"/>
        <v>0</v>
      </c>
      <c r="M73" s="2425"/>
      <c r="N73" s="2426"/>
      <c r="P73" s="145"/>
      <c r="Q73" s="145"/>
      <c r="S73" s="551">
        <f ca="1">ROUND(Grunddaten!AS49*((Grunddaten!$S49-Grunddaten!$Q49)/100*$G73+$E73),-1)</f>
        <v>0</v>
      </c>
      <c r="T73" s="552">
        <f ca="1">ROUND(Grunddaten!AT49*((Grunddaten!$S49-Grunddaten!$Q49)/100*$G73+$E73),-1)</f>
        <v>0</v>
      </c>
      <c r="U73" s="552">
        <f ca="1">ROUND(Grunddaten!AU49*((Grunddaten!$S49-Grunddaten!$Q49)/100*$G73+$E73),-1)</f>
        <v>0</v>
      </c>
      <c r="V73" s="552">
        <f ca="1">ROUND(Grunddaten!AV49*((Grunddaten!$S49-Grunddaten!$Q49)/100*$G73+$E73),-1)</f>
        <v>0</v>
      </c>
      <c r="W73" s="552">
        <f ca="1">ROUND(Grunddaten!AW49*((Grunddaten!$S49-Grunddaten!$Q49)/100*$G73+$E73),-1)</f>
        <v>0</v>
      </c>
      <c r="X73" s="552">
        <f ca="1">ROUND(Grunddaten!AX49*((Grunddaten!$S49-Grunddaten!$Q49)/100*$G73+$E73),-1)</f>
        <v>0</v>
      </c>
      <c r="Y73" s="552">
        <f ca="1">ROUND(Grunddaten!AY49*((Grunddaten!$S49-Grunddaten!$Q49)/100*$G73+$E73),-1)</f>
        <v>0</v>
      </c>
      <c r="Z73" s="552">
        <f ca="1">ROUND(Grunddaten!AZ49*((Grunddaten!$S49-Grunddaten!$Q49)/100*$G73+$E73),-1)</f>
        <v>0</v>
      </c>
      <c r="AA73" s="552">
        <f ca="1">ROUND(Grunddaten!BA49*((Grunddaten!$S49-Grunddaten!$Q49)/100*$G73+$E73),-1)</f>
        <v>0</v>
      </c>
      <c r="AB73" s="255">
        <f ca="1">ROUND(Grunddaten!BB49*((Grunddaten!$S49-Grunddaten!$Q49)/100*$G73+$E73),-1)</f>
        <v>0</v>
      </c>
      <c r="AC73" s="255">
        <f ca="1">ROUND(Grunddaten!BC49*((Grunddaten!$S49-Grunddaten!$Q49)/100*$G73+$E73),-1)</f>
        <v>0</v>
      </c>
      <c r="AD73" s="255">
        <f ca="1">ROUND(Grunddaten!BD49*((Grunddaten!$S49-Grunddaten!$Q49)/100*$G73+$E73),-1)</f>
        <v>0</v>
      </c>
      <c r="AE73" s="255">
        <f ca="1">ROUND(Grunddaten!BE49*((Grunddaten!$S49-Grunddaten!$Q49)/100*$G73+$E73),-1)</f>
        <v>0</v>
      </c>
      <c r="AF73" s="255">
        <f ca="1">ROUND(Grunddaten!BF49*((Grunddaten!$S49-Grunddaten!$Q49)/100*$G73+$E73),-1)</f>
        <v>0</v>
      </c>
      <c r="AG73" s="255">
        <f ca="1">ROUND(Grunddaten!BG49*((Grunddaten!$S49-Grunddaten!$Q49)/100*$G73+$E73),-1)</f>
        <v>0</v>
      </c>
      <c r="AH73" s="255">
        <f ca="1">ROUND(Grunddaten!BH49*((Grunddaten!$S49-Grunddaten!$Q49)/100*$G73+$E73),-1)</f>
        <v>0</v>
      </c>
      <c r="AI73" s="255">
        <f ca="1">ROUND(Grunddaten!BI49*((Grunddaten!$S49-Grunddaten!$Q49)/100*$G73+$E73),-1)</f>
        <v>0</v>
      </c>
      <c r="AJ73" s="255">
        <f ca="1">ROUND(Grunddaten!BJ49*((Grunddaten!$S49-Grunddaten!$Q49)/100*$G73+$E73),-1)</f>
        <v>0</v>
      </c>
      <c r="AK73" s="255">
        <f ca="1">ROUND(Grunddaten!BK49*((Grunddaten!$S49-Grunddaten!$Q49)/100*$G73+$E73),-1)</f>
        <v>0</v>
      </c>
      <c r="AL73" s="255">
        <f ca="1">ROUND(Grunddaten!BL49*((Grunddaten!$S49-Grunddaten!$Q49)/100*$G73+$E73),-1)</f>
        <v>0</v>
      </c>
      <c r="AM73" s="255">
        <f ca="1">ROUND(Grunddaten!BM49*((Grunddaten!$S49-Grunddaten!$Q49)/100*$G73+$E73),-1)</f>
        <v>0</v>
      </c>
      <c r="AN73" s="255">
        <f ca="1">ROUND(Grunddaten!BN49*((Grunddaten!$S49-Grunddaten!$Q49)/100*$G73+$E73),-1)</f>
        <v>0</v>
      </c>
      <c r="AO73" s="255">
        <f ca="1">ROUND(Grunddaten!BO49*((Grunddaten!$S49-Grunddaten!$Q49)/100*$G73+$E73),-1)</f>
        <v>0</v>
      </c>
      <c r="AP73" s="255">
        <f ca="1">ROUND(Grunddaten!BP49*((Grunddaten!$S49-Grunddaten!$Q49)/100*$G73+$E73),-1)</f>
        <v>0</v>
      </c>
      <c r="AQ73" s="255">
        <f ca="1">ROUND(Grunddaten!BQ49*((Grunddaten!$S49-Grunddaten!$Q49)/100*$G73+$E73),-1)</f>
        <v>0</v>
      </c>
      <c r="AR73" s="255">
        <f ca="1">ROUND(Grunddaten!BR49*((Grunddaten!$S49-Grunddaten!$Q49)/100*$G73+$E73),-1)</f>
        <v>0</v>
      </c>
      <c r="AS73" s="255">
        <f ca="1">ROUND(Grunddaten!BS49*((Grunddaten!$S49-Grunddaten!$Q49)/100*$G73+$E73),-1)</f>
        <v>0</v>
      </c>
      <c r="AT73" s="255">
        <f ca="1">ROUND(Grunddaten!BT49*((Grunddaten!$S49-Grunddaten!$Q49)/100*$G73+$E73),-1)</f>
        <v>0</v>
      </c>
      <c r="AU73" s="255">
        <f ca="1">ROUND(Grunddaten!BU49*((Grunddaten!$S49-Grunddaten!$Q49)/100*$G73+$E73),-1)</f>
        <v>0</v>
      </c>
      <c r="AV73" s="255">
        <f ca="1">ROUND(Grunddaten!BV49*((Grunddaten!$S49-Grunddaten!$Q49)/100*$G73+$E73),-1)</f>
        <v>0</v>
      </c>
      <c r="AW73" s="255">
        <f ca="1">ROUND(Grunddaten!BW49*((Grunddaten!$S49-Grunddaten!$Q49)/100*$G73+$E73),-1)</f>
        <v>0</v>
      </c>
      <c r="AX73" s="255">
        <f ca="1">ROUND(Grunddaten!BX49*((Grunddaten!$S49-Grunddaten!$Q49)/100*$G73+$E73),-1)</f>
        <v>0</v>
      </c>
      <c r="AY73" s="255">
        <f ca="1">ROUND(Grunddaten!BY49*((Grunddaten!$S49-Grunddaten!$Q49)/100*$G73+$E73),-1)</f>
        <v>0</v>
      </c>
      <c r="AZ73" s="255">
        <f ca="1">ROUND(Grunddaten!BZ49*((Grunddaten!$S49-Grunddaten!$Q49)/100*$G73+$E73),-1)</f>
        <v>0</v>
      </c>
      <c r="BA73" s="255">
        <f ca="1">ROUND(Grunddaten!CA49*((Grunddaten!$S49-Grunddaten!$Q49)/100*$G73+$E73),-1)</f>
        <v>0</v>
      </c>
      <c r="BB73" s="255">
        <f ca="1">ROUND(Grunddaten!CB49*((Grunddaten!$S49-Grunddaten!$Q49)/100*$G73+$E73),-1)</f>
        <v>0</v>
      </c>
      <c r="BC73" s="255">
        <f ca="1">ROUND(Grunddaten!CC49*((Grunddaten!$S49-Grunddaten!$Q49)/100*$G73+$E73),-1)</f>
        <v>0</v>
      </c>
      <c r="BD73" s="255">
        <f ca="1">ROUND(Grunddaten!CD49*((Grunddaten!$S49-Grunddaten!$Q49)/100*$G73+$E73),-1)</f>
        <v>0</v>
      </c>
      <c r="BE73" s="255">
        <f ca="1">ROUND(Grunddaten!CE49*((Grunddaten!$S49-Grunddaten!$Q49)/100*$G73+$E73),-1)</f>
        <v>0</v>
      </c>
      <c r="BF73" s="255">
        <f ca="1">ROUND(Grunddaten!CF49*((Grunddaten!$S49-Grunddaten!$Q49)/100*$G73+$E73),-1)</f>
        <v>0</v>
      </c>
      <c r="BG73" s="255">
        <f ca="1">ROUND(Grunddaten!CG49*((Grunddaten!$S49-Grunddaten!$Q49)/100*$G73+$E73),-1)</f>
        <v>0</v>
      </c>
      <c r="BH73" s="255">
        <f ca="1">ROUND(Grunddaten!CH49*((Grunddaten!$S49-Grunddaten!$Q49)/100*$G73+$E73),-1)</f>
        <v>0</v>
      </c>
      <c r="BI73" s="255">
        <f ca="1">ROUND(Grunddaten!CI49*((Grunddaten!$S49-Grunddaten!$Q49)/100*$G73+$E73),-1)</f>
        <v>0</v>
      </c>
      <c r="BJ73" s="255">
        <f ca="1">ROUND(Grunddaten!CJ49*((Grunddaten!$S49-Grunddaten!$Q49)/100*$G73+$E73),-1)</f>
        <v>0</v>
      </c>
      <c r="BK73" s="255">
        <f ca="1">ROUND(Grunddaten!CK49*((Grunddaten!$S49-Grunddaten!$Q49)/100*$G73+$E73),-1)</f>
        <v>0</v>
      </c>
      <c r="BL73" s="255">
        <f ca="1">ROUND(Grunddaten!CL49*((Grunddaten!$S49-Grunddaten!$Q49)/100*$G73+$E73),-1)</f>
        <v>0</v>
      </c>
      <c r="BM73" s="255">
        <f ca="1">ROUND(Grunddaten!CM49*((Grunddaten!$S49-Grunddaten!$Q49)/100*$G73+$E73),-1)</f>
        <v>0</v>
      </c>
      <c r="BN73" s="255">
        <f ca="1">ROUND(Grunddaten!CN49*((Grunddaten!$S49-Grunddaten!$Q49)/100*$G73+$E73),-1)</f>
        <v>0</v>
      </c>
      <c r="BO73" s="255">
        <f ca="1">ROUND(Grunddaten!CO49*((Grunddaten!$S49-Grunddaten!$Q49)/100*$G73+$E73),-1)</f>
        <v>0</v>
      </c>
      <c r="BP73" s="255">
        <f ca="1">ROUND(Grunddaten!CP49*((Grunddaten!$S49-Grunddaten!$Q49)/100*$G73+$E73),-1)</f>
        <v>0</v>
      </c>
      <c r="BQ73" s="256">
        <f ca="1">ROUND(Grunddaten!CQ49*((Grunddaten!$S49-Grunddaten!$Q49)/100*$G73+$E73),-1)</f>
        <v>0</v>
      </c>
    </row>
    <row r="74" spans="1:69" s="36" customFormat="1" ht="11.25" customHeight="1" x14ac:dyDescent="0.2">
      <c r="A74" s="1011" t="str">
        <f>Berechnungen!A32</f>
        <v>Heizöl EL</v>
      </c>
      <c r="B74" s="1491"/>
      <c r="C74" s="1491"/>
      <c r="D74" s="1491"/>
      <c r="E74" s="2397"/>
      <c r="F74" s="2398"/>
      <c r="G74" s="2392">
        <f ca="1">SUMIF(EV_Var2!$A$11:$B$74,$A74,EV_Var2!$E$11:$E$74)</f>
        <v>0</v>
      </c>
      <c r="H74" s="2393"/>
      <c r="I74" s="2394"/>
      <c r="J74" s="2390">
        <f>Grunddaten!S50-(1-$R$109)*Grunddaten!Q50</f>
        <v>9.8000000000000007</v>
      </c>
      <c r="K74" s="2391"/>
      <c r="L74" s="2424">
        <f t="shared" ca="1" si="4"/>
        <v>0</v>
      </c>
      <c r="M74" s="2425"/>
      <c r="N74" s="2426"/>
      <c r="P74" s="145"/>
      <c r="Q74" s="145"/>
      <c r="S74" s="551">
        <f ca="1">ROUND(Grunddaten!AS50*((Grunddaten!$S50-Grunddaten!$Q50)/100*$G74+$E74),-1)</f>
        <v>0</v>
      </c>
      <c r="T74" s="552">
        <f ca="1">ROUND(Grunddaten!AT50*((Grunddaten!$S50-Grunddaten!$Q50)/100*$G74+$E74),-1)</f>
        <v>0</v>
      </c>
      <c r="U74" s="552">
        <f ca="1">ROUND(Grunddaten!AU50*((Grunddaten!$S50-Grunddaten!$Q50)/100*$G74+$E74),-1)</f>
        <v>0</v>
      </c>
      <c r="V74" s="552">
        <f ca="1">ROUND(Grunddaten!AV50*((Grunddaten!$S50-Grunddaten!$Q50)/100*$G74+$E74),-1)</f>
        <v>0</v>
      </c>
      <c r="W74" s="552">
        <f ca="1">ROUND(Grunddaten!AW50*((Grunddaten!$S50-Grunddaten!$Q50)/100*$G74+$E74),-1)</f>
        <v>0</v>
      </c>
      <c r="X74" s="552">
        <f ca="1">ROUND(Grunddaten!AX50*((Grunddaten!$S50-Grunddaten!$Q50)/100*$G74+$E74),-1)</f>
        <v>0</v>
      </c>
      <c r="Y74" s="552">
        <f ca="1">ROUND(Grunddaten!AY50*((Grunddaten!$S50-Grunddaten!$Q50)/100*$G74+$E74),-1)</f>
        <v>0</v>
      </c>
      <c r="Z74" s="552">
        <f ca="1">ROUND(Grunddaten!AZ50*((Grunddaten!$S50-Grunddaten!$Q50)/100*$G74+$E74),-1)</f>
        <v>0</v>
      </c>
      <c r="AA74" s="552">
        <f ca="1">ROUND(Grunddaten!BA50*((Grunddaten!$S50-Grunddaten!$Q50)/100*$G74+$E74),-1)</f>
        <v>0</v>
      </c>
      <c r="AB74" s="255">
        <f ca="1">ROUND(Grunddaten!BB50*((Grunddaten!$S50-Grunddaten!$Q50)/100*$G74+$E74),-1)</f>
        <v>0</v>
      </c>
      <c r="AC74" s="255">
        <f ca="1">ROUND(Grunddaten!BC50*((Grunddaten!$S50-Grunddaten!$Q50)/100*$G74+$E74),-1)</f>
        <v>0</v>
      </c>
      <c r="AD74" s="255">
        <f ca="1">ROUND(Grunddaten!BD50*((Grunddaten!$S50-Grunddaten!$Q50)/100*$G74+$E74),-1)</f>
        <v>0</v>
      </c>
      <c r="AE74" s="255">
        <f ca="1">ROUND(Grunddaten!BE50*((Grunddaten!$S50-Grunddaten!$Q50)/100*$G74+$E74),-1)</f>
        <v>0</v>
      </c>
      <c r="AF74" s="255">
        <f ca="1">ROUND(Grunddaten!BF50*((Grunddaten!$S50-Grunddaten!$Q50)/100*$G74+$E74),-1)</f>
        <v>0</v>
      </c>
      <c r="AG74" s="255">
        <f ca="1">ROUND(Grunddaten!BG50*((Grunddaten!$S50-Grunddaten!$Q50)/100*$G74+$E74),-1)</f>
        <v>0</v>
      </c>
      <c r="AH74" s="255">
        <f ca="1">ROUND(Grunddaten!BH50*((Grunddaten!$S50-Grunddaten!$Q50)/100*$G74+$E74),-1)</f>
        <v>0</v>
      </c>
      <c r="AI74" s="255">
        <f ca="1">ROUND(Grunddaten!BI50*((Grunddaten!$S50-Grunddaten!$Q50)/100*$G74+$E74),-1)</f>
        <v>0</v>
      </c>
      <c r="AJ74" s="255">
        <f ca="1">ROUND(Grunddaten!BJ50*((Grunddaten!$S50-Grunddaten!$Q50)/100*$G74+$E74),-1)</f>
        <v>0</v>
      </c>
      <c r="AK74" s="255">
        <f ca="1">ROUND(Grunddaten!BK50*((Grunddaten!$S50-Grunddaten!$Q50)/100*$G74+$E74),-1)</f>
        <v>0</v>
      </c>
      <c r="AL74" s="255">
        <f ca="1">ROUND(Grunddaten!BL50*((Grunddaten!$S50-Grunddaten!$Q50)/100*$G74+$E74),-1)</f>
        <v>0</v>
      </c>
      <c r="AM74" s="255">
        <f ca="1">ROUND(Grunddaten!BM50*((Grunddaten!$S50-Grunddaten!$Q50)/100*$G74+$E74),-1)</f>
        <v>0</v>
      </c>
      <c r="AN74" s="255">
        <f ca="1">ROUND(Grunddaten!BN50*((Grunddaten!$S50-Grunddaten!$Q50)/100*$G74+$E74),-1)</f>
        <v>0</v>
      </c>
      <c r="AO74" s="255">
        <f ca="1">ROUND(Grunddaten!BO50*((Grunddaten!$S50-Grunddaten!$Q50)/100*$G74+$E74),-1)</f>
        <v>0</v>
      </c>
      <c r="AP74" s="255">
        <f ca="1">ROUND(Grunddaten!BP50*((Grunddaten!$S50-Grunddaten!$Q50)/100*$G74+$E74),-1)</f>
        <v>0</v>
      </c>
      <c r="AQ74" s="255">
        <f ca="1">ROUND(Grunddaten!BQ50*((Grunddaten!$S50-Grunddaten!$Q50)/100*$G74+$E74),-1)</f>
        <v>0</v>
      </c>
      <c r="AR74" s="255">
        <f ca="1">ROUND(Grunddaten!BR50*((Grunddaten!$S50-Grunddaten!$Q50)/100*$G74+$E74),-1)</f>
        <v>0</v>
      </c>
      <c r="AS74" s="255">
        <f ca="1">ROUND(Grunddaten!BS50*((Grunddaten!$S50-Grunddaten!$Q50)/100*$G74+$E74),-1)</f>
        <v>0</v>
      </c>
      <c r="AT74" s="255">
        <f ca="1">ROUND(Grunddaten!BT50*((Grunddaten!$S50-Grunddaten!$Q50)/100*$G74+$E74),-1)</f>
        <v>0</v>
      </c>
      <c r="AU74" s="255">
        <f ca="1">ROUND(Grunddaten!BU50*((Grunddaten!$S50-Grunddaten!$Q50)/100*$G74+$E74),-1)</f>
        <v>0</v>
      </c>
      <c r="AV74" s="255">
        <f ca="1">ROUND(Grunddaten!BV50*((Grunddaten!$S50-Grunddaten!$Q50)/100*$G74+$E74),-1)</f>
        <v>0</v>
      </c>
      <c r="AW74" s="255">
        <f ca="1">ROUND(Grunddaten!BW50*((Grunddaten!$S50-Grunddaten!$Q50)/100*$G74+$E74),-1)</f>
        <v>0</v>
      </c>
      <c r="AX74" s="255">
        <f ca="1">ROUND(Grunddaten!BX50*((Grunddaten!$S50-Grunddaten!$Q50)/100*$G74+$E74),-1)</f>
        <v>0</v>
      </c>
      <c r="AY74" s="255">
        <f ca="1">ROUND(Grunddaten!BY50*((Grunddaten!$S50-Grunddaten!$Q50)/100*$G74+$E74),-1)</f>
        <v>0</v>
      </c>
      <c r="AZ74" s="255">
        <f ca="1">ROUND(Grunddaten!BZ50*((Grunddaten!$S50-Grunddaten!$Q50)/100*$G74+$E74),-1)</f>
        <v>0</v>
      </c>
      <c r="BA74" s="255">
        <f ca="1">ROUND(Grunddaten!CA50*((Grunddaten!$S50-Grunddaten!$Q50)/100*$G74+$E74),-1)</f>
        <v>0</v>
      </c>
      <c r="BB74" s="255">
        <f ca="1">ROUND(Grunddaten!CB50*((Grunddaten!$S50-Grunddaten!$Q50)/100*$G74+$E74),-1)</f>
        <v>0</v>
      </c>
      <c r="BC74" s="255">
        <f ca="1">ROUND(Grunddaten!CC50*((Grunddaten!$S50-Grunddaten!$Q50)/100*$G74+$E74),-1)</f>
        <v>0</v>
      </c>
      <c r="BD74" s="255">
        <f ca="1">ROUND(Grunddaten!CD50*((Grunddaten!$S50-Grunddaten!$Q50)/100*$G74+$E74),-1)</f>
        <v>0</v>
      </c>
      <c r="BE74" s="255">
        <f ca="1">ROUND(Grunddaten!CE50*((Grunddaten!$S50-Grunddaten!$Q50)/100*$G74+$E74),-1)</f>
        <v>0</v>
      </c>
      <c r="BF74" s="255">
        <f ca="1">ROUND(Grunddaten!CF50*((Grunddaten!$S50-Grunddaten!$Q50)/100*$G74+$E74),-1)</f>
        <v>0</v>
      </c>
      <c r="BG74" s="255">
        <f ca="1">ROUND(Grunddaten!CG50*((Grunddaten!$S50-Grunddaten!$Q50)/100*$G74+$E74),-1)</f>
        <v>0</v>
      </c>
      <c r="BH74" s="255">
        <f ca="1">ROUND(Grunddaten!CH50*((Grunddaten!$S50-Grunddaten!$Q50)/100*$G74+$E74),-1)</f>
        <v>0</v>
      </c>
      <c r="BI74" s="255">
        <f ca="1">ROUND(Grunddaten!CI50*((Grunddaten!$S50-Grunddaten!$Q50)/100*$G74+$E74),-1)</f>
        <v>0</v>
      </c>
      <c r="BJ74" s="255">
        <f ca="1">ROUND(Grunddaten!CJ50*((Grunddaten!$S50-Grunddaten!$Q50)/100*$G74+$E74),-1)</f>
        <v>0</v>
      </c>
      <c r="BK74" s="255">
        <f ca="1">ROUND(Grunddaten!CK50*((Grunddaten!$S50-Grunddaten!$Q50)/100*$G74+$E74),-1)</f>
        <v>0</v>
      </c>
      <c r="BL74" s="255">
        <f ca="1">ROUND(Grunddaten!CL50*((Grunddaten!$S50-Grunddaten!$Q50)/100*$G74+$E74),-1)</f>
        <v>0</v>
      </c>
      <c r="BM74" s="255">
        <f ca="1">ROUND(Grunddaten!CM50*((Grunddaten!$S50-Grunddaten!$Q50)/100*$G74+$E74),-1)</f>
        <v>0</v>
      </c>
      <c r="BN74" s="255">
        <f ca="1">ROUND(Grunddaten!CN50*((Grunddaten!$S50-Grunddaten!$Q50)/100*$G74+$E74),-1)</f>
        <v>0</v>
      </c>
      <c r="BO74" s="255">
        <f ca="1">ROUND(Grunddaten!CO50*((Grunddaten!$S50-Grunddaten!$Q50)/100*$G74+$E74),-1)</f>
        <v>0</v>
      </c>
      <c r="BP74" s="255">
        <f ca="1">ROUND(Grunddaten!CP50*((Grunddaten!$S50-Grunddaten!$Q50)/100*$G74+$E74),-1)</f>
        <v>0</v>
      </c>
      <c r="BQ74" s="256">
        <f ca="1">ROUND(Grunddaten!CQ50*((Grunddaten!$S50-Grunddaten!$Q50)/100*$G74+$E74),-1)</f>
        <v>0</v>
      </c>
    </row>
    <row r="75" spans="1:69" s="36" customFormat="1" ht="11.25" customHeight="1" x14ac:dyDescent="0.2">
      <c r="A75" s="1013" t="str">
        <f>Grunddaten!$C$51</f>
        <v>Brennstoff XY</v>
      </c>
      <c r="B75" s="1014"/>
      <c r="C75" s="2721"/>
      <c r="D75" s="2721"/>
      <c r="E75" s="2397">
        <f xml:space="preserve"> (IF(EV_Var2!$A$20=$A75,EV_Var2!$H$20,0) + IF(EV_Var2!$A$24=$A75,EV_Var2!$H$24,0) + IF(EV_Var2!$A$29=$A75,(EV_Var2!$H$28-EV_Var2!$AA$24),0) + IF(EV_Var2!$A$60=$A75,EV_Var2!$H$60,0)) * Grunddaten!$AI51</f>
        <v>0</v>
      </c>
      <c r="F75" s="2398"/>
      <c r="G75" s="2392">
        <f ca="1">SUMIF(EV_Var2!$A$11:$B$74,$A75,EV_Var2!$E$11:$E$74)</f>
        <v>0</v>
      </c>
      <c r="H75" s="2393"/>
      <c r="I75" s="2394"/>
      <c r="J75" s="2390">
        <f>Grunddaten!S51-(1-$R$109)*Grunddaten!Q51</f>
        <v>0</v>
      </c>
      <c r="K75" s="2391"/>
      <c r="L75" s="2424">
        <f t="shared" ca="1" si="4"/>
        <v>0</v>
      </c>
      <c r="M75" s="2425"/>
      <c r="N75" s="2426"/>
      <c r="P75" s="145"/>
      <c r="Q75" s="145"/>
      <c r="S75" s="551">
        <f ca="1">ROUND(Grunddaten!AS51*((Grunddaten!$S51-Grunddaten!$Q51)/100*$G75+$E75),-1)</f>
        <v>0</v>
      </c>
      <c r="T75" s="552">
        <f ca="1">ROUND(Grunddaten!AT51*((Grunddaten!$S51-Grunddaten!$Q51)/100*$G75+$E75),-1)</f>
        <v>0</v>
      </c>
      <c r="U75" s="552">
        <f ca="1">ROUND(Grunddaten!AU51*((Grunddaten!$S51-Grunddaten!$Q51)/100*$G75+$E75),-1)</f>
        <v>0</v>
      </c>
      <c r="V75" s="552">
        <f ca="1">ROUND(Grunddaten!AV51*((Grunddaten!$S51-Grunddaten!$Q51)/100*$G75+$E75),-1)</f>
        <v>0</v>
      </c>
      <c r="W75" s="552">
        <f ca="1">ROUND(Grunddaten!AW51*((Grunddaten!$S51-Grunddaten!$Q51)/100*$G75+$E75),-1)</f>
        <v>0</v>
      </c>
      <c r="X75" s="552">
        <f ca="1">ROUND(Grunddaten!AX51*((Grunddaten!$S51-Grunddaten!$Q51)/100*$G75+$E75),-1)</f>
        <v>0</v>
      </c>
      <c r="Y75" s="552">
        <f ca="1">ROUND(Grunddaten!AY51*((Grunddaten!$S51-Grunddaten!$Q51)/100*$G75+$E75),-1)</f>
        <v>0</v>
      </c>
      <c r="Z75" s="552">
        <f ca="1">ROUND(Grunddaten!AZ51*((Grunddaten!$S51-Grunddaten!$Q51)/100*$G75+$E75),-1)</f>
        <v>0</v>
      </c>
      <c r="AA75" s="552">
        <f ca="1">ROUND(Grunddaten!BA51*((Grunddaten!$S51-Grunddaten!$Q51)/100*$G75+$E75),-1)</f>
        <v>0</v>
      </c>
      <c r="AB75" s="255">
        <f ca="1">ROUND(Grunddaten!BB51*((Grunddaten!$S51-Grunddaten!$Q51)/100*$G75+$E75),-1)</f>
        <v>0</v>
      </c>
      <c r="AC75" s="255">
        <f ca="1">ROUND(Grunddaten!BC51*((Grunddaten!$S51-Grunddaten!$Q51)/100*$G75+$E75),-1)</f>
        <v>0</v>
      </c>
      <c r="AD75" s="255">
        <f ca="1">ROUND(Grunddaten!BD51*((Grunddaten!$S51-Grunddaten!$Q51)/100*$G75+$E75),-1)</f>
        <v>0</v>
      </c>
      <c r="AE75" s="255">
        <f ca="1">ROUND(Grunddaten!BE51*((Grunddaten!$S51-Grunddaten!$Q51)/100*$G75+$E75),-1)</f>
        <v>0</v>
      </c>
      <c r="AF75" s="255">
        <f ca="1">ROUND(Grunddaten!BF51*((Grunddaten!$S51-Grunddaten!$Q51)/100*$G75+$E75),-1)</f>
        <v>0</v>
      </c>
      <c r="AG75" s="255">
        <f ca="1">ROUND(Grunddaten!BG51*((Grunddaten!$S51-Grunddaten!$Q51)/100*$G75+$E75),-1)</f>
        <v>0</v>
      </c>
      <c r="AH75" s="255">
        <f ca="1">ROUND(Grunddaten!BH51*((Grunddaten!$S51-Grunddaten!$Q51)/100*$G75+$E75),-1)</f>
        <v>0</v>
      </c>
      <c r="AI75" s="255">
        <f ca="1">ROUND(Grunddaten!BI51*((Grunddaten!$S51-Grunddaten!$Q51)/100*$G75+$E75),-1)</f>
        <v>0</v>
      </c>
      <c r="AJ75" s="255">
        <f ca="1">ROUND(Grunddaten!BJ51*((Grunddaten!$S51-Grunddaten!$Q51)/100*$G75+$E75),-1)</f>
        <v>0</v>
      </c>
      <c r="AK75" s="255">
        <f ca="1">ROUND(Grunddaten!BK51*((Grunddaten!$S51-Grunddaten!$Q51)/100*$G75+$E75),-1)</f>
        <v>0</v>
      </c>
      <c r="AL75" s="255">
        <f ca="1">ROUND(Grunddaten!BL51*((Grunddaten!$S51-Grunddaten!$Q51)/100*$G75+$E75),-1)</f>
        <v>0</v>
      </c>
      <c r="AM75" s="255">
        <f ca="1">ROUND(Grunddaten!BM51*((Grunddaten!$S51-Grunddaten!$Q51)/100*$G75+$E75),-1)</f>
        <v>0</v>
      </c>
      <c r="AN75" s="255">
        <f ca="1">ROUND(Grunddaten!BN51*((Grunddaten!$S51-Grunddaten!$Q51)/100*$G75+$E75),-1)</f>
        <v>0</v>
      </c>
      <c r="AO75" s="255">
        <f ca="1">ROUND(Grunddaten!BO51*((Grunddaten!$S51-Grunddaten!$Q51)/100*$G75+$E75),-1)</f>
        <v>0</v>
      </c>
      <c r="AP75" s="255">
        <f ca="1">ROUND(Grunddaten!BP51*((Grunddaten!$S51-Grunddaten!$Q51)/100*$G75+$E75),-1)</f>
        <v>0</v>
      </c>
      <c r="AQ75" s="255">
        <f ca="1">ROUND(Grunddaten!BQ51*((Grunddaten!$S51-Grunddaten!$Q51)/100*$G75+$E75),-1)</f>
        <v>0</v>
      </c>
      <c r="AR75" s="255">
        <f ca="1">ROUND(Grunddaten!BR51*((Grunddaten!$S51-Grunddaten!$Q51)/100*$G75+$E75),-1)</f>
        <v>0</v>
      </c>
      <c r="AS75" s="255">
        <f ca="1">ROUND(Grunddaten!BS51*((Grunddaten!$S51-Grunddaten!$Q51)/100*$G75+$E75),-1)</f>
        <v>0</v>
      </c>
      <c r="AT75" s="255">
        <f ca="1">ROUND(Grunddaten!BT51*((Grunddaten!$S51-Grunddaten!$Q51)/100*$G75+$E75),-1)</f>
        <v>0</v>
      </c>
      <c r="AU75" s="255">
        <f ca="1">ROUND(Grunddaten!BU51*((Grunddaten!$S51-Grunddaten!$Q51)/100*$G75+$E75),-1)</f>
        <v>0</v>
      </c>
      <c r="AV75" s="255">
        <f ca="1">ROUND(Grunddaten!BV51*((Grunddaten!$S51-Grunddaten!$Q51)/100*$G75+$E75),-1)</f>
        <v>0</v>
      </c>
      <c r="AW75" s="255">
        <f ca="1">ROUND(Grunddaten!BW51*((Grunddaten!$S51-Grunddaten!$Q51)/100*$G75+$E75),-1)</f>
        <v>0</v>
      </c>
      <c r="AX75" s="255">
        <f ca="1">ROUND(Grunddaten!BX51*((Grunddaten!$S51-Grunddaten!$Q51)/100*$G75+$E75),-1)</f>
        <v>0</v>
      </c>
      <c r="AY75" s="255">
        <f ca="1">ROUND(Grunddaten!BY51*((Grunddaten!$S51-Grunddaten!$Q51)/100*$G75+$E75),-1)</f>
        <v>0</v>
      </c>
      <c r="AZ75" s="255">
        <f ca="1">ROUND(Grunddaten!BZ51*((Grunddaten!$S51-Grunddaten!$Q51)/100*$G75+$E75),-1)</f>
        <v>0</v>
      </c>
      <c r="BA75" s="255">
        <f ca="1">ROUND(Grunddaten!CA51*((Grunddaten!$S51-Grunddaten!$Q51)/100*$G75+$E75),-1)</f>
        <v>0</v>
      </c>
      <c r="BB75" s="255">
        <f ca="1">ROUND(Grunddaten!CB51*((Grunddaten!$S51-Grunddaten!$Q51)/100*$G75+$E75),-1)</f>
        <v>0</v>
      </c>
      <c r="BC75" s="255">
        <f ca="1">ROUND(Grunddaten!CC51*((Grunddaten!$S51-Grunddaten!$Q51)/100*$G75+$E75),-1)</f>
        <v>0</v>
      </c>
      <c r="BD75" s="255">
        <f ca="1">ROUND(Grunddaten!CD51*((Grunddaten!$S51-Grunddaten!$Q51)/100*$G75+$E75),-1)</f>
        <v>0</v>
      </c>
      <c r="BE75" s="255">
        <f ca="1">ROUND(Grunddaten!CE51*((Grunddaten!$S51-Grunddaten!$Q51)/100*$G75+$E75),-1)</f>
        <v>0</v>
      </c>
      <c r="BF75" s="255">
        <f ca="1">ROUND(Grunddaten!CF51*((Grunddaten!$S51-Grunddaten!$Q51)/100*$G75+$E75),-1)</f>
        <v>0</v>
      </c>
      <c r="BG75" s="255">
        <f ca="1">ROUND(Grunddaten!CG51*((Grunddaten!$S51-Grunddaten!$Q51)/100*$G75+$E75),-1)</f>
        <v>0</v>
      </c>
      <c r="BH75" s="255">
        <f ca="1">ROUND(Grunddaten!CH51*((Grunddaten!$S51-Grunddaten!$Q51)/100*$G75+$E75),-1)</f>
        <v>0</v>
      </c>
      <c r="BI75" s="255">
        <f ca="1">ROUND(Grunddaten!CI51*((Grunddaten!$S51-Grunddaten!$Q51)/100*$G75+$E75),-1)</f>
        <v>0</v>
      </c>
      <c r="BJ75" s="255">
        <f ca="1">ROUND(Grunddaten!CJ51*((Grunddaten!$S51-Grunddaten!$Q51)/100*$G75+$E75),-1)</f>
        <v>0</v>
      </c>
      <c r="BK75" s="255">
        <f ca="1">ROUND(Grunddaten!CK51*((Grunddaten!$S51-Grunddaten!$Q51)/100*$G75+$E75),-1)</f>
        <v>0</v>
      </c>
      <c r="BL75" s="255">
        <f ca="1">ROUND(Grunddaten!CL51*((Grunddaten!$S51-Grunddaten!$Q51)/100*$G75+$E75),-1)</f>
        <v>0</v>
      </c>
      <c r="BM75" s="255">
        <f ca="1">ROUND(Grunddaten!CM51*((Grunddaten!$S51-Grunddaten!$Q51)/100*$G75+$E75),-1)</f>
        <v>0</v>
      </c>
      <c r="BN75" s="255">
        <f ca="1">ROUND(Grunddaten!CN51*((Grunddaten!$S51-Grunddaten!$Q51)/100*$G75+$E75),-1)</f>
        <v>0</v>
      </c>
      <c r="BO75" s="255">
        <f ca="1">ROUND(Grunddaten!CO51*((Grunddaten!$S51-Grunddaten!$Q51)/100*$G75+$E75),-1)</f>
        <v>0</v>
      </c>
      <c r="BP75" s="255">
        <f ca="1">ROUND(Grunddaten!CP51*((Grunddaten!$S51-Grunddaten!$Q51)/100*$G75+$E75),-1)</f>
        <v>0</v>
      </c>
      <c r="BQ75" s="256">
        <f ca="1">ROUND(Grunddaten!CQ51*((Grunddaten!$S51-Grunddaten!$Q51)/100*$G75+$E75),-1)</f>
        <v>0</v>
      </c>
    </row>
    <row r="76" spans="1:69" s="36" customFormat="1" ht="11.25" customHeight="1" x14ac:dyDescent="0.2">
      <c r="A76" s="1011" t="str">
        <f>Grunddaten!A52</f>
        <v>Fernwärme</v>
      </c>
      <c r="B76" s="1253" t="str">
        <f>Projektdaten!H22</f>
        <v>Stadt Zürich erz</v>
      </c>
      <c r="C76" s="1253"/>
      <c r="D76" s="1253"/>
      <c r="E76" s="2397">
        <f xml:space="preserve"> VLOOKUP(Projektdaten!$H$22,Grunddaten!$C$52:$AI$54,33,FALSE) * IF(Grunddaten!$AL$55=Grunddaten!$AK$54,SQRT(EV_Var2!$AA$31/1000)*1000,EV_Var2!$AA$31)</f>
        <v>0</v>
      </c>
      <c r="F76" s="2398"/>
      <c r="G76" s="2392">
        <f ca="1">SUMIF(EV_Var2!$A$11:$B$74,$A76,EV_Var2!$E$11:$E$74)</f>
        <v>0</v>
      </c>
      <c r="H76" s="2393"/>
      <c r="I76" s="2394"/>
      <c r="J76" s="2390">
        <f ca="1">OFFSET(Grunddaten!$S$52,FW_Produkt,0)-(1-R109)*OFFSET(Grunddaten!$Q$52,FW_Produkt,0)</f>
        <v>8.6</v>
      </c>
      <c r="K76" s="2391"/>
      <c r="L76" s="2424">
        <f t="shared" ca="1" si="4"/>
        <v>0</v>
      </c>
      <c r="M76" s="2425"/>
      <c r="N76" s="2426"/>
      <c r="P76" s="145"/>
      <c r="Q76" s="145"/>
      <c r="S76" s="551">
        <f ca="1">ROUND(OFFSET(Grunddaten!AS52,FW_Produkt,0)*((OFFSET(Grunddaten!$S52,FW_Produkt,0)-OFFSET(Grunddaten!$Q52,FW_Produkt,0))/100*$G76+$E76),-1)</f>
        <v>0</v>
      </c>
      <c r="T76" s="552">
        <f ca="1">ROUND(OFFSET(Grunddaten!AT52,FW_Produkt,0)*((OFFSET(Grunddaten!$S52,FW_Produkt,0)-OFFSET(Grunddaten!$Q52,FW_Produkt,0))/100*$G76+$E76),-1)</f>
        <v>0</v>
      </c>
      <c r="U76" s="552">
        <f ca="1">ROUND(OFFSET(Grunddaten!AU52,FW_Produkt,0)*((OFFSET(Grunddaten!$S52,FW_Produkt,0)-OFFSET(Grunddaten!$Q52,FW_Produkt,0))/100*$G76+$E76),-1)</f>
        <v>0</v>
      </c>
      <c r="V76" s="552">
        <f ca="1">ROUND(OFFSET(Grunddaten!AV52,FW_Produkt,0)*((OFFSET(Grunddaten!$S52,FW_Produkt,0)-OFFSET(Grunddaten!$Q52,FW_Produkt,0))/100*$G76+$E76),-1)</f>
        <v>0</v>
      </c>
      <c r="W76" s="552">
        <f ca="1">ROUND(OFFSET(Grunddaten!AW52,FW_Produkt,0)*((OFFSET(Grunddaten!$S52,FW_Produkt,0)-OFFSET(Grunddaten!$Q52,FW_Produkt,0))/100*$G76+$E76),-1)</f>
        <v>0</v>
      </c>
      <c r="X76" s="552">
        <f ca="1">ROUND(OFFSET(Grunddaten!AX52,FW_Produkt,0)*((OFFSET(Grunddaten!$S52,FW_Produkt,0)-OFFSET(Grunddaten!$Q52,FW_Produkt,0))/100*$G76+$E76),-1)</f>
        <v>0</v>
      </c>
      <c r="Y76" s="552">
        <f ca="1">ROUND(OFFSET(Grunddaten!AY52,FW_Produkt,0)*((OFFSET(Grunddaten!$S52,FW_Produkt,0)-OFFSET(Grunddaten!$Q52,FW_Produkt,0))/100*$G76+$E76),-1)</f>
        <v>0</v>
      </c>
      <c r="Z76" s="552">
        <f ca="1">ROUND(OFFSET(Grunddaten!AZ52,FW_Produkt,0)*((OFFSET(Grunddaten!$S52,FW_Produkt,0)-OFFSET(Grunddaten!$Q52,FW_Produkt,0))/100*$G76+$E76),-1)</f>
        <v>0</v>
      </c>
      <c r="AA76" s="552">
        <f ca="1">ROUND(OFFSET(Grunddaten!BA52,FW_Produkt,0)*((OFFSET(Grunddaten!$S52,FW_Produkt,0)-OFFSET(Grunddaten!$Q52,FW_Produkt,0))/100*$G76+$E76),-1)</f>
        <v>0</v>
      </c>
      <c r="AB76" s="552">
        <f ca="1">ROUND(OFFSET(Grunddaten!BB52,FW_Produkt,0)*((OFFSET(Grunddaten!$S52,FW_Produkt,0)-OFFSET(Grunddaten!$Q52,FW_Produkt,0))/100*$G76+$E76),-1)</f>
        <v>0</v>
      </c>
      <c r="AC76" s="552">
        <f ca="1">ROUND(OFFSET(Grunddaten!BC52,FW_Produkt,0)*((OFFSET(Grunddaten!$S52,FW_Produkt,0)-OFFSET(Grunddaten!$Q52,FW_Produkt,0))/100*$G76+$E76),-1)</f>
        <v>0</v>
      </c>
      <c r="AD76" s="552">
        <f ca="1">ROUND(OFFSET(Grunddaten!BD52,FW_Produkt,0)*((OFFSET(Grunddaten!$S52,FW_Produkt,0)-OFFSET(Grunddaten!$Q52,FW_Produkt,0))/100*$G76+$E76),-1)</f>
        <v>0</v>
      </c>
      <c r="AE76" s="552">
        <f ca="1">ROUND(OFFSET(Grunddaten!BE52,FW_Produkt,0)*((OFFSET(Grunddaten!$S52,FW_Produkt,0)-OFFSET(Grunddaten!$Q52,FW_Produkt,0))/100*$G76+$E76),-1)</f>
        <v>0</v>
      </c>
      <c r="AF76" s="552">
        <f ca="1">ROUND(OFFSET(Grunddaten!BF52,FW_Produkt,0)*((OFFSET(Grunddaten!$S52,FW_Produkt,0)-OFFSET(Grunddaten!$Q52,FW_Produkt,0))/100*$G76+$E76),-1)</f>
        <v>0</v>
      </c>
      <c r="AG76" s="552">
        <f ca="1">ROUND(OFFSET(Grunddaten!BG52,FW_Produkt,0)*((OFFSET(Grunddaten!$S52,FW_Produkt,0)-OFFSET(Grunddaten!$Q52,FW_Produkt,0))/100*$G76+$E76),-1)</f>
        <v>0</v>
      </c>
      <c r="AH76" s="552">
        <f ca="1">ROUND(OFFSET(Grunddaten!BH52,FW_Produkt,0)*((OFFSET(Grunddaten!$S52,FW_Produkt,0)-OFFSET(Grunddaten!$Q52,FW_Produkt,0))/100*$G76+$E76),-1)</f>
        <v>0</v>
      </c>
      <c r="AI76" s="552">
        <f ca="1">ROUND(OFFSET(Grunddaten!BI52,FW_Produkt,0)*((OFFSET(Grunddaten!$S52,FW_Produkt,0)-OFFSET(Grunddaten!$Q52,FW_Produkt,0))/100*$G76+$E76),-1)</f>
        <v>0</v>
      </c>
      <c r="AJ76" s="552">
        <f ca="1">ROUND(OFFSET(Grunddaten!BJ52,FW_Produkt,0)*((OFFSET(Grunddaten!$S52,FW_Produkt,0)-OFFSET(Grunddaten!$Q52,FW_Produkt,0))/100*$G76+$E76),-1)</f>
        <v>0</v>
      </c>
      <c r="AK76" s="552">
        <f ca="1">ROUND(OFFSET(Grunddaten!BK52,FW_Produkt,0)*((OFFSET(Grunddaten!$S52,FW_Produkt,0)-OFFSET(Grunddaten!$Q52,FW_Produkt,0))/100*$G76+$E76),-1)</f>
        <v>0</v>
      </c>
      <c r="AL76" s="552">
        <f ca="1">ROUND(OFFSET(Grunddaten!BL52,FW_Produkt,0)*((OFFSET(Grunddaten!$S52,FW_Produkt,0)-OFFSET(Grunddaten!$Q52,FW_Produkt,0))/100*$G76+$E76),-1)</f>
        <v>0</v>
      </c>
      <c r="AM76" s="552">
        <f ca="1">ROUND(OFFSET(Grunddaten!BM52,FW_Produkt,0)*((OFFSET(Grunddaten!$S52,FW_Produkt,0)-OFFSET(Grunddaten!$Q52,FW_Produkt,0))/100*$G76+$E76),-1)</f>
        <v>0</v>
      </c>
      <c r="AN76" s="552">
        <f ca="1">ROUND(OFFSET(Grunddaten!BN52,FW_Produkt,0)*((OFFSET(Grunddaten!$S52,FW_Produkt,0)-OFFSET(Grunddaten!$Q52,FW_Produkt,0))/100*$G76+$E76),-1)</f>
        <v>0</v>
      </c>
      <c r="AO76" s="552">
        <f ca="1">ROUND(OFFSET(Grunddaten!BO52,FW_Produkt,0)*((OFFSET(Grunddaten!$S52,FW_Produkt,0)-OFFSET(Grunddaten!$Q52,FW_Produkt,0))/100*$G76+$E76),-1)</f>
        <v>0</v>
      </c>
      <c r="AP76" s="552">
        <f ca="1">ROUND(OFFSET(Grunddaten!BP52,FW_Produkt,0)*((OFFSET(Grunddaten!$S52,FW_Produkt,0)-OFFSET(Grunddaten!$Q52,FW_Produkt,0))/100*$G76+$E76),-1)</f>
        <v>0</v>
      </c>
      <c r="AQ76" s="552">
        <f ca="1">ROUND(OFFSET(Grunddaten!BQ52,FW_Produkt,0)*((OFFSET(Grunddaten!$S52,FW_Produkt,0)-OFFSET(Grunddaten!$Q52,FW_Produkt,0))/100*$G76+$E76),-1)</f>
        <v>0</v>
      </c>
      <c r="AR76" s="552">
        <f ca="1">ROUND(OFFSET(Grunddaten!BR52,FW_Produkt,0)*((OFFSET(Grunddaten!$S52,FW_Produkt,0)-OFFSET(Grunddaten!$Q52,FW_Produkt,0))/100*$G76+$E76),-1)</f>
        <v>0</v>
      </c>
      <c r="AS76" s="552">
        <f ca="1">ROUND(OFFSET(Grunddaten!BS52,FW_Produkt,0)*((OFFSET(Grunddaten!$S52,FW_Produkt,0)-OFFSET(Grunddaten!$Q52,FW_Produkt,0))/100*$G76+$E76),-1)</f>
        <v>0</v>
      </c>
      <c r="AT76" s="552">
        <f ca="1">ROUND(OFFSET(Grunddaten!BT52,FW_Produkt,0)*((OFFSET(Grunddaten!$S52,FW_Produkt,0)-OFFSET(Grunddaten!$Q52,FW_Produkt,0))/100*$G76+$E76),-1)</f>
        <v>0</v>
      </c>
      <c r="AU76" s="552">
        <f ca="1">ROUND(OFFSET(Grunddaten!BU52,FW_Produkt,0)*((OFFSET(Grunddaten!$S52,FW_Produkt,0)-OFFSET(Grunddaten!$Q52,FW_Produkt,0))/100*$G76+$E76),-1)</f>
        <v>0</v>
      </c>
      <c r="AV76" s="552">
        <f ca="1">ROUND(OFFSET(Grunddaten!BV52,FW_Produkt,0)*((OFFSET(Grunddaten!$S52,FW_Produkt,0)-OFFSET(Grunddaten!$Q52,FW_Produkt,0))/100*$G76+$E76),-1)</f>
        <v>0</v>
      </c>
      <c r="AW76" s="552">
        <f ca="1">ROUND(OFFSET(Grunddaten!BW52,FW_Produkt,0)*((OFFSET(Grunddaten!$S52,FW_Produkt,0)-OFFSET(Grunddaten!$Q52,FW_Produkt,0))/100*$G76+$E76),-1)</f>
        <v>0</v>
      </c>
      <c r="AX76" s="552">
        <f ca="1">ROUND(OFFSET(Grunddaten!BX52,FW_Produkt,0)*((OFFSET(Grunddaten!$S52,FW_Produkt,0)-OFFSET(Grunddaten!$Q52,FW_Produkt,0))/100*$G76+$E76),-1)</f>
        <v>0</v>
      </c>
      <c r="AY76" s="552">
        <f ca="1">ROUND(OFFSET(Grunddaten!BY52,FW_Produkt,0)*((OFFSET(Grunddaten!$S52,FW_Produkt,0)-OFFSET(Grunddaten!$Q52,FW_Produkt,0))/100*$G76+$E76),-1)</f>
        <v>0</v>
      </c>
      <c r="AZ76" s="552">
        <f ca="1">ROUND(OFFSET(Grunddaten!BZ52,FW_Produkt,0)*((OFFSET(Grunddaten!$S52,FW_Produkt,0)-OFFSET(Grunddaten!$Q52,FW_Produkt,0))/100*$G76+$E76),-1)</f>
        <v>0</v>
      </c>
      <c r="BA76" s="552">
        <f ca="1">ROUND(OFFSET(Grunddaten!CA52,FW_Produkt,0)*((OFFSET(Grunddaten!$S52,FW_Produkt,0)-OFFSET(Grunddaten!$Q52,FW_Produkt,0))/100*$G76+$E76),-1)</f>
        <v>0</v>
      </c>
      <c r="BB76" s="552">
        <f ca="1">ROUND(OFFSET(Grunddaten!CB52,FW_Produkt,0)*((OFFSET(Grunddaten!$S52,FW_Produkt,0)-OFFSET(Grunddaten!$Q52,FW_Produkt,0))/100*$G76+$E76),-1)</f>
        <v>0</v>
      </c>
      <c r="BC76" s="552">
        <f ca="1">ROUND(OFFSET(Grunddaten!CC52,FW_Produkt,0)*((OFFSET(Grunddaten!$S52,FW_Produkt,0)-OFFSET(Grunddaten!$Q52,FW_Produkt,0))/100*$G76+$E76),-1)</f>
        <v>0</v>
      </c>
      <c r="BD76" s="552">
        <f ca="1">ROUND(OFFSET(Grunddaten!CD52,FW_Produkt,0)*((OFFSET(Grunddaten!$S52,FW_Produkt,0)-OFFSET(Grunddaten!$Q52,FW_Produkt,0))/100*$G76+$E76),-1)</f>
        <v>0</v>
      </c>
      <c r="BE76" s="552">
        <f ca="1">ROUND(OFFSET(Grunddaten!CE52,FW_Produkt,0)*((OFFSET(Grunddaten!$S52,FW_Produkt,0)-OFFSET(Grunddaten!$Q52,FW_Produkt,0))/100*$G76+$E76),-1)</f>
        <v>0</v>
      </c>
      <c r="BF76" s="552">
        <f ca="1">ROUND(OFFSET(Grunddaten!CF52,FW_Produkt,0)*((OFFSET(Grunddaten!$S52,FW_Produkt,0)-OFFSET(Grunddaten!$Q52,FW_Produkt,0))/100*$G76+$E76),-1)</f>
        <v>0</v>
      </c>
      <c r="BG76" s="552">
        <f ca="1">ROUND(OFFSET(Grunddaten!CG52,FW_Produkt,0)*((OFFSET(Grunddaten!$S52,FW_Produkt,0)-OFFSET(Grunddaten!$Q52,FW_Produkt,0))/100*$G76+$E76),-1)</f>
        <v>0</v>
      </c>
      <c r="BH76" s="552">
        <f ca="1">ROUND(OFFSET(Grunddaten!CH52,FW_Produkt,0)*((OFFSET(Grunddaten!$S52,FW_Produkt,0)-OFFSET(Grunddaten!$Q52,FW_Produkt,0))/100*$G76+$E76),-1)</f>
        <v>0</v>
      </c>
      <c r="BI76" s="552">
        <f ca="1">ROUND(OFFSET(Grunddaten!CI52,FW_Produkt,0)*((OFFSET(Grunddaten!$S52,FW_Produkt,0)-OFFSET(Grunddaten!$Q52,FW_Produkt,0))/100*$G76+$E76),-1)</f>
        <v>0</v>
      </c>
      <c r="BJ76" s="552">
        <f ca="1">ROUND(OFFSET(Grunddaten!CJ52,FW_Produkt,0)*((OFFSET(Grunddaten!$S52,FW_Produkt,0)-OFFSET(Grunddaten!$Q52,FW_Produkt,0))/100*$G76+$E76),-1)</f>
        <v>0</v>
      </c>
      <c r="BK76" s="552">
        <f ca="1">ROUND(OFFSET(Grunddaten!CK52,FW_Produkt,0)*((OFFSET(Grunddaten!$S52,FW_Produkt,0)-OFFSET(Grunddaten!$Q52,FW_Produkt,0))/100*$G76+$E76),-1)</f>
        <v>0</v>
      </c>
      <c r="BL76" s="552">
        <f ca="1">ROUND(OFFSET(Grunddaten!CL52,FW_Produkt,0)*((OFFSET(Grunddaten!$S52,FW_Produkt,0)-OFFSET(Grunddaten!$Q52,FW_Produkt,0))/100*$G76+$E76),-1)</f>
        <v>0</v>
      </c>
      <c r="BM76" s="552">
        <f ca="1">ROUND(OFFSET(Grunddaten!CM52,FW_Produkt,0)*((OFFSET(Grunddaten!$S52,FW_Produkt,0)-OFFSET(Grunddaten!$Q52,FW_Produkt,0))/100*$G76+$E76),-1)</f>
        <v>0</v>
      </c>
      <c r="BN76" s="552">
        <f ca="1">ROUND(OFFSET(Grunddaten!CN52,FW_Produkt,0)*((OFFSET(Grunddaten!$S52,FW_Produkt,0)-OFFSET(Grunddaten!$Q52,FW_Produkt,0))/100*$G76+$E76),-1)</f>
        <v>0</v>
      </c>
      <c r="BO76" s="552">
        <f ca="1">ROUND(OFFSET(Grunddaten!CO52,FW_Produkt,0)*((OFFSET(Grunddaten!$S52,FW_Produkt,0)-OFFSET(Grunddaten!$Q52,FW_Produkt,0))/100*$G76+$E76),-1)</f>
        <v>0</v>
      </c>
      <c r="BP76" s="552">
        <f ca="1">ROUND(OFFSET(Grunddaten!CP52,FW_Produkt,0)*((OFFSET(Grunddaten!$S52,FW_Produkt,0)-OFFSET(Grunddaten!$Q52,FW_Produkt,0))/100*$G76+$E76),-1)</f>
        <v>0</v>
      </c>
      <c r="BQ76" s="553">
        <f ca="1">ROUND(OFFSET(Grunddaten!CQ52,FW_Produkt,0)*((OFFSET(Grunddaten!$S52,FW_Produkt,0)-OFFSET(Grunddaten!$Q52,FW_Produkt,0))/100*$G76+$E76),-1)</f>
        <v>0</v>
      </c>
    </row>
    <row r="77" spans="1:69" s="36" customFormat="1" ht="11.25" customHeight="1" x14ac:dyDescent="0.2">
      <c r="A77" s="1011" t="str">
        <f>Grunddaten!C55</f>
        <v>Wärmeverbund XY</v>
      </c>
      <c r="B77" s="1253"/>
      <c r="C77" s="2721"/>
      <c r="D77" s="2721"/>
      <c r="E77" s="2397">
        <f xml:space="preserve"> ( EV_Var2!I13 + IF(EV_Var2!$A$27=$A77,EV_Var2!$AA$24,0) + IF(EV_Var2!$A$32=$A77,EV_Var2!$AA$25,0) + IF(EV_Var2!$A$36=$A77,EV_Var2!$AA$26) ) * Grunddaten!$AI$55</f>
        <v>0</v>
      </c>
      <c r="F77" s="2398"/>
      <c r="G77" s="2392">
        <f ca="1">SUMIF(EV_Var2!$A$11:$B$74,$A77,EV_Var2!$E$11:$E$74)</f>
        <v>0</v>
      </c>
      <c r="H77" s="2393"/>
      <c r="I77" s="2394"/>
      <c r="J77" s="2390">
        <f>Grunddaten!S55-(1-$R$109)*Grunddaten!Q55</f>
        <v>0</v>
      </c>
      <c r="K77" s="2391"/>
      <c r="L77" s="2424">
        <f t="shared" ref="L77" ca="1" si="6">ROUND(E77+G77*J77/100,-1)</f>
        <v>0</v>
      </c>
      <c r="M77" s="2425"/>
      <c r="N77" s="2426"/>
      <c r="P77" s="145"/>
      <c r="Q77" s="145"/>
      <c r="S77" s="547">
        <f ca="1">ROUND(Grunddaten!AS55*((Grunddaten!$S55-Grunddaten!$Q55)/100*$G77+$E77),-1)</f>
        <v>0</v>
      </c>
      <c r="T77" s="548">
        <f ca="1">ROUND(Grunddaten!AT55*((Grunddaten!$S55-Grunddaten!$Q55)/100*$G77+$E77),-1)</f>
        <v>0</v>
      </c>
      <c r="U77" s="548">
        <f ca="1">ROUND(Grunddaten!AU55*((Grunddaten!$S55-Grunddaten!$Q55)/100*$G77+$E77),-1)</f>
        <v>0</v>
      </c>
      <c r="V77" s="548">
        <f ca="1">ROUND(Grunddaten!AV55*((Grunddaten!$S55-Grunddaten!$Q55)/100*$G77+$E77),-1)</f>
        <v>0</v>
      </c>
      <c r="W77" s="548">
        <f ca="1">ROUND(Grunddaten!AW55*((Grunddaten!$S55-Grunddaten!$Q55)/100*$G77+$E77),-1)</f>
        <v>0</v>
      </c>
      <c r="X77" s="548">
        <f ca="1">ROUND(Grunddaten!AX55*((Grunddaten!$S55-Grunddaten!$Q55)/100*$G77+$E77),-1)</f>
        <v>0</v>
      </c>
      <c r="Y77" s="548">
        <f ca="1">ROUND(Grunddaten!AY55*((Grunddaten!$S55-Grunddaten!$Q55)/100*$G77+$E77),-1)</f>
        <v>0</v>
      </c>
      <c r="Z77" s="548">
        <f ca="1">ROUND(Grunddaten!AZ55*((Grunddaten!$S55-Grunddaten!$Q55)/100*$G77+$E77),-1)</f>
        <v>0</v>
      </c>
      <c r="AA77" s="548">
        <f ca="1">ROUND(Grunddaten!BA55*((Grunddaten!$S55-Grunddaten!$Q55)/100*$G77+$E77),-1)</f>
        <v>0</v>
      </c>
      <c r="AB77" s="247">
        <f ca="1">ROUND(Grunddaten!BB55*((Grunddaten!$S55-Grunddaten!$Q55)/100*$G77+$E77),-1)</f>
        <v>0</v>
      </c>
      <c r="AC77" s="247">
        <f ca="1">ROUND(Grunddaten!BC55*((Grunddaten!$S55-Grunddaten!$Q55)/100*$G77+$E77),-1)</f>
        <v>0</v>
      </c>
      <c r="AD77" s="247">
        <f ca="1">ROUND(Grunddaten!BD55*((Grunddaten!$S55-Grunddaten!$Q55)/100*$G77+$E77),-1)</f>
        <v>0</v>
      </c>
      <c r="AE77" s="247">
        <f ca="1">ROUND(Grunddaten!BE55*((Grunddaten!$S55-Grunddaten!$Q55)/100*$G77+$E77),-1)</f>
        <v>0</v>
      </c>
      <c r="AF77" s="247">
        <f ca="1">ROUND(Grunddaten!BF55*((Grunddaten!$S55-Grunddaten!$Q55)/100*$G77+$E77),-1)</f>
        <v>0</v>
      </c>
      <c r="AG77" s="247">
        <f ca="1">ROUND(Grunddaten!BG55*((Grunddaten!$S55-Grunddaten!$Q55)/100*$G77+$E77),-1)</f>
        <v>0</v>
      </c>
      <c r="AH77" s="247">
        <f ca="1">ROUND(Grunddaten!BH55*((Grunddaten!$S55-Grunddaten!$Q55)/100*$G77+$E77),-1)</f>
        <v>0</v>
      </c>
      <c r="AI77" s="247">
        <f ca="1">ROUND(Grunddaten!BI55*((Grunddaten!$S55-Grunddaten!$Q55)/100*$G77+$E77),-1)</f>
        <v>0</v>
      </c>
      <c r="AJ77" s="247">
        <f ca="1">ROUND(Grunddaten!BJ55*((Grunddaten!$S55-Grunddaten!$Q55)/100*$G77+$E77),-1)</f>
        <v>0</v>
      </c>
      <c r="AK77" s="247">
        <f ca="1">ROUND(Grunddaten!BK55*((Grunddaten!$S55-Grunddaten!$Q55)/100*$G77+$E77),-1)</f>
        <v>0</v>
      </c>
      <c r="AL77" s="247">
        <f ca="1">ROUND(Grunddaten!BL55*((Grunddaten!$S55-Grunddaten!$Q55)/100*$G77+$E77),-1)</f>
        <v>0</v>
      </c>
      <c r="AM77" s="247">
        <f ca="1">ROUND(Grunddaten!BM55*((Grunddaten!$S55-Grunddaten!$Q55)/100*$G77+$E77),-1)</f>
        <v>0</v>
      </c>
      <c r="AN77" s="247">
        <f ca="1">ROUND(Grunddaten!BN55*((Grunddaten!$S55-Grunddaten!$Q55)/100*$G77+$E77),-1)</f>
        <v>0</v>
      </c>
      <c r="AO77" s="247">
        <f ca="1">ROUND(Grunddaten!BO55*((Grunddaten!$S55-Grunddaten!$Q55)/100*$G77+$E77),-1)</f>
        <v>0</v>
      </c>
      <c r="AP77" s="247">
        <f ca="1">ROUND(Grunddaten!BP55*((Grunddaten!$S55-Grunddaten!$Q55)/100*$G77+$E77),-1)</f>
        <v>0</v>
      </c>
      <c r="AQ77" s="247">
        <f ca="1">ROUND(Grunddaten!BQ55*((Grunddaten!$S55-Grunddaten!$Q55)/100*$G77+$E77),-1)</f>
        <v>0</v>
      </c>
      <c r="AR77" s="247">
        <f ca="1">ROUND(Grunddaten!BR55*((Grunddaten!$S55-Grunddaten!$Q55)/100*$G77+$E77),-1)</f>
        <v>0</v>
      </c>
      <c r="AS77" s="247">
        <f ca="1">ROUND(Grunddaten!BS55*((Grunddaten!$S55-Grunddaten!$Q55)/100*$G77+$E77),-1)</f>
        <v>0</v>
      </c>
      <c r="AT77" s="247">
        <f ca="1">ROUND(Grunddaten!BT55*((Grunddaten!$S55-Grunddaten!$Q55)/100*$G77+$E77),-1)</f>
        <v>0</v>
      </c>
      <c r="AU77" s="247">
        <f ca="1">ROUND(Grunddaten!BU55*((Grunddaten!$S55-Grunddaten!$Q55)/100*$G77+$E77),-1)</f>
        <v>0</v>
      </c>
      <c r="AV77" s="247">
        <f ca="1">ROUND(Grunddaten!BV55*((Grunddaten!$S55-Grunddaten!$Q55)/100*$G77+$E77),-1)</f>
        <v>0</v>
      </c>
      <c r="AW77" s="247">
        <f ca="1">ROUND(Grunddaten!BW55*((Grunddaten!$S55-Grunddaten!$Q55)/100*$G77+$E77),-1)</f>
        <v>0</v>
      </c>
      <c r="AX77" s="247">
        <f ca="1">ROUND(Grunddaten!BX55*((Grunddaten!$S55-Grunddaten!$Q55)/100*$G77+$E77),-1)</f>
        <v>0</v>
      </c>
      <c r="AY77" s="247">
        <f ca="1">ROUND(Grunddaten!BY55*((Grunddaten!$S55-Grunddaten!$Q55)/100*$G77+$E77),-1)</f>
        <v>0</v>
      </c>
      <c r="AZ77" s="247">
        <f ca="1">ROUND(Grunddaten!BZ55*((Grunddaten!$S55-Grunddaten!$Q55)/100*$G77+$E77),-1)</f>
        <v>0</v>
      </c>
      <c r="BA77" s="247">
        <f ca="1">ROUND(Grunddaten!CA55*((Grunddaten!$S55-Grunddaten!$Q55)/100*$G77+$E77),-1)</f>
        <v>0</v>
      </c>
      <c r="BB77" s="247">
        <f ca="1">ROUND(Grunddaten!CB55*((Grunddaten!$S55-Grunddaten!$Q55)/100*$G77+$E77),-1)</f>
        <v>0</v>
      </c>
      <c r="BC77" s="247">
        <f ca="1">ROUND(Grunddaten!CC55*((Grunddaten!$S55-Grunddaten!$Q55)/100*$G77+$E77),-1)</f>
        <v>0</v>
      </c>
      <c r="BD77" s="247">
        <f ca="1">ROUND(Grunddaten!CD55*((Grunddaten!$S55-Grunddaten!$Q55)/100*$G77+$E77),-1)</f>
        <v>0</v>
      </c>
      <c r="BE77" s="247">
        <f ca="1">ROUND(Grunddaten!CE55*((Grunddaten!$S55-Grunddaten!$Q55)/100*$G77+$E77),-1)</f>
        <v>0</v>
      </c>
      <c r="BF77" s="247">
        <f ca="1">ROUND(Grunddaten!CF55*((Grunddaten!$S55-Grunddaten!$Q55)/100*$G77+$E77),-1)</f>
        <v>0</v>
      </c>
      <c r="BG77" s="247">
        <f ca="1">ROUND(Grunddaten!CG55*((Grunddaten!$S55-Grunddaten!$Q55)/100*$G77+$E77),-1)</f>
        <v>0</v>
      </c>
      <c r="BH77" s="247">
        <f ca="1">ROUND(Grunddaten!CH55*((Grunddaten!$S55-Grunddaten!$Q55)/100*$G77+$E77),-1)</f>
        <v>0</v>
      </c>
      <c r="BI77" s="247">
        <f ca="1">ROUND(Grunddaten!CI55*((Grunddaten!$S55-Grunddaten!$Q55)/100*$G77+$E77),-1)</f>
        <v>0</v>
      </c>
      <c r="BJ77" s="247">
        <f ca="1">ROUND(Grunddaten!CJ55*((Grunddaten!$S55-Grunddaten!$Q55)/100*$G77+$E77),-1)</f>
        <v>0</v>
      </c>
      <c r="BK77" s="247">
        <f ca="1">ROUND(Grunddaten!CK55*((Grunddaten!$S55-Grunddaten!$Q55)/100*$G77+$E77),-1)</f>
        <v>0</v>
      </c>
      <c r="BL77" s="247">
        <f ca="1">ROUND(Grunddaten!CL55*((Grunddaten!$S55-Grunddaten!$Q55)/100*$G77+$E77),-1)</f>
        <v>0</v>
      </c>
      <c r="BM77" s="247">
        <f ca="1">ROUND(Grunddaten!CM55*((Grunddaten!$S55-Grunddaten!$Q55)/100*$G77+$E77),-1)</f>
        <v>0</v>
      </c>
      <c r="BN77" s="247">
        <f ca="1">ROUND(Grunddaten!CN55*((Grunddaten!$S55-Grunddaten!$Q55)/100*$G77+$E77),-1)</f>
        <v>0</v>
      </c>
      <c r="BO77" s="247">
        <f ca="1">ROUND(Grunddaten!CO55*((Grunddaten!$S55-Grunddaten!$Q55)/100*$G77+$E77),-1)</f>
        <v>0</v>
      </c>
      <c r="BP77" s="247">
        <f ca="1">ROUND(Grunddaten!CP55*((Grunddaten!$S55-Grunddaten!$Q55)/100*$G77+$E77),-1)</f>
        <v>0</v>
      </c>
      <c r="BQ77" s="248">
        <f ca="1">ROUND(Grunddaten!CQ55*((Grunddaten!$S55-Grunddaten!$Q55)/100*$G77+$E77),-1)</f>
        <v>0</v>
      </c>
    </row>
    <row r="78" spans="1:69" s="36" customFormat="1" ht="11.25" customHeight="1" x14ac:dyDescent="0.2">
      <c r="A78" s="1031" t="str">
        <f>Grunddaten!C56</f>
        <v>Kälteverbund XY</v>
      </c>
      <c r="B78" s="1254"/>
      <c r="C78" s="2719"/>
      <c r="D78" s="2720"/>
      <c r="E78" s="2342">
        <f xml:space="preserve"> EV_Var2!I56 * Grunddaten!$AI$56</f>
        <v>0</v>
      </c>
      <c r="F78" s="2343"/>
      <c r="G78" s="2442">
        <f ca="1">SUMIF(EV_Var2!$A$11:$B$74,$A78,EV_Var2!$E$11:$E$74)</f>
        <v>0</v>
      </c>
      <c r="H78" s="2443"/>
      <c r="I78" s="2444"/>
      <c r="J78" s="2363">
        <f>Grunddaten!S56-(1-$R$109)*Grunddaten!Q56</f>
        <v>0</v>
      </c>
      <c r="K78" s="2364"/>
      <c r="L78" s="2319">
        <f t="shared" ref="L78" ca="1" si="7">ROUND(E78+G78*J78/100,-1)</f>
        <v>0</v>
      </c>
      <c r="M78" s="2320"/>
      <c r="N78" s="2321"/>
      <c r="P78" s="145"/>
      <c r="Q78" s="145"/>
      <c r="S78" s="554">
        <f ca="1">ROUND(Grunddaten!AS56*((Grunddaten!$S56-Grunddaten!$Q56)/100*$G78+$E78),-1)</f>
        <v>0</v>
      </c>
      <c r="T78" s="555">
        <f ca="1">ROUND(Grunddaten!AT56*((Grunddaten!$S56-Grunddaten!$Q56)/100*$G78+$E78),-1)</f>
        <v>0</v>
      </c>
      <c r="U78" s="555">
        <f ca="1">ROUND(Grunddaten!AU56*((Grunddaten!$S56-Grunddaten!$Q56)/100*$G78+$E78),-1)</f>
        <v>0</v>
      </c>
      <c r="V78" s="555">
        <f ca="1">ROUND(Grunddaten!AV56*((Grunddaten!$S56-Grunddaten!$Q56)/100*$G78+$E78),-1)</f>
        <v>0</v>
      </c>
      <c r="W78" s="555">
        <f ca="1">ROUND(Grunddaten!AW56*((Grunddaten!$S56-Grunddaten!$Q56)/100*$G78+$E78),-1)</f>
        <v>0</v>
      </c>
      <c r="X78" s="555">
        <f ca="1">ROUND(Grunddaten!AX56*((Grunddaten!$S56-Grunddaten!$Q56)/100*$G78+$E78),-1)</f>
        <v>0</v>
      </c>
      <c r="Y78" s="555">
        <f ca="1">ROUND(Grunddaten!AY56*((Grunddaten!$S56-Grunddaten!$Q56)/100*$G78+$E78),-1)</f>
        <v>0</v>
      </c>
      <c r="Z78" s="555">
        <f ca="1">ROUND(Grunddaten!AZ56*((Grunddaten!$S56-Grunddaten!$Q56)/100*$G78+$E78),-1)</f>
        <v>0</v>
      </c>
      <c r="AA78" s="555">
        <f ca="1">ROUND(Grunddaten!BA56*((Grunddaten!$S56-Grunddaten!$Q56)/100*$G78+$E78),-1)</f>
        <v>0</v>
      </c>
      <c r="AB78" s="584">
        <f ca="1">ROUND(Grunddaten!BB56*((Grunddaten!$S56-Grunddaten!$Q56)/100*$G78+$E78),-1)</f>
        <v>0</v>
      </c>
      <c r="AC78" s="584">
        <f ca="1">ROUND(Grunddaten!BC56*((Grunddaten!$S56-Grunddaten!$Q56)/100*$G78+$E78),-1)</f>
        <v>0</v>
      </c>
      <c r="AD78" s="584">
        <f ca="1">ROUND(Grunddaten!BD56*((Grunddaten!$S56-Grunddaten!$Q56)/100*$G78+$E78),-1)</f>
        <v>0</v>
      </c>
      <c r="AE78" s="584">
        <f ca="1">ROUND(Grunddaten!BE56*((Grunddaten!$S56-Grunddaten!$Q56)/100*$G78+$E78),-1)</f>
        <v>0</v>
      </c>
      <c r="AF78" s="584">
        <f ca="1">ROUND(Grunddaten!BF56*((Grunddaten!$S56-Grunddaten!$Q56)/100*$G78+$E78),-1)</f>
        <v>0</v>
      </c>
      <c r="AG78" s="584">
        <f ca="1">ROUND(Grunddaten!BG56*((Grunddaten!$S56-Grunddaten!$Q56)/100*$G78+$E78),-1)</f>
        <v>0</v>
      </c>
      <c r="AH78" s="584">
        <f ca="1">ROUND(Grunddaten!BH56*((Grunddaten!$S56-Grunddaten!$Q56)/100*$G78+$E78),-1)</f>
        <v>0</v>
      </c>
      <c r="AI78" s="584">
        <f ca="1">ROUND(Grunddaten!BI56*((Grunddaten!$S56-Grunddaten!$Q56)/100*$G78+$E78),-1)</f>
        <v>0</v>
      </c>
      <c r="AJ78" s="584">
        <f ca="1">ROUND(Grunddaten!BJ56*((Grunddaten!$S56-Grunddaten!$Q56)/100*$G78+$E78),-1)</f>
        <v>0</v>
      </c>
      <c r="AK78" s="584">
        <f ca="1">ROUND(Grunddaten!BK56*((Grunddaten!$S56-Grunddaten!$Q56)/100*$G78+$E78),-1)</f>
        <v>0</v>
      </c>
      <c r="AL78" s="584">
        <f ca="1">ROUND(Grunddaten!BL56*((Grunddaten!$S56-Grunddaten!$Q56)/100*$G78+$E78),-1)</f>
        <v>0</v>
      </c>
      <c r="AM78" s="584">
        <f ca="1">ROUND(Grunddaten!BM56*((Grunddaten!$S56-Grunddaten!$Q56)/100*$G78+$E78),-1)</f>
        <v>0</v>
      </c>
      <c r="AN78" s="584">
        <f ca="1">ROUND(Grunddaten!BN56*((Grunddaten!$S56-Grunddaten!$Q56)/100*$G78+$E78),-1)</f>
        <v>0</v>
      </c>
      <c r="AO78" s="584">
        <f ca="1">ROUND(Grunddaten!BO56*((Grunddaten!$S56-Grunddaten!$Q56)/100*$G78+$E78),-1)</f>
        <v>0</v>
      </c>
      <c r="AP78" s="584">
        <f ca="1">ROUND(Grunddaten!BP56*((Grunddaten!$S56-Grunddaten!$Q56)/100*$G78+$E78),-1)</f>
        <v>0</v>
      </c>
      <c r="AQ78" s="584">
        <f ca="1">ROUND(Grunddaten!BQ56*((Grunddaten!$S56-Grunddaten!$Q56)/100*$G78+$E78),-1)</f>
        <v>0</v>
      </c>
      <c r="AR78" s="584">
        <f ca="1">ROUND(Grunddaten!BR56*((Grunddaten!$S56-Grunddaten!$Q56)/100*$G78+$E78),-1)</f>
        <v>0</v>
      </c>
      <c r="AS78" s="584">
        <f ca="1">ROUND(Grunddaten!BS56*((Grunddaten!$S56-Grunddaten!$Q56)/100*$G78+$E78),-1)</f>
        <v>0</v>
      </c>
      <c r="AT78" s="584">
        <f ca="1">ROUND(Grunddaten!BT56*((Grunddaten!$S56-Grunddaten!$Q56)/100*$G78+$E78),-1)</f>
        <v>0</v>
      </c>
      <c r="AU78" s="584">
        <f ca="1">ROUND(Grunddaten!BU56*((Grunddaten!$S56-Grunddaten!$Q56)/100*$G78+$E78),-1)</f>
        <v>0</v>
      </c>
      <c r="AV78" s="584">
        <f ca="1">ROUND(Grunddaten!BV56*((Grunddaten!$S56-Grunddaten!$Q56)/100*$G78+$E78),-1)</f>
        <v>0</v>
      </c>
      <c r="AW78" s="584">
        <f ca="1">ROUND(Grunddaten!BW56*((Grunddaten!$S56-Grunddaten!$Q56)/100*$G78+$E78),-1)</f>
        <v>0</v>
      </c>
      <c r="AX78" s="584">
        <f ca="1">ROUND(Grunddaten!BX56*((Grunddaten!$S56-Grunddaten!$Q56)/100*$G78+$E78),-1)</f>
        <v>0</v>
      </c>
      <c r="AY78" s="584">
        <f ca="1">ROUND(Grunddaten!BY56*((Grunddaten!$S56-Grunddaten!$Q56)/100*$G78+$E78),-1)</f>
        <v>0</v>
      </c>
      <c r="AZ78" s="584">
        <f ca="1">ROUND(Grunddaten!BZ56*((Grunddaten!$S56-Grunddaten!$Q56)/100*$G78+$E78),-1)</f>
        <v>0</v>
      </c>
      <c r="BA78" s="584">
        <f ca="1">ROUND(Grunddaten!CA56*((Grunddaten!$S56-Grunddaten!$Q56)/100*$G78+$E78),-1)</f>
        <v>0</v>
      </c>
      <c r="BB78" s="584">
        <f ca="1">ROUND(Grunddaten!CB56*((Grunddaten!$S56-Grunddaten!$Q56)/100*$G78+$E78),-1)</f>
        <v>0</v>
      </c>
      <c r="BC78" s="584">
        <f ca="1">ROUND(Grunddaten!CC56*((Grunddaten!$S56-Grunddaten!$Q56)/100*$G78+$E78),-1)</f>
        <v>0</v>
      </c>
      <c r="BD78" s="584">
        <f ca="1">ROUND(Grunddaten!CD56*((Grunddaten!$S56-Grunddaten!$Q56)/100*$G78+$E78),-1)</f>
        <v>0</v>
      </c>
      <c r="BE78" s="584">
        <f ca="1">ROUND(Grunddaten!CE56*((Grunddaten!$S56-Grunddaten!$Q56)/100*$G78+$E78),-1)</f>
        <v>0</v>
      </c>
      <c r="BF78" s="584">
        <f ca="1">ROUND(Grunddaten!CF56*((Grunddaten!$S56-Grunddaten!$Q56)/100*$G78+$E78),-1)</f>
        <v>0</v>
      </c>
      <c r="BG78" s="584">
        <f ca="1">ROUND(Grunddaten!CG56*((Grunddaten!$S56-Grunddaten!$Q56)/100*$G78+$E78),-1)</f>
        <v>0</v>
      </c>
      <c r="BH78" s="584">
        <f ca="1">ROUND(Grunddaten!CH56*((Grunddaten!$S56-Grunddaten!$Q56)/100*$G78+$E78),-1)</f>
        <v>0</v>
      </c>
      <c r="BI78" s="584">
        <f ca="1">ROUND(Grunddaten!CI56*((Grunddaten!$S56-Grunddaten!$Q56)/100*$G78+$E78),-1)</f>
        <v>0</v>
      </c>
      <c r="BJ78" s="584">
        <f ca="1">ROUND(Grunddaten!CJ56*((Grunddaten!$S56-Grunddaten!$Q56)/100*$G78+$E78),-1)</f>
        <v>0</v>
      </c>
      <c r="BK78" s="584">
        <f ca="1">ROUND(Grunddaten!CK56*((Grunddaten!$S56-Grunddaten!$Q56)/100*$G78+$E78),-1)</f>
        <v>0</v>
      </c>
      <c r="BL78" s="584">
        <f ca="1">ROUND(Grunddaten!CL56*((Grunddaten!$S56-Grunddaten!$Q56)/100*$G78+$E78),-1)</f>
        <v>0</v>
      </c>
      <c r="BM78" s="584">
        <f ca="1">ROUND(Grunddaten!CM56*((Grunddaten!$S56-Grunddaten!$Q56)/100*$G78+$E78),-1)</f>
        <v>0</v>
      </c>
      <c r="BN78" s="584">
        <f ca="1">ROUND(Grunddaten!CN56*((Grunddaten!$S56-Grunddaten!$Q56)/100*$G78+$E78),-1)</f>
        <v>0</v>
      </c>
      <c r="BO78" s="584">
        <f ca="1">ROUND(Grunddaten!CO56*((Grunddaten!$S56-Grunddaten!$Q56)/100*$G78+$E78),-1)</f>
        <v>0</v>
      </c>
      <c r="BP78" s="584">
        <f ca="1">ROUND(Grunddaten!CP56*((Grunddaten!$S56-Grunddaten!$Q56)/100*$G78+$E78),-1)</f>
        <v>0</v>
      </c>
      <c r="BQ78" s="585">
        <f ca="1">ROUND(Grunddaten!CQ56*((Grunddaten!$S56-Grunddaten!$Q56)/100*$G78+$E78),-1)</f>
        <v>0</v>
      </c>
    </row>
    <row r="79" spans="1:69" s="36" customFormat="1" ht="14.1" customHeight="1" thickBot="1" x14ac:dyDescent="0.25">
      <c r="A79" s="1053" t="s">
        <v>13</v>
      </c>
      <c r="B79" s="1215"/>
      <c r="C79" s="1215"/>
      <c r="D79" s="2408"/>
      <c r="E79" s="2408"/>
      <c r="F79" s="2408"/>
      <c r="G79" s="1252"/>
      <c r="H79" s="2408"/>
      <c r="I79" s="2408"/>
      <c r="J79" s="2411"/>
      <c r="K79" s="2411"/>
      <c r="L79" s="2337">
        <f ca="1">SUM(L61:L78)</f>
        <v>-210</v>
      </c>
      <c r="M79" s="2338"/>
      <c r="N79" s="2339"/>
      <c r="S79" s="556">
        <f ca="1">SUM(S62:S76)</f>
        <v>-210</v>
      </c>
      <c r="T79" s="557">
        <f t="shared" ref="T79:BQ79" ca="1" si="8">SUM(T62:T76)</f>
        <v>-210</v>
      </c>
      <c r="U79" s="557">
        <f t="shared" ca="1" si="8"/>
        <v>-220</v>
      </c>
      <c r="V79" s="557">
        <f t="shared" ca="1" si="8"/>
        <v>-220</v>
      </c>
      <c r="W79" s="557">
        <f t="shared" ca="1" si="8"/>
        <v>-220</v>
      </c>
      <c r="X79" s="557">
        <f t="shared" ca="1" si="8"/>
        <v>-220</v>
      </c>
      <c r="Y79" s="557">
        <f t="shared" ca="1" si="8"/>
        <v>-220</v>
      </c>
      <c r="Z79" s="557">
        <f t="shared" ca="1" si="8"/>
        <v>-220</v>
      </c>
      <c r="AA79" s="557">
        <f t="shared" ca="1" si="8"/>
        <v>-220</v>
      </c>
      <c r="AB79" s="557">
        <f t="shared" ca="1" si="8"/>
        <v>-220</v>
      </c>
      <c r="AC79" s="557">
        <f t="shared" ca="1" si="8"/>
        <v>-220</v>
      </c>
      <c r="AD79" s="557">
        <f t="shared" ca="1" si="8"/>
        <v>-220</v>
      </c>
      <c r="AE79" s="557">
        <f t="shared" ca="1" si="8"/>
        <v>-230</v>
      </c>
      <c r="AF79" s="557">
        <f t="shared" ca="1" si="8"/>
        <v>-230</v>
      </c>
      <c r="AG79" s="557">
        <f t="shared" ca="1" si="8"/>
        <v>-230</v>
      </c>
      <c r="AH79" s="557">
        <f t="shared" ca="1" si="8"/>
        <v>-230</v>
      </c>
      <c r="AI79" s="557">
        <f t="shared" ca="1" si="8"/>
        <v>-230</v>
      </c>
      <c r="AJ79" s="557">
        <f t="shared" ca="1" si="8"/>
        <v>-230</v>
      </c>
      <c r="AK79" s="557">
        <f t="shared" ca="1" si="8"/>
        <v>-230</v>
      </c>
      <c r="AL79" s="557">
        <f t="shared" ca="1" si="8"/>
        <v>-230</v>
      </c>
      <c r="AM79" s="557">
        <f t="shared" ca="1" si="8"/>
        <v>-230</v>
      </c>
      <c r="AN79" s="557">
        <f t="shared" ca="1" si="8"/>
        <v>-240</v>
      </c>
      <c r="AO79" s="557">
        <f t="shared" ca="1" si="8"/>
        <v>-240</v>
      </c>
      <c r="AP79" s="557">
        <f t="shared" ca="1" si="8"/>
        <v>-240</v>
      </c>
      <c r="AQ79" s="557">
        <f t="shared" ca="1" si="8"/>
        <v>-240</v>
      </c>
      <c r="AR79" s="557">
        <f t="shared" ca="1" si="8"/>
        <v>-240</v>
      </c>
      <c r="AS79" s="557">
        <f t="shared" ca="1" si="8"/>
        <v>-240</v>
      </c>
      <c r="AT79" s="557">
        <f t="shared" ca="1" si="8"/>
        <v>-240</v>
      </c>
      <c r="AU79" s="557">
        <f t="shared" ca="1" si="8"/>
        <v>-240</v>
      </c>
      <c r="AV79" s="557">
        <f t="shared" ca="1" si="8"/>
        <v>-250</v>
      </c>
      <c r="AW79" s="557">
        <f t="shared" ca="1" si="8"/>
        <v>-250</v>
      </c>
      <c r="AX79" s="557">
        <f t="shared" ca="1" si="8"/>
        <v>-260</v>
      </c>
      <c r="AY79" s="557">
        <f t="shared" ca="1" si="8"/>
        <v>-260</v>
      </c>
      <c r="AZ79" s="557">
        <f t="shared" ca="1" si="8"/>
        <v>-260</v>
      </c>
      <c r="BA79" s="557">
        <f t="shared" ca="1" si="8"/>
        <v>-260</v>
      </c>
      <c r="BB79" s="557">
        <f t="shared" ca="1" si="8"/>
        <v>-260</v>
      </c>
      <c r="BC79" s="557">
        <f t="shared" ca="1" si="8"/>
        <v>-260</v>
      </c>
      <c r="BD79" s="557">
        <f t="shared" ca="1" si="8"/>
        <v>-260</v>
      </c>
      <c r="BE79" s="557">
        <f t="shared" ca="1" si="8"/>
        <v>-260</v>
      </c>
      <c r="BF79" s="557">
        <f t="shared" ca="1" si="8"/>
        <v>-260</v>
      </c>
      <c r="BG79" s="557">
        <f t="shared" ca="1" si="8"/>
        <v>-260</v>
      </c>
      <c r="BH79" s="557">
        <f t="shared" ca="1" si="8"/>
        <v>-270</v>
      </c>
      <c r="BI79" s="557">
        <f t="shared" ca="1" si="8"/>
        <v>-270</v>
      </c>
      <c r="BJ79" s="557">
        <f t="shared" ca="1" si="8"/>
        <v>-270</v>
      </c>
      <c r="BK79" s="557">
        <f t="shared" ca="1" si="8"/>
        <v>-270</v>
      </c>
      <c r="BL79" s="557">
        <f t="shared" ca="1" si="8"/>
        <v>-270</v>
      </c>
      <c r="BM79" s="557">
        <f t="shared" ca="1" si="8"/>
        <v>-270</v>
      </c>
      <c r="BN79" s="557">
        <f t="shared" ca="1" si="8"/>
        <v>-270</v>
      </c>
      <c r="BO79" s="557">
        <f t="shared" ca="1" si="8"/>
        <v>-270</v>
      </c>
      <c r="BP79" s="557">
        <f t="shared" ca="1" si="8"/>
        <v>-270</v>
      </c>
      <c r="BQ79" s="558">
        <f t="shared" ca="1" si="8"/>
        <v>-280</v>
      </c>
    </row>
    <row r="80" spans="1:69" ht="6" customHeight="1" x14ac:dyDescent="0.2">
      <c r="P80" s="32"/>
      <c r="Q80" s="32"/>
      <c r="R80" s="522"/>
      <c r="S80" s="559"/>
      <c r="T80" s="560"/>
      <c r="U80" s="559"/>
      <c r="V80" s="559"/>
      <c r="W80" s="559"/>
      <c r="X80" s="559"/>
      <c r="Y80" s="559"/>
      <c r="Z80" s="559"/>
      <c r="AA80" s="559"/>
      <c r="AB80" s="561"/>
      <c r="AC80" s="561"/>
      <c r="AD80" s="561"/>
      <c r="AE80" s="561"/>
      <c r="AF80" s="561"/>
      <c r="AG80" s="561"/>
      <c r="AH80" s="223"/>
      <c r="AI80" s="223"/>
      <c r="AJ80" s="223"/>
      <c r="AK80" s="224"/>
      <c r="AL80" s="224"/>
      <c r="AM80" s="224"/>
      <c r="AN80" s="224"/>
      <c r="AO80" s="224"/>
      <c r="AP80" s="224"/>
      <c r="AQ80" s="224"/>
      <c r="AR80" s="224"/>
      <c r="AS80" s="224"/>
      <c r="AT80" s="224"/>
      <c r="AU80" s="224"/>
      <c r="AV80" s="224"/>
      <c r="AW80" s="224"/>
      <c r="AX80" s="224"/>
      <c r="AY80" s="224"/>
      <c r="AZ80" s="224"/>
      <c r="BA80" s="224"/>
      <c r="BB80" s="224"/>
      <c r="BC80" s="224"/>
      <c r="BD80" s="224"/>
      <c r="BE80" s="224"/>
      <c r="BF80" s="224"/>
      <c r="BG80" s="224"/>
      <c r="BH80" s="224"/>
      <c r="BI80" s="224"/>
      <c r="BJ80" s="224"/>
      <c r="BK80" s="224"/>
      <c r="BL80" s="224"/>
      <c r="BM80" s="224"/>
      <c r="BN80" s="224"/>
      <c r="BO80" s="224"/>
      <c r="BP80" s="224"/>
      <c r="BQ80" s="224"/>
    </row>
    <row r="81" spans="1:69" ht="17.25" customHeight="1" x14ac:dyDescent="0.25">
      <c r="A81" s="504" t="s">
        <v>27</v>
      </c>
      <c r="B81" s="504"/>
      <c r="G81" s="32"/>
      <c r="H81" s="42"/>
      <c r="I81" s="283"/>
      <c r="J81" s="284"/>
      <c r="K81" s="508"/>
      <c r="L81" s="379" t="s">
        <v>457</v>
      </c>
      <c r="M81" s="2410">
        <f>ROUND(MAX(G39,WR_Var1!G39,WR_Var3!G39,WR_Var4!G39),0)</f>
        <v>0</v>
      </c>
      <c r="N81" s="2410"/>
      <c r="O81" s="409"/>
      <c r="P81" s="32"/>
      <c r="Q81" s="32"/>
      <c r="R81" s="561"/>
      <c r="S81" s="562"/>
      <c r="T81" s="561"/>
      <c r="U81" s="561"/>
      <c r="V81" s="561"/>
      <c r="W81" s="561"/>
      <c r="X81" s="561"/>
      <c r="Y81" s="561"/>
      <c r="Z81" s="561"/>
      <c r="AA81" s="561"/>
      <c r="AB81" s="561"/>
      <c r="AC81" s="561"/>
      <c r="AD81" s="561"/>
      <c r="AE81" s="561"/>
      <c r="AF81" s="561"/>
      <c r="AG81" s="223"/>
      <c r="AH81" s="223"/>
      <c r="AI81" s="223"/>
      <c r="AJ81" s="400"/>
      <c r="AK81" s="224"/>
      <c r="AL81" s="224"/>
      <c r="AM81" s="224"/>
      <c r="AN81" s="224"/>
      <c r="AO81" s="224"/>
      <c r="AP81" s="225"/>
      <c r="AQ81" s="224"/>
      <c r="AR81" s="224"/>
      <c r="AS81" s="224"/>
      <c r="AT81" s="224"/>
      <c r="AU81" s="224"/>
      <c r="AV81" s="224"/>
      <c r="AW81" s="224"/>
      <c r="AX81" s="224"/>
      <c r="AY81" s="224"/>
      <c r="AZ81" s="224"/>
      <c r="BA81" s="224"/>
      <c r="BB81" s="224"/>
      <c r="BC81" s="224"/>
      <c r="BD81" s="224"/>
      <c r="BE81" s="224"/>
      <c r="BF81" s="224"/>
      <c r="BG81" s="224"/>
      <c r="BH81" s="224"/>
      <c r="BI81" s="224"/>
      <c r="BJ81" s="224"/>
      <c r="BK81" s="224"/>
      <c r="BL81" s="224"/>
      <c r="BM81" s="224"/>
      <c r="BN81" s="224"/>
      <c r="BO81" s="224"/>
      <c r="BP81" s="224"/>
      <c r="BQ81" s="32"/>
    </row>
    <row r="82" spans="1:69" ht="2.1" customHeight="1" x14ac:dyDescent="0.2">
      <c r="H82" s="33"/>
      <c r="I82" s="287"/>
      <c r="J82" s="284"/>
      <c r="K82" s="284"/>
      <c r="L82" s="284"/>
      <c r="P82" s="32"/>
      <c r="Q82" s="32"/>
      <c r="R82" s="561"/>
      <c r="S82" s="562"/>
      <c r="T82" s="561"/>
      <c r="U82" s="561"/>
      <c r="V82" s="561"/>
      <c r="W82" s="561"/>
      <c r="X82" s="561"/>
      <c r="Y82" s="561"/>
      <c r="Z82" s="561"/>
      <c r="AA82" s="561"/>
      <c r="AB82" s="561"/>
      <c r="AC82" s="561"/>
      <c r="AD82" s="561"/>
      <c r="AE82" s="561"/>
      <c r="AF82" s="561"/>
      <c r="AG82" s="223"/>
      <c r="AH82" s="223"/>
      <c r="AI82" s="223"/>
      <c r="AJ82" s="224"/>
      <c r="AK82" s="224"/>
      <c r="AL82" s="224"/>
      <c r="AM82" s="224"/>
      <c r="AN82" s="224"/>
      <c r="AO82" s="224"/>
      <c r="AP82" s="224"/>
      <c r="AQ82" s="224"/>
      <c r="AR82" s="224"/>
      <c r="AS82" s="224"/>
      <c r="AT82" s="224"/>
      <c r="AU82" s="224"/>
      <c r="AV82" s="224"/>
      <c r="AW82" s="224"/>
      <c r="AX82" s="224"/>
      <c r="AY82" s="224"/>
      <c r="AZ82" s="224"/>
      <c r="BA82" s="224"/>
      <c r="BB82" s="224"/>
      <c r="BC82" s="224"/>
      <c r="BD82" s="224"/>
      <c r="BE82" s="224"/>
      <c r="BF82" s="224"/>
      <c r="BG82" s="224"/>
      <c r="BH82" s="224"/>
      <c r="BI82" s="224"/>
      <c r="BJ82" s="224"/>
      <c r="BK82" s="224"/>
      <c r="BL82" s="224"/>
      <c r="BM82" s="224"/>
      <c r="BN82" s="224"/>
      <c r="BO82" s="224"/>
      <c r="BP82" s="224"/>
      <c r="BQ82" s="32"/>
    </row>
    <row r="83" spans="1:69" ht="12" customHeight="1" x14ac:dyDescent="0.2">
      <c r="D83" s="695" t="s">
        <v>40</v>
      </c>
      <c r="E83" s="2547">
        <f>IF(ISBLANK($M$83),$M$81,$M$83)</f>
        <v>0</v>
      </c>
      <c r="F83" s="2547"/>
      <c r="G83" s="32"/>
      <c r="I83" s="287"/>
      <c r="J83" s="284"/>
      <c r="K83" s="147"/>
      <c r="L83" s="286" t="s">
        <v>28</v>
      </c>
      <c r="M83" s="2409"/>
      <c r="N83" s="2409"/>
      <c r="O83" s="147"/>
      <c r="Q83" s="34"/>
      <c r="R83" s="226"/>
      <c r="S83" s="562"/>
      <c r="T83" s="561"/>
      <c r="U83" s="561"/>
      <c r="V83" s="561"/>
      <c r="W83" s="561"/>
      <c r="X83" s="561"/>
      <c r="Y83" s="561"/>
      <c r="Z83" s="561"/>
      <c r="AA83" s="561"/>
      <c r="AB83" s="561"/>
      <c r="AC83" s="561"/>
      <c r="AD83" s="561"/>
      <c r="AE83" s="561"/>
      <c r="AF83" s="561"/>
      <c r="AG83" s="223"/>
      <c r="AH83" s="223"/>
      <c r="AI83" s="223"/>
      <c r="AJ83" s="224"/>
      <c r="AK83" s="224"/>
      <c r="AL83" s="224"/>
      <c r="AM83" s="224"/>
      <c r="AN83" s="224"/>
      <c r="AO83" s="224"/>
      <c r="AP83" s="224"/>
      <c r="AQ83" s="224"/>
      <c r="AR83" s="224"/>
      <c r="AS83" s="224"/>
      <c r="AT83" s="224"/>
      <c r="AU83" s="224"/>
      <c r="AV83" s="224"/>
      <c r="AW83" s="224"/>
      <c r="AX83" s="224"/>
      <c r="AY83" s="224"/>
      <c r="AZ83" s="224"/>
      <c r="BA83" s="224"/>
      <c r="BB83" s="224"/>
      <c r="BC83" s="224"/>
      <c r="BD83" s="224"/>
      <c r="BE83" s="224"/>
      <c r="BF83" s="224"/>
      <c r="BG83" s="224"/>
      <c r="BH83" s="224"/>
      <c r="BI83" s="224"/>
      <c r="BJ83" s="224"/>
      <c r="BK83" s="224"/>
      <c r="BL83" s="224"/>
      <c r="BM83" s="224"/>
      <c r="BN83" s="224"/>
      <c r="BO83" s="224"/>
      <c r="BP83" s="224"/>
      <c r="BQ83" s="32"/>
    </row>
    <row r="84" spans="1:69" ht="3.95" customHeight="1" x14ac:dyDescent="0.2">
      <c r="A84" s="33"/>
      <c r="B84" s="33"/>
      <c r="C84" s="34"/>
      <c r="D84" s="34"/>
      <c r="E84" s="34"/>
      <c r="F84" s="34"/>
      <c r="G84" s="34"/>
      <c r="H84" s="34"/>
      <c r="I84" s="34"/>
      <c r="J84" s="34"/>
      <c r="Q84" s="34"/>
      <c r="R84" s="226"/>
      <c r="S84" s="562"/>
      <c r="T84" s="561"/>
      <c r="U84" s="561"/>
      <c r="V84" s="561"/>
      <c r="W84" s="561"/>
      <c r="X84" s="561"/>
      <c r="Y84" s="561"/>
      <c r="Z84" s="561"/>
      <c r="AA84" s="561"/>
      <c r="AB84" s="561"/>
      <c r="AC84" s="561"/>
      <c r="AD84" s="561"/>
      <c r="AE84" s="561"/>
      <c r="AF84" s="561"/>
      <c r="AG84" s="223"/>
      <c r="AH84" s="223"/>
      <c r="AI84" s="223"/>
      <c r="AJ84" s="224"/>
      <c r="AK84" s="224"/>
      <c r="AL84" s="224"/>
      <c r="AM84" s="224"/>
      <c r="AN84" s="224"/>
      <c r="AO84" s="224"/>
      <c r="AP84" s="224"/>
      <c r="AQ84" s="224"/>
      <c r="AR84" s="224"/>
      <c r="AS84" s="224"/>
      <c r="AT84" s="224"/>
      <c r="AU84" s="224"/>
      <c r="AV84" s="224"/>
      <c r="AW84" s="224"/>
      <c r="AX84" s="224"/>
      <c r="AY84" s="224"/>
      <c r="AZ84" s="224"/>
      <c r="BA84" s="224"/>
      <c r="BB84" s="224"/>
      <c r="BC84" s="224"/>
      <c r="BD84" s="224"/>
      <c r="BE84" s="224"/>
      <c r="BF84" s="224"/>
      <c r="BG84" s="224"/>
      <c r="BH84" s="224"/>
      <c r="BI84" s="224"/>
      <c r="BJ84" s="224"/>
      <c r="BK84" s="224"/>
      <c r="BL84" s="224"/>
      <c r="BM84" s="224"/>
      <c r="BN84" s="224"/>
      <c r="BO84" s="224"/>
      <c r="BP84" s="224"/>
      <c r="BQ84" s="32"/>
    </row>
    <row r="85" spans="1:69" s="39" customFormat="1" ht="11.25" customHeight="1" x14ac:dyDescent="0.2">
      <c r="A85" s="1248"/>
      <c r="B85" s="1249"/>
      <c r="C85" s="1249"/>
      <c r="D85" s="1100"/>
      <c r="E85" s="2322" t="s">
        <v>29</v>
      </c>
      <c r="F85" s="2324"/>
      <c r="G85" s="2323" t="s">
        <v>39</v>
      </c>
      <c r="H85" s="2323"/>
      <c r="I85" s="2323"/>
      <c r="J85" s="2323"/>
      <c r="K85" s="2323"/>
      <c r="L85" s="2322" t="s">
        <v>636</v>
      </c>
      <c r="M85" s="2323"/>
      <c r="N85" s="2324"/>
      <c r="O85" s="507"/>
      <c r="P85" s="396"/>
      <c r="Q85" s="397"/>
      <c r="R85" s="38"/>
      <c r="S85" s="199"/>
      <c r="T85" s="199"/>
      <c r="U85" s="199"/>
      <c r="V85" s="199"/>
      <c r="W85" s="199"/>
      <c r="X85" s="199"/>
      <c r="Y85" s="199"/>
      <c r="Z85" s="199"/>
      <c r="AA85" s="563"/>
      <c r="AB85" s="561"/>
      <c r="AC85" s="561"/>
      <c r="AD85" s="561"/>
      <c r="AE85" s="561"/>
      <c r="AF85" s="561"/>
      <c r="AG85" s="223"/>
      <c r="AH85" s="223"/>
      <c r="AI85" s="223"/>
      <c r="AJ85" s="224"/>
      <c r="AK85" s="224"/>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K85" s="199"/>
      <c r="BL85" s="199"/>
      <c r="BM85" s="199"/>
      <c r="BN85" s="199"/>
      <c r="BO85" s="199"/>
      <c r="BP85" s="199"/>
    </row>
    <row r="86" spans="1:69" s="39" customFormat="1" ht="11.25" customHeight="1" x14ac:dyDescent="0.2">
      <c r="A86" s="1250" t="s">
        <v>11</v>
      </c>
      <c r="B86" s="1251"/>
      <c r="C86" s="1251"/>
      <c r="D86" s="1212"/>
      <c r="E86" s="2325" t="s">
        <v>31</v>
      </c>
      <c r="F86" s="2327"/>
      <c r="G86" s="2362" t="s">
        <v>633</v>
      </c>
      <c r="H86" s="2362"/>
      <c r="I86" s="2523"/>
      <c r="J86" s="2361" t="s">
        <v>634</v>
      </c>
      <c r="K86" s="2362"/>
      <c r="L86" s="2325" t="s">
        <v>571</v>
      </c>
      <c r="M86" s="2326"/>
      <c r="N86" s="2327"/>
      <c r="O86" s="507"/>
      <c r="P86" s="2471" t="s">
        <v>402</v>
      </c>
      <c r="Q86" s="2472"/>
      <c r="R86" s="298"/>
      <c r="U86" s="226"/>
      <c r="V86" s="199"/>
      <c r="W86" s="199"/>
      <c r="X86" s="199"/>
      <c r="Y86" s="199"/>
      <c r="Z86" s="199"/>
      <c r="AA86" s="199"/>
      <c r="AB86" s="199"/>
      <c r="AC86" s="199"/>
      <c r="AD86" s="564"/>
      <c r="AE86" s="561"/>
      <c r="AF86" s="561"/>
      <c r="AG86" s="561"/>
      <c r="AH86" s="561"/>
      <c r="AI86" s="561"/>
      <c r="AJ86" s="223"/>
      <c r="AK86" s="223"/>
      <c r="AL86" s="223"/>
      <c r="AM86" s="224"/>
      <c r="AN86" s="224"/>
      <c r="AO86" s="199"/>
      <c r="AP86" s="199"/>
      <c r="AQ86" s="199"/>
      <c r="AR86" s="199"/>
      <c r="AS86" s="199"/>
      <c r="AT86" s="199"/>
      <c r="AU86" s="199"/>
      <c r="AV86" s="199"/>
      <c r="AW86" s="199"/>
      <c r="AX86" s="199"/>
      <c r="AY86" s="199"/>
      <c r="AZ86" s="199"/>
      <c r="BA86" s="199"/>
      <c r="BB86" s="199"/>
      <c r="BC86" s="199"/>
      <c r="BD86" s="199"/>
      <c r="BE86" s="199"/>
      <c r="BF86" s="199"/>
      <c r="BG86" s="199"/>
      <c r="BH86" s="199"/>
      <c r="BI86" s="199"/>
      <c r="BJ86" s="199"/>
      <c r="BK86" s="199"/>
      <c r="BL86" s="199"/>
      <c r="BM86" s="199"/>
      <c r="BN86" s="199"/>
      <c r="BO86" s="199"/>
      <c r="BP86" s="199"/>
      <c r="BQ86" s="199"/>
    </row>
    <row r="87" spans="1:69" s="39" customFormat="1" ht="11.25" customHeight="1" x14ac:dyDescent="0.2">
      <c r="A87" s="1222"/>
      <c r="B87" s="1223"/>
      <c r="C87" s="1223"/>
      <c r="D87" s="1054"/>
      <c r="E87" s="2483" t="s">
        <v>555</v>
      </c>
      <c r="F87" s="2484"/>
      <c r="G87" s="2349" t="s">
        <v>567</v>
      </c>
      <c r="H87" s="2349"/>
      <c r="I87" s="2399"/>
      <c r="J87" s="2348" t="s">
        <v>567</v>
      </c>
      <c r="K87" s="2349"/>
      <c r="L87" s="2483" t="s">
        <v>567</v>
      </c>
      <c r="M87" s="2349"/>
      <c r="N87" s="2484"/>
      <c r="O87" s="507"/>
      <c r="P87" s="2481" t="s">
        <v>403</v>
      </c>
      <c r="Q87" s="2482"/>
      <c r="R87" s="298"/>
      <c r="S87" s="539" t="s">
        <v>583</v>
      </c>
      <c r="U87" s="226"/>
      <c r="V87" s="199"/>
      <c r="W87" s="199"/>
      <c r="X87" s="199"/>
      <c r="Y87" s="199"/>
      <c r="Z87" s="199"/>
      <c r="AA87" s="199"/>
      <c r="AB87" s="199"/>
      <c r="AC87" s="199"/>
      <c r="AD87" s="564"/>
      <c r="AE87" s="561"/>
      <c r="AF87" s="561"/>
      <c r="AG87" s="561"/>
      <c r="AH87" s="561"/>
      <c r="AI87" s="561"/>
      <c r="AJ87" s="223"/>
      <c r="AK87" s="223"/>
      <c r="AL87" s="223"/>
      <c r="AM87" s="224"/>
      <c r="AN87" s="224"/>
      <c r="AO87" s="199"/>
      <c r="AP87" s="199"/>
      <c r="AQ87" s="199"/>
      <c r="AR87" s="199"/>
      <c r="AS87" s="199"/>
      <c r="AT87" s="199"/>
      <c r="AU87" s="199"/>
      <c r="AV87" s="199"/>
      <c r="AW87" s="199"/>
      <c r="AX87" s="199"/>
      <c r="AY87" s="199"/>
      <c r="AZ87" s="199"/>
      <c r="BA87" s="199"/>
      <c r="BB87" s="199"/>
      <c r="BC87" s="199"/>
      <c r="BD87" s="199"/>
      <c r="BE87" s="199"/>
      <c r="BF87" s="199"/>
      <c r="BG87" s="199"/>
      <c r="BH87" s="199"/>
      <c r="BI87" s="199"/>
      <c r="BJ87" s="199"/>
      <c r="BK87" s="199"/>
      <c r="BL87" s="199"/>
      <c r="BM87" s="199"/>
      <c r="BN87" s="199"/>
      <c r="BO87" s="199"/>
      <c r="BP87" s="199"/>
      <c r="BQ87" s="199"/>
    </row>
    <row r="88" spans="1:69" s="36" customFormat="1" ht="12" customHeight="1" x14ac:dyDescent="0.2">
      <c r="A88" s="1015" t="s">
        <v>635</v>
      </c>
      <c r="B88" s="1016"/>
      <c r="C88" s="1017"/>
      <c r="D88" s="1018" t="str">
        <f>"("&amp;Grunddaten!$U$10&amp;")"</f>
        <v>(Förderbeiträge berücksichtigen)</v>
      </c>
      <c r="E88" s="2414" t="s">
        <v>25</v>
      </c>
      <c r="F88" s="2415"/>
      <c r="G88" s="2329">
        <f>IF(Grunddaten!AN10=TRUE,$J$54,$J$39)</f>
        <v>0</v>
      </c>
      <c r="H88" s="2329"/>
      <c r="I88" s="2494"/>
      <c r="J88" s="2440" t="s">
        <v>38</v>
      </c>
      <c r="K88" s="2441"/>
      <c r="L88" s="2328">
        <f>G88</f>
        <v>0</v>
      </c>
      <c r="M88" s="2329"/>
      <c r="N88" s="2330"/>
      <c r="O88" s="141"/>
      <c r="P88" s="2473">
        <f>$E$39</f>
        <v>0</v>
      </c>
      <c r="Q88" s="2474"/>
      <c r="R88" s="38"/>
      <c r="S88" s="540">
        <f ca="1">S59</f>
        <v>2024</v>
      </c>
      <c r="T88" s="541">
        <f ca="1">S88+1</f>
        <v>2025</v>
      </c>
      <c r="U88" s="541">
        <f t="shared" ref="U88:BP88" ca="1" si="9">T88+1</f>
        <v>2026</v>
      </c>
      <c r="V88" s="541">
        <f t="shared" ca="1" si="9"/>
        <v>2027</v>
      </c>
      <c r="W88" s="541">
        <f t="shared" ca="1" si="9"/>
        <v>2028</v>
      </c>
      <c r="X88" s="541">
        <f t="shared" ca="1" si="9"/>
        <v>2029</v>
      </c>
      <c r="Y88" s="541">
        <f t="shared" ca="1" si="9"/>
        <v>2030</v>
      </c>
      <c r="Z88" s="541">
        <f t="shared" ca="1" si="9"/>
        <v>2031</v>
      </c>
      <c r="AA88" s="541">
        <f t="shared" ca="1" si="9"/>
        <v>2032</v>
      </c>
      <c r="AB88" s="541">
        <f t="shared" ca="1" si="9"/>
        <v>2033</v>
      </c>
      <c r="AC88" s="541">
        <f t="shared" ca="1" si="9"/>
        <v>2034</v>
      </c>
      <c r="AD88" s="541">
        <f t="shared" ca="1" si="9"/>
        <v>2035</v>
      </c>
      <c r="AE88" s="541">
        <f t="shared" ca="1" si="9"/>
        <v>2036</v>
      </c>
      <c r="AF88" s="541">
        <f t="shared" ca="1" si="9"/>
        <v>2037</v>
      </c>
      <c r="AG88" s="541">
        <f t="shared" ca="1" si="9"/>
        <v>2038</v>
      </c>
      <c r="AH88" s="541">
        <f t="shared" ca="1" si="9"/>
        <v>2039</v>
      </c>
      <c r="AI88" s="541">
        <f t="shared" ca="1" si="9"/>
        <v>2040</v>
      </c>
      <c r="AJ88" s="541">
        <f t="shared" ca="1" si="9"/>
        <v>2041</v>
      </c>
      <c r="AK88" s="541">
        <f t="shared" ca="1" si="9"/>
        <v>2042</v>
      </c>
      <c r="AL88" s="541">
        <f t="shared" ca="1" si="9"/>
        <v>2043</v>
      </c>
      <c r="AM88" s="541">
        <f t="shared" ca="1" si="9"/>
        <v>2044</v>
      </c>
      <c r="AN88" s="541">
        <f t="shared" ca="1" si="9"/>
        <v>2045</v>
      </c>
      <c r="AO88" s="541">
        <f t="shared" ca="1" si="9"/>
        <v>2046</v>
      </c>
      <c r="AP88" s="541">
        <f t="shared" ca="1" si="9"/>
        <v>2047</v>
      </c>
      <c r="AQ88" s="541">
        <f t="shared" ca="1" si="9"/>
        <v>2048</v>
      </c>
      <c r="AR88" s="541">
        <f t="shared" ca="1" si="9"/>
        <v>2049</v>
      </c>
      <c r="AS88" s="541">
        <f t="shared" ca="1" si="9"/>
        <v>2050</v>
      </c>
      <c r="AT88" s="541">
        <f t="shared" ca="1" si="9"/>
        <v>2051</v>
      </c>
      <c r="AU88" s="541">
        <f t="shared" ca="1" si="9"/>
        <v>2052</v>
      </c>
      <c r="AV88" s="541">
        <f t="shared" ca="1" si="9"/>
        <v>2053</v>
      </c>
      <c r="AW88" s="541">
        <f t="shared" ca="1" si="9"/>
        <v>2054</v>
      </c>
      <c r="AX88" s="541">
        <f t="shared" ca="1" si="9"/>
        <v>2055</v>
      </c>
      <c r="AY88" s="541">
        <f t="shared" ca="1" si="9"/>
        <v>2056</v>
      </c>
      <c r="AZ88" s="541">
        <f t="shared" ca="1" si="9"/>
        <v>2057</v>
      </c>
      <c r="BA88" s="541">
        <f t="shared" ca="1" si="9"/>
        <v>2058</v>
      </c>
      <c r="BB88" s="541">
        <f t="shared" ca="1" si="9"/>
        <v>2059</v>
      </c>
      <c r="BC88" s="541">
        <f t="shared" ca="1" si="9"/>
        <v>2060</v>
      </c>
      <c r="BD88" s="541">
        <f t="shared" ca="1" si="9"/>
        <v>2061</v>
      </c>
      <c r="BE88" s="541">
        <f t="shared" ca="1" si="9"/>
        <v>2062</v>
      </c>
      <c r="BF88" s="541">
        <f t="shared" ca="1" si="9"/>
        <v>2063</v>
      </c>
      <c r="BG88" s="541">
        <f t="shared" ca="1" si="9"/>
        <v>2064</v>
      </c>
      <c r="BH88" s="541">
        <f t="shared" ca="1" si="9"/>
        <v>2065</v>
      </c>
      <c r="BI88" s="541">
        <f t="shared" ca="1" si="9"/>
        <v>2066</v>
      </c>
      <c r="BJ88" s="541">
        <f t="shared" ca="1" si="9"/>
        <v>2067</v>
      </c>
      <c r="BK88" s="541">
        <f t="shared" ca="1" si="9"/>
        <v>2068</v>
      </c>
      <c r="BL88" s="541">
        <f t="shared" ca="1" si="9"/>
        <v>2069</v>
      </c>
      <c r="BM88" s="541">
        <f t="shared" ca="1" si="9"/>
        <v>2070</v>
      </c>
      <c r="BN88" s="541">
        <f t="shared" ca="1" si="9"/>
        <v>2071</v>
      </c>
      <c r="BO88" s="541">
        <f t="shared" ca="1" si="9"/>
        <v>2072</v>
      </c>
      <c r="BP88" s="541">
        <f t="shared" ca="1" si="9"/>
        <v>2073</v>
      </c>
      <c r="BQ88" s="542">
        <f ca="1">BP88+1</f>
        <v>2074</v>
      </c>
    </row>
    <row r="89" spans="1:69" s="36" customFormat="1" ht="12" customHeight="1" x14ac:dyDescent="0.2">
      <c r="A89" s="1019" t="s">
        <v>642</v>
      </c>
      <c r="B89" s="1020"/>
      <c r="C89" s="1020"/>
      <c r="D89" s="1021"/>
      <c r="E89" s="2340">
        <f>IF(ISBLANK(Grunddaten!$O$10),Grunddaten!$N$10,Grunddaten!$O$10)</f>
        <v>1E-8</v>
      </c>
      <c r="F89" s="2341"/>
      <c r="G89" s="2332">
        <f>$N39</f>
        <v>0</v>
      </c>
      <c r="H89" s="2332"/>
      <c r="I89" s="2495"/>
      <c r="J89" s="2502" t="s">
        <v>38</v>
      </c>
      <c r="K89" s="2503"/>
      <c r="L89" s="2331">
        <f ca="1">IF(P89=0,0,-ROUND(PMT($J$9,$E$83,$P89),-1))</f>
        <v>0</v>
      </c>
      <c r="M89" s="2332"/>
      <c r="N89" s="2333"/>
      <c r="O89" s="141"/>
      <c r="P89" s="2475">
        <f ca="1">ROUND(NPV($J$9,S89:OFFSET($S$89,0,$E$83-1)),-1)</f>
        <v>0</v>
      </c>
      <c r="Q89" s="2476"/>
      <c r="R89" s="38"/>
      <c r="S89" s="263">
        <f>G89</f>
        <v>0</v>
      </c>
      <c r="T89" s="264">
        <f ca="1">$S$89*(1+(T88-$S$88)*$E$89)</f>
        <v>0</v>
      </c>
      <c r="U89" s="264">
        <f t="shared" ref="U89:BQ89" ca="1" si="10">$S$89*(1+(U88-$S$88)*$E$89)</f>
        <v>0</v>
      </c>
      <c r="V89" s="264">
        <f t="shared" ca="1" si="10"/>
        <v>0</v>
      </c>
      <c r="W89" s="264">
        <f t="shared" ca="1" si="10"/>
        <v>0</v>
      </c>
      <c r="X89" s="264">
        <f t="shared" ca="1" si="10"/>
        <v>0</v>
      </c>
      <c r="Y89" s="264">
        <f t="shared" ca="1" si="10"/>
        <v>0</v>
      </c>
      <c r="Z89" s="264">
        <f t="shared" ca="1" si="10"/>
        <v>0</v>
      </c>
      <c r="AA89" s="264">
        <f t="shared" ca="1" si="10"/>
        <v>0</v>
      </c>
      <c r="AB89" s="264">
        <f t="shared" ca="1" si="10"/>
        <v>0</v>
      </c>
      <c r="AC89" s="264">
        <f t="shared" ca="1" si="10"/>
        <v>0</v>
      </c>
      <c r="AD89" s="264">
        <f t="shared" ca="1" si="10"/>
        <v>0</v>
      </c>
      <c r="AE89" s="264">
        <f t="shared" ca="1" si="10"/>
        <v>0</v>
      </c>
      <c r="AF89" s="264">
        <f t="shared" ca="1" si="10"/>
        <v>0</v>
      </c>
      <c r="AG89" s="264">
        <f t="shared" ca="1" si="10"/>
        <v>0</v>
      </c>
      <c r="AH89" s="264">
        <f t="shared" ca="1" si="10"/>
        <v>0</v>
      </c>
      <c r="AI89" s="264">
        <f t="shared" ca="1" si="10"/>
        <v>0</v>
      </c>
      <c r="AJ89" s="264">
        <f t="shared" ca="1" si="10"/>
        <v>0</v>
      </c>
      <c r="AK89" s="264">
        <f t="shared" ca="1" si="10"/>
        <v>0</v>
      </c>
      <c r="AL89" s="264">
        <f t="shared" ca="1" si="10"/>
        <v>0</v>
      </c>
      <c r="AM89" s="264">
        <f t="shared" ca="1" si="10"/>
        <v>0</v>
      </c>
      <c r="AN89" s="264">
        <f t="shared" ca="1" si="10"/>
        <v>0</v>
      </c>
      <c r="AO89" s="264">
        <f t="shared" ca="1" si="10"/>
        <v>0</v>
      </c>
      <c r="AP89" s="264">
        <f t="shared" ca="1" si="10"/>
        <v>0</v>
      </c>
      <c r="AQ89" s="264">
        <f t="shared" ca="1" si="10"/>
        <v>0</v>
      </c>
      <c r="AR89" s="264">
        <f t="shared" ca="1" si="10"/>
        <v>0</v>
      </c>
      <c r="AS89" s="264">
        <f t="shared" ca="1" si="10"/>
        <v>0</v>
      </c>
      <c r="AT89" s="264">
        <f t="shared" ca="1" si="10"/>
        <v>0</v>
      </c>
      <c r="AU89" s="264">
        <f t="shared" ca="1" si="10"/>
        <v>0</v>
      </c>
      <c r="AV89" s="264">
        <f t="shared" ca="1" si="10"/>
        <v>0</v>
      </c>
      <c r="AW89" s="264">
        <f t="shared" ca="1" si="10"/>
        <v>0</v>
      </c>
      <c r="AX89" s="264">
        <f t="shared" ca="1" si="10"/>
        <v>0</v>
      </c>
      <c r="AY89" s="264">
        <f t="shared" ca="1" si="10"/>
        <v>0</v>
      </c>
      <c r="AZ89" s="264">
        <f t="shared" ca="1" si="10"/>
        <v>0</v>
      </c>
      <c r="BA89" s="264">
        <f t="shared" ca="1" si="10"/>
        <v>0</v>
      </c>
      <c r="BB89" s="264">
        <f t="shared" ca="1" si="10"/>
        <v>0</v>
      </c>
      <c r="BC89" s="264">
        <f t="shared" ca="1" si="10"/>
        <v>0</v>
      </c>
      <c r="BD89" s="264">
        <f t="shared" ca="1" si="10"/>
        <v>0</v>
      </c>
      <c r="BE89" s="264">
        <f t="shared" ca="1" si="10"/>
        <v>0</v>
      </c>
      <c r="BF89" s="264">
        <f t="shared" ca="1" si="10"/>
        <v>0</v>
      </c>
      <c r="BG89" s="264">
        <f t="shared" ca="1" si="10"/>
        <v>0</v>
      </c>
      <c r="BH89" s="264">
        <f t="shared" ca="1" si="10"/>
        <v>0</v>
      </c>
      <c r="BI89" s="264">
        <f t="shared" ca="1" si="10"/>
        <v>0</v>
      </c>
      <c r="BJ89" s="264">
        <f t="shared" ca="1" si="10"/>
        <v>0</v>
      </c>
      <c r="BK89" s="264">
        <f t="shared" ca="1" si="10"/>
        <v>0</v>
      </c>
      <c r="BL89" s="264">
        <f t="shared" ca="1" si="10"/>
        <v>0</v>
      </c>
      <c r="BM89" s="264">
        <f t="shared" ca="1" si="10"/>
        <v>0</v>
      </c>
      <c r="BN89" s="264">
        <f t="shared" ca="1" si="10"/>
        <v>0</v>
      </c>
      <c r="BO89" s="264">
        <f t="shared" ca="1" si="10"/>
        <v>0</v>
      </c>
      <c r="BP89" s="264">
        <f t="shared" ca="1" si="10"/>
        <v>0</v>
      </c>
      <c r="BQ89" s="694">
        <f t="shared" ca="1" si="10"/>
        <v>0</v>
      </c>
    </row>
    <row r="90" spans="1:69" s="36" customFormat="1" ht="12" customHeight="1" x14ac:dyDescent="0.2">
      <c r="A90" s="1019" t="s">
        <v>30</v>
      </c>
      <c r="B90" s="1020"/>
      <c r="C90" s="1020"/>
      <c r="D90" s="1021"/>
      <c r="E90" s="2340"/>
      <c r="F90" s="2341"/>
      <c r="G90" s="2332"/>
      <c r="H90" s="2332"/>
      <c r="I90" s="2495"/>
      <c r="J90" s="2504"/>
      <c r="K90" s="2505"/>
      <c r="L90" s="2331"/>
      <c r="M90" s="2332"/>
      <c r="N90" s="2333"/>
      <c r="O90" s="141"/>
      <c r="P90" s="2477"/>
      <c r="Q90" s="2478"/>
      <c r="R90" s="299"/>
      <c r="S90" s="265"/>
      <c r="T90" s="265"/>
      <c r="U90" s="265"/>
      <c r="V90" s="265"/>
      <c r="W90" s="265"/>
      <c r="X90" s="265"/>
      <c r="Y90" s="265"/>
      <c r="Z90" s="265"/>
      <c r="AA90" s="564"/>
      <c r="AB90" s="565"/>
      <c r="AC90" s="565"/>
      <c r="AD90" s="565"/>
      <c r="AE90" s="565"/>
      <c r="AF90" s="565"/>
      <c r="AG90" s="228"/>
      <c r="AH90" s="228"/>
      <c r="AI90" s="228"/>
      <c r="AJ90" s="226"/>
      <c r="AK90" s="226"/>
      <c r="AL90" s="226"/>
      <c r="AM90" s="226"/>
      <c r="AN90" s="226"/>
      <c r="AO90" s="226"/>
      <c r="AP90" s="226"/>
      <c r="AQ90" s="226"/>
      <c r="AR90" s="226"/>
      <c r="AS90" s="226"/>
      <c r="AT90" s="226"/>
      <c r="AU90" s="226"/>
      <c r="AV90" s="226"/>
      <c r="AW90" s="226"/>
      <c r="AX90" s="226"/>
      <c r="AY90" s="226"/>
      <c r="AZ90" s="226"/>
      <c r="BA90" s="226"/>
      <c r="BB90" s="226"/>
      <c r="BC90" s="226"/>
      <c r="BD90" s="226"/>
      <c r="BE90" s="226"/>
      <c r="BF90" s="226"/>
      <c r="BG90" s="226"/>
      <c r="BH90" s="226"/>
      <c r="BI90" s="226"/>
      <c r="BJ90" s="226"/>
      <c r="BK90" s="226"/>
      <c r="BL90" s="226"/>
      <c r="BM90" s="226"/>
      <c r="BN90" s="226"/>
      <c r="BO90" s="226"/>
      <c r="BP90" s="226"/>
    </row>
    <row r="91" spans="1:69" s="36" customFormat="1" ht="11.25" customHeight="1" x14ac:dyDescent="0.2">
      <c r="A91" s="1022" t="str">
        <f t="shared" ref="A91:A100" si="11">A62</f>
        <v>Elektrizität, Hochtarif</v>
      </c>
      <c r="B91" s="1023"/>
      <c r="C91" s="1023"/>
      <c r="D91" s="1024"/>
      <c r="E91" s="2447">
        <f ca="1">IF(G91=0,0,OFFSET(Grunddaten!$AH$17,El_Produkt,0))/100</f>
        <v>6.3831846194025875E-3</v>
      </c>
      <c r="F91" s="2448"/>
      <c r="G91" s="2445">
        <f t="shared" ref="G91:G107" ca="1" si="12">L62-J91</f>
        <v>-160</v>
      </c>
      <c r="H91" s="2445"/>
      <c r="I91" s="2446"/>
      <c r="J91" s="2500">
        <f ca="1">$R$109*OFFSET(Grunddaten!$Q$17,El_Produkt,0)/100*G62</f>
        <v>0</v>
      </c>
      <c r="K91" s="2501"/>
      <c r="L91" s="2319" t="e">
        <f t="shared" ref="L91:L107" ca="1" si="13">IF(P91=0,0,-ROUND(PMT($J$9,$E$83,$P91),-1))</f>
        <v>#NUM!</v>
      </c>
      <c r="M91" s="2320"/>
      <c r="N91" s="2321"/>
      <c r="O91" s="143"/>
      <c r="P91" s="2479">
        <f ca="1">ROUND(NPV($J$9,S62:OFFSET(S62,0,$E$83-1)),-1)</f>
        <v>-160</v>
      </c>
      <c r="Q91" s="2480"/>
      <c r="R91" s="297"/>
      <c r="S91" s="145"/>
      <c r="T91" s="145"/>
      <c r="U91" s="145"/>
      <c r="V91" s="145"/>
      <c r="AE91" s="176"/>
      <c r="AF91" s="176"/>
      <c r="AG91" s="176"/>
      <c r="AH91" s="176"/>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c r="BP91" s="176"/>
    </row>
    <row r="92" spans="1:69" s="36" customFormat="1" ht="11.25" customHeight="1" x14ac:dyDescent="0.2">
      <c r="A92" s="1022" t="str">
        <f t="shared" si="11"/>
        <v>Elektrizität, Niedertarif</v>
      </c>
      <c r="B92" s="1023"/>
      <c r="C92" s="1023"/>
      <c r="D92" s="1024"/>
      <c r="E92" s="2447">
        <f ca="1">IF(G92=0,0,OFFSET(Grunddaten!$AH$17,El_Produkt,0))/100</f>
        <v>6.3831846194025875E-3</v>
      </c>
      <c r="F92" s="2448"/>
      <c r="G92" s="2445">
        <f t="shared" ca="1" si="12"/>
        <v>-50</v>
      </c>
      <c r="H92" s="2445"/>
      <c r="I92" s="2446"/>
      <c r="J92" s="2500">
        <f ca="1">$R$109*OFFSET(Grunddaten!$Q$17,El_Produkt,0)/100*G63</f>
        <v>0</v>
      </c>
      <c r="K92" s="2501"/>
      <c r="L92" s="2319" t="e">
        <f t="shared" ca="1" si="13"/>
        <v>#NUM!</v>
      </c>
      <c r="M92" s="2320"/>
      <c r="N92" s="2321"/>
      <c r="O92" s="143"/>
      <c r="P92" s="2479">
        <f ca="1">ROUND(NPV($J$9,S63:OFFSET(S63,0,$E$83-1)),-1)</f>
        <v>-50</v>
      </c>
      <c r="Q92" s="2480"/>
      <c r="R92" s="297"/>
      <c r="S92" s="145"/>
      <c r="T92" s="145"/>
      <c r="U92" s="145"/>
      <c r="V92" s="145"/>
      <c r="AE92" s="546"/>
      <c r="AF92" s="546"/>
      <c r="AG92" s="222"/>
      <c r="AH92" s="222"/>
      <c r="AI92" s="222"/>
      <c r="AJ92" s="176"/>
      <c r="AK92" s="176"/>
      <c r="AL92" s="176"/>
      <c r="AM92" s="176"/>
      <c r="AN92" s="176"/>
      <c r="AO92" s="176"/>
      <c r="AP92" s="176"/>
      <c r="AQ92" s="176"/>
      <c r="AR92" s="176"/>
      <c r="AS92" s="176"/>
      <c r="AT92" s="176"/>
      <c r="AU92" s="176"/>
      <c r="AV92" s="176"/>
      <c r="AW92" s="176"/>
      <c r="AX92" s="176"/>
      <c r="AY92" s="176"/>
      <c r="AZ92" s="176"/>
      <c r="BA92" s="176"/>
      <c r="BB92" s="176"/>
      <c r="BC92" s="176"/>
      <c r="BD92" s="176"/>
      <c r="BE92" s="176"/>
      <c r="BF92" s="176"/>
      <c r="BG92" s="176"/>
      <c r="BH92" s="176"/>
      <c r="BI92" s="176"/>
      <c r="BJ92" s="176"/>
      <c r="BK92" s="176"/>
      <c r="BL92" s="176"/>
      <c r="BM92" s="176"/>
      <c r="BN92" s="176"/>
      <c r="BO92" s="176"/>
      <c r="BP92" s="176"/>
    </row>
    <row r="93" spans="1:69" s="36" customFormat="1" ht="11.25" customHeight="1" x14ac:dyDescent="0.2">
      <c r="A93" s="1025" t="str">
        <f t="shared" si="11"/>
        <v>Elektrizität Wärmepumpen, HT</v>
      </c>
      <c r="B93" s="1026"/>
      <c r="C93" s="1026"/>
      <c r="D93" s="1027"/>
      <c r="E93" s="2346">
        <f ca="1">IF(G93=0,0,OFFSET(Grunddaten!$AH$17,El_Produkt,0))/100</f>
        <v>0</v>
      </c>
      <c r="F93" s="2347"/>
      <c r="G93" s="2419">
        <f t="shared" ca="1" si="12"/>
        <v>0</v>
      </c>
      <c r="H93" s="2419"/>
      <c r="I93" s="2420"/>
      <c r="J93" s="2438">
        <f ca="1">$R$109*OFFSET(Grunddaten!$Q$17,El_Produkt,0)/100*G64</f>
        <v>0</v>
      </c>
      <c r="K93" s="2439"/>
      <c r="L93" s="2334">
        <f t="shared" ca="1" si="13"/>
        <v>0</v>
      </c>
      <c r="M93" s="2335"/>
      <c r="N93" s="2336"/>
      <c r="O93" s="143"/>
      <c r="P93" s="2416">
        <f ca="1">ROUND(NPV($J$9,S64:OFFSET(S64,0,$E$83-1)),-1)</f>
        <v>0</v>
      </c>
      <c r="Q93" s="2417"/>
      <c r="R93" s="297"/>
      <c r="S93" s="145"/>
      <c r="T93" s="145"/>
      <c r="U93" s="145"/>
      <c r="V93" s="145"/>
      <c r="AE93" s="546"/>
      <c r="AF93" s="546"/>
      <c r="AG93" s="222"/>
      <c r="AH93" s="222"/>
      <c r="AI93" s="222"/>
      <c r="AJ93" s="176"/>
      <c r="AK93" s="176"/>
      <c r="AL93" s="176"/>
      <c r="AM93" s="176"/>
      <c r="AN93" s="176"/>
      <c r="AO93" s="176"/>
      <c r="AP93" s="176"/>
      <c r="AQ93" s="176"/>
      <c r="AR93" s="176"/>
      <c r="AS93" s="176"/>
      <c r="AT93" s="176"/>
      <c r="AU93" s="176"/>
      <c r="AV93" s="176"/>
      <c r="AW93" s="176"/>
      <c r="AX93" s="176"/>
      <c r="AY93" s="176"/>
      <c r="AZ93" s="176"/>
      <c r="BA93" s="176"/>
      <c r="BB93" s="176"/>
      <c r="BC93" s="176"/>
      <c r="BD93" s="176"/>
      <c r="BE93" s="176"/>
      <c r="BF93" s="176"/>
      <c r="BG93" s="176"/>
      <c r="BH93" s="176"/>
      <c r="BI93" s="176"/>
      <c r="BJ93" s="176"/>
      <c r="BK93" s="176"/>
      <c r="BL93" s="176"/>
      <c r="BM93" s="176"/>
      <c r="BN93" s="176"/>
      <c r="BO93" s="176"/>
      <c r="BP93" s="176"/>
    </row>
    <row r="94" spans="1:69" s="36" customFormat="1" ht="11.25" customHeight="1" x14ac:dyDescent="0.2">
      <c r="A94" s="1011" t="str">
        <f t="shared" si="11"/>
        <v>Elektrizität Wärmepumpen, NT</v>
      </c>
      <c r="B94" s="1253"/>
      <c r="C94" s="1253"/>
      <c r="D94" s="1028"/>
      <c r="E94" s="2421">
        <f ca="1">IF(G94=0,0,OFFSET(Grunddaten!$AH$17,El_Produkt,0))/100</f>
        <v>0</v>
      </c>
      <c r="F94" s="2422"/>
      <c r="G94" s="2344">
        <f t="shared" ca="1" si="12"/>
        <v>0</v>
      </c>
      <c r="H94" s="2344"/>
      <c r="I94" s="2345"/>
      <c r="J94" s="2434">
        <f ca="1">$R$109*OFFSET(Grunddaten!$Q$17,El_Produkt,0)/100*G65</f>
        <v>0</v>
      </c>
      <c r="K94" s="2435"/>
      <c r="L94" s="2424">
        <f t="shared" ca="1" si="13"/>
        <v>0</v>
      </c>
      <c r="M94" s="2425"/>
      <c r="N94" s="2426"/>
      <c r="O94" s="143"/>
      <c r="P94" s="2452">
        <f ca="1">ROUND(NPV($J$9,S65:OFFSET(S65,0,$E$83-1)),-1)</f>
        <v>0</v>
      </c>
      <c r="Q94" s="2453"/>
      <c r="R94" s="297"/>
      <c r="S94" s="145"/>
      <c r="T94" s="145"/>
      <c r="U94" s="145"/>
      <c r="V94" s="145"/>
      <c r="AE94" s="546"/>
      <c r="AF94" s="546"/>
      <c r="AG94" s="222"/>
      <c r="AH94" s="222"/>
      <c r="AI94" s="222"/>
      <c r="AJ94" s="176"/>
      <c r="AK94" s="176"/>
      <c r="AL94" s="176"/>
      <c r="AM94" s="176"/>
      <c r="AN94" s="176"/>
      <c r="AO94" s="176"/>
      <c r="AP94" s="176"/>
      <c r="AQ94" s="176"/>
      <c r="AR94" s="176"/>
      <c r="AS94" s="176"/>
      <c r="AT94" s="176"/>
      <c r="AU94" s="176"/>
      <c r="AV94" s="176"/>
      <c r="AW94" s="176"/>
      <c r="AX94" s="176"/>
      <c r="AY94" s="176"/>
      <c r="AZ94" s="176"/>
      <c r="BA94" s="176"/>
      <c r="BB94" s="176"/>
      <c r="BC94" s="176"/>
      <c r="BD94" s="176"/>
      <c r="BE94" s="176"/>
      <c r="BF94" s="176"/>
      <c r="BG94" s="176"/>
      <c r="BH94" s="176"/>
      <c r="BI94" s="176"/>
      <c r="BJ94" s="176"/>
      <c r="BK94" s="176"/>
      <c r="BL94" s="176"/>
      <c r="BM94" s="176"/>
      <c r="BN94" s="176"/>
      <c r="BO94" s="176"/>
      <c r="BP94" s="176"/>
    </row>
    <row r="95" spans="1:69" s="36" customFormat="1" ht="11.25" customHeight="1" x14ac:dyDescent="0.2">
      <c r="A95" s="1025" t="str">
        <f t="shared" si="11"/>
        <v>Netzrückspeisung erneuerbar, HT</v>
      </c>
      <c r="B95" s="1026"/>
      <c r="C95" s="1026"/>
      <c r="D95" s="1027"/>
      <c r="E95" s="2346">
        <f>IF(G95=0,0,Grunddaten!$AH41/100)</f>
        <v>0</v>
      </c>
      <c r="F95" s="2347"/>
      <c r="G95" s="2419">
        <f t="shared" si="12"/>
        <v>0</v>
      </c>
      <c r="H95" s="2419"/>
      <c r="I95" s="2420"/>
      <c r="J95" s="2438">
        <f>$R$109*Grunddaten!Q41/100*G66</f>
        <v>0</v>
      </c>
      <c r="K95" s="2439"/>
      <c r="L95" s="2334">
        <f t="shared" ca="1" si="13"/>
        <v>0</v>
      </c>
      <c r="M95" s="2335"/>
      <c r="N95" s="2336"/>
      <c r="O95" s="143"/>
      <c r="P95" s="2479">
        <f ca="1">ROUND(NPV($J$9,S66:OFFSET(S66,0,$E$83-1)),-1)</f>
        <v>0</v>
      </c>
      <c r="Q95" s="2480"/>
      <c r="R95" s="297"/>
      <c r="S95" s="145"/>
      <c r="T95" s="145"/>
      <c r="U95" s="145"/>
      <c r="V95" s="145"/>
      <c r="AE95" s="546"/>
      <c r="AF95" s="546"/>
      <c r="AG95" s="222"/>
      <c r="AH95" s="222"/>
      <c r="AI95" s="222"/>
      <c r="AJ95" s="176"/>
      <c r="AK95" s="176"/>
      <c r="AL95" s="176"/>
      <c r="AM95" s="176"/>
      <c r="AN95" s="176"/>
      <c r="AO95" s="176"/>
      <c r="AP95" s="176"/>
      <c r="AQ95" s="176"/>
      <c r="AR95" s="176"/>
      <c r="AS95" s="176"/>
      <c r="AT95" s="176"/>
      <c r="AU95" s="176"/>
      <c r="AV95" s="176"/>
      <c r="AW95" s="176"/>
      <c r="AX95" s="176"/>
      <c r="AY95" s="176"/>
      <c r="AZ95" s="176"/>
      <c r="BA95" s="176"/>
      <c r="BB95" s="176"/>
      <c r="BC95" s="176"/>
      <c r="BD95" s="176"/>
      <c r="BE95" s="176"/>
      <c r="BF95" s="176"/>
      <c r="BG95" s="176"/>
      <c r="BH95" s="176"/>
      <c r="BI95" s="176"/>
      <c r="BJ95" s="176"/>
      <c r="BK95" s="176"/>
      <c r="BL95" s="176"/>
      <c r="BM95" s="176"/>
      <c r="BN95" s="176"/>
      <c r="BO95" s="176"/>
      <c r="BP95" s="176"/>
    </row>
    <row r="96" spans="1:69" s="36" customFormat="1" ht="11.25" customHeight="1" x14ac:dyDescent="0.2">
      <c r="A96" s="1011" t="str">
        <f t="shared" si="11"/>
        <v>Netzrückspeisung erneuerbar, NT</v>
      </c>
      <c r="B96" s="1253"/>
      <c r="C96" s="1253"/>
      <c r="D96" s="1028"/>
      <c r="E96" s="2421">
        <f>IF(G96=0,0,Grunddaten!$AH42/100)</f>
        <v>0</v>
      </c>
      <c r="F96" s="2422"/>
      <c r="G96" s="2344">
        <f t="shared" si="12"/>
        <v>0</v>
      </c>
      <c r="H96" s="2344"/>
      <c r="I96" s="2345"/>
      <c r="J96" s="2434">
        <f>$R$109*Grunddaten!Q41/100*G67</f>
        <v>0</v>
      </c>
      <c r="K96" s="2435"/>
      <c r="L96" s="2424">
        <f t="shared" ca="1" si="13"/>
        <v>0</v>
      </c>
      <c r="M96" s="2425"/>
      <c r="N96" s="2426"/>
      <c r="O96" s="143"/>
      <c r="P96" s="2479">
        <f ca="1">ROUND(NPV($J$9,S67:OFFSET(S67,0,$E$83-1)),-1)</f>
        <v>0</v>
      </c>
      <c r="Q96" s="2480"/>
      <c r="R96" s="297"/>
      <c r="S96" s="145"/>
      <c r="T96" s="145"/>
      <c r="U96" s="145"/>
      <c r="V96" s="145"/>
      <c r="AE96" s="546"/>
      <c r="AF96" s="546"/>
      <c r="AG96" s="222"/>
      <c r="AH96" s="222"/>
      <c r="AI96" s="222"/>
      <c r="AJ96" s="176"/>
      <c r="AK96" s="176"/>
      <c r="AL96" s="176"/>
      <c r="AM96" s="176"/>
      <c r="AN96" s="176"/>
      <c r="AO96" s="176"/>
      <c r="AP96" s="176"/>
      <c r="AQ96" s="176"/>
      <c r="AR96" s="176"/>
      <c r="AS96" s="176"/>
      <c r="AT96" s="176"/>
      <c r="AU96" s="176"/>
      <c r="AV96" s="176"/>
      <c r="AW96" s="176"/>
      <c r="AX96" s="176"/>
      <c r="AY96" s="176"/>
      <c r="AZ96" s="176"/>
      <c r="BA96" s="176"/>
      <c r="BB96" s="176"/>
      <c r="BC96" s="176"/>
      <c r="BD96" s="176"/>
      <c r="BE96" s="176"/>
      <c r="BF96" s="176"/>
      <c r="BG96" s="176"/>
      <c r="BH96" s="176"/>
      <c r="BI96" s="176"/>
      <c r="BJ96" s="176"/>
      <c r="BK96" s="176"/>
      <c r="BL96" s="176"/>
      <c r="BM96" s="176"/>
      <c r="BN96" s="176"/>
      <c r="BO96" s="176"/>
      <c r="BP96" s="176"/>
    </row>
    <row r="97" spans="1:74" s="36" customFormat="1" ht="11.25" customHeight="1" x14ac:dyDescent="0.2">
      <c r="A97" s="1025" t="str">
        <f t="shared" si="11"/>
        <v>Netzrückspeisung nicht erneuerbar, HT</v>
      </c>
      <c r="B97" s="1026"/>
      <c r="C97" s="1026"/>
      <c r="D97" s="1027"/>
      <c r="E97" s="2346">
        <f>IF(G97=0,0,Grunddaten!$AH43/100)</f>
        <v>0</v>
      </c>
      <c r="F97" s="2347"/>
      <c r="G97" s="2419">
        <f t="shared" si="12"/>
        <v>0</v>
      </c>
      <c r="H97" s="2419"/>
      <c r="I97" s="2420"/>
      <c r="J97" s="2438">
        <f>$R$109*Grunddaten!Q43/100*G68</f>
        <v>0</v>
      </c>
      <c r="K97" s="2439"/>
      <c r="L97" s="2334">
        <f t="shared" ca="1" si="13"/>
        <v>0</v>
      </c>
      <c r="M97" s="2335"/>
      <c r="N97" s="2336"/>
      <c r="O97" s="143"/>
      <c r="P97" s="2416">
        <f ca="1">ROUND(NPV($J$9,S68:OFFSET(S68,0,$E$83-1)),-1)</f>
        <v>0</v>
      </c>
      <c r="Q97" s="2417"/>
      <c r="R97" s="297"/>
      <c r="S97" s="145"/>
      <c r="T97" s="145"/>
      <c r="U97" s="145"/>
      <c r="V97" s="145"/>
      <c r="AE97" s="546"/>
      <c r="AF97" s="546"/>
      <c r="AG97" s="222"/>
      <c r="AH97" s="222"/>
      <c r="AI97" s="222"/>
      <c r="AJ97" s="176"/>
      <c r="AK97" s="176"/>
      <c r="AL97" s="176"/>
      <c r="AM97" s="176"/>
      <c r="AN97" s="176"/>
      <c r="AO97" s="176"/>
      <c r="AP97" s="176"/>
      <c r="AQ97" s="176"/>
      <c r="AR97" s="176"/>
      <c r="AS97" s="176"/>
      <c r="AT97" s="176"/>
      <c r="AU97" s="176"/>
      <c r="AV97" s="176"/>
      <c r="AW97" s="176"/>
      <c r="AX97" s="176"/>
      <c r="AY97" s="176"/>
      <c r="AZ97" s="176"/>
      <c r="BA97" s="176"/>
      <c r="BB97" s="176"/>
      <c r="BC97" s="176"/>
      <c r="BD97" s="176"/>
      <c r="BE97" s="176"/>
      <c r="BF97" s="176"/>
      <c r="BG97" s="176"/>
      <c r="BH97" s="176"/>
      <c r="BI97" s="176"/>
      <c r="BJ97" s="176"/>
      <c r="BK97" s="176"/>
      <c r="BL97" s="176"/>
      <c r="BM97" s="176"/>
      <c r="BN97" s="176"/>
      <c r="BO97" s="176"/>
      <c r="BP97" s="176"/>
    </row>
    <row r="98" spans="1:74" s="36" customFormat="1" ht="11.25" customHeight="1" x14ac:dyDescent="0.2">
      <c r="A98" s="1011" t="str">
        <f t="shared" si="11"/>
        <v>Netzrückspeisung nicht erneuerbar, NT</v>
      </c>
      <c r="B98" s="1253"/>
      <c r="C98" s="1253"/>
      <c r="D98" s="1028"/>
      <c r="E98" s="2421">
        <f>IF(G98=0,0,Grunddaten!$AH44/100)</f>
        <v>0</v>
      </c>
      <c r="F98" s="2422"/>
      <c r="G98" s="2344">
        <f t="shared" si="12"/>
        <v>0</v>
      </c>
      <c r="H98" s="2344"/>
      <c r="I98" s="2345"/>
      <c r="J98" s="2434">
        <f>$R$109*Grunddaten!Q43/100*G69</f>
        <v>0</v>
      </c>
      <c r="K98" s="2435"/>
      <c r="L98" s="2424">
        <f t="shared" ca="1" si="13"/>
        <v>0</v>
      </c>
      <c r="M98" s="2425"/>
      <c r="N98" s="2426"/>
      <c r="O98" s="143"/>
      <c r="P98" s="2452">
        <f ca="1">ROUND(NPV($J$9,S69:OFFSET(S69,0,$E$83-1)),-1)</f>
        <v>0</v>
      </c>
      <c r="Q98" s="2453"/>
      <c r="R98" s="297"/>
      <c r="S98" s="145"/>
      <c r="T98" s="145"/>
      <c r="U98" s="145"/>
      <c r="V98" s="145"/>
      <c r="AE98" s="546"/>
      <c r="AF98" s="546"/>
      <c r="AG98" s="222"/>
      <c r="AH98" s="222"/>
      <c r="AI98" s="222"/>
      <c r="AJ98" s="176"/>
      <c r="AK98" s="176"/>
      <c r="AL98" s="176"/>
      <c r="AM98" s="176"/>
      <c r="AN98" s="176"/>
      <c r="AO98" s="176"/>
      <c r="AP98" s="176"/>
      <c r="AQ98" s="176"/>
      <c r="AR98" s="176"/>
      <c r="AS98" s="176"/>
      <c r="AT98" s="176"/>
      <c r="AU98" s="176"/>
      <c r="AV98" s="176"/>
      <c r="AW98" s="176"/>
      <c r="AX98" s="176"/>
      <c r="AY98" s="176"/>
      <c r="AZ98" s="176"/>
      <c r="BA98" s="176"/>
      <c r="BB98" s="176"/>
      <c r="BC98" s="176"/>
      <c r="BD98" s="176"/>
      <c r="BE98" s="176"/>
      <c r="BF98" s="176"/>
      <c r="BG98" s="176"/>
      <c r="BH98" s="176"/>
      <c r="BI98" s="176"/>
      <c r="BJ98" s="176"/>
      <c r="BK98" s="176"/>
      <c r="BL98" s="176"/>
      <c r="BM98" s="176"/>
      <c r="BN98" s="176"/>
      <c r="BO98" s="176"/>
      <c r="BP98" s="176"/>
    </row>
    <row r="99" spans="1:74" s="36" customFormat="1" ht="11.25" customHeight="1" x14ac:dyDescent="0.2">
      <c r="A99" s="1029" t="str">
        <f t="shared" si="11"/>
        <v>Holzpellets</v>
      </c>
      <c r="B99" s="1030"/>
      <c r="C99" s="1030"/>
      <c r="D99" s="1021"/>
      <c r="E99" s="2340">
        <f ca="1">IF(G99=0,0,Grunddaten!$AH45/100)</f>
        <v>0</v>
      </c>
      <c r="F99" s="2341"/>
      <c r="G99" s="2350">
        <f t="shared" ca="1" si="12"/>
        <v>0</v>
      </c>
      <c r="H99" s="2350"/>
      <c r="I99" s="2351"/>
      <c r="J99" s="2436">
        <f ca="1">$R$109*Grunddaten!Q45/100*G70</f>
        <v>0</v>
      </c>
      <c r="K99" s="2437"/>
      <c r="L99" s="2449">
        <f t="shared" ca="1" si="13"/>
        <v>0</v>
      </c>
      <c r="M99" s="2450"/>
      <c r="N99" s="2451"/>
      <c r="O99" s="143"/>
      <c r="P99" s="2412">
        <f ca="1">ROUND(NPV($J$9,S70:OFFSET(S70,0,$E$83-1)),-1)</f>
        <v>0</v>
      </c>
      <c r="Q99" s="2413"/>
      <c r="R99" s="297"/>
      <c r="S99" s="145"/>
      <c r="T99" s="145"/>
      <c r="U99" s="145"/>
      <c r="V99" s="145"/>
      <c r="AE99" s="546"/>
      <c r="AF99" s="546"/>
      <c r="AG99" s="222"/>
      <c r="AH99" s="222"/>
      <c r="AI99" s="222"/>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c r="BP99" s="176"/>
    </row>
    <row r="100" spans="1:74" s="36" customFormat="1" ht="11.25" customHeight="1" x14ac:dyDescent="0.2">
      <c r="A100" s="1029" t="str">
        <f t="shared" si="11"/>
        <v>Holzschnitzel</v>
      </c>
      <c r="B100" s="1030"/>
      <c r="C100" s="1030"/>
      <c r="D100" s="1021"/>
      <c r="E100" s="2340">
        <f ca="1">IF(G100=0,0,Grunddaten!$AH46/100)</f>
        <v>0</v>
      </c>
      <c r="F100" s="2341"/>
      <c r="G100" s="2350">
        <f t="shared" ca="1" si="12"/>
        <v>0</v>
      </c>
      <c r="H100" s="2350"/>
      <c r="I100" s="2351"/>
      <c r="J100" s="2436">
        <f ca="1">$R$109*Grunddaten!Q46/100*G71</f>
        <v>0</v>
      </c>
      <c r="K100" s="2437"/>
      <c r="L100" s="2449">
        <f t="shared" ca="1" si="13"/>
        <v>0</v>
      </c>
      <c r="M100" s="2450"/>
      <c r="N100" s="2451"/>
      <c r="O100" s="143"/>
      <c r="P100" s="2412">
        <f ca="1">ROUND(NPV($J$9,S71:OFFSET(S71,0,$E$83-1)),-1)</f>
        <v>0</v>
      </c>
      <c r="Q100" s="2413"/>
      <c r="R100" s="297"/>
      <c r="S100" s="145"/>
      <c r="T100" s="145"/>
      <c r="U100" s="145"/>
      <c r="V100" s="145"/>
      <c r="AE100" s="546"/>
      <c r="AF100" s="546"/>
      <c r="AG100" s="222"/>
      <c r="AH100" s="222"/>
      <c r="AI100" s="222"/>
      <c r="AJ100" s="176"/>
      <c r="AK100" s="176"/>
      <c r="AL100" s="176"/>
      <c r="AM100" s="176"/>
      <c r="AN100" s="176"/>
      <c r="AO100" s="176"/>
      <c r="AP100" s="176"/>
      <c r="AQ100" s="176"/>
      <c r="AR100" s="176"/>
      <c r="AS100" s="176"/>
      <c r="AT100" s="176"/>
      <c r="AU100" s="176"/>
      <c r="AV100" s="176"/>
      <c r="AW100" s="176"/>
      <c r="AX100" s="176"/>
      <c r="AY100" s="176"/>
      <c r="AZ100" s="176"/>
      <c r="BA100" s="176"/>
      <c r="BB100" s="176"/>
      <c r="BC100" s="176"/>
      <c r="BD100" s="176"/>
      <c r="BE100" s="176"/>
      <c r="BF100" s="176"/>
      <c r="BG100" s="176"/>
      <c r="BH100" s="176"/>
      <c r="BI100" s="176"/>
      <c r="BJ100" s="176"/>
      <c r="BK100" s="176"/>
      <c r="BL100" s="176"/>
      <c r="BM100" s="176"/>
      <c r="BN100" s="176"/>
      <c r="BO100" s="176"/>
      <c r="BP100" s="176"/>
    </row>
    <row r="101" spans="1:74" s="36" customFormat="1" ht="11.25" customHeight="1" x14ac:dyDescent="0.2">
      <c r="A101" s="1029" t="str">
        <f t="shared" ref="A101:A107" si="14">A72</f>
        <v>Biogas</v>
      </c>
      <c r="B101" s="1030" t="str">
        <f>B72</f>
        <v>Energie360°</v>
      </c>
      <c r="C101" s="1030"/>
      <c r="D101" s="1021"/>
      <c r="E101" s="2340">
        <f ca="1">IF(G101=0,0,VLOOKUP(Projektdaten!H24,Grunddaten!C47:AI48,32,FALSE)/100)</f>
        <v>0</v>
      </c>
      <c r="F101" s="2341"/>
      <c r="G101" s="2350">
        <f t="shared" ca="1" si="12"/>
        <v>0</v>
      </c>
      <c r="H101" s="2350"/>
      <c r="I101" s="2351"/>
      <c r="J101" s="2436">
        <f ca="1">$R$109*VLOOKUP(Projektdaten!H24,Grunddaten!C47:AI48,15,FALSE)/100*G72</f>
        <v>0</v>
      </c>
      <c r="K101" s="2437"/>
      <c r="L101" s="2449">
        <f t="shared" ca="1" si="13"/>
        <v>0</v>
      </c>
      <c r="M101" s="2450"/>
      <c r="N101" s="2451"/>
      <c r="O101" s="143"/>
      <c r="P101" s="2412">
        <f ca="1">ROUND(NPV($J$9,S72:OFFSET(S72,0,$E$83-1)),-1)</f>
        <v>0</v>
      </c>
      <c r="Q101" s="2413"/>
      <c r="R101" s="297"/>
      <c r="S101" s="145"/>
      <c r="T101" s="145"/>
      <c r="U101" s="145"/>
      <c r="V101" s="145"/>
      <c r="AE101" s="546"/>
      <c r="AF101" s="546"/>
      <c r="AG101" s="222"/>
      <c r="AH101" s="222"/>
      <c r="AI101" s="222"/>
      <c r="AJ101" s="176"/>
      <c r="AK101" s="176"/>
      <c r="AL101" s="176"/>
      <c r="AM101" s="176"/>
      <c r="AN101" s="176"/>
      <c r="AO101" s="176"/>
      <c r="AP101" s="176"/>
      <c r="AQ101" s="176"/>
      <c r="AR101" s="176"/>
      <c r="AS101" s="176"/>
      <c r="AT101" s="176"/>
      <c r="AU101" s="176"/>
      <c r="AV101" s="176"/>
      <c r="AW101" s="176"/>
      <c r="AX101" s="176"/>
      <c r="AY101" s="176"/>
      <c r="AZ101" s="176"/>
      <c r="BA101" s="176"/>
      <c r="BB101" s="176"/>
      <c r="BC101" s="176"/>
      <c r="BD101" s="176"/>
      <c r="BE101" s="176"/>
      <c r="BF101" s="176"/>
      <c r="BG101" s="176"/>
      <c r="BH101" s="176"/>
      <c r="BI101" s="176"/>
      <c r="BJ101" s="176"/>
      <c r="BK101" s="176"/>
      <c r="BL101" s="176"/>
      <c r="BM101" s="176"/>
      <c r="BN101" s="176"/>
      <c r="BO101" s="176"/>
      <c r="BP101" s="176"/>
    </row>
    <row r="102" spans="1:74" s="36" customFormat="1" ht="11.25" customHeight="1" x14ac:dyDescent="0.2">
      <c r="A102" s="1029" t="str">
        <f t="shared" si="14"/>
        <v>Erdgas</v>
      </c>
      <c r="B102" s="1030"/>
      <c r="C102" s="1030"/>
      <c r="D102" s="1021"/>
      <c r="E102" s="2340">
        <f ca="1">IF(G102=0,0,Grunddaten!$AH49/100)</f>
        <v>0</v>
      </c>
      <c r="F102" s="2341"/>
      <c r="G102" s="2350">
        <f t="shared" ca="1" si="12"/>
        <v>0</v>
      </c>
      <c r="H102" s="2350"/>
      <c r="I102" s="2351"/>
      <c r="J102" s="2436">
        <f ca="1">$R$109*Grunddaten!Q49/100*G73</f>
        <v>0</v>
      </c>
      <c r="K102" s="2437"/>
      <c r="L102" s="2449">
        <f t="shared" ca="1" si="13"/>
        <v>0</v>
      </c>
      <c r="M102" s="2450"/>
      <c r="N102" s="2451"/>
      <c r="O102" s="143"/>
      <c r="P102" s="2412">
        <f ca="1">ROUND(NPV($J$9,S73:OFFSET(S73,0,$E$83-1)),-1)</f>
        <v>0</v>
      </c>
      <c r="Q102" s="2413"/>
      <c r="R102" s="297"/>
      <c r="S102" s="145"/>
      <c r="T102" s="145"/>
      <c r="U102" s="145"/>
      <c r="V102" s="145"/>
      <c r="AE102" s="546"/>
      <c r="AF102" s="546"/>
      <c r="AG102" s="222"/>
      <c r="AH102" s="222"/>
      <c r="AI102" s="222"/>
      <c r="AJ102" s="176"/>
      <c r="AK102" s="176"/>
      <c r="AL102" s="176"/>
      <c r="AM102" s="176"/>
      <c r="AN102" s="176"/>
      <c r="AO102" s="176"/>
      <c r="AP102" s="176"/>
      <c r="AQ102" s="176"/>
      <c r="AR102" s="176"/>
      <c r="AS102" s="176"/>
      <c r="AT102" s="176"/>
      <c r="AU102" s="176"/>
      <c r="AV102" s="176"/>
      <c r="AW102" s="176"/>
      <c r="AX102" s="176"/>
      <c r="AY102" s="176"/>
      <c r="AZ102" s="176"/>
      <c r="BA102" s="176"/>
      <c r="BB102" s="176"/>
      <c r="BC102" s="176"/>
      <c r="BD102" s="176"/>
      <c r="BE102" s="176"/>
      <c r="BF102" s="176"/>
      <c r="BG102" s="176"/>
      <c r="BH102" s="176"/>
      <c r="BI102" s="176"/>
      <c r="BJ102" s="176"/>
      <c r="BK102" s="176"/>
      <c r="BL102" s="176"/>
      <c r="BM102" s="176"/>
      <c r="BN102" s="176"/>
      <c r="BO102" s="176"/>
      <c r="BP102" s="176"/>
    </row>
    <row r="103" spans="1:74" s="36" customFormat="1" ht="11.25" customHeight="1" x14ac:dyDescent="0.2">
      <c r="A103" s="1029" t="str">
        <f t="shared" si="14"/>
        <v>Heizöl EL</v>
      </c>
      <c r="B103" s="1030"/>
      <c r="C103" s="1030"/>
      <c r="D103" s="1021"/>
      <c r="E103" s="2340">
        <f ca="1">IF(G103=0,0,Grunddaten!$AH50/100)</f>
        <v>0</v>
      </c>
      <c r="F103" s="2341"/>
      <c r="G103" s="2350">
        <f t="shared" ca="1" si="12"/>
        <v>0</v>
      </c>
      <c r="H103" s="2350"/>
      <c r="I103" s="2351"/>
      <c r="J103" s="2436">
        <f ca="1">$R$109*Grunddaten!Q50/100*G74</f>
        <v>0</v>
      </c>
      <c r="K103" s="2437"/>
      <c r="L103" s="2449">
        <f t="shared" ca="1" si="13"/>
        <v>0</v>
      </c>
      <c r="M103" s="2450"/>
      <c r="N103" s="2451"/>
      <c r="O103" s="143"/>
      <c r="P103" s="2412">
        <f ca="1">ROUND(NPV($J$9,S74:OFFSET(S74,0,$E$83-1)),-1)</f>
        <v>0</v>
      </c>
      <c r="Q103" s="2413"/>
      <c r="R103" s="297"/>
      <c r="S103" s="145"/>
      <c r="T103" s="145"/>
      <c r="U103" s="145"/>
      <c r="V103" s="145"/>
      <c r="AE103" s="546"/>
      <c r="AF103" s="546"/>
      <c r="AG103" s="222"/>
      <c r="AH103" s="222"/>
      <c r="AI103" s="222"/>
      <c r="AJ103" s="176"/>
      <c r="AK103" s="176"/>
      <c r="AL103" s="176"/>
      <c r="AM103" s="176"/>
      <c r="AN103" s="176"/>
      <c r="AO103" s="176"/>
      <c r="AP103" s="176"/>
      <c r="AQ103" s="176"/>
      <c r="AR103" s="176"/>
      <c r="AS103" s="176"/>
      <c r="AT103" s="176"/>
      <c r="AU103" s="176"/>
      <c r="AV103" s="176"/>
      <c r="AW103" s="176"/>
      <c r="AX103" s="176"/>
      <c r="AY103" s="176"/>
      <c r="AZ103" s="176"/>
      <c r="BA103" s="176"/>
      <c r="BB103" s="176"/>
      <c r="BC103" s="176"/>
      <c r="BD103" s="176"/>
      <c r="BE103" s="176"/>
      <c r="BF103" s="176"/>
      <c r="BG103" s="176"/>
      <c r="BH103" s="176"/>
      <c r="BI103" s="176"/>
      <c r="BJ103" s="176"/>
      <c r="BK103" s="176"/>
      <c r="BL103" s="176"/>
      <c r="BM103" s="176"/>
      <c r="BN103" s="176"/>
      <c r="BO103" s="176"/>
      <c r="BP103" s="176"/>
    </row>
    <row r="104" spans="1:74" s="36" customFormat="1" ht="11.25" customHeight="1" x14ac:dyDescent="0.2">
      <c r="A104" s="1029" t="str">
        <f t="shared" si="14"/>
        <v>Brennstoff XY</v>
      </c>
      <c r="B104" s="1030"/>
      <c r="C104" s="1030"/>
      <c r="D104" s="1021"/>
      <c r="E104" s="2340">
        <f ca="1">IF(G104=0,0,Grunddaten!$AH51/100)</f>
        <v>0</v>
      </c>
      <c r="F104" s="2341"/>
      <c r="G104" s="2350">
        <f t="shared" ca="1" si="12"/>
        <v>0</v>
      </c>
      <c r="H104" s="2350"/>
      <c r="I104" s="2351"/>
      <c r="J104" s="2436">
        <f ca="1">$R$109*Grunddaten!Q51/100*G75</f>
        <v>0</v>
      </c>
      <c r="K104" s="2437"/>
      <c r="L104" s="2449">
        <f t="shared" ca="1" si="13"/>
        <v>0</v>
      </c>
      <c r="M104" s="2450"/>
      <c r="N104" s="2451"/>
      <c r="O104" s="143"/>
      <c r="P104" s="2412">
        <f ca="1">ROUND(NPV($J$9,S75:OFFSET(S75,0,$E$83-1)),-1)</f>
        <v>0</v>
      </c>
      <c r="Q104" s="2413"/>
      <c r="R104" s="297"/>
      <c r="S104" s="145"/>
      <c r="T104" s="145"/>
      <c r="U104" s="145"/>
      <c r="V104" s="145"/>
      <c r="AE104" s="546"/>
      <c r="AF104" s="546"/>
      <c r="AG104" s="222"/>
      <c r="AH104" s="222"/>
      <c r="AI104" s="222"/>
      <c r="AJ104" s="176"/>
      <c r="AK104" s="176"/>
      <c r="AL104" s="176"/>
      <c r="AM104" s="176"/>
      <c r="AN104" s="176"/>
      <c r="AO104" s="176"/>
      <c r="AP104" s="176"/>
      <c r="AQ104" s="176"/>
      <c r="AR104" s="176"/>
      <c r="AS104" s="176"/>
      <c r="AT104" s="176"/>
      <c r="AU104" s="176"/>
      <c r="AV104" s="176"/>
      <c r="AW104" s="176"/>
      <c r="AX104" s="176"/>
      <c r="AY104" s="176"/>
      <c r="AZ104" s="176"/>
      <c r="BA104" s="176"/>
      <c r="BB104" s="176"/>
      <c r="BC104" s="176"/>
      <c r="BD104" s="176"/>
      <c r="BE104" s="176"/>
      <c r="BF104" s="176"/>
      <c r="BG104" s="176"/>
      <c r="BH104" s="176"/>
      <c r="BI104" s="176"/>
      <c r="BJ104" s="176"/>
      <c r="BK104" s="176"/>
      <c r="BL104" s="176"/>
      <c r="BM104" s="176"/>
      <c r="BN104" s="176"/>
      <c r="BO104" s="176"/>
      <c r="BP104" s="176"/>
    </row>
    <row r="105" spans="1:74" s="36" customFormat="1" ht="11.25" customHeight="1" x14ac:dyDescent="0.2">
      <c r="A105" s="1029" t="str">
        <f t="shared" si="14"/>
        <v>Fernwärme</v>
      </c>
      <c r="B105" s="1030" t="str">
        <f>B76</f>
        <v>Stadt Zürich erz</v>
      </c>
      <c r="C105" s="1030"/>
      <c r="D105" s="1021"/>
      <c r="E105" s="2340">
        <f ca="1">IF(G105=0,0,OFFSET(Grunddaten!$AH$52,FW_Produkt,0))/100</f>
        <v>0</v>
      </c>
      <c r="F105" s="2341"/>
      <c r="G105" s="2350">
        <f t="shared" ca="1" si="12"/>
        <v>0</v>
      </c>
      <c r="H105" s="2350"/>
      <c r="I105" s="2351"/>
      <c r="J105" s="2436">
        <f ca="1">$R$109*OFFSET(Grunddaten!$Q$52,FW_Produkt,0)/100*G76</f>
        <v>0</v>
      </c>
      <c r="K105" s="2437"/>
      <c r="L105" s="2449">
        <f t="shared" ca="1" si="13"/>
        <v>0</v>
      </c>
      <c r="M105" s="2450"/>
      <c r="N105" s="2451"/>
      <c r="O105" s="143"/>
      <c r="P105" s="2412">
        <f ca="1">ROUND(NPV($J$9,S76:OFFSET(S76,0,$E$83-1)),-1)</f>
        <v>0</v>
      </c>
      <c r="Q105" s="2413"/>
      <c r="R105" s="297"/>
      <c r="S105" s="145"/>
      <c r="T105" s="145"/>
      <c r="U105" s="145"/>
      <c r="V105" s="145"/>
      <c r="AE105" s="546"/>
      <c r="AF105" s="546"/>
      <c r="AG105" s="222"/>
      <c r="AH105" s="222"/>
      <c r="AI105" s="222"/>
      <c r="AJ105" s="176"/>
      <c r="AK105" s="176"/>
      <c r="AL105" s="176"/>
      <c r="AM105" s="176"/>
      <c r="AN105" s="176"/>
      <c r="AO105" s="176"/>
      <c r="AP105" s="176"/>
      <c r="AQ105" s="176"/>
      <c r="AR105" s="176"/>
      <c r="AS105" s="176"/>
      <c r="AT105" s="176"/>
      <c r="AU105" s="176"/>
      <c r="AV105" s="176"/>
      <c r="AW105" s="176"/>
      <c r="AX105" s="176"/>
      <c r="AY105" s="176"/>
      <c r="AZ105" s="176"/>
      <c r="BA105" s="176"/>
      <c r="BB105" s="176"/>
      <c r="BC105" s="176"/>
      <c r="BD105" s="176"/>
      <c r="BE105" s="176"/>
      <c r="BF105" s="176"/>
      <c r="BG105" s="176"/>
      <c r="BH105" s="176"/>
      <c r="BI105" s="176"/>
      <c r="BJ105" s="176"/>
      <c r="BK105" s="176"/>
      <c r="BL105" s="176"/>
      <c r="BM105" s="176"/>
      <c r="BN105" s="176"/>
      <c r="BO105" s="176"/>
      <c r="BP105" s="176"/>
    </row>
    <row r="106" spans="1:74" s="36" customFormat="1" ht="11.25" customHeight="1" x14ac:dyDescent="0.2">
      <c r="A106" s="1029" t="str">
        <f t="shared" si="14"/>
        <v>Wärmeverbund XY</v>
      </c>
      <c r="B106" s="1030"/>
      <c r="C106" s="1030"/>
      <c r="D106" s="1021"/>
      <c r="E106" s="2340">
        <f ca="1">IF(G106=0,0,Grunddaten!$AH55/100)</f>
        <v>0</v>
      </c>
      <c r="F106" s="2341"/>
      <c r="G106" s="2350">
        <f t="shared" ca="1" si="12"/>
        <v>0</v>
      </c>
      <c r="H106" s="2350"/>
      <c r="I106" s="2351"/>
      <c r="J106" s="2436">
        <f ca="1">$R$109*Grunddaten!Q55/100*G77</f>
        <v>0</v>
      </c>
      <c r="K106" s="2437"/>
      <c r="L106" s="2449">
        <f t="shared" ca="1" si="13"/>
        <v>0</v>
      </c>
      <c r="M106" s="2450"/>
      <c r="N106" s="2451"/>
      <c r="O106" s="143"/>
      <c r="P106" s="2412">
        <f ca="1">ROUND(NPV($J$9,S77:OFFSET(S77,0,$E$83-1)),-1)</f>
        <v>0</v>
      </c>
      <c r="Q106" s="2413"/>
      <c r="R106" s="297"/>
      <c r="S106" s="145"/>
      <c r="T106" s="145"/>
      <c r="U106" s="145"/>
      <c r="V106" s="145"/>
      <c r="AE106" s="546"/>
      <c r="AF106" s="546"/>
      <c r="AG106" s="222"/>
      <c r="AH106" s="222"/>
      <c r="AI106" s="222"/>
      <c r="AJ106" s="176"/>
      <c r="AK106" s="176"/>
      <c r="AL106" s="176"/>
      <c r="AM106" s="176"/>
      <c r="AN106" s="176"/>
      <c r="AO106" s="176"/>
      <c r="AP106" s="176"/>
      <c r="AQ106" s="176"/>
      <c r="AR106" s="176"/>
      <c r="AS106" s="176"/>
      <c r="AT106" s="176"/>
      <c r="AU106" s="176"/>
      <c r="AV106" s="176"/>
      <c r="AW106" s="176"/>
      <c r="AX106" s="176"/>
      <c r="AY106" s="176"/>
      <c r="AZ106" s="176"/>
      <c r="BA106" s="176"/>
      <c r="BB106" s="176"/>
      <c r="BC106" s="176"/>
      <c r="BD106" s="176"/>
      <c r="BE106" s="176"/>
      <c r="BF106" s="176"/>
      <c r="BG106" s="176"/>
      <c r="BH106" s="176"/>
      <c r="BI106" s="176"/>
      <c r="BJ106" s="176"/>
      <c r="BK106" s="176"/>
      <c r="BL106" s="176"/>
      <c r="BM106" s="176"/>
      <c r="BN106" s="176"/>
      <c r="BO106" s="176"/>
      <c r="BP106" s="176"/>
    </row>
    <row r="107" spans="1:74" s="36" customFormat="1" ht="11.25" customHeight="1" x14ac:dyDescent="0.2">
      <c r="A107" s="1031" t="str">
        <f t="shared" si="14"/>
        <v>Kälteverbund XY</v>
      </c>
      <c r="B107" s="1254"/>
      <c r="C107" s="1254"/>
      <c r="D107" s="1033"/>
      <c r="E107" s="2506">
        <f ca="1">IF(G107=0,0,Grunddaten!$AH56/100)</f>
        <v>0</v>
      </c>
      <c r="F107" s="2507"/>
      <c r="G107" s="2508">
        <f t="shared" ca="1" si="12"/>
        <v>0</v>
      </c>
      <c r="H107" s="2508"/>
      <c r="I107" s="2509"/>
      <c r="J107" s="2510">
        <f ca="1">$R$109*Grunddaten!Q56/100*G78</f>
        <v>0</v>
      </c>
      <c r="K107" s="2511"/>
      <c r="L107" s="2431">
        <f t="shared" ca="1" si="13"/>
        <v>0</v>
      </c>
      <c r="M107" s="2432"/>
      <c r="N107" s="2433"/>
      <c r="O107" s="143"/>
      <c r="P107" s="2490">
        <f ca="1">ROUND(NPV($J$9,S78:OFFSET(S78,0,$E$83-1)),-1)</f>
        <v>0</v>
      </c>
      <c r="Q107" s="2491"/>
      <c r="R107" s="297"/>
      <c r="S107" s="145"/>
      <c r="T107" s="145"/>
      <c r="U107" s="145"/>
      <c r="V107" s="145"/>
      <c r="AE107" s="546"/>
      <c r="AF107" s="546"/>
      <c r="AG107" s="222"/>
      <c r="AH107" s="222"/>
      <c r="AI107" s="222"/>
      <c r="AJ107" s="176"/>
      <c r="AK107" s="176"/>
      <c r="AL107" s="176"/>
      <c r="AM107" s="176"/>
      <c r="AN107" s="176"/>
      <c r="AO107" s="176"/>
      <c r="AP107" s="176"/>
      <c r="AQ107" s="176"/>
      <c r="AR107" s="176"/>
      <c r="AS107" s="176"/>
      <c r="AT107" s="176"/>
      <c r="AU107" s="176"/>
      <c r="AV107" s="176"/>
      <c r="AW107" s="176"/>
      <c r="AX107" s="176"/>
      <c r="AY107" s="176"/>
      <c r="AZ107" s="176"/>
      <c r="BA107" s="176"/>
      <c r="BB107" s="176"/>
      <c r="BC107" s="176"/>
      <c r="BD107" s="176"/>
      <c r="BE107" s="176"/>
      <c r="BF107" s="176"/>
      <c r="BG107" s="176"/>
      <c r="BH107" s="176"/>
      <c r="BI107" s="176"/>
      <c r="BJ107" s="176"/>
      <c r="BK107" s="176"/>
      <c r="BL107" s="176"/>
      <c r="BM107" s="176"/>
      <c r="BN107" s="176"/>
      <c r="BO107" s="176"/>
      <c r="BP107" s="176"/>
    </row>
    <row r="108" spans="1:74" s="36" customFormat="1" ht="12" customHeight="1" x14ac:dyDescent="0.2">
      <c r="A108" s="1224" t="s">
        <v>37</v>
      </c>
      <c r="B108" s="1225"/>
      <c r="C108" s="1226"/>
      <c r="D108" s="1226"/>
      <c r="E108" s="1227"/>
      <c r="F108" s="1228"/>
      <c r="G108" s="2337">
        <f ca="1">ROUND(SUM(G91:G107),-1)</f>
        <v>-210</v>
      </c>
      <c r="H108" s="2338"/>
      <c r="I108" s="2499"/>
      <c r="J108" s="2575" t="s">
        <v>38</v>
      </c>
      <c r="K108" s="2576"/>
      <c r="L108" s="2337" t="e">
        <f ca="1">ROUND(SUM(L91:N107),-1)</f>
        <v>#NUM!</v>
      </c>
      <c r="M108" s="2338"/>
      <c r="N108" s="2339"/>
      <c r="O108" s="142"/>
      <c r="S108" s="176"/>
      <c r="AE108" s="546"/>
      <c r="AF108" s="546"/>
      <c r="AG108" s="222"/>
      <c r="AH108" s="222"/>
      <c r="AI108" s="222"/>
      <c r="AJ108" s="176"/>
      <c r="AK108" s="176"/>
      <c r="AL108" s="176"/>
      <c r="AM108" s="176"/>
      <c r="AN108" s="176"/>
      <c r="AO108" s="176"/>
      <c r="AP108" s="176"/>
      <c r="AQ108" s="176"/>
      <c r="AR108" s="176"/>
      <c r="AS108" s="176"/>
      <c r="AT108" s="176"/>
      <c r="AU108" s="176"/>
      <c r="AV108" s="176"/>
      <c r="AW108" s="176"/>
      <c r="AX108" s="176"/>
      <c r="AY108" s="176"/>
      <c r="AZ108" s="176"/>
      <c r="BA108" s="176"/>
      <c r="BB108" s="176"/>
      <c r="BC108" s="176"/>
      <c r="BD108" s="176"/>
      <c r="BE108" s="176"/>
      <c r="BF108" s="176"/>
      <c r="BG108" s="176"/>
      <c r="BH108" s="176"/>
      <c r="BI108" s="176"/>
      <c r="BJ108" s="176"/>
      <c r="BK108" s="176"/>
      <c r="BL108" s="176"/>
      <c r="BM108" s="176"/>
      <c r="BN108" s="176"/>
      <c r="BO108" s="176"/>
      <c r="BP108" s="176"/>
    </row>
    <row r="109" spans="1:74" s="36" customFormat="1" ht="12" customHeight="1" x14ac:dyDescent="0.2">
      <c r="A109" s="1224" t="s">
        <v>648</v>
      </c>
      <c r="B109" s="1225"/>
      <c r="C109" s="2418" t="str">
        <f>IF($R$109=TRUE,"(berücksichtigt)","(nicht berücksichtigt)")</f>
        <v>(nicht berücksichtigt)</v>
      </c>
      <c r="D109" s="2418"/>
      <c r="E109" s="1228"/>
      <c r="F109" s="1228"/>
      <c r="G109" s="1229"/>
      <c r="H109" s="1229"/>
      <c r="I109" s="1230"/>
      <c r="J109" s="2456">
        <f ca="1">$R$109*ROUND(SUM(J91:J107),-1)</f>
        <v>0</v>
      </c>
      <c r="K109" s="2456"/>
      <c r="L109" s="2337">
        <f ca="1">J109</f>
        <v>0</v>
      </c>
      <c r="M109" s="2338"/>
      <c r="N109" s="2339"/>
      <c r="O109" s="142"/>
      <c r="P109" s="294" t="s">
        <v>422</v>
      </c>
      <c r="Q109" s="295"/>
      <c r="R109" s="296" t="b">
        <f>Grunddaten!AH10</f>
        <v>0</v>
      </c>
      <c r="S109" s="151" t="s">
        <v>423</v>
      </c>
      <c r="AE109" s="546"/>
      <c r="AF109" s="546"/>
      <c r="AG109" s="222"/>
      <c r="AH109" s="222"/>
      <c r="AI109" s="222"/>
      <c r="AJ109" s="176"/>
      <c r="AK109" s="176"/>
      <c r="AL109" s="176"/>
      <c r="AM109" s="176"/>
      <c r="AN109" s="176"/>
      <c r="AO109" s="176"/>
      <c r="AP109" s="176"/>
      <c r="AQ109" s="176"/>
      <c r="AR109" s="176"/>
      <c r="AS109" s="176"/>
      <c r="AT109" s="176"/>
      <c r="AU109" s="176"/>
      <c r="AV109" s="176"/>
      <c r="AW109" s="176"/>
      <c r="AX109" s="176"/>
      <c r="AY109" s="176"/>
      <c r="AZ109" s="176"/>
      <c r="BA109" s="176"/>
      <c r="BB109" s="176"/>
      <c r="BC109" s="176"/>
      <c r="BD109" s="176"/>
      <c r="BE109" s="176"/>
      <c r="BF109" s="176"/>
      <c r="BG109" s="176"/>
      <c r="BH109" s="176"/>
      <c r="BI109" s="176"/>
      <c r="BJ109" s="176"/>
      <c r="BK109" s="176"/>
      <c r="BL109" s="176"/>
      <c r="BM109" s="176"/>
      <c r="BN109" s="176"/>
      <c r="BO109" s="176"/>
      <c r="BP109" s="176"/>
    </row>
    <row r="110" spans="1:74" s="36" customFormat="1" ht="13.5" customHeight="1" x14ac:dyDescent="0.2">
      <c r="A110" s="1051" t="s">
        <v>36</v>
      </c>
      <c r="B110" s="1201"/>
      <c r="C110" s="1193"/>
      <c r="D110" s="1193"/>
      <c r="E110" s="1231"/>
      <c r="F110" s="1232"/>
      <c r="G110" s="2521">
        <f ca="1">G88+G89+G108+J109</f>
        <v>-210</v>
      </c>
      <c r="H110" s="2522"/>
      <c r="I110" s="2522"/>
      <c r="J110" s="2522"/>
      <c r="K110" s="2522"/>
      <c r="L110" s="2337" t="e">
        <f ca="1">ROUND(SUM(L88+L89+L108+L109),-1)</f>
        <v>#NUM!</v>
      </c>
      <c r="M110" s="2338"/>
      <c r="N110" s="2339"/>
      <c r="O110" s="142"/>
      <c r="P110" s="566"/>
      <c r="R110" s="176"/>
      <c r="S110" s="176"/>
      <c r="AE110" s="546"/>
      <c r="AF110" s="546"/>
      <c r="AG110" s="222"/>
      <c r="AH110" s="222"/>
      <c r="AI110" s="222"/>
      <c r="AJ110" s="176"/>
      <c r="AK110" s="176"/>
      <c r="AL110" s="176"/>
      <c r="AM110" s="176"/>
      <c r="AN110" s="176"/>
      <c r="AO110" s="176"/>
      <c r="AP110" s="176"/>
      <c r="AQ110" s="176"/>
      <c r="AR110" s="176"/>
      <c r="AS110" s="176"/>
      <c r="AT110" s="176"/>
      <c r="AU110" s="176"/>
      <c r="AV110" s="176"/>
      <c r="AW110" s="176"/>
      <c r="AX110" s="176"/>
      <c r="AY110" s="176"/>
      <c r="AZ110" s="176"/>
      <c r="BA110" s="176"/>
      <c r="BB110" s="176"/>
      <c r="BC110" s="176"/>
      <c r="BD110" s="176"/>
      <c r="BE110" s="176"/>
      <c r="BF110" s="176"/>
      <c r="BG110" s="176"/>
      <c r="BH110" s="176"/>
      <c r="BI110" s="176"/>
      <c r="BJ110" s="176"/>
      <c r="BK110" s="176"/>
      <c r="BL110" s="176"/>
      <c r="BM110" s="176"/>
      <c r="BN110" s="176"/>
      <c r="BO110" s="176"/>
      <c r="BP110" s="176"/>
      <c r="BS110" s="145"/>
      <c r="BT110" s="145"/>
      <c r="BU110" s="145"/>
      <c r="BV110" s="402"/>
    </row>
    <row r="111" spans="1:74" s="80" customFormat="1" ht="6" customHeight="1" x14ac:dyDescent="0.2">
      <c r="A111" s="41" t="s">
        <v>11</v>
      </c>
      <c r="B111" s="41"/>
      <c r="C111" s="40"/>
      <c r="D111" s="40"/>
      <c r="E111" s="40"/>
      <c r="F111" s="40"/>
      <c r="G111" s="40"/>
      <c r="H111" s="79" t="s">
        <v>11</v>
      </c>
      <c r="I111" s="79"/>
      <c r="K111" s="81" t="s">
        <v>11</v>
      </c>
      <c r="L111" s="81"/>
      <c r="M111" s="81"/>
      <c r="N111" s="81"/>
      <c r="O111" s="35"/>
      <c r="P111" s="35"/>
      <c r="Q111" s="523"/>
      <c r="R111" s="32"/>
      <c r="S111" s="175"/>
      <c r="T111" s="175"/>
      <c r="U111" s="32"/>
      <c r="V111" s="32"/>
      <c r="W111" s="32"/>
      <c r="X111" s="32"/>
      <c r="Y111" s="32"/>
      <c r="Z111" s="32"/>
      <c r="AA111" s="32"/>
      <c r="AB111" s="32"/>
      <c r="AC111" s="32"/>
      <c r="AD111" s="523"/>
      <c r="AE111" s="523"/>
      <c r="AF111" s="523"/>
      <c r="AG111" s="523"/>
      <c r="AH111" s="174"/>
      <c r="AI111" s="174"/>
      <c r="AJ111" s="174"/>
      <c r="AK111" s="175"/>
      <c r="AL111" s="175"/>
      <c r="AM111" s="175"/>
      <c r="AN111" s="175"/>
      <c r="AO111" s="175"/>
      <c r="AP111" s="175"/>
      <c r="AQ111" s="175"/>
      <c r="AR111" s="175"/>
      <c r="AS111" s="175"/>
      <c r="AT111" s="175"/>
      <c r="AU111" s="175"/>
      <c r="AV111" s="175"/>
      <c r="AW111" s="175"/>
      <c r="AX111" s="175"/>
      <c r="AY111" s="175"/>
      <c r="AZ111" s="175"/>
      <c r="BA111" s="175"/>
      <c r="BB111" s="175"/>
      <c r="BC111" s="175"/>
      <c r="BD111" s="175"/>
      <c r="BE111" s="175"/>
      <c r="BF111" s="175"/>
      <c r="BG111" s="175"/>
      <c r="BH111" s="175"/>
      <c r="BI111" s="175"/>
      <c r="BJ111" s="175"/>
      <c r="BK111" s="175"/>
      <c r="BL111" s="175"/>
      <c r="BM111" s="175"/>
      <c r="BN111" s="175"/>
      <c r="BO111" s="175"/>
      <c r="BP111" s="175"/>
      <c r="BQ111" s="175"/>
      <c r="BR111" s="32"/>
      <c r="BS111" s="145"/>
      <c r="BT111" s="145"/>
      <c r="BU111" s="145"/>
      <c r="BV111" s="402"/>
    </row>
    <row r="112" spans="1:74" s="33" customFormat="1" ht="17.25" customHeight="1" x14ac:dyDescent="0.25">
      <c r="A112" s="49" t="s">
        <v>416</v>
      </c>
      <c r="B112" s="49"/>
      <c r="D112" s="629"/>
      <c r="E112" s="629" t="str">
        <f>$D$88</f>
        <v>(Förderbeiträge berücksichtigen)</v>
      </c>
      <c r="F112" s="44"/>
      <c r="G112" s="44"/>
      <c r="H112" s="32"/>
      <c r="I112" s="32"/>
      <c r="J112" s="32"/>
      <c r="K112" s="43"/>
      <c r="L112" s="43"/>
      <c r="M112" s="43"/>
      <c r="N112" s="43"/>
      <c r="O112" s="43"/>
      <c r="P112" s="567" t="s">
        <v>412</v>
      </c>
      <c r="S112" s="175"/>
      <c r="T112" s="175"/>
      <c r="U112" s="175"/>
      <c r="V112" s="175"/>
      <c r="W112" s="175"/>
      <c r="X112" s="175"/>
      <c r="AB112" s="568"/>
      <c r="AC112" s="523"/>
      <c r="AD112" s="523"/>
      <c r="AE112" s="523"/>
      <c r="AF112" s="523"/>
      <c r="AG112" s="523"/>
      <c r="AH112" s="174"/>
      <c r="AI112" s="174"/>
      <c r="AJ112" s="174"/>
      <c r="AK112" s="175"/>
      <c r="AL112" s="175"/>
      <c r="AM112" s="175"/>
      <c r="AN112" s="175"/>
      <c r="AO112" s="175"/>
      <c r="AP112" s="175"/>
      <c r="AQ112" s="175"/>
      <c r="AR112" s="175"/>
      <c r="AS112" s="175"/>
      <c r="AT112" s="175"/>
      <c r="AU112" s="175"/>
      <c r="AV112" s="175"/>
      <c r="AW112" s="175"/>
      <c r="AX112" s="175"/>
      <c r="AY112" s="175"/>
      <c r="AZ112" s="175"/>
      <c r="BA112" s="175"/>
      <c r="BB112" s="175"/>
      <c r="BC112" s="175"/>
      <c r="BD112" s="175"/>
      <c r="BE112" s="175"/>
      <c r="BF112" s="175"/>
      <c r="BG112" s="175"/>
      <c r="BH112" s="175"/>
      <c r="BI112" s="175"/>
      <c r="BJ112" s="175"/>
      <c r="BK112" s="175"/>
      <c r="BL112" s="175"/>
      <c r="BM112" s="175"/>
      <c r="BN112" s="175"/>
      <c r="BO112" s="175"/>
      <c r="BP112" s="175"/>
      <c r="BQ112" s="175"/>
      <c r="BS112" s="145"/>
      <c r="BT112" s="145"/>
      <c r="BU112" s="145"/>
      <c r="BV112" s="402"/>
    </row>
    <row r="113" spans="1:74" s="33" customFormat="1" ht="2.25" customHeight="1" x14ac:dyDescent="0.2">
      <c r="A113" s="34"/>
      <c r="B113" s="34"/>
      <c r="C113" s="43"/>
      <c r="D113" s="43"/>
      <c r="E113" s="43"/>
      <c r="F113" s="43"/>
      <c r="G113" s="43"/>
      <c r="H113" s="34"/>
      <c r="I113" s="34"/>
      <c r="J113" s="34"/>
      <c r="K113" s="34"/>
      <c r="L113" s="34"/>
      <c r="M113" s="34"/>
      <c r="N113" s="34"/>
      <c r="O113" s="34"/>
      <c r="Q113" s="523"/>
      <c r="S113" s="175"/>
      <c r="T113" s="175"/>
      <c r="U113" s="175"/>
      <c r="V113" s="175"/>
      <c r="W113" s="175"/>
      <c r="X113" s="175"/>
      <c r="AB113" s="523"/>
      <c r="AC113" s="523"/>
      <c r="AD113" s="523"/>
      <c r="AE113" s="523"/>
      <c r="AF113" s="523"/>
      <c r="AG113" s="523"/>
      <c r="AH113" s="174"/>
      <c r="AI113" s="174"/>
      <c r="AJ113" s="174"/>
      <c r="AK113" s="175"/>
      <c r="AL113" s="175"/>
      <c r="AM113" s="175"/>
      <c r="AN113" s="175"/>
      <c r="AO113" s="175"/>
      <c r="AP113" s="175"/>
      <c r="AQ113" s="175"/>
      <c r="AR113" s="175"/>
      <c r="AS113" s="175"/>
      <c r="AT113" s="175"/>
      <c r="AU113" s="175"/>
      <c r="AV113" s="175"/>
      <c r="AW113" s="175"/>
      <c r="AX113" s="175"/>
      <c r="AY113" s="175"/>
      <c r="AZ113" s="175"/>
      <c r="BA113" s="175"/>
      <c r="BB113" s="175"/>
      <c r="BC113" s="175"/>
      <c r="BD113" s="175"/>
      <c r="BE113" s="175"/>
      <c r="BF113" s="175"/>
      <c r="BG113" s="175"/>
      <c r="BH113" s="175"/>
      <c r="BI113" s="175"/>
      <c r="BJ113" s="175"/>
      <c r="BK113" s="175"/>
      <c r="BL113" s="175"/>
      <c r="BM113" s="175"/>
      <c r="BN113" s="175"/>
      <c r="BO113" s="175"/>
      <c r="BP113" s="175"/>
      <c r="BQ113" s="175"/>
      <c r="BS113" s="145"/>
      <c r="BT113" s="145"/>
      <c r="BU113" s="145"/>
      <c r="BV113" s="402"/>
    </row>
    <row r="114" spans="1:74" s="33" customFormat="1" ht="12.95" customHeight="1" thickBot="1" x14ac:dyDescent="0.25">
      <c r="A114" s="1049"/>
      <c r="B114" s="1233"/>
      <c r="C114" s="2378" t="s">
        <v>418</v>
      </c>
      <c r="D114" s="2405"/>
      <c r="E114" s="2405"/>
      <c r="F114" s="2379"/>
      <c r="G114" s="2378" t="s">
        <v>581</v>
      </c>
      <c r="H114" s="2405"/>
      <c r="I114" s="2405"/>
      <c r="J114" s="2405"/>
      <c r="K114" s="2405"/>
      <c r="L114" s="2405"/>
      <c r="M114" s="2405"/>
      <c r="N114" s="2379"/>
      <c r="O114" s="145"/>
      <c r="P114" s="569" t="s">
        <v>413</v>
      </c>
      <c r="Q114" s="175"/>
      <c r="R114" s="175"/>
      <c r="S114" s="175"/>
      <c r="T114" s="175"/>
      <c r="U114" s="175"/>
      <c r="V114" s="175"/>
      <c r="W114" s="175"/>
      <c r="AA114" s="523"/>
      <c r="AB114" s="523"/>
      <c r="AC114" s="523"/>
      <c r="AD114" s="523"/>
      <c r="AE114" s="523"/>
      <c r="AF114" s="174"/>
      <c r="AG114" s="174"/>
      <c r="AH114" s="174"/>
      <c r="AI114" s="175"/>
      <c r="AJ114" s="175"/>
      <c r="AK114" s="175"/>
      <c r="AL114" s="175"/>
      <c r="AM114" s="175"/>
      <c r="AN114" s="175"/>
      <c r="AO114" s="175"/>
      <c r="AP114" s="175"/>
      <c r="AQ114" s="175"/>
      <c r="AR114" s="175"/>
      <c r="AS114" s="175"/>
      <c r="AT114" s="175"/>
      <c r="AU114" s="175"/>
      <c r="AV114" s="175"/>
      <c r="AW114" s="175"/>
      <c r="AX114" s="175"/>
      <c r="AY114" s="175"/>
      <c r="AZ114" s="175"/>
      <c r="BA114" s="175"/>
      <c r="BB114" s="175"/>
      <c r="BC114" s="175"/>
      <c r="BD114" s="175"/>
      <c r="BE114" s="175"/>
      <c r="BF114" s="175"/>
      <c r="BG114" s="175"/>
      <c r="BH114" s="175"/>
      <c r="BI114" s="175"/>
      <c r="BJ114" s="175"/>
      <c r="BK114" s="175"/>
      <c r="BL114" s="175"/>
      <c r="BM114" s="175"/>
      <c r="BN114" s="175"/>
      <c r="BO114" s="175"/>
      <c r="BS114" s="145"/>
      <c r="BT114" s="145"/>
      <c r="BU114" s="145"/>
      <c r="BV114" s="402"/>
    </row>
    <row r="115" spans="1:74" s="33" customFormat="1" ht="12.95" customHeight="1" thickBot="1" x14ac:dyDescent="0.25">
      <c r="A115" s="1050"/>
      <c r="B115" s="1234"/>
      <c r="C115" s="2512" t="s">
        <v>23</v>
      </c>
      <c r="D115" s="2429"/>
      <c r="E115" s="2429"/>
      <c r="F115" s="2430"/>
      <c r="G115" s="2512" t="s">
        <v>410</v>
      </c>
      <c r="H115" s="2429"/>
      <c r="I115" s="2429"/>
      <c r="J115" s="2459" t="s">
        <v>411</v>
      </c>
      <c r="K115" s="2460"/>
      <c r="L115" s="2429" t="s">
        <v>391</v>
      </c>
      <c r="M115" s="2429"/>
      <c r="N115" s="2430"/>
      <c r="O115" s="145"/>
      <c r="P115" s="278">
        <f>SUM(P116:P118)</f>
        <v>0</v>
      </c>
      <c r="Q115" s="276">
        <v>2</v>
      </c>
      <c r="R115" s="276">
        <v>3</v>
      </c>
      <c r="S115" s="276">
        <v>4</v>
      </c>
      <c r="T115" s="276">
        <v>5</v>
      </c>
      <c r="U115" s="276">
        <v>6</v>
      </c>
      <c r="V115" s="277">
        <v>7</v>
      </c>
      <c r="W115" s="175"/>
      <c r="AA115" s="523"/>
      <c r="AB115" s="523"/>
      <c r="AC115" s="523"/>
      <c r="AD115" s="523"/>
      <c r="AE115" s="523"/>
      <c r="AF115" s="174"/>
      <c r="AG115" s="174"/>
      <c r="AH115" s="174"/>
      <c r="AI115" s="175"/>
      <c r="AJ115" s="175"/>
      <c r="AK115" s="175"/>
      <c r="AL115" s="175"/>
      <c r="AM115" s="175"/>
      <c r="AN115" s="175"/>
      <c r="AO115" s="175"/>
      <c r="AP115" s="175"/>
      <c r="AQ115" s="175"/>
      <c r="AR115" s="175"/>
      <c r="AS115" s="175"/>
      <c r="AT115" s="175"/>
      <c r="AU115" s="175"/>
      <c r="AV115" s="175"/>
      <c r="AW115" s="175"/>
      <c r="AX115" s="175"/>
      <c r="AY115" s="175"/>
      <c r="AZ115" s="175"/>
      <c r="BA115" s="175"/>
      <c r="BB115" s="175"/>
      <c r="BC115" s="175"/>
      <c r="BD115" s="175"/>
      <c r="BE115" s="175"/>
      <c r="BF115" s="175"/>
      <c r="BG115" s="175"/>
      <c r="BH115" s="175"/>
      <c r="BI115" s="175"/>
      <c r="BJ115" s="175"/>
      <c r="BK115" s="175"/>
      <c r="BL115" s="175"/>
      <c r="BM115" s="175"/>
      <c r="BN115" s="175"/>
      <c r="BO115" s="175"/>
      <c r="BS115" s="145"/>
      <c r="BT115" s="145"/>
      <c r="BU115" s="145"/>
      <c r="BV115" s="402"/>
    </row>
    <row r="116" spans="1:74" s="33" customFormat="1" ht="12.95" customHeight="1" x14ac:dyDescent="0.2">
      <c r="A116" s="1034" t="s">
        <v>407</v>
      </c>
      <c r="B116" s="1035"/>
      <c r="C116" s="2527">
        <f>SUM(EV_Var2!$M$11:$M$40,EV_Var2!$M$44,EV_Var2!$M$48,EV_Var2!$M$59,EV_Var2!$R$59)</f>
        <v>0</v>
      </c>
      <c r="D116" s="2528"/>
      <c r="E116" s="2528"/>
      <c r="F116" s="2529"/>
      <c r="G116" s="2513" t="str">
        <f>IF(C116=0,"",IF(OR($P$115=0,NOT(ISBLANK(J116))),$L$119,HLOOKUP($P$115,$Q$115:$V$118,2,FALSE)))</f>
        <v/>
      </c>
      <c r="H116" s="2514"/>
      <c r="I116" s="2514"/>
      <c r="J116" s="2461"/>
      <c r="K116" s="2462"/>
      <c r="L116" s="2467" t="str">
        <f>IF(ISBLANK(J116),G116,J116)</f>
        <v/>
      </c>
      <c r="M116" s="2467"/>
      <c r="N116" s="2468"/>
      <c r="O116" s="145"/>
      <c r="P116" s="570">
        <f>IF(ISBLANK(J116),0,2)</f>
        <v>0</v>
      </c>
      <c r="Q116" s="274">
        <f>$J116*$C116/100</f>
        <v>0</v>
      </c>
      <c r="R116" s="267" t="e">
        <f ca="1">($L$110-SUM($J$91:$N$94)*$V$124-$R$117)/($C$116+$C$118)*100</f>
        <v>#NUM!</v>
      </c>
      <c r="S116" s="267" t="e">
        <f ca="1">($L$110-SUM($J$91:$N$94)*$V$124-$S$118)/($C$116+$C$117)*100</f>
        <v>#NUM!</v>
      </c>
      <c r="T116" s="275">
        <f>$J116*$C116/100</f>
        <v>0</v>
      </c>
      <c r="U116" s="272">
        <f>$J116*$C116/100</f>
        <v>0</v>
      </c>
      <c r="V116" s="268" t="e">
        <f ca="1">($L$110-SUM($J$91:$N$94)*$V$124-SUM($V$117,$V$118))/$C$116*100</f>
        <v>#NUM!</v>
      </c>
      <c r="W116" s="266"/>
      <c r="AA116" s="266"/>
      <c r="AB116" s="266"/>
      <c r="AC116" s="266"/>
      <c r="AD116" s="266"/>
      <c r="AE116" s="266"/>
      <c r="AF116" s="523"/>
      <c r="AG116" s="174"/>
      <c r="AH116" s="174"/>
      <c r="AI116" s="174"/>
      <c r="AJ116" s="175"/>
      <c r="AK116" s="175"/>
      <c r="AL116" s="175"/>
      <c r="AM116" s="175"/>
      <c r="AN116" s="175"/>
      <c r="AO116" s="175"/>
      <c r="AP116" s="175"/>
      <c r="AQ116" s="175"/>
      <c r="AR116" s="175"/>
      <c r="AS116" s="175"/>
      <c r="AT116" s="175"/>
      <c r="AU116" s="175"/>
      <c r="AV116" s="175"/>
      <c r="AW116" s="175"/>
      <c r="AX116" s="175"/>
      <c r="AY116" s="175"/>
      <c r="AZ116" s="175"/>
      <c r="BA116" s="175"/>
      <c r="BB116" s="175"/>
      <c r="BC116" s="175"/>
      <c r="BD116" s="175"/>
      <c r="BE116" s="175"/>
      <c r="BF116" s="175"/>
      <c r="BG116" s="175"/>
      <c r="BH116" s="175"/>
      <c r="BI116" s="175"/>
      <c r="BJ116" s="175"/>
      <c r="BK116" s="175"/>
      <c r="BL116" s="175"/>
      <c r="BM116" s="175"/>
      <c r="BN116" s="175"/>
      <c r="BO116" s="175"/>
      <c r="BP116" s="175"/>
      <c r="BS116" s="145"/>
      <c r="BT116" s="145"/>
      <c r="BU116" s="145"/>
      <c r="BV116" s="402"/>
    </row>
    <row r="117" spans="1:74" s="33" customFormat="1" ht="12.95" customHeight="1" x14ac:dyDescent="0.2">
      <c r="A117" s="1036" t="s">
        <v>408</v>
      </c>
      <c r="B117" s="1037"/>
      <c r="C117" s="2530">
        <f>SUM(EV_Var2!$M$42,EV_Var2!$M$46,EV_Var2!$M$50,EV_Var2!$M$53,EV_Var2!$M$56)</f>
        <v>0</v>
      </c>
      <c r="D117" s="2531"/>
      <c r="E117" s="2531"/>
      <c r="F117" s="2532"/>
      <c r="G117" s="2515" t="str">
        <f>IF(C117=0,"",IF(OR($P$115=0,NOT(ISBLANK(J117))),$L$119,HLOOKUP($P$115,$Q$115:$V$118,3,FALSE)))</f>
        <v/>
      </c>
      <c r="H117" s="2516"/>
      <c r="I117" s="2516"/>
      <c r="J117" s="2463"/>
      <c r="K117" s="2464"/>
      <c r="L117" s="2469" t="str">
        <f>IF(ISBLANK(J117),G117,J117)</f>
        <v/>
      </c>
      <c r="M117" s="2469"/>
      <c r="N117" s="2470"/>
      <c r="O117" s="145"/>
      <c r="P117" s="571">
        <f>IF(ISBLANK(J117),0,3)</f>
        <v>0</v>
      </c>
      <c r="Q117" s="273" t="e">
        <f ca="1">($L$110-SUM($J$91:$N$94)*$V$124-$Q$116)/($C$117+$C$118)*100</f>
        <v>#NUM!</v>
      </c>
      <c r="R117" s="269">
        <f>$J117*$C117/100</f>
        <v>0</v>
      </c>
      <c r="S117" s="267" t="e">
        <f ca="1">S116</f>
        <v>#NUM!</v>
      </c>
      <c r="T117" s="271">
        <f>$J117*$C117/100</f>
        <v>0</v>
      </c>
      <c r="U117" s="268" t="e">
        <f ca="1">($L$110-SUM($J$91:$N$94)*$V$124-SUM($U$116,$U$118))/$C$117*100</f>
        <v>#NUM!</v>
      </c>
      <c r="V117" s="270">
        <f>$J117*$C117/100</f>
        <v>0</v>
      </c>
      <c r="W117" s="266"/>
      <c r="X117" s="43"/>
      <c r="Y117" s="43"/>
      <c r="Z117" s="43"/>
      <c r="AA117" s="266"/>
      <c r="AB117" s="266"/>
      <c r="AC117" s="266"/>
      <c r="AD117" s="266"/>
      <c r="AE117" s="266"/>
      <c r="AF117" s="523"/>
      <c r="AG117" s="174"/>
      <c r="AH117" s="174"/>
      <c r="AI117" s="174"/>
      <c r="AJ117" s="175"/>
      <c r="AK117" s="175"/>
      <c r="AL117" s="175"/>
      <c r="AM117" s="175"/>
      <c r="AN117" s="175"/>
      <c r="AO117" s="175"/>
      <c r="AP117" s="175"/>
      <c r="AQ117" s="175"/>
      <c r="AR117" s="175"/>
      <c r="AS117" s="175"/>
      <c r="AT117" s="175"/>
      <c r="AU117" s="175"/>
      <c r="AV117" s="175"/>
      <c r="AW117" s="175"/>
      <c r="AX117" s="175"/>
      <c r="AY117" s="175"/>
      <c r="AZ117" s="175"/>
      <c r="BA117" s="175"/>
      <c r="BB117" s="175"/>
      <c r="BC117" s="175"/>
      <c r="BD117" s="175"/>
      <c r="BE117" s="175"/>
      <c r="BF117" s="175"/>
      <c r="BG117" s="175"/>
      <c r="BH117" s="175"/>
      <c r="BI117" s="175"/>
      <c r="BJ117" s="175"/>
      <c r="BK117" s="175"/>
      <c r="BL117" s="175"/>
      <c r="BM117" s="175"/>
      <c r="BN117" s="175"/>
      <c r="BO117" s="175"/>
      <c r="BP117" s="175"/>
      <c r="BS117" s="145"/>
      <c r="BT117" s="145"/>
      <c r="BU117" s="145"/>
      <c r="BV117" s="402"/>
    </row>
    <row r="118" spans="1:74" s="33" customFormat="1" ht="12.95" customHeight="1" x14ac:dyDescent="0.2">
      <c r="A118" s="1038" t="s">
        <v>419</v>
      </c>
      <c r="B118" s="1039"/>
      <c r="C118" s="2541">
        <f>$T$129</f>
        <v>875</v>
      </c>
      <c r="D118" s="2542"/>
      <c r="E118" s="2542"/>
      <c r="F118" s="2543"/>
      <c r="G118" s="2517" t="e">
        <f ca="1">IF(C118=0,"",IF(OR($P$115=0,NOT(ISBLANK(J118))),$L$119,HLOOKUP($P$115,$Q$115:$V$118,4,FALSE)))</f>
        <v>#NUM!</v>
      </c>
      <c r="H118" s="2518"/>
      <c r="I118" s="2518"/>
      <c r="J118" s="2465"/>
      <c r="K118" s="2466"/>
      <c r="L118" s="2427" t="e">
        <f ca="1">IF(ISBLANK(J118),G118,J118)</f>
        <v>#NUM!</v>
      </c>
      <c r="M118" s="2427"/>
      <c r="N118" s="2428"/>
      <c r="O118" s="145"/>
      <c r="P118" s="571">
        <f>IF(ISBLANK(J118),0,4)</f>
        <v>0</v>
      </c>
      <c r="Q118" s="261" t="e">
        <f ca="1">Q117</f>
        <v>#NUM!</v>
      </c>
      <c r="R118" s="262" t="e">
        <f ca="1">R116</f>
        <v>#NUM!</v>
      </c>
      <c r="S118" s="269">
        <f>$J118*$C118/100</f>
        <v>0</v>
      </c>
      <c r="T118" s="262" t="e">
        <f ca="1">($L$110-SUM($J$91:$N$94)*$V$124-SUM($T$116,$T$117))/$C$118*100</f>
        <v>#NUM!</v>
      </c>
      <c r="U118" s="272">
        <f>$J118*$C118/100</f>
        <v>0</v>
      </c>
      <c r="V118" s="272">
        <f>$J118*$C118/100</f>
        <v>0</v>
      </c>
      <c r="W118" s="266"/>
      <c r="X118" s="2407"/>
      <c r="Y118" s="2407"/>
      <c r="Z118" s="2407"/>
      <c r="AA118" s="266"/>
      <c r="AB118" s="266"/>
      <c r="AC118" s="266"/>
      <c r="AD118" s="266"/>
      <c r="AE118" s="266"/>
      <c r="AF118" s="523"/>
      <c r="AG118" s="174"/>
      <c r="AH118" s="174"/>
      <c r="AI118" s="174"/>
      <c r="AJ118" s="175"/>
      <c r="AK118" s="175"/>
      <c r="AL118" s="175"/>
      <c r="AM118" s="175"/>
      <c r="AN118" s="175"/>
      <c r="AO118" s="175"/>
      <c r="AP118" s="175"/>
      <c r="AQ118" s="175"/>
      <c r="AR118" s="175"/>
      <c r="AS118" s="175"/>
      <c r="AT118" s="175"/>
      <c r="AU118" s="175"/>
      <c r="AV118" s="175"/>
      <c r="AW118" s="175"/>
      <c r="AX118" s="175"/>
      <c r="AY118" s="175"/>
      <c r="AZ118" s="175"/>
      <c r="BA118" s="175"/>
      <c r="BB118" s="175"/>
      <c r="BC118" s="175"/>
      <c r="BD118" s="175"/>
      <c r="BE118" s="175"/>
      <c r="BF118" s="175"/>
      <c r="BG118" s="175"/>
      <c r="BH118" s="175"/>
      <c r="BI118" s="175"/>
      <c r="BJ118" s="175"/>
      <c r="BK118" s="175"/>
      <c r="BL118" s="175"/>
      <c r="BM118" s="175"/>
      <c r="BN118" s="175"/>
      <c r="BO118" s="175"/>
      <c r="BP118" s="175"/>
      <c r="BS118" s="145"/>
      <c r="BT118" s="145"/>
      <c r="BU118" s="145"/>
      <c r="BV118" s="402"/>
    </row>
    <row r="119" spans="1:74" s="33" customFormat="1" ht="12.75" customHeight="1" x14ac:dyDescent="0.2">
      <c r="A119" s="1040" t="s">
        <v>427</v>
      </c>
      <c r="B119" s="1041"/>
      <c r="C119" s="2496">
        <f>SUM(C116:F118)</f>
        <v>875</v>
      </c>
      <c r="D119" s="2497"/>
      <c r="E119" s="2497"/>
      <c r="F119" s="2498"/>
      <c r="G119" s="2519" t="e">
        <f ca="1">$L119</f>
        <v>#NUM!</v>
      </c>
      <c r="H119" s="2520"/>
      <c r="I119" s="2520"/>
      <c r="J119" s="2457"/>
      <c r="K119" s="2458"/>
      <c r="L119" s="2454" t="e">
        <f ca="1">IF(C119=0,0,($L$110-SUM($J$91:$N$94)*$V$124)/$C$119*100)</f>
        <v>#NUM!</v>
      </c>
      <c r="M119" s="2454"/>
      <c r="N119" s="2455"/>
      <c r="O119" s="145"/>
      <c r="P119" s="266"/>
      <c r="Q119" s="266"/>
      <c r="R119" s="266"/>
      <c r="S119" s="266"/>
      <c r="T119" s="266"/>
      <c r="U119" s="266"/>
      <c r="V119" s="266"/>
      <c r="W119" s="266"/>
      <c r="X119" s="266"/>
      <c r="Y119" s="266"/>
      <c r="Z119" s="266"/>
      <c r="AA119" s="266"/>
      <c r="AB119" s="266"/>
      <c r="AC119" s="266"/>
      <c r="AD119" s="266"/>
      <c r="AE119" s="523"/>
      <c r="AF119" s="174"/>
      <c r="AG119" s="174"/>
      <c r="AH119" s="174"/>
      <c r="AI119" s="175"/>
      <c r="AJ119" s="175"/>
      <c r="AK119" s="175"/>
      <c r="AL119" s="175"/>
      <c r="AM119" s="175"/>
      <c r="AN119" s="175"/>
      <c r="AO119" s="175"/>
      <c r="AP119" s="175"/>
      <c r="AQ119" s="175"/>
      <c r="AR119" s="175"/>
      <c r="AS119" s="175"/>
      <c r="AT119" s="175"/>
      <c r="AU119" s="175"/>
      <c r="AV119" s="175"/>
      <c r="AW119" s="175"/>
      <c r="AX119" s="175"/>
      <c r="AY119" s="175"/>
      <c r="AZ119" s="175"/>
      <c r="BA119" s="175"/>
      <c r="BB119" s="175"/>
      <c r="BC119" s="175"/>
      <c r="BD119" s="175"/>
      <c r="BE119" s="175"/>
      <c r="BF119" s="175"/>
      <c r="BG119" s="175"/>
      <c r="BH119" s="175"/>
      <c r="BI119" s="175"/>
      <c r="BJ119" s="175"/>
      <c r="BK119" s="175"/>
      <c r="BL119" s="175"/>
      <c r="BM119" s="175"/>
      <c r="BN119" s="175"/>
      <c r="BO119" s="175"/>
    </row>
    <row r="120" spans="1:74" s="33" customFormat="1" ht="12.95" customHeight="1" x14ac:dyDescent="0.2">
      <c r="A120" s="288" t="s">
        <v>424</v>
      </c>
      <c r="B120" s="288"/>
      <c r="P120" s="523"/>
      <c r="R120" s="175"/>
      <c r="S120" s="175"/>
      <c r="T120" s="175"/>
      <c r="U120" s="175"/>
      <c r="V120" s="175"/>
      <c r="W120" s="175"/>
      <c r="X120" s="175"/>
      <c r="Y120" s="175"/>
      <c r="Z120" s="175"/>
      <c r="AA120" s="523"/>
      <c r="AB120" s="523"/>
      <c r="AC120" s="523"/>
      <c r="AD120" s="523"/>
      <c r="AE120" s="523"/>
      <c r="AF120" s="523"/>
      <c r="AG120" s="174"/>
      <c r="AH120" s="174"/>
      <c r="AI120" s="174"/>
      <c r="AJ120" s="175"/>
      <c r="AK120" s="175"/>
      <c r="AL120" s="175"/>
      <c r="AM120" s="175"/>
      <c r="AN120" s="175"/>
      <c r="AO120" s="175"/>
      <c r="AP120" s="175"/>
      <c r="AQ120" s="175"/>
      <c r="AR120" s="175"/>
      <c r="AS120" s="175"/>
      <c r="AT120" s="175"/>
      <c r="AU120" s="175"/>
      <c r="AV120" s="175"/>
      <c r="AW120" s="175"/>
      <c r="AX120" s="175"/>
      <c r="AY120" s="175"/>
      <c r="AZ120" s="175"/>
      <c r="BA120" s="175"/>
      <c r="BB120" s="175"/>
      <c r="BC120" s="175"/>
      <c r="BD120" s="175"/>
      <c r="BE120" s="175"/>
      <c r="BF120" s="175"/>
      <c r="BG120" s="175"/>
      <c r="BH120" s="175"/>
      <c r="BI120" s="175"/>
      <c r="BJ120" s="175"/>
      <c r="BK120" s="175"/>
      <c r="BL120" s="175"/>
      <c r="BM120" s="175"/>
      <c r="BN120" s="175"/>
      <c r="BO120" s="175"/>
      <c r="BP120" s="175"/>
    </row>
    <row r="121" spans="1:74" s="175" customFormat="1" ht="12.95" customHeight="1" x14ac:dyDescent="0.2">
      <c r="N121" s="364"/>
      <c r="P121" s="572" t="s">
        <v>421</v>
      </c>
      <c r="Q121" s="293"/>
      <c r="R121" s="293"/>
      <c r="S121" s="293"/>
      <c r="T121" s="293"/>
      <c r="U121" s="293"/>
      <c r="V121" s="293"/>
      <c r="AA121" s="523"/>
      <c r="AB121" s="523"/>
      <c r="AC121" s="523"/>
      <c r="AD121" s="523"/>
      <c r="AE121" s="523"/>
      <c r="AF121" s="523"/>
      <c r="AG121" s="174"/>
      <c r="AH121" s="174"/>
      <c r="AI121" s="174"/>
    </row>
    <row r="122" spans="1:74" s="175" customFormat="1" ht="12.95" customHeight="1" x14ac:dyDescent="0.2">
      <c r="N122" s="364"/>
      <c r="AA122" s="523"/>
      <c r="AB122" s="523"/>
      <c r="AC122" s="523"/>
      <c r="AD122" s="523"/>
      <c r="AE122" s="523"/>
      <c r="AF122" s="523"/>
      <c r="AG122" s="174"/>
      <c r="AH122" s="174"/>
      <c r="AI122" s="174"/>
    </row>
    <row r="123" spans="1:74" s="175" customFormat="1" ht="11.25" x14ac:dyDescent="0.2">
      <c r="N123" s="364"/>
      <c r="P123" s="381" t="s">
        <v>458</v>
      </c>
      <c r="Q123" s="382"/>
      <c r="R123" s="382"/>
      <c r="S123" s="382"/>
      <c r="AA123" s="523"/>
      <c r="AB123" s="523"/>
      <c r="AC123" s="523"/>
      <c r="AD123" s="523"/>
      <c r="AE123" s="523"/>
      <c r="AF123" s="523"/>
      <c r="AG123" s="174"/>
      <c r="AH123" s="174"/>
      <c r="AI123" s="174"/>
    </row>
    <row r="124" spans="1:74" s="175" customFormat="1" ht="11.25" x14ac:dyDescent="0.2">
      <c r="P124" s="290" t="s">
        <v>459</v>
      </c>
      <c r="T124" s="2714">
        <f>MAX(T126-T140,0)</f>
        <v>0</v>
      </c>
      <c r="U124" s="2714"/>
      <c r="V124" s="361">
        <f>IF(T126=0,0,T124/T126)</f>
        <v>0</v>
      </c>
      <c r="AA124" s="523"/>
      <c r="AB124" s="523"/>
      <c r="AC124" s="523"/>
      <c r="AD124" s="523"/>
      <c r="AE124" s="523"/>
      <c r="AF124" s="523"/>
      <c r="AG124" s="174"/>
      <c r="AH124" s="174"/>
      <c r="AI124" s="174"/>
    </row>
    <row r="125" spans="1:74" s="175" customFormat="1" ht="11.25" x14ac:dyDescent="0.2">
      <c r="P125" s="290" t="s">
        <v>460</v>
      </c>
      <c r="T125" s="2713">
        <f>MAX(T126-T124,0)</f>
        <v>0</v>
      </c>
      <c r="U125" s="2713"/>
      <c r="V125" s="385">
        <f>IF(T126=0,0,T125/T126)</f>
        <v>0</v>
      </c>
      <c r="AA125" s="523"/>
      <c r="AB125" s="523"/>
      <c r="AC125" s="523"/>
      <c r="AD125" s="523"/>
      <c r="AE125" s="523"/>
      <c r="AF125" s="523"/>
      <c r="AG125" s="174"/>
      <c r="AH125" s="174"/>
      <c r="AI125" s="174"/>
    </row>
    <row r="126" spans="1:74" s="175" customFormat="1" ht="11.25" x14ac:dyDescent="0.2">
      <c r="P126" s="383" t="s">
        <v>468</v>
      </c>
      <c r="Q126" s="384"/>
      <c r="R126" s="384"/>
      <c r="S126" s="384"/>
      <c r="T126" s="2715">
        <f>EV_Var2!$E$68</f>
        <v>-875</v>
      </c>
      <c r="U126" s="2715"/>
      <c r="V126" s="386">
        <f>IF(T126=0,0,T126/T126)</f>
        <v>1</v>
      </c>
      <c r="AA126" s="523"/>
      <c r="AB126" s="523"/>
      <c r="AC126" s="523"/>
      <c r="AD126" s="523"/>
      <c r="AE126" s="523"/>
      <c r="AF126" s="523"/>
      <c r="AG126" s="174"/>
      <c r="AH126" s="174"/>
      <c r="AI126" s="174"/>
    </row>
    <row r="127" spans="1:74" s="175" customFormat="1" ht="11.25" x14ac:dyDescent="0.2">
      <c r="AA127" s="523"/>
      <c r="AB127" s="523"/>
      <c r="AC127" s="523"/>
      <c r="AD127" s="523"/>
      <c r="AE127" s="523"/>
      <c r="AF127" s="523"/>
      <c r="AG127" s="174"/>
      <c r="AH127" s="174"/>
      <c r="AI127" s="174"/>
    </row>
    <row r="128" spans="1:74" s="175" customFormat="1" ht="11.25" x14ac:dyDescent="0.2">
      <c r="P128" s="381" t="s">
        <v>461</v>
      </c>
      <c r="Q128" s="382"/>
      <c r="R128" s="382"/>
      <c r="S128" s="382"/>
      <c r="AA128" s="523"/>
      <c r="AB128" s="523"/>
      <c r="AC128" s="523"/>
      <c r="AD128" s="523"/>
      <c r="AE128" s="523"/>
      <c r="AF128" s="523"/>
      <c r="AG128" s="174"/>
      <c r="AH128" s="174"/>
      <c r="AI128" s="174"/>
    </row>
    <row r="129" spans="1:69" s="175" customFormat="1" ht="11.25" x14ac:dyDescent="0.2">
      <c r="P129" s="360" t="s">
        <v>470</v>
      </c>
      <c r="Q129" s="388"/>
      <c r="R129" s="388"/>
      <c r="S129" s="388"/>
      <c r="T129" s="2714">
        <f>IF(T124&gt;0,T132-T131,(T132-T131)-(T140-T125))</f>
        <v>875</v>
      </c>
      <c r="U129" s="2714"/>
      <c r="V129" s="363">
        <f>IF($T$132=0,0,T129/$T$132)</f>
        <v>1</v>
      </c>
      <c r="Z129" s="543"/>
      <c r="AA129" s="543"/>
      <c r="AB129" s="523"/>
      <c r="AC129" s="523"/>
      <c r="AD129" s="523"/>
      <c r="AE129" s="523"/>
      <c r="AF129" s="523"/>
      <c r="AG129" s="174"/>
      <c r="AH129" s="174"/>
      <c r="AI129" s="174"/>
    </row>
    <row r="130" spans="1:69" s="175" customFormat="1" ht="12.75" x14ac:dyDescent="0.2">
      <c r="A130" s="402"/>
      <c r="B130" s="628"/>
      <c r="C130" s="402"/>
      <c r="D130" s="402"/>
      <c r="E130" s="402"/>
      <c r="F130" s="402"/>
      <c r="G130" s="402"/>
      <c r="H130" s="402"/>
      <c r="P130" s="290" t="s">
        <v>460</v>
      </c>
      <c r="Q130" s="289"/>
      <c r="R130" s="289"/>
      <c r="S130" s="289"/>
      <c r="T130" s="2716">
        <f>T131-T129</f>
        <v>-875</v>
      </c>
      <c r="U130" s="2716"/>
      <c r="V130" s="573">
        <f>IF($T$132=0,0,T130/$T$132)</f>
        <v>-1</v>
      </c>
      <c r="Z130" s="543"/>
      <c r="AA130" s="543"/>
      <c r="AB130" s="523"/>
      <c r="AC130" s="523"/>
      <c r="AD130" s="523"/>
      <c r="AE130" s="523"/>
      <c r="AF130" s="523"/>
      <c r="AG130" s="174"/>
      <c r="AH130" s="174"/>
      <c r="AI130" s="174"/>
    </row>
    <row r="131" spans="1:69" s="175" customFormat="1" ht="12.75" x14ac:dyDescent="0.2">
      <c r="A131" s="402"/>
      <c r="B131" s="628"/>
      <c r="C131" s="402"/>
      <c r="D131" s="402"/>
      <c r="E131" s="402"/>
      <c r="F131" s="402"/>
      <c r="G131" s="402"/>
      <c r="H131" s="402"/>
      <c r="P131" s="303" t="s">
        <v>462</v>
      </c>
      <c r="Q131" s="382"/>
      <c r="R131" s="382"/>
      <c r="S131" s="382"/>
      <c r="T131" s="2717">
        <f>EV_Var2!$M$74</f>
        <v>0</v>
      </c>
      <c r="U131" s="2717"/>
      <c r="V131" s="362">
        <f>IF($T$132=0,0,T131/$T$132)</f>
        <v>0</v>
      </c>
      <c r="Z131" s="543"/>
      <c r="AA131" s="543"/>
      <c r="AB131" s="523"/>
      <c r="AC131" s="523"/>
      <c r="AD131" s="523"/>
      <c r="AE131" s="523"/>
      <c r="AF131" s="523"/>
      <c r="AG131" s="174"/>
      <c r="AH131" s="174"/>
      <c r="AI131" s="174"/>
    </row>
    <row r="132" spans="1:69" s="175" customFormat="1" ht="12.75" x14ac:dyDescent="0.2">
      <c r="A132" s="402"/>
      <c r="B132" s="628"/>
      <c r="C132" s="402"/>
      <c r="D132" s="402"/>
      <c r="E132" s="402"/>
      <c r="F132" s="402"/>
      <c r="G132" s="402"/>
      <c r="H132" s="402"/>
      <c r="P132" s="383" t="s">
        <v>465</v>
      </c>
      <c r="Q132" s="384"/>
      <c r="R132" s="384"/>
      <c r="S132" s="384"/>
      <c r="T132" s="2711">
        <f>EV_Var2!$M$71+EV_Var2!$M$61</f>
        <v>875</v>
      </c>
      <c r="U132" s="2711"/>
      <c r="V132" s="386">
        <f>IF($T$132=0,0,T132/$T$132)</f>
        <v>1</v>
      </c>
      <c r="Z132" s="543"/>
      <c r="AA132" s="543"/>
      <c r="AB132" s="523"/>
      <c r="AC132" s="523"/>
      <c r="AD132" s="523"/>
      <c r="AE132" s="523"/>
      <c r="AF132" s="523"/>
      <c r="AG132" s="174"/>
      <c r="AH132" s="174"/>
      <c r="AI132" s="174"/>
    </row>
    <row r="133" spans="1:69" s="175" customFormat="1" ht="12.75" x14ac:dyDescent="0.2">
      <c r="A133" s="402"/>
      <c r="B133" s="628"/>
      <c r="C133" s="402"/>
      <c r="D133" s="402"/>
      <c r="E133" s="402"/>
      <c r="F133" s="402"/>
      <c r="G133" s="402"/>
      <c r="H133" s="402"/>
      <c r="P133" s="290"/>
      <c r="Q133" s="289"/>
      <c r="R133" s="289"/>
      <c r="S133" s="289"/>
      <c r="T133" s="574"/>
      <c r="U133" s="574"/>
      <c r="V133" s="389"/>
      <c r="Z133" s="543"/>
      <c r="AA133" s="543"/>
      <c r="AB133" s="523"/>
      <c r="AC133" s="523"/>
      <c r="AD133" s="523"/>
      <c r="AE133" s="523"/>
      <c r="AF133" s="523"/>
      <c r="AG133" s="174"/>
      <c r="AH133" s="174"/>
      <c r="AI133" s="174"/>
    </row>
    <row r="134" spans="1:69" s="175" customFormat="1" ht="12.75" x14ac:dyDescent="0.2">
      <c r="A134" s="402"/>
      <c r="B134" s="628"/>
      <c r="C134" s="402"/>
      <c r="D134" s="402"/>
      <c r="E134" s="402"/>
      <c r="F134" s="402"/>
      <c r="G134" s="402"/>
      <c r="H134" s="402"/>
      <c r="P134" s="303" t="s">
        <v>466</v>
      </c>
      <c r="Q134" s="382"/>
      <c r="R134" s="382"/>
      <c r="S134" s="382"/>
      <c r="T134" s="2712">
        <f>T132-T131</f>
        <v>875</v>
      </c>
      <c r="U134" s="2712">
        <f>T132-T131</f>
        <v>875</v>
      </c>
      <c r="V134" s="362"/>
      <c r="AA134" s="523"/>
      <c r="AB134" s="523"/>
      <c r="AC134" s="523"/>
      <c r="AD134" s="523"/>
      <c r="AE134" s="523"/>
      <c r="AF134" s="523"/>
      <c r="AG134" s="174"/>
      <c r="AH134" s="174"/>
      <c r="AI134" s="174"/>
    </row>
    <row r="135" spans="1:69" s="175" customFormat="1" ht="12.75" x14ac:dyDescent="0.2">
      <c r="A135" s="402"/>
      <c r="B135" s="628"/>
      <c r="C135" s="402"/>
      <c r="D135" s="402"/>
      <c r="E135" s="402"/>
      <c r="F135" s="402"/>
      <c r="G135" s="402"/>
      <c r="H135" s="402"/>
      <c r="P135" s="383" t="s">
        <v>467</v>
      </c>
      <c r="Q135" s="384"/>
      <c r="R135" s="384"/>
      <c r="S135" s="384"/>
      <c r="T135" s="2711">
        <f>T132+T126</f>
        <v>0</v>
      </c>
      <c r="U135" s="2711"/>
      <c r="V135" s="386"/>
      <c r="Z135" s="543"/>
      <c r="AA135" s="543"/>
      <c r="AB135" s="523"/>
      <c r="AC135" s="523"/>
      <c r="AD135" s="523"/>
      <c r="AE135" s="523"/>
      <c r="AF135" s="523"/>
      <c r="AG135" s="174"/>
      <c r="AH135" s="174"/>
      <c r="AI135" s="174"/>
    </row>
    <row r="136" spans="1:69" s="175" customFormat="1" ht="12.75" x14ac:dyDescent="0.2">
      <c r="A136" s="402"/>
      <c r="B136" s="628"/>
      <c r="C136" s="402"/>
      <c r="D136" s="402"/>
      <c r="E136" s="402"/>
      <c r="F136" s="402"/>
      <c r="G136" s="402"/>
      <c r="H136" s="402"/>
      <c r="P136" s="383" t="s">
        <v>469</v>
      </c>
      <c r="Q136" s="384"/>
      <c r="R136" s="384"/>
      <c r="S136" s="384"/>
      <c r="T136" s="2711">
        <f>T135-T131</f>
        <v>0</v>
      </c>
      <c r="U136" s="2711"/>
      <c r="V136" s="386"/>
      <c r="Z136" s="543"/>
      <c r="AA136" s="543"/>
      <c r="AB136" s="523"/>
      <c r="AC136" s="523"/>
      <c r="AD136" s="523"/>
      <c r="AE136" s="523"/>
      <c r="AF136" s="523"/>
      <c r="AG136" s="174"/>
      <c r="AH136" s="174"/>
      <c r="AI136" s="174"/>
    </row>
    <row r="137" spans="1:69" s="175" customFormat="1" ht="12.75" x14ac:dyDescent="0.2">
      <c r="A137" s="402"/>
      <c r="B137" s="628"/>
      <c r="C137" s="402"/>
      <c r="D137" s="402"/>
      <c r="E137" s="402"/>
      <c r="F137" s="402"/>
      <c r="G137" s="402"/>
      <c r="H137" s="402"/>
      <c r="Z137" s="543"/>
      <c r="AA137" s="543"/>
      <c r="AB137" s="523"/>
      <c r="AC137" s="523"/>
      <c r="AD137" s="523"/>
      <c r="AE137" s="523"/>
      <c r="AF137" s="523"/>
      <c r="AG137" s="174"/>
      <c r="AH137" s="174"/>
      <c r="AI137" s="174"/>
    </row>
    <row r="138" spans="1:69" s="175" customFormat="1" ht="11.25" x14ac:dyDescent="0.2">
      <c r="P138" s="381" t="s">
        <v>22</v>
      </c>
      <c r="Q138" s="382"/>
      <c r="R138" s="382"/>
      <c r="S138" s="382"/>
      <c r="T138" s="382"/>
      <c r="U138" s="382"/>
      <c r="V138" s="382"/>
      <c r="Z138" s="543"/>
      <c r="AA138" s="543"/>
      <c r="AB138" s="523"/>
      <c r="AC138" s="523"/>
      <c r="AD138" s="523"/>
      <c r="AE138" s="523"/>
      <c r="AF138" s="523"/>
      <c r="AG138" s="174"/>
      <c r="AH138" s="174"/>
      <c r="AI138" s="174"/>
    </row>
    <row r="139" spans="1:69" s="175" customFormat="1" ht="11.25" x14ac:dyDescent="0.2">
      <c r="P139" s="290" t="s">
        <v>463</v>
      </c>
      <c r="T139" s="2713">
        <f>EV_Var2!$S$73</f>
        <v>0</v>
      </c>
      <c r="U139" s="2713"/>
      <c r="V139" s="291" t="e">
        <f>T139/$T$141</f>
        <v>#DIV/0!</v>
      </c>
      <c r="Z139" s="543"/>
      <c r="AA139" s="543"/>
      <c r="AB139" s="523"/>
      <c r="AC139" s="523"/>
      <c r="AD139" s="523"/>
      <c r="AE139" s="523"/>
      <c r="AF139" s="523"/>
      <c r="AG139" s="174"/>
      <c r="AH139" s="174"/>
      <c r="AI139" s="174"/>
    </row>
    <row r="140" spans="1:69" s="175" customFormat="1" ht="11.25" x14ac:dyDescent="0.2">
      <c r="A140" s="289"/>
      <c r="B140" s="289"/>
      <c r="M140" s="289"/>
      <c r="N140" s="289"/>
      <c r="O140" s="289"/>
      <c r="P140" s="290" t="s">
        <v>464</v>
      </c>
      <c r="T140" s="2713">
        <f>SUM(EV_Var2!$M$63,EV_Var2!$M$66)</f>
        <v>0</v>
      </c>
      <c r="U140" s="2713"/>
      <c r="V140" s="291" t="e">
        <f>T140/$T$141</f>
        <v>#DIV/0!</v>
      </c>
      <c r="Z140" s="543"/>
      <c r="AA140" s="543"/>
      <c r="AB140" s="523"/>
      <c r="AC140" s="523"/>
      <c r="AD140" s="523"/>
      <c r="AE140" s="523"/>
      <c r="AF140" s="523"/>
      <c r="AG140" s="174"/>
      <c r="AH140" s="174"/>
      <c r="AI140" s="174"/>
    </row>
    <row r="141" spans="1:69" s="175" customFormat="1" ht="11.25" x14ac:dyDescent="0.2">
      <c r="A141" s="289"/>
      <c r="B141" s="289"/>
      <c r="M141" s="289"/>
      <c r="N141" s="289"/>
      <c r="O141" s="289"/>
      <c r="P141" s="383" t="s">
        <v>420</v>
      </c>
      <c r="Q141" s="575"/>
      <c r="R141" s="575"/>
      <c r="S141" s="575"/>
      <c r="T141" s="2711">
        <f>SUM(T139:U140)</f>
        <v>0</v>
      </c>
      <c r="U141" s="2711"/>
      <c r="V141" s="386" t="e">
        <f>T141/$T$141</f>
        <v>#DIV/0!</v>
      </c>
      <c r="Z141" s="543"/>
      <c r="AA141" s="543"/>
      <c r="AB141" s="523"/>
      <c r="AC141" s="523"/>
      <c r="AD141" s="523"/>
      <c r="AE141" s="523"/>
      <c r="AF141" s="523"/>
      <c r="AG141" s="174"/>
      <c r="AH141" s="174"/>
      <c r="AI141" s="174"/>
    </row>
    <row r="142" spans="1:69" ht="12.75" x14ac:dyDescent="0.2">
      <c r="G142" s="32"/>
      <c r="J142" s="34"/>
      <c r="T142" s="523"/>
      <c r="U142" s="544"/>
      <c r="W142" s="32"/>
      <c r="X142" s="32"/>
      <c r="Y142" s="32"/>
      <c r="Z142" s="145"/>
      <c r="AA142" s="145"/>
      <c r="AG142" s="174"/>
      <c r="AJ142" s="175"/>
      <c r="BQ142" s="32"/>
    </row>
    <row r="143" spans="1:69" ht="12.75" x14ac:dyDescent="0.2">
      <c r="G143" s="32"/>
      <c r="J143" s="34"/>
      <c r="T143" s="523"/>
      <c r="U143" s="544"/>
      <c r="W143" s="32"/>
      <c r="X143" s="32"/>
      <c r="Y143" s="32"/>
      <c r="Z143" s="145"/>
      <c r="AA143" s="145"/>
      <c r="AG143" s="174"/>
      <c r="AJ143" s="175"/>
      <c r="BQ143" s="32"/>
    </row>
    <row r="144" spans="1:69" ht="12.75" x14ac:dyDescent="0.2">
      <c r="G144" s="32"/>
      <c r="J144" s="34"/>
      <c r="P144" s="145"/>
      <c r="Q144" s="145"/>
      <c r="R144" s="145"/>
      <c r="S144" s="145"/>
      <c r="T144" s="145"/>
      <c r="U144" s="145"/>
      <c r="V144" s="145"/>
      <c r="W144" s="145"/>
      <c r="X144" s="32"/>
      <c r="Y144" s="32"/>
      <c r="Z144" s="145"/>
      <c r="AA144" s="145"/>
      <c r="AG144" s="174"/>
      <c r="AJ144" s="175"/>
      <c r="BQ144" s="32"/>
    </row>
    <row r="145" spans="7:69" ht="12.75" x14ac:dyDescent="0.2">
      <c r="G145" s="32"/>
      <c r="J145" s="34"/>
      <c r="P145" s="145"/>
      <c r="Q145" s="145"/>
      <c r="R145" s="145"/>
      <c r="S145" s="145"/>
      <c r="T145" s="145"/>
      <c r="U145" s="145"/>
      <c r="V145" s="145"/>
      <c r="W145" s="145"/>
      <c r="X145" s="32"/>
      <c r="Y145" s="32"/>
      <c r="Z145" s="145"/>
      <c r="AA145" s="145"/>
      <c r="AG145" s="174"/>
      <c r="AJ145" s="175"/>
      <c r="BQ145" s="32"/>
    </row>
    <row r="146" spans="7:69" ht="12.75" x14ac:dyDescent="0.2">
      <c r="G146" s="32"/>
      <c r="J146" s="34"/>
      <c r="P146" s="145"/>
      <c r="Q146" s="145"/>
      <c r="R146" s="145"/>
      <c r="S146" s="145"/>
      <c r="T146" s="145"/>
      <c r="U146" s="145"/>
      <c r="V146" s="145"/>
      <c r="W146" s="145"/>
      <c r="X146" s="32"/>
      <c r="Y146" s="32"/>
      <c r="Z146" s="145"/>
      <c r="AA146" s="145"/>
      <c r="AG146" s="174"/>
      <c r="AJ146" s="175"/>
      <c r="BQ146" s="32"/>
    </row>
    <row r="147" spans="7:69" ht="12.75" x14ac:dyDescent="0.2">
      <c r="G147" s="32"/>
      <c r="J147" s="34"/>
      <c r="P147" s="145"/>
      <c r="Q147" s="145"/>
      <c r="R147" s="145"/>
      <c r="S147" s="145"/>
      <c r="T147" s="145"/>
      <c r="U147" s="145"/>
      <c r="V147" s="145"/>
      <c r="W147" s="145"/>
      <c r="X147" s="32"/>
      <c r="Y147" s="32"/>
      <c r="Z147" s="145"/>
      <c r="AA147" s="145"/>
      <c r="AG147" s="174"/>
      <c r="AJ147" s="175"/>
      <c r="BQ147" s="32"/>
    </row>
    <row r="148" spans="7:69" ht="12.75" x14ac:dyDescent="0.2">
      <c r="G148" s="32"/>
      <c r="J148" s="34"/>
      <c r="P148" s="145"/>
      <c r="Q148" s="145"/>
      <c r="R148" s="145"/>
      <c r="S148" s="145"/>
      <c r="T148" s="145"/>
      <c r="U148" s="145"/>
      <c r="V148" s="145"/>
      <c r="W148" s="145"/>
      <c r="X148" s="32"/>
      <c r="Y148" s="32"/>
      <c r="Z148" s="145"/>
      <c r="AA148" s="145"/>
      <c r="AG148" s="174"/>
      <c r="AJ148" s="175"/>
      <c r="BQ148" s="32"/>
    </row>
    <row r="149" spans="7:69" ht="12.75" x14ac:dyDescent="0.2">
      <c r="P149" s="145"/>
      <c r="Q149" s="145"/>
      <c r="R149" s="145"/>
      <c r="S149" s="145"/>
      <c r="T149" s="145"/>
      <c r="U149" s="145"/>
      <c r="V149" s="145"/>
      <c r="W149" s="145"/>
      <c r="X149" s="32"/>
      <c r="Y149" s="32"/>
      <c r="Z149" s="145"/>
      <c r="AA149" s="145"/>
      <c r="AB149" s="145"/>
    </row>
    <row r="150" spans="7:69" ht="12.75" x14ac:dyDescent="0.2">
      <c r="P150" s="145"/>
      <c r="Q150" s="145"/>
      <c r="R150" s="145"/>
      <c r="S150" s="145"/>
      <c r="T150" s="145"/>
      <c r="U150" s="145"/>
      <c r="V150" s="145"/>
      <c r="W150" s="145"/>
      <c r="X150" s="32"/>
      <c r="Y150" s="32"/>
      <c r="Z150" s="145"/>
      <c r="AA150" s="145"/>
      <c r="AB150" s="145"/>
    </row>
    <row r="151" spans="7:69" ht="12.75" x14ac:dyDescent="0.2">
      <c r="P151" s="145"/>
      <c r="Q151" s="145"/>
      <c r="R151" s="145"/>
      <c r="S151" s="145"/>
      <c r="T151" s="145"/>
      <c r="U151" s="145"/>
      <c r="V151" s="145"/>
      <c r="W151" s="145"/>
      <c r="X151" s="32"/>
      <c r="Y151" s="32"/>
      <c r="Z151" s="145"/>
      <c r="AA151" s="145"/>
      <c r="AB151" s="145"/>
    </row>
    <row r="152" spans="7:69" ht="12.75" x14ac:dyDescent="0.2">
      <c r="P152" s="145"/>
      <c r="Q152" s="145"/>
      <c r="R152" s="145"/>
      <c r="S152" s="145"/>
      <c r="T152" s="145"/>
      <c r="U152" s="145"/>
      <c r="V152" s="145"/>
      <c r="W152" s="145"/>
      <c r="X152" s="32"/>
      <c r="Y152" s="32"/>
      <c r="Z152" s="145"/>
      <c r="AA152" s="145"/>
      <c r="AB152" s="145"/>
    </row>
    <row r="153" spans="7:69" ht="12.75" x14ac:dyDescent="0.2">
      <c r="P153" s="145"/>
      <c r="Q153" s="145"/>
      <c r="R153" s="145"/>
      <c r="S153" s="145"/>
      <c r="T153" s="145"/>
      <c r="U153" s="145"/>
      <c r="V153" s="145"/>
      <c r="W153" s="145"/>
      <c r="X153" s="32"/>
      <c r="Y153" s="32"/>
      <c r="Z153" s="145"/>
      <c r="AA153" s="145"/>
      <c r="AB153" s="145"/>
    </row>
    <row r="154" spans="7:69" ht="12.75" x14ac:dyDescent="0.2">
      <c r="P154" s="145"/>
      <c r="Q154" s="145"/>
      <c r="R154" s="145"/>
      <c r="S154" s="145"/>
      <c r="T154" s="145"/>
      <c r="U154" s="145"/>
      <c r="V154" s="145"/>
      <c r="W154" s="145"/>
      <c r="X154" s="32"/>
      <c r="Y154" s="32"/>
      <c r="Z154" s="145"/>
      <c r="AA154" s="145"/>
      <c r="AB154" s="145"/>
    </row>
    <row r="155" spans="7:69" ht="12.75" x14ac:dyDescent="0.2">
      <c r="P155" s="145"/>
      <c r="Q155" s="145"/>
      <c r="R155" s="145"/>
      <c r="S155" s="145"/>
      <c r="T155" s="145"/>
      <c r="U155" s="145"/>
      <c r="V155" s="145"/>
      <c r="W155" s="145"/>
      <c r="X155" s="32"/>
      <c r="Y155" s="32"/>
      <c r="Z155" s="145"/>
      <c r="AA155" s="145"/>
      <c r="AB155" s="145"/>
    </row>
    <row r="156" spans="7:69" ht="12.75" x14ac:dyDescent="0.2">
      <c r="P156" s="145"/>
      <c r="Q156" s="145"/>
      <c r="R156" s="145"/>
      <c r="S156" s="145"/>
      <c r="T156" s="145"/>
      <c r="U156" s="145"/>
      <c r="V156" s="145"/>
      <c r="W156" s="145"/>
      <c r="X156" s="145"/>
      <c r="Y156" s="145"/>
      <c r="Z156" s="145"/>
      <c r="AA156" s="145"/>
      <c r="AB156" s="145"/>
    </row>
    <row r="157" spans="7:69" ht="12.75" x14ac:dyDescent="0.2">
      <c r="P157" s="145"/>
      <c r="Q157" s="145"/>
      <c r="R157" s="145"/>
      <c r="S157" s="145"/>
      <c r="T157" s="145"/>
      <c r="U157" s="145"/>
      <c r="V157" s="145"/>
      <c r="W157" s="145"/>
      <c r="X157" s="145"/>
      <c r="Y157" s="145"/>
      <c r="Z157" s="145"/>
      <c r="AA157" s="145"/>
      <c r="AB157" s="145"/>
    </row>
    <row r="158" spans="7:69" ht="12.75" x14ac:dyDescent="0.2">
      <c r="P158" s="145"/>
      <c r="Q158" s="145"/>
      <c r="R158" s="145"/>
      <c r="S158" s="145"/>
      <c r="T158" s="145"/>
      <c r="U158" s="145"/>
      <c r="V158" s="145"/>
      <c r="W158" s="145"/>
      <c r="X158" s="145"/>
      <c r="Y158" s="145"/>
      <c r="Z158" s="145"/>
      <c r="AA158" s="145"/>
      <c r="AB158" s="145"/>
    </row>
    <row r="159" spans="7:69" ht="12.75" x14ac:dyDescent="0.2">
      <c r="P159" s="145"/>
      <c r="Q159" s="145"/>
      <c r="R159" s="145"/>
      <c r="S159" s="145"/>
      <c r="T159" s="145"/>
      <c r="U159" s="145"/>
      <c r="V159" s="145"/>
      <c r="W159" s="145"/>
      <c r="X159" s="145"/>
      <c r="Y159" s="145"/>
      <c r="Z159" s="145"/>
      <c r="AA159" s="145"/>
      <c r="AB159" s="145"/>
    </row>
    <row r="160" spans="7:69" ht="12.75" x14ac:dyDescent="0.2">
      <c r="P160" s="145"/>
      <c r="Q160" s="145"/>
      <c r="R160" s="145"/>
      <c r="S160" s="145"/>
      <c r="T160" s="145"/>
      <c r="U160" s="145"/>
      <c r="V160" s="145"/>
      <c r="W160" s="145"/>
      <c r="X160" s="145"/>
      <c r="Y160" s="145"/>
      <c r="Z160" s="145"/>
      <c r="AA160" s="145"/>
      <c r="AB160" s="145"/>
    </row>
    <row r="161" spans="16:28" ht="12.75" x14ac:dyDescent="0.2">
      <c r="P161" s="145"/>
      <c r="Q161" s="145"/>
      <c r="R161" s="145"/>
      <c r="S161" s="145"/>
      <c r="T161" s="145"/>
      <c r="U161" s="145"/>
      <c r="V161" s="145"/>
      <c r="W161" s="145"/>
      <c r="X161" s="145"/>
      <c r="Y161" s="145"/>
      <c r="Z161" s="145"/>
      <c r="AA161" s="145"/>
      <c r="AB161" s="145"/>
    </row>
    <row r="162" spans="16:28" ht="12.75" x14ac:dyDescent="0.2">
      <c r="P162" s="145"/>
      <c r="Q162" s="145"/>
      <c r="R162" s="145"/>
      <c r="S162" s="145"/>
      <c r="T162" s="145"/>
      <c r="U162" s="145"/>
      <c r="V162" s="145"/>
      <c r="W162" s="145"/>
      <c r="X162" s="145"/>
      <c r="Y162" s="145"/>
      <c r="Z162" s="145"/>
      <c r="AA162" s="145"/>
      <c r="AB162" s="145"/>
    </row>
    <row r="163" spans="16:28" ht="12.75" x14ac:dyDescent="0.2">
      <c r="P163" s="145"/>
      <c r="Q163" s="145"/>
      <c r="R163" s="145"/>
      <c r="S163" s="145"/>
      <c r="T163" s="145"/>
      <c r="U163" s="145"/>
      <c r="V163" s="145"/>
      <c r="W163" s="145"/>
      <c r="X163" s="145"/>
      <c r="Y163" s="145"/>
      <c r="Z163" s="145"/>
      <c r="AA163" s="145"/>
      <c r="AB163" s="145"/>
    </row>
    <row r="164" spans="16:28" ht="12.75" x14ac:dyDescent="0.2">
      <c r="P164" s="145"/>
      <c r="Q164" s="145"/>
      <c r="R164" s="145"/>
      <c r="S164" s="145"/>
      <c r="T164" s="145"/>
      <c r="U164" s="145"/>
      <c r="V164" s="145"/>
      <c r="W164" s="145"/>
    </row>
    <row r="165" spans="16:28" ht="12.75" x14ac:dyDescent="0.2">
      <c r="P165" s="145"/>
      <c r="Q165" s="145"/>
      <c r="R165" s="145"/>
      <c r="S165" s="145"/>
      <c r="T165" s="145"/>
      <c r="U165" s="145"/>
      <c r="V165" s="145"/>
      <c r="W165" s="145"/>
    </row>
    <row r="166" spans="16:28" ht="12.75" x14ac:dyDescent="0.2">
      <c r="P166" s="145"/>
      <c r="Q166" s="145"/>
      <c r="R166" s="145"/>
      <c r="S166" s="145"/>
      <c r="T166" s="145"/>
      <c r="U166" s="145"/>
      <c r="V166" s="145"/>
      <c r="W166" s="145"/>
    </row>
    <row r="167" spans="16:28" ht="12.95" customHeight="1" x14ac:dyDescent="0.2">
      <c r="P167" s="145"/>
      <c r="Q167" s="145"/>
      <c r="R167" s="145"/>
      <c r="S167" s="145"/>
      <c r="T167" s="145"/>
      <c r="U167" s="145"/>
      <c r="V167" s="145"/>
      <c r="W167" s="145"/>
    </row>
  </sheetData>
  <sheetProtection algorithmName="SHA-512" hashValue="6XHu/yZyhDhwGNMuNerd7zT372kmKcTw52keUN8MBhysd/ptBlYrZra3kwQG0HlPOeOSvJo8ZXBNwcxIyjU1xw==" saltValue="G4+rP0PzADcsjQGWx/o9RQ==" spinCount="100000" sheet="1" objects="1" scenarios="1" selectLockedCells="1"/>
  <mergeCells count="375">
    <mergeCell ref="P97:Q97"/>
    <mergeCell ref="E98:F98"/>
    <mergeCell ref="G98:I98"/>
    <mergeCell ref="L27:M27"/>
    <mergeCell ref="H28:I28"/>
    <mergeCell ref="L28:M28"/>
    <mergeCell ref="H29:I29"/>
    <mergeCell ref="L29:M29"/>
    <mergeCell ref="H30:I30"/>
    <mergeCell ref="L30:M30"/>
    <mergeCell ref="H31:I31"/>
    <mergeCell ref="L31:M31"/>
    <mergeCell ref="J98:K98"/>
    <mergeCell ref="L98:N98"/>
    <mergeCell ref="P98:Q98"/>
    <mergeCell ref="Q26:S27"/>
    <mergeCell ref="E29:F29"/>
    <mergeCell ref="E30:F30"/>
    <mergeCell ref="E36:F36"/>
    <mergeCell ref="E33:F33"/>
    <mergeCell ref="E72:F72"/>
    <mergeCell ref="G72:I72"/>
    <mergeCell ref="J72:K72"/>
    <mergeCell ref="L72:N72"/>
    <mergeCell ref="L22:M22"/>
    <mergeCell ref="H23:I23"/>
    <mergeCell ref="L23:M23"/>
    <mergeCell ref="H24:I24"/>
    <mergeCell ref="L24:M24"/>
    <mergeCell ref="H25:I25"/>
    <mergeCell ref="L25:M25"/>
    <mergeCell ref="H26:I26"/>
    <mergeCell ref="L26:M26"/>
    <mergeCell ref="C68:D68"/>
    <mergeCell ref="E68:F68"/>
    <mergeCell ref="G68:I68"/>
    <mergeCell ref="J68:K68"/>
    <mergeCell ref="L68:N68"/>
    <mergeCell ref="C69:D69"/>
    <mergeCell ref="E69:F69"/>
    <mergeCell ref="G69:I69"/>
    <mergeCell ref="J69:K69"/>
    <mergeCell ref="L69:N69"/>
    <mergeCell ref="E70:F70"/>
    <mergeCell ref="G70:I70"/>
    <mergeCell ref="J70:K70"/>
    <mergeCell ref="L70:N70"/>
    <mergeCell ref="E71:F71"/>
    <mergeCell ref="G71:I71"/>
    <mergeCell ref="J71:K71"/>
    <mergeCell ref="L71:N71"/>
    <mergeCell ref="H18:I18"/>
    <mergeCell ref="L18:M18"/>
    <mergeCell ref="H19:I19"/>
    <mergeCell ref="L19:M19"/>
    <mergeCell ref="H20:I20"/>
    <mergeCell ref="L20:M20"/>
    <mergeCell ref="H21:I21"/>
    <mergeCell ref="L21:M21"/>
    <mergeCell ref="E18:F18"/>
    <mergeCell ref="L38:M38"/>
    <mergeCell ref="L39:M39"/>
    <mergeCell ref="G44:N44"/>
    <mergeCell ref="L32:M32"/>
    <mergeCell ref="H33:I33"/>
    <mergeCell ref="L33:M33"/>
    <mergeCell ref="H34:I34"/>
    <mergeCell ref="K11:N12"/>
    <mergeCell ref="L14:M14"/>
    <mergeCell ref="L13:M13"/>
    <mergeCell ref="H15:I15"/>
    <mergeCell ref="L15:M15"/>
    <mergeCell ref="H16:I16"/>
    <mergeCell ref="L16:M16"/>
    <mergeCell ref="H17:I17"/>
    <mergeCell ref="L17:M17"/>
    <mergeCell ref="H11:I12"/>
    <mergeCell ref="H13:I13"/>
    <mergeCell ref="J11:J12"/>
    <mergeCell ref="E19:F19"/>
    <mergeCell ref="E20:F20"/>
    <mergeCell ref="E27:F27"/>
    <mergeCell ref="E22:F22"/>
    <mergeCell ref="E23:F23"/>
    <mergeCell ref="E24:F24"/>
    <mergeCell ref="E21:F21"/>
    <mergeCell ref="B43:D43"/>
    <mergeCell ref="E43:F43"/>
    <mergeCell ref="E34:F34"/>
    <mergeCell ref="E35:F35"/>
    <mergeCell ref="E32:F32"/>
    <mergeCell ref="E13:F13"/>
    <mergeCell ref="E14:F14"/>
    <mergeCell ref="E11:F12"/>
    <mergeCell ref="B44:D44"/>
    <mergeCell ref="E44:F44"/>
    <mergeCell ref="E37:F37"/>
    <mergeCell ref="E38:F38"/>
    <mergeCell ref="H32:I32"/>
    <mergeCell ref="H37:I37"/>
    <mergeCell ref="B11:D11"/>
    <mergeCell ref="A14:D14"/>
    <mergeCell ref="H14:I14"/>
    <mergeCell ref="E28:F28"/>
    <mergeCell ref="G11:G12"/>
    <mergeCell ref="H22:I22"/>
    <mergeCell ref="H27:I27"/>
    <mergeCell ref="E15:F15"/>
    <mergeCell ref="E31:F31"/>
    <mergeCell ref="E25:F25"/>
    <mergeCell ref="E26:F26"/>
    <mergeCell ref="E17:F17"/>
    <mergeCell ref="H38:I38"/>
    <mergeCell ref="H39:I39"/>
    <mergeCell ref="E16:F16"/>
    <mergeCell ref="L34:M34"/>
    <mergeCell ref="H35:I35"/>
    <mergeCell ref="L35:M35"/>
    <mergeCell ref="H36:I36"/>
    <mergeCell ref="L36:M36"/>
    <mergeCell ref="E39:F39"/>
    <mergeCell ref="B45:D45"/>
    <mergeCell ref="E45:F45"/>
    <mergeCell ref="B46:D46"/>
    <mergeCell ref="E46:F46"/>
    <mergeCell ref="E47:F47"/>
    <mergeCell ref="J58:K59"/>
    <mergeCell ref="L58:N59"/>
    <mergeCell ref="E53:F53"/>
    <mergeCell ref="E51:F52"/>
    <mergeCell ref="J51:J52"/>
    <mergeCell ref="H54:I54"/>
    <mergeCell ref="L54:M54"/>
    <mergeCell ref="G45:N45"/>
    <mergeCell ref="G46:N46"/>
    <mergeCell ref="G51:G52"/>
    <mergeCell ref="K51:N52"/>
    <mergeCell ref="L53:M53"/>
    <mergeCell ref="H51:I52"/>
    <mergeCell ref="H53:I53"/>
    <mergeCell ref="E61:F61"/>
    <mergeCell ref="G61:I61"/>
    <mergeCell ref="J61:K61"/>
    <mergeCell ref="L61:N61"/>
    <mergeCell ref="E54:F54"/>
    <mergeCell ref="C55:E55"/>
    <mergeCell ref="F55:G55"/>
    <mergeCell ref="C56:D56"/>
    <mergeCell ref="E58:F59"/>
    <mergeCell ref="G58:I59"/>
    <mergeCell ref="E60:F60"/>
    <mergeCell ref="G60:I60"/>
    <mergeCell ref="J60:K60"/>
    <mergeCell ref="L60:N60"/>
    <mergeCell ref="C62:D62"/>
    <mergeCell ref="E62:F62"/>
    <mergeCell ref="G62:I62"/>
    <mergeCell ref="J62:K62"/>
    <mergeCell ref="L62:N62"/>
    <mergeCell ref="C63:D63"/>
    <mergeCell ref="E63:F63"/>
    <mergeCell ref="G63:I63"/>
    <mergeCell ref="J63:K63"/>
    <mergeCell ref="L63:N63"/>
    <mergeCell ref="C65:D65"/>
    <mergeCell ref="E65:F65"/>
    <mergeCell ref="G65:I65"/>
    <mergeCell ref="J65:K65"/>
    <mergeCell ref="L65:N65"/>
    <mergeCell ref="C64:D64"/>
    <mergeCell ref="E64:F64"/>
    <mergeCell ref="G64:I64"/>
    <mergeCell ref="J64:K64"/>
    <mergeCell ref="L64:N64"/>
    <mergeCell ref="C66:D66"/>
    <mergeCell ref="E66:F66"/>
    <mergeCell ref="G66:I66"/>
    <mergeCell ref="J66:K66"/>
    <mergeCell ref="L66:N66"/>
    <mergeCell ref="C67:D67"/>
    <mergeCell ref="E67:F67"/>
    <mergeCell ref="G67:I67"/>
    <mergeCell ref="J67:K67"/>
    <mergeCell ref="L67:N67"/>
    <mergeCell ref="E73:F73"/>
    <mergeCell ref="G73:I73"/>
    <mergeCell ref="J73:K73"/>
    <mergeCell ref="L73:N73"/>
    <mergeCell ref="E74:F74"/>
    <mergeCell ref="G74:I74"/>
    <mergeCell ref="J74:K74"/>
    <mergeCell ref="L74:N74"/>
    <mergeCell ref="C75:D75"/>
    <mergeCell ref="E75:F75"/>
    <mergeCell ref="G75:I75"/>
    <mergeCell ref="J75:K75"/>
    <mergeCell ref="L75:N75"/>
    <mergeCell ref="E76:F76"/>
    <mergeCell ref="G76:I76"/>
    <mergeCell ref="J76:K76"/>
    <mergeCell ref="L76:N76"/>
    <mergeCell ref="C77:D77"/>
    <mergeCell ref="E77:F77"/>
    <mergeCell ref="G77:I77"/>
    <mergeCell ref="J77:K77"/>
    <mergeCell ref="L77:N77"/>
    <mergeCell ref="C78:D78"/>
    <mergeCell ref="E78:F78"/>
    <mergeCell ref="E88:F88"/>
    <mergeCell ref="G88:I88"/>
    <mergeCell ref="J88:K88"/>
    <mergeCell ref="L88:N88"/>
    <mergeCell ref="D79:F79"/>
    <mergeCell ref="H79:I79"/>
    <mergeCell ref="J79:K79"/>
    <mergeCell ref="L79:N79"/>
    <mergeCell ref="G78:I78"/>
    <mergeCell ref="J78:K78"/>
    <mergeCell ref="L78:N78"/>
    <mergeCell ref="M81:N81"/>
    <mergeCell ref="E83:F83"/>
    <mergeCell ref="M83:N83"/>
    <mergeCell ref="E85:F85"/>
    <mergeCell ref="G85:K85"/>
    <mergeCell ref="L85:N85"/>
    <mergeCell ref="E86:F86"/>
    <mergeCell ref="G86:I86"/>
    <mergeCell ref="J86:K86"/>
    <mergeCell ref="L86:N86"/>
    <mergeCell ref="P86:Q86"/>
    <mergeCell ref="P87:Q87"/>
    <mergeCell ref="E87:F87"/>
    <mergeCell ref="G87:I87"/>
    <mergeCell ref="J87:K87"/>
    <mergeCell ref="L87:N87"/>
    <mergeCell ref="E89:F89"/>
    <mergeCell ref="G89:I89"/>
    <mergeCell ref="J89:K89"/>
    <mergeCell ref="L89:N89"/>
    <mergeCell ref="P89:Q89"/>
    <mergeCell ref="E90:F90"/>
    <mergeCell ref="G90:I90"/>
    <mergeCell ref="J90:K90"/>
    <mergeCell ref="L90:N90"/>
    <mergeCell ref="P90:Q90"/>
    <mergeCell ref="E91:F91"/>
    <mergeCell ref="G91:I91"/>
    <mergeCell ref="J91:K91"/>
    <mergeCell ref="L91:N91"/>
    <mergeCell ref="P91:Q91"/>
    <mergeCell ref="E92:F92"/>
    <mergeCell ref="G92:I92"/>
    <mergeCell ref="J92:K92"/>
    <mergeCell ref="L92:N92"/>
    <mergeCell ref="P92:Q92"/>
    <mergeCell ref="E93:F93"/>
    <mergeCell ref="G93:I93"/>
    <mergeCell ref="J93:K93"/>
    <mergeCell ref="L93:N93"/>
    <mergeCell ref="P93:Q93"/>
    <mergeCell ref="E94:F94"/>
    <mergeCell ref="G94:I94"/>
    <mergeCell ref="J94:K94"/>
    <mergeCell ref="L94:N94"/>
    <mergeCell ref="P94:Q94"/>
    <mergeCell ref="E95:F95"/>
    <mergeCell ref="G95:I95"/>
    <mergeCell ref="J95:K95"/>
    <mergeCell ref="L95:N95"/>
    <mergeCell ref="P95:Q95"/>
    <mergeCell ref="E96:F96"/>
    <mergeCell ref="G96:I96"/>
    <mergeCell ref="J96:K96"/>
    <mergeCell ref="L96:N96"/>
    <mergeCell ref="P96:Q96"/>
    <mergeCell ref="E101:F101"/>
    <mergeCell ref="G101:I101"/>
    <mergeCell ref="J101:K101"/>
    <mergeCell ref="L101:N101"/>
    <mergeCell ref="P101:Q101"/>
    <mergeCell ref="E99:F99"/>
    <mergeCell ref="G99:I99"/>
    <mergeCell ref="J99:K99"/>
    <mergeCell ref="L99:N99"/>
    <mergeCell ref="P99:Q99"/>
    <mergeCell ref="E100:F100"/>
    <mergeCell ref="G100:I100"/>
    <mergeCell ref="J100:K100"/>
    <mergeCell ref="L100:N100"/>
    <mergeCell ref="P100:Q100"/>
    <mergeCell ref="E97:F97"/>
    <mergeCell ref="G97:I97"/>
    <mergeCell ref="J97:K97"/>
    <mergeCell ref="L97:N97"/>
    <mergeCell ref="E102:F102"/>
    <mergeCell ref="G102:I102"/>
    <mergeCell ref="J102:K102"/>
    <mergeCell ref="L102:N102"/>
    <mergeCell ref="P102:Q102"/>
    <mergeCell ref="E103:F103"/>
    <mergeCell ref="G103:I103"/>
    <mergeCell ref="J103:K103"/>
    <mergeCell ref="L103:N103"/>
    <mergeCell ref="P103:Q103"/>
    <mergeCell ref="G108:I108"/>
    <mergeCell ref="J108:K108"/>
    <mergeCell ref="L108:N108"/>
    <mergeCell ref="C109:D109"/>
    <mergeCell ref="J109:K109"/>
    <mergeCell ref="L109:N109"/>
    <mergeCell ref="E104:F104"/>
    <mergeCell ref="G104:I104"/>
    <mergeCell ref="J104:K104"/>
    <mergeCell ref="L104:N104"/>
    <mergeCell ref="E105:F105"/>
    <mergeCell ref="G105:I105"/>
    <mergeCell ref="J105:K105"/>
    <mergeCell ref="L105:N105"/>
    <mergeCell ref="E106:F106"/>
    <mergeCell ref="G106:I106"/>
    <mergeCell ref="J106:K106"/>
    <mergeCell ref="L106:N106"/>
    <mergeCell ref="E107:F107"/>
    <mergeCell ref="G107:I107"/>
    <mergeCell ref="J107:K107"/>
    <mergeCell ref="L107:N107"/>
    <mergeCell ref="C116:F116"/>
    <mergeCell ref="G116:I116"/>
    <mergeCell ref="J116:K116"/>
    <mergeCell ref="L116:N116"/>
    <mergeCell ref="C117:F117"/>
    <mergeCell ref="G117:I117"/>
    <mergeCell ref="J117:K117"/>
    <mergeCell ref="L117:N117"/>
    <mergeCell ref="G110:K110"/>
    <mergeCell ref="L110:N110"/>
    <mergeCell ref="G114:N114"/>
    <mergeCell ref="G115:I115"/>
    <mergeCell ref="J115:K115"/>
    <mergeCell ref="L115:N115"/>
    <mergeCell ref="C114:F114"/>
    <mergeCell ref="C115:F115"/>
    <mergeCell ref="C118:F118"/>
    <mergeCell ref="G118:I118"/>
    <mergeCell ref="J118:K118"/>
    <mergeCell ref="L118:N118"/>
    <mergeCell ref="X118:Z118"/>
    <mergeCell ref="C119:F119"/>
    <mergeCell ref="G119:I119"/>
    <mergeCell ref="J119:K119"/>
    <mergeCell ref="L119:N119"/>
    <mergeCell ref="M5:N5"/>
    <mergeCell ref="P104:Q104"/>
    <mergeCell ref="P105:Q105"/>
    <mergeCell ref="T141:U141"/>
    <mergeCell ref="T132:U132"/>
    <mergeCell ref="T134:U134"/>
    <mergeCell ref="T135:U135"/>
    <mergeCell ref="T136:U136"/>
    <mergeCell ref="T139:U139"/>
    <mergeCell ref="T140:U140"/>
    <mergeCell ref="T124:U124"/>
    <mergeCell ref="T125:U125"/>
    <mergeCell ref="T126:U126"/>
    <mergeCell ref="T129:U129"/>
    <mergeCell ref="T130:U130"/>
    <mergeCell ref="T131:U131"/>
    <mergeCell ref="P106:Q106"/>
    <mergeCell ref="P107:Q107"/>
    <mergeCell ref="P88:Q88"/>
    <mergeCell ref="L37:M37"/>
    <mergeCell ref="P9:S9"/>
    <mergeCell ref="Q11:S13"/>
    <mergeCell ref="P14:S14"/>
    <mergeCell ref="P26:P27"/>
  </mergeCells>
  <conditionalFormatting sqref="E83:F83">
    <cfRule type="expression" dxfId="955" priority="45">
      <formula>IF(ISBLANK($M$83),FALSE,TRUE)</formula>
    </cfRule>
  </conditionalFormatting>
  <conditionalFormatting sqref="L116:N118">
    <cfRule type="expression" dxfId="954" priority="43">
      <formula>IF(ISBLANK($J116),FALSE,TRUE)</formula>
    </cfRule>
  </conditionalFormatting>
  <conditionalFormatting sqref="J116:K118">
    <cfRule type="expression" dxfId="953" priority="42">
      <formula>IF($C116&lt;&gt;0,TRUE,FALSE)</formula>
    </cfRule>
  </conditionalFormatting>
  <conditionalFormatting sqref="L116:N118">
    <cfRule type="expression" dxfId="952" priority="21">
      <formula>IF(ISBLANK($J116),FALSE,TRUE)</formula>
    </cfRule>
  </conditionalFormatting>
  <conditionalFormatting sqref="J116:K118">
    <cfRule type="expression" dxfId="951" priority="20">
      <formula>IF($C116&lt;&gt;0,TRUE,FALSE)</formula>
    </cfRule>
  </conditionalFormatting>
  <conditionalFormatting sqref="A14:N14">
    <cfRule type="expression" dxfId="950" priority="131">
      <formula>$X$12</formula>
    </cfRule>
  </conditionalFormatting>
  <conditionalFormatting sqref="H15:N38">
    <cfRule type="expression" dxfId="949" priority="139">
      <formula>$X$11</formula>
    </cfRule>
  </conditionalFormatting>
  <conditionalFormatting sqref="K15">
    <cfRule type="expression" dxfId="948" priority="14">
      <formula>L15&lt;&gt;0</formula>
    </cfRule>
  </conditionalFormatting>
  <conditionalFormatting sqref="K16:K38">
    <cfRule type="expression" dxfId="947" priority="13">
      <formula>L16&lt;&gt;0</formula>
    </cfRule>
  </conditionalFormatting>
  <conditionalFormatting sqref="C118">
    <cfRule type="cellIs" dxfId="946" priority="9" operator="lessThan">
      <formula>0</formula>
    </cfRule>
  </conditionalFormatting>
  <conditionalFormatting sqref="L116:N118">
    <cfRule type="expression" dxfId="945" priority="8">
      <formula>IF(ISBLANK($J116),FALSE,TRUE)</formula>
    </cfRule>
  </conditionalFormatting>
  <conditionalFormatting sqref="J116:K118">
    <cfRule type="expression" dxfId="944" priority="7">
      <formula>IF($C116&lt;&gt;0,TRUE,FALSE)</formula>
    </cfRule>
  </conditionalFormatting>
  <conditionalFormatting sqref="A19:G38">
    <cfRule type="expression" dxfId="943" priority="5">
      <formula>$X$11</formula>
    </cfRule>
  </conditionalFormatting>
  <conditionalFormatting sqref="A15:G17">
    <cfRule type="expression" dxfId="942" priority="2">
      <formula>$X$11</formula>
    </cfRule>
  </conditionalFormatting>
  <conditionalFormatting sqref="A18:G18">
    <cfRule type="expression" dxfId="941" priority="1">
      <formula>$X$11</formula>
    </cfRule>
  </conditionalFormatting>
  <dataValidations count="5">
    <dataValidation type="list" allowBlank="1" showInputMessage="1" showErrorMessage="1" sqref="B11" xr:uid="{00000000-0002-0000-0A00-000000000000}">
      <formula1>$U$11:$U$12</formula1>
    </dataValidation>
    <dataValidation allowBlank="1" showInputMessage="1" showErrorMessage="1" errorTitle="Fehlerhafte Eingabe" error="Auswahl der Berücksichtigung Förderbeiträge aus Drop-Down selektieren." sqref="D88" xr:uid="{00000000-0002-0000-0A00-000001000000}"/>
    <dataValidation type="custom" allowBlank="1" showErrorMessage="1" errorTitle="Gestehungskosten Überdefiniert" error="Mindestens eine der Gestehungskosten muss vom Programm automatisch berechnet werden._x000a__x000a_Es dürfen nicht alle Gestehungskosten manuell überschrieben werden._x000a_" sqref="J116:K118" xr:uid="{00000000-0002-0000-0A00-000002000000}">
      <formula1>IF(COUNTIF($J$116:$J$118,"")-1&gt;=COUNTIF($C$116:$C$118,0),TRUE,FALSE)</formula1>
    </dataValidation>
    <dataValidation type="custom" allowBlank="1" showInputMessage="1" showErrorMessage="1" errorTitle="Eingabe ausserhalb Bereich" error="Bitte wählen Sie eine Betrachtungsdauer zwischen 1 und 50 Jahren." sqref="M83:N83" xr:uid="{00000000-0002-0000-0A00-000003000000}">
      <formula1>IF(AND(M83&gt;0,M83&lt;=50),TRUE,FALSE)</formula1>
    </dataValidation>
    <dataValidation type="decimal" allowBlank="1" showInputMessage="1" showErrorMessage="1" error="Wert muss zwischen 0 und 100 liegen" sqref="C66 C64 C62 C68" xr:uid="{00000000-0002-0000-0A00-000004000000}">
      <formula1>0</formula1>
      <formula2>1</formula2>
    </dataValidation>
  </dataValidations>
  <hyperlinks>
    <hyperlink ref="G2" location="Neu_in_Version" display="i" xr:uid="{00000000-0004-0000-0A00-000000000000}"/>
  </hyperlinks>
  <printOptions horizontalCentered="1"/>
  <pageMargins left="0.52" right="0.53" top="0.39370078740157483" bottom="0.6" header="0.39370078740157483" footer="0.31496062992125984"/>
  <pageSetup paperSize="9" scale="84" firstPageNumber="3" fitToHeight="0" orientation="portrait" horizontalDpi="4294967295" r:id="rId1"/>
  <headerFooter scaleWithDoc="0">
    <oddFooter>&amp;L&amp;8Druckdatum  &amp;D&amp;C&amp;8&amp;F/&amp;A&amp;R&amp;8Seite &amp;P / &amp;N</oddFooter>
  </headerFooter>
  <rowBreaks count="1" manualBreakCount="1">
    <brk id="79" max="13"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7">
    <tabColor theme="9" tint="-0.499984740745262"/>
    <outlinePr summaryBelow="0"/>
    <pageSetUpPr fitToPage="1"/>
  </sheetPr>
  <dimension ref="A1:CA421"/>
  <sheetViews>
    <sheetView showGridLines="0" showZeros="0" zoomScaleNormal="100" zoomScaleSheetLayoutView="100" workbookViewId="0">
      <pane ySplit="13" topLeftCell="A14" activePane="bottomLeft" state="frozen"/>
      <selection activeCell="A8" sqref="A8:N8"/>
      <selection pane="bottomLeft" activeCell="B40" sqref="B40:D40"/>
    </sheetView>
  </sheetViews>
  <sheetFormatPr baseColWidth="10" defaultColWidth="11.42578125" defaultRowHeight="12.95" customHeight="1" x14ac:dyDescent="0.2"/>
  <cols>
    <col min="1" max="1" width="25.42578125" style="34" customWidth="1"/>
    <col min="2" max="2" width="12.42578125" style="33" customWidth="1"/>
    <col min="3" max="4" width="5.7109375" style="33" customWidth="1"/>
    <col min="5" max="5" width="6.85546875" style="33" customWidth="1"/>
    <col min="6" max="6" width="7.7109375" style="33" customWidth="1"/>
    <col min="7" max="8" width="4.85546875" style="32" customWidth="1"/>
    <col min="9" max="9" width="7.7109375" style="32" customWidth="1"/>
    <col min="10" max="10" width="9.7109375" style="34" customWidth="1"/>
    <col min="11" max="12" width="3.42578125" style="34" customWidth="1"/>
    <col min="13" max="13" width="9.7109375" style="34" customWidth="1"/>
    <col min="14" max="15" width="11.7109375" style="34" customWidth="1"/>
    <col min="16" max="16" width="7.42578125" style="123" customWidth="1"/>
    <col min="17" max="17" width="7.28515625" style="123" customWidth="1"/>
    <col min="18" max="18" width="8.28515625" style="123" customWidth="1"/>
    <col min="19" max="19" width="12.140625" style="127" customWidth="1"/>
    <col min="20" max="20" width="11.5703125" style="123" customWidth="1"/>
    <col min="21" max="21" width="10.140625" style="123" customWidth="1"/>
    <col min="22" max="22" width="11.5703125" style="123" customWidth="1"/>
    <col min="23" max="23" width="11" style="123" customWidth="1"/>
    <col min="24" max="24" width="10.140625" style="123" customWidth="1"/>
    <col min="25" max="25" width="8.5703125" style="123" customWidth="1"/>
    <col min="26" max="26" width="10.140625" style="123" customWidth="1"/>
    <col min="27" max="32" width="8.5703125" style="123" customWidth="1"/>
    <col min="33" max="35" width="8.5703125" style="174" customWidth="1"/>
    <col min="36" max="68" width="8.5703125" style="175" customWidth="1"/>
    <col min="69" max="69" width="5" style="32" customWidth="1"/>
    <col min="70" max="16384" width="11.42578125" style="32"/>
  </cols>
  <sheetData>
    <row r="1" spans="1:68" s="1571" customFormat="1" ht="54" customHeight="1" x14ac:dyDescent="0.2">
      <c r="D1" s="1556"/>
      <c r="E1" s="1556"/>
      <c r="F1" s="1556"/>
      <c r="G1" s="67"/>
      <c r="H1" s="67"/>
      <c r="I1" s="67"/>
    </row>
    <row r="2" spans="1:68" s="1571" customFormat="1" ht="15" customHeight="1" x14ac:dyDescent="0.25">
      <c r="A2" s="1565" t="str">
        <f>CONCATENATE("Variantenvergleich Energiesysteme - Version ",Versionsinfo!$B$4)</f>
        <v>Variantenvergleich Energiesysteme - Version 3.0</v>
      </c>
      <c r="B2" s="716"/>
      <c r="C2" s="716"/>
      <c r="D2" s="717"/>
      <c r="E2" s="651"/>
      <c r="F2" s="652" t="s">
        <v>586</v>
      </c>
      <c r="I2" s="67"/>
      <c r="L2" s="1376"/>
    </row>
    <row r="3" spans="1:68" s="425" customFormat="1" ht="12.75" customHeight="1" x14ac:dyDescent="0.2">
      <c r="A3" s="1557" t="s">
        <v>781</v>
      </c>
      <c r="D3" s="427"/>
      <c r="E3" s="427"/>
      <c r="F3" s="427"/>
      <c r="H3" s="903">
        <f>Projektdaten!$C$8</f>
        <v>0</v>
      </c>
      <c r="I3" s="903"/>
      <c r="J3" s="903"/>
      <c r="K3" s="903"/>
      <c r="L3" s="903"/>
      <c r="M3" s="903"/>
      <c r="N3" s="428"/>
    </row>
    <row r="4" spans="1:68" s="425" customFormat="1" ht="16.5" customHeight="1" x14ac:dyDescent="0.2">
      <c r="A4" s="430"/>
      <c r="H4" s="903">
        <f>Projektdaten!$J$8</f>
        <v>0</v>
      </c>
      <c r="I4" s="903"/>
      <c r="J4" s="904"/>
      <c r="K4" s="905"/>
      <c r="L4" s="905"/>
      <c r="M4" s="905"/>
    </row>
    <row r="5" spans="1:68" s="50" customFormat="1" ht="16.5" customHeight="1" x14ac:dyDescent="0.25">
      <c r="A5" s="1581" t="s">
        <v>716</v>
      </c>
      <c r="B5" s="601"/>
      <c r="H5" s="1435" t="str">
        <f>CONCATENATE("Version: ",Projektdaten!$F$13)</f>
        <v>Version: 1</v>
      </c>
      <c r="I5" s="1435"/>
      <c r="J5" s="1435"/>
      <c r="K5" s="1435"/>
      <c r="L5" s="2199">
        <f ca="1">Projektdaten!$F$15</f>
        <v>45372</v>
      </c>
      <c r="M5" s="2199"/>
      <c r="N5" s="901"/>
      <c r="O5" s="145"/>
      <c r="P5" s="123"/>
      <c r="Q5" s="126"/>
      <c r="R5" s="1376"/>
      <c r="S5" s="127"/>
      <c r="T5" s="123"/>
      <c r="U5" s="123"/>
      <c r="V5" s="123"/>
      <c r="W5" s="123"/>
      <c r="X5" s="123"/>
      <c r="Y5" s="123"/>
      <c r="Z5" s="123"/>
      <c r="AA5" s="123"/>
      <c r="AB5" s="123"/>
      <c r="AC5" s="123"/>
      <c r="AD5" s="123"/>
      <c r="AE5" s="123"/>
      <c r="AF5" s="123"/>
      <c r="AG5" s="174"/>
      <c r="AH5" s="174"/>
      <c r="AI5" s="174"/>
      <c r="AJ5" s="175"/>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c r="BN5" s="175"/>
      <c r="BO5" s="175"/>
      <c r="BP5" s="175"/>
    </row>
    <row r="6" spans="1:68" ht="13.5" customHeight="1" x14ac:dyDescent="0.2">
      <c r="B6" s="34"/>
    </row>
    <row r="7" spans="1:68" s="48" customFormat="1" ht="15" customHeight="1" x14ac:dyDescent="0.25">
      <c r="A7" s="280" t="s">
        <v>17</v>
      </c>
      <c r="B7" s="78">
        <f>EV_Var2!$C$7</f>
        <v>0</v>
      </c>
      <c r="C7" s="696"/>
      <c r="D7" s="167"/>
      <c r="E7" s="167"/>
      <c r="F7" s="1582">
        <f>EV_Var2!$J$7</f>
        <v>0</v>
      </c>
      <c r="G7" s="1582"/>
      <c r="H7" s="517"/>
      <c r="I7" s="517"/>
      <c r="J7" s="518"/>
      <c r="K7" s="518"/>
      <c r="L7" s="518"/>
      <c r="M7" s="518"/>
      <c r="O7" s="146"/>
      <c r="P7" s="144"/>
      <c r="Q7" s="128"/>
      <c r="R7" s="216"/>
      <c r="S7" s="125"/>
      <c r="T7" s="217"/>
      <c r="U7" s="183"/>
      <c r="V7" s="217"/>
      <c r="W7" s="217"/>
      <c r="X7" s="217"/>
      <c r="Y7" s="217"/>
      <c r="Z7" s="217"/>
      <c r="AA7" s="218"/>
      <c r="AB7" s="218"/>
      <c r="AC7" s="218"/>
      <c r="AD7" s="218"/>
      <c r="AE7" s="218"/>
      <c r="AF7" s="218"/>
      <c r="AG7" s="219"/>
      <c r="AH7" s="219"/>
      <c r="AI7" s="219"/>
      <c r="AJ7" s="220"/>
      <c r="AK7" s="220"/>
      <c r="AL7" s="221"/>
      <c r="AM7" s="221"/>
      <c r="AN7" s="221"/>
      <c r="AO7" s="221"/>
      <c r="AP7" s="221"/>
      <c r="AQ7" s="221"/>
      <c r="AR7" s="221"/>
      <c r="AS7" s="221"/>
      <c r="AT7" s="221"/>
      <c r="AU7" s="221"/>
      <c r="AV7" s="221"/>
      <c r="AW7" s="221"/>
      <c r="AX7" s="221"/>
      <c r="AY7" s="221"/>
      <c r="AZ7" s="221"/>
      <c r="BA7" s="221"/>
      <c r="BB7" s="221"/>
      <c r="BC7" s="221"/>
      <c r="BD7" s="221"/>
      <c r="BE7" s="221"/>
      <c r="BF7" s="221"/>
      <c r="BG7" s="221"/>
      <c r="BH7" s="221"/>
      <c r="BI7" s="221"/>
      <c r="BJ7" s="221"/>
      <c r="BK7" s="221"/>
      <c r="BL7" s="221"/>
      <c r="BM7" s="221"/>
      <c r="BN7" s="221"/>
      <c r="BO7" s="221"/>
      <c r="BP7" s="221"/>
    </row>
    <row r="8" spans="1:68" s="46" customFormat="1" ht="6" customHeight="1" x14ac:dyDescent="0.25">
      <c r="A8" s="47"/>
      <c r="G8" s="23" t="s">
        <v>11</v>
      </c>
      <c r="H8" s="23"/>
      <c r="I8" s="33"/>
      <c r="J8" s="33"/>
      <c r="K8" s="33"/>
      <c r="L8" s="33"/>
      <c r="M8" s="33"/>
      <c r="N8" s="33"/>
      <c r="O8" s="33"/>
      <c r="P8" s="123"/>
      <c r="Q8" s="129"/>
      <c r="R8" s="130"/>
      <c r="S8" s="125"/>
      <c r="T8" s="124"/>
      <c r="U8" s="124"/>
      <c r="V8" s="124"/>
      <c r="W8" s="124"/>
      <c r="X8" s="124"/>
      <c r="Y8" s="124"/>
      <c r="Z8" s="124"/>
      <c r="AA8" s="123"/>
      <c r="AB8" s="123"/>
      <c r="AC8" s="123"/>
      <c r="AD8" s="123"/>
      <c r="AE8" s="123"/>
      <c r="AF8" s="123"/>
      <c r="AG8" s="174"/>
      <c r="AH8" s="174"/>
      <c r="AI8" s="174"/>
      <c r="AJ8" s="175"/>
      <c r="AK8" s="175"/>
      <c r="AL8" s="175"/>
      <c r="AM8" s="175"/>
      <c r="AN8" s="175"/>
      <c r="AO8" s="175"/>
      <c r="AP8" s="175"/>
      <c r="AQ8" s="175"/>
      <c r="AR8" s="175"/>
      <c r="AS8" s="175"/>
      <c r="AT8" s="175"/>
      <c r="AU8" s="175"/>
      <c r="AV8" s="175"/>
      <c r="AW8" s="175"/>
      <c r="AX8" s="175"/>
      <c r="AY8" s="175"/>
      <c r="AZ8" s="175"/>
      <c r="BA8" s="175"/>
      <c r="BB8" s="175"/>
      <c r="BC8" s="175"/>
      <c r="BD8" s="175"/>
      <c r="BE8" s="175"/>
      <c r="BF8" s="175"/>
      <c r="BG8" s="175"/>
      <c r="BH8" s="175"/>
      <c r="BI8" s="175"/>
      <c r="BJ8" s="175"/>
      <c r="BK8" s="175"/>
      <c r="BL8" s="175"/>
      <c r="BM8" s="175"/>
      <c r="BN8" s="175"/>
      <c r="BO8" s="175"/>
      <c r="BP8" s="175"/>
    </row>
    <row r="9" spans="1:68" ht="17.25" customHeight="1" x14ac:dyDescent="0.25">
      <c r="A9" s="504" t="s">
        <v>629</v>
      </c>
      <c r="H9" s="148" t="s">
        <v>651</v>
      </c>
      <c r="I9" s="149">
        <f>IF(ISBLANK(Grunddaten!$O$8),Grunddaten!$N$8,Grunddaten!$O$8)</f>
        <v>2.2499999999999999E-2</v>
      </c>
      <c r="J9" s="510" t="s">
        <v>494</v>
      </c>
      <c r="K9" s="45"/>
      <c r="L9" s="45"/>
      <c r="M9" s="45"/>
      <c r="N9" s="45"/>
      <c r="O9" s="45"/>
      <c r="P9" s="131"/>
      <c r="Q9" s="124"/>
      <c r="R9" s="132"/>
      <c r="S9" s="125"/>
      <c r="T9" s="124"/>
      <c r="U9" s="124"/>
      <c r="V9" s="124"/>
      <c r="W9" s="124"/>
      <c r="X9" s="124"/>
      <c r="Y9" s="124"/>
      <c r="Z9" s="124"/>
    </row>
    <row r="10" spans="1:68" ht="2.25" customHeight="1" x14ac:dyDescent="0.2">
      <c r="N10" s="624"/>
      <c r="O10" s="623"/>
      <c r="P10" s="623"/>
      <c r="Q10" s="124"/>
      <c r="R10" s="124"/>
      <c r="S10" s="125"/>
      <c r="T10" s="124"/>
      <c r="U10" s="124"/>
      <c r="V10" s="124"/>
      <c r="W10" s="124"/>
      <c r="X10" s="124"/>
      <c r="Y10" s="124"/>
      <c r="Z10" s="124"/>
    </row>
    <row r="11" spans="1:68" s="176" customFormat="1" ht="11.25" customHeight="1" x14ac:dyDescent="0.2">
      <c r="A11" s="1049" t="s">
        <v>258</v>
      </c>
      <c r="B11" s="1108" t="s">
        <v>259</v>
      </c>
      <c r="C11" s="1100"/>
      <c r="D11" s="1109"/>
      <c r="E11" s="2378" t="s">
        <v>563</v>
      </c>
      <c r="F11" s="2379"/>
      <c r="G11" s="2378" t="s">
        <v>565</v>
      </c>
      <c r="H11" s="2379"/>
      <c r="I11" s="2376" t="s">
        <v>566</v>
      </c>
      <c r="J11" s="2376" t="s">
        <v>630</v>
      </c>
      <c r="K11" s="2697" t="s">
        <v>641</v>
      </c>
      <c r="L11" s="2698"/>
      <c r="M11" s="2699"/>
      <c r="N11" s="639"/>
      <c r="O11" s="623"/>
      <c r="P11" s="623"/>
      <c r="Q11" s="134"/>
      <c r="R11" s="134"/>
      <c r="S11" s="129"/>
      <c r="T11" s="124"/>
      <c r="U11" s="124"/>
      <c r="V11" s="124"/>
      <c r="W11" s="124"/>
      <c r="X11" s="124"/>
      <c r="Y11" s="124"/>
      <c r="Z11" s="123"/>
      <c r="AA11" s="123"/>
      <c r="AB11" s="123"/>
      <c r="AC11" s="123"/>
      <c r="AD11" s="123"/>
      <c r="AE11" s="123"/>
      <c r="AF11" s="174"/>
      <c r="AG11" s="174"/>
      <c r="AH11" s="174"/>
      <c r="AI11" s="175"/>
      <c r="AJ11" s="175"/>
    </row>
    <row r="12" spans="1:68" s="176" customFormat="1" ht="11.25" customHeight="1" x14ac:dyDescent="0.2">
      <c r="A12" s="1050"/>
      <c r="B12" s="1110"/>
      <c r="C12" s="1101"/>
      <c r="D12" s="1111"/>
      <c r="E12" s="2380"/>
      <c r="F12" s="2381"/>
      <c r="G12" s="2380"/>
      <c r="H12" s="2381"/>
      <c r="I12" s="2377"/>
      <c r="J12" s="2377"/>
      <c r="K12" s="2700"/>
      <c r="L12" s="2701"/>
      <c r="M12" s="2702"/>
      <c r="N12" s="639"/>
      <c r="O12" s="623"/>
      <c r="P12" s="623"/>
      <c r="Q12" s="134"/>
      <c r="R12" s="134"/>
      <c r="S12" s="129"/>
      <c r="T12" s="124"/>
      <c r="U12" s="124"/>
      <c r="V12" s="124"/>
      <c r="W12" s="124"/>
      <c r="X12" s="124"/>
      <c r="Y12" s="124"/>
      <c r="Z12" s="123"/>
      <c r="AA12" s="123"/>
      <c r="AB12" s="123"/>
      <c r="AC12" s="123"/>
      <c r="AD12" s="123"/>
      <c r="AE12" s="123"/>
      <c r="AF12" s="174"/>
      <c r="AG12" s="174"/>
      <c r="AH12" s="174"/>
      <c r="AI12" s="175"/>
      <c r="AJ12" s="175"/>
    </row>
    <row r="13" spans="1:68" s="176" customFormat="1" ht="11.25" customHeight="1" x14ac:dyDescent="0.2">
      <c r="A13" s="1053"/>
      <c r="B13" s="1112"/>
      <c r="C13" s="1054"/>
      <c r="D13" s="1113"/>
      <c r="E13" s="2483" t="s">
        <v>564</v>
      </c>
      <c r="F13" s="2484"/>
      <c r="G13" s="2483" t="s">
        <v>20</v>
      </c>
      <c r="H13" s="2484"/>
      <c r="I13" s="2696"/>
      <c r="J13" s="1114" t="s">
        <v>567</v>
      </c>
      <c r="K13" s="2483" t="s">
        <v>580</v>
      </c>
      <c r="L13" s="2349"/>
      <c r="M13" s="1102" t="s">
        <v>567</v>
      </c>
      <c r="N13" s="624"/>
      <c r="O13" s="623"/>
      <c r="P13" s="623"/>
      <c r="Q13" s="134"/>
      <c r="R13" s="134"/>
      <c r="S13" s="129"/>
      <c r="T13" s="124"/>
      <c r="U13" s="124"/>
      <c r="V13" s="124"/>
      <c r="W13" s="124"/>
      <c r="X13" s="124"/>
      <c r="Y13" s="124"/>
      <c r="Z13" s="123"/>
      <c r="AA13" s="123"/>
      <c r="AB13" s="123"/>
      <c r="AC13" s="123"/>
      <c r="AD13" s="123"/>
      <c r="AE13" s="123"/>
      <c r="AF13" s="174"/>
      <c r="AG13" s="174"/>
      <c r="AH13" s="174"/>
      <c r="AI13" s="175"/>
      <c r="AJ13" s="175"/>
    </row>
    <row r="14" spans="1:68" s="176" customFormat="1" ht="0.75" customHeight="1" x14ac:dyDescent="0.2">
      <c r="A14" s="1051"/>
      <c r="B14" s="1255"/>
      <c r="C14" s="1255"/>
      <c r="D14" s="1255"/>
      <c r="E14" s="1193"/>
      <c r="F14" s="1193"/>
      <c r="G14" s="1193"/>
      <c r="H14" s="1193"/>
      <c r="I14" s="1194"/>
      <c r="J14" s="1193"/>
      <c r="K14" s="1193"/>
      <c r="L14" s="1193"/>
      <c r="M14" s="1195"/>
      <c r="N14" s="1260"/>
      <c r="O14" s="722"/>
      <c r="P14" s="722"/>
      <c r="Q14" s="134"/>
      <c r="R14" s="134"/>
      <c r="S14" s="129"/>
      <c r="T14" s="124"/>
      <c r="U14" s="124"/>
      <c r="V14" s="124"/>
      <c r="W14" s="124"/>
      <c r="X14" s="124"/>
      <c r="Y14" s="124"/>
      <c r="Z14" s="123"/>
      <c r="AA14" s="123"/>
      <c r="AB14" s="123"/>
      <c r="AC14" s="123"/>
      <c r="AD14" s="123"/>
      <c r="AE14" s="123"/>
      <c r="AF14" s="174"/>
      <c r="AG14" s="174"/>
      <c r="AH14" s="174"/>
      <c r="AI14" s="175"/>
      <c r="AJ14" s="175"/>
    </row>
    <row r="15" spans="1:68" s="176" customFormat="1" ht="13.5" customHeight="1" x14ac:dyDescent="0.2">
      <c r="A15" s="2680" t="s">
        <v>554</v>
      </c>
      <c r="B15" s="2681"/>
      <c r="C15" s="2681"/>
      <c r="D15" s="2681"/>
      <c r="E15" s="2681"/>
      <c r="F15" s="2681"/>
      <c r="G15" s="2681"/>
      <c r="H15" s="2681"/>
      <c r="I15" s="2681"/>
      <c r="J15" s="2681"/>
      <c r="K15" s="2681"/>
      <c r="L15" s="2681"/>
      <c r="M15" s="2682"/>
      <c r="N15" s="624"/>
      <c r="O15" s="623"/>
      <c r="P15" s="623"/>
      <c r="Q15" s="134"/>
      <c r="R15" s="134"/>
      <c r="S15" s="129"/>
      <c r="T15" s="124"/>
      <c r="U15" s="124"/>
      <c r="V15" s="124"/>
      <c r="W15" s="124"/>
      <c r="X15" s="124"/>
      <c r="Y15" s="124"/>
      <c r="Z15" s="123"/>
      <c r="AA15" s="123"/>
      <c r="AB15" s="123"/>
      <c r="AC15" s="123"/>
      <c r="AD15" s="123"/>
      <c r="AE15" s="123"/>
      <c r="AF15" s="174"/>
      <c r="AG15" s="174"/>
      <c r="AH15" s="174"/>
      <c r="AI15" s="175"/>
      <c r="AJ15" s="175"/>
    </row>
    <row r="16" spans="1:68" s="36" customFormat="1" ht="12" customHeight="1" x14ac:dyDescent="0.2">
      <c r="A16" s="1042" t="str">
        <f>A40</f>
        <v>1. Wärmequelle Baumeister</v>
      </c>
      <c r="B16" s="2693">
        <f>B40</f>
        <v>0</v>
      </c>
      <c r="C16" s="2694">
        <f>C40</f>
        <v>0</v>
      </c>
      <c r="D16" s="2695">
        <f>D40</f>
        <v>0</v>
      </c>
      <c r="E16" s="2627">
        <f>E40</f>
        <v>0</v>
      </c>
      <c r="F16" s="2628"/>
      <c r="G16" s="1067"/>
      <c r="H16" s="1068"/>
      <c r="I16" s="1069"/>
      <c r="J16" s="982">
        <f>J40</f>
        <v>0</v>
      </c>
      <c r="K16" s="2705" t="str">
        <f t="shared" ref="K16:K38" si="0">IF(E16=0,"",M16/E16*100)</f>
        <v/>
      </c>
      <c r="L16" s="2706"/>
      <c r="M16" s="1064">
        <f>M40</f>
        <v>0</v>
      </c>
      <c r="N16" s="596"/>
      <c r="O16" s="595"/>
      <c r="P16" s="595"/>
      <c r="Q16" s="595"/>
      <c r="R16" s="136"/>
      <c r="S16" s="129"/>
      <c r="T16" s="129"/>
      <c r="U16" s="129"/>
      <c r="V16" s="129"/>
      <c r="W16" s="129"/>
      <c r="X16" s="129"/>
      <c r="Y16" s="129"/>
      <c r="Z16" s="133"/>
      <c r="AA16" s="133"/>
      <c r="AB16" s="133"/>
      <c r="AC16" s="133"/>
      <c r="AD16" s="133"/>
      <c r="AE16" s="133"/>
      <c r="AF16" s="222"/>
      <c r="AG16" s="222"/>
      <c r="AH16" s="222"/>
      <c r="AI16" s="176"/>
      <c r="AJ16" s="176"/>
      <c r="AK16" s="176"/>
      <c r="AL16" s="176"/>
      <c r="AM16" s="176"/>
      <c r="AN16" s="176"/>
      <c r="AO16" s="176"/>
      <c r="AP16" s="176"/>
      <c r="AQ16" s="176"/>
      <c r="AR16" s="176"/>
      <c r="AS16" s="176"/>
      <c r="AT16" s="176"/>
      <c r="AU16" s="176"/>
      <c r="AV16" s="176"/>
      <c r="AW16" s="176"/>
      <c r="AX16" s="176"/>
      <c r="AY16" s="176"/>
      <c r="AZ16" s="176"/>
      <c r="BA16" s="176"/>
      <c r="BB16" s="176"/>
      <c r="BC16" s="176"/>
      <c r="BD16" s="176"/>
      <c r="BE16" s="176"/>
      <c r="BF16" s="176"/>
      <c r="BG16" s="176"/>
      <c r="BH16" s="176"/>
      <c r="BI16" s="176"/>
      <c r="BJ16" s="176"/>
      <c r="BK16" s="176"/>
      <c r="BL16" s="176"/>
      <c r="BM16" s="176"/>
      <c r="BN16" s="176"/>
      <c r="BO16" s="176"/>
    </row>
    <row r="17" spans="1:67" s="36" customFormat="1" ht="12" customHeight="1" x14ac:dyDescent="0.2">
      <c r="A17" s="1043" t="str">
        <f>A55</f>
        <v>2. Wärmequelle Technisch</v>
      </c>
      <c r="B17" s="2638">
        <f>B55</f>
        <v>0</v>
      </c>
      <c r="C17" s="2639"/>
      <c r="D17" s="2640"/>
      <c r="E17" s="2599">
        <f>E55</f>
        <v>0</v>
      </c>
      <c r="F17" s="2600"/>
      <c r="G17" s="1070"/>
      <c r="H17" s="1071"/>
      <c r="I17" s="1072"/>
      <c r="J17" s="989">
        <f>J55</f>
        <v>0</v>
      </c>
      <c r="K17" s="2703" t="str">
        <f t="shared" si="0"/>
        <v/>
      </c>
      <c r="L17" s="2704"/>
      <c r="M17" s="1065">
        <f>M55</f>
        <v>0</v>
      </c>
      <c r="N17" s="596"/>
      <c r="O17" s="595"/>
      <c r="P17" s="595"/>
      <c r="Q17" s="595"/>
      <c r="R17" s="136"/>
      <c r="S17" s="129"/>
      <c r="T17" s="129"/>
      <c r="U17" s="129"/>
      <c r="V17" s="129"/>
      <c r="W17" s="129"/>
      <c r="X17" s="129"/>
      <c r="Y17" s="129"/>
      <c r="Z17" s="133"/>
      <c r="AA17" s="133"/>
      <c r="AB17" s="133"/>
      <c r="AC17" s="133"/>
      <c r="AD17" s="133"/>
      <c r="AE17" s="133"/>
      <c r="AF17" s="222"/>
      <c r="AG17" s="222"/>
      <c r="AH17" s="222"/>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36" customFormat="1" ht="12" customHeight="1" x14ac:dyDescent="0.2">
      <c r="A18" s="1043" t="str">
        <f>A70</f>
        <v>3. Energiezulieferung</v>
      </c>
      <c r="B18" s="2638">
        <f>B70</f>
        <v>0</v>
      </c>
      <c r="C18" s="2639"/>
      <c r="D18" s="2640"/>
      <c r="E18" s="2599">
        <f>E70</f>
        <v>0</v>
      </c>
      <c r="F18" s="2600"/>
      <c r="G18" s="1070"/>
      <c r="H18" s="1071"/>
      <c r="I18" s="1072"/>
      <c r="J18" s="989">
        <f>J70</f>
        <v>0</v>
      </c>
      <c r="K18" s="2703" t="str">
        <f t="shared" si="0"/>
        <v/>
      </c>
      <c r="L18" s="2704"/>
      <c r="M18" s="1065">
        <f>M70</f>
        <v>0</v>
      </c>
      <c r="N18" s="596"/>
      <c r="O18" s="595"/>
      <c r="P18" s="595"/>
      <c r="Q18" s="595"/>
      <c r="R18" s="136"/>
      <c r="S18" s="129"/>
      <c r="T18" s="129"/>
      <c r="U18" s="129"/>
      <c r="V18" s="129"/>
      <c r="W18" s="129"/>
      <c r="X18" s="129"/>
      <c r="Y18" s="129"/>
      <c r="Z18" s="133"/>
      <c r="AA18" s="133"/>
      <c r="AB18" s="133"/>
      <c r="AC18" s="133"/>
      <c r="AD18" s="133"/>
      <c r="AE18" s="133"/>
      <c r="AF18" s="222"/>
      <c r="AG18" s="222"/>
      <c r="AH18" s="222"/>
      <c r="AI18" s="176"/>
      <c r="AJ18" s="176"/>
      <c r="AK18" s="176"/>
      <c r="AL18" s="176"/>
      <c r="AM18" s="176"/>
      <c r="AN18" s="176"/>
      <c r="AO18" s="176"/>
      <c r="AP18" s="176"/>
      <c r="AQ18" s="176"/>
      <c r="AR18" s="176"/>
      <c r="AS18" s="176"/>
      <c r="AT18" s="176"/>
      <c r="AU18" s="176"/>
      <c r="AV18" s="176"/>
      <c r="AW18" s="176"/>
      <c r="AX18" s="176"/>
      <c r="AY18" s="176"/>
      <c r="AZ18" s="176"/>
      <c r="BA18" s="176"/>
      <c r="BB18" s="176"/>
      <c r="BC18" s="176"/>
      <c r="BD18" s="176"/>
      <c r="BE18" s="176"/>
      <c r="BF18" s="176"/>
      <c r="BG18" s="176"/>
      <c r="BH18" s="176"/>
      <c r="BI18" s="176"/>
      <c r="BJ18" s="176"/>
      <c r="BK18" s="176"/>
      <c r="BL18" s="176"/>
      <c r="BM18" s="176"/>
      <c r="BN18" s="176"/>
      <c r="BO18" s="176"/>
    </row>
    <row r="19" spans="1:67" s="36" customFormat="1" ht="12" customHeight="1" x14ac:dyDescent="0.2">
      <c r="A19" s="1043" t="str">
        <f>A85</f>
        <v>4. Wärme- / Kälteerzeugung</v>
      </c>
      <c r="B19" s="2638">
        <f>B85</f>
        <v>0</v>
      </c>
      <c r="C19" s="2639"/>
      <c r="D19" s="2640"/>
      <c r="E19" s="2599">
        <f>E85</f>
        <v>0</v>
      </c>
      <c r="F19" s="2600"/>
      <c r="G19" s="1070"/>
      <c r="H19" s="1071"/>
      <c r="I19" s="1072"/>
      <c r="J19" s="989">
        <f>J85</f>
        <v>0</v>
      </c>
      <c r="K19" s="2703" t="str">
        <f t="shared" si="0"/>
        <v/>
      </c>
      <c r="L19" s="2704"/>
      <c r="M19" s="1065">
        <f>M85</f>
        <v>0</v>
      </c>
      <c r="N19" s="596"/>
      <c r="O19" s="595"/>
      <c r="P19" s="595"/>
      <c r="Q19" s="595"/>
      <c r="R19" s="136"/>
      <c r="S19" s="129"/>
      <c r="T19" s="129"/>
      <c r="U19" s="129"/>
      <c r="V19" s="129"/>
      <c r="W19" s="129"/>
      <c r="X19" s="129"/>
      <c r="Y19" s="129"/>
      <c r="Z19" s="133"/>
      <c r="AA19" s="133"/>
      <c r="AB19" s="133"/>
      <c r="AC19" s="133"/>
      <c r="AD19" s="133"/>
      <c r="AE19" s="133"/>
      <c r="AF19" s="222"/>
      <c r="AG19" s="222"/>
      <c r="AH19" s="222"/>
      <c r="AI19" s="176"/>
      <c r="AJ19" s="176"/>
      <c r="AK19" s="176"/>
      <c r="AL19" s="176"/>
      <c r="AM19" s="176"/>
      <c r="AN19" s="176"/>
      <c r="AO19" s="176"/>
      <c r="AP19" s="176"/>
      <c r="AQ19" s="176"/>
      <c r="AR19" s="176"/>
      <c r="AS19" s="176"/>
      <c r="AT19" s="176"/>
      <c r="AU19" s="176"/>
      <c r="AV19" s="176"/>
      <c r="AW19" s="176"/>
      <c r="AX19" s="176"/>
      <c r="AY19" s="176"/>
      <c r="AZ19" s="176"/>
      <c r="BA19" s="176"/>
      <c r="BB19" s="176"/>
      <c r="BC19" s="176"/>
      <c r="BD19" s="176"/>
      <c r="BE19" s="176"/>
      <c r="BF19" s="176"/>
      <c r="BG19" s="176"/>
      <c r="BH19" s="176"/>
      <c r="BI19" s="176"/>
      <c r="BJ19" s="176"/>
      <c r="BK19" s="176"/>
      <c r="BL19" s="176"/>
      <c r="BM19" s="176"/>
      <c r="BN19" s="176"/>
      <c r="BO19" s="176"/>
    </row>
    <row r="20" spans="1:67" s="36" customFormat="1" ht="12" customHeight="1" x14ac:dyDescent="0.2">
      <c r="A20" s="1043" t="str">
        <f>A102</f>
        <v>5. Kaminanlage</v>
      </c>
      <c r="B20" s="2638">
        <f>B102</f>
        <v>0</v>
      </c>
      <c r="C20" s="2639"/>
      <c r="D20" s="2640"/>
      <c r="E20" s="2599">
        <f>E102</f>
        <v>0</v>
      </c>
      <c r="F20" s="2600"/>
      <c r="G20" s="1070"/>
      <c r="H20" s="1071"/>
      <c r="I20" s="1072"/>
      <c r="J20" s="989">
        <f>J102</f>
        <v>0</v>
      </c>
      <c r="K20" s="2703" t="str">
        <f t="shared" si="0"/>
        <v/>
      </c>
      <c r="L20" s="2704"/>
      <c r="M20" s="1065">
        <f>M102</f>
        <v>0</v>
      </c>
      <c r="N20" s="596"/>
      <c r="O20" s="595"/>
      <c r="P20" s="595"/>
      <c r="Q20" s="595"/>
      <c r="R20" s="136"/>
      <c r="S20" s="129"/>
      <c r="T20" s="129"/>
      <c r="U20" s="129"/>
      <c r="V20" s="129"/>
      <c r="W20" s="129"/>
      <c r="X20" s="129"/>
      <c r="Y20" s="129"/>
      <c r="Z20" s="133"/>
      <c r="AA20" s="133"/>
      <c r="AB20" s="133"/>
      <c r="AC20" s="133"/>
      <c r="AD20" s="133"/>
      <c r="AE20" s="133"/>
      <c r="AF20" s="222"/>
      <c r="AG20" s="222"/>
      <c r="AH20" s="222"/>
      <c r="AI20" s="176"/>
      <c r="AJ20" s="176"/>
      <c r="AK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BG20" s="176"/>
      <c r="BH20" s="176"/>
      <c r="BI20" s="176"/>
      <c r="BJ20" s="176"/>
      <c r="BK20" s="176"/>
      <c r="BL20" s="176"/>
      <c r="BM20" s="176"/>
      <c r="BN20" s="176"/>
      <c r="BO20" s="176"/>
    </row>
    <row r="21" spans="1:67" s="36" customFormat="1" ht="12" customHeight="1" x14ac:dyDescent="0.2">
      <c r="A21" s="1043" t="str">
        <f>A117</f>
        <v>6. Wärmeverteilung</v>
      </c>
      <c r="B21" s="2638">
        <f>B117</f>
        <v>0</v>
      </c>
      <c r="C21" s="2639"/>
      <c r="D21" s="2640"/>
      <c r="E21" s="2599">
        <f>E117</f>
        <v>0</v>
      </c>
      <c r="F21" s="2600"/>
      <c r="G21" s="1070"/>
      <c r="H21" s="1071"/>
      <c r="I21" s="1072"/>
      <c r="J21" s="989">
        <f>J117</f>
        <v>0</v>
      </c>
      <c r="K21" s="2703" t="str">
        <f t="shared" si="0"/>
        <v/>
      </c>
      <c r="L21" s="2704"/>
      <c r="M21" s="1065">
        <f>M117</f>
        <v>0</v>
      </c>
      <c r="N21" s="596"/>
      <c r="O21" s="595"/>
      <c r="P21" s="595"/>
      <c r="Q21" s="595"/>
      <c r="R21" s="136"/>
      <c r="S21" s="129"/>
      <c r="T21" s="129"/>
      <c r="U21" s="129"/>
      <c r="V21" s="129"/>
      <c r="W21" s="129"/>
      <c r="X21" s="129"/>
      <c r="Y21" s="129"/>
      <c r="Z21" s="133"/>
      <c r="AA21" s="133"/>
      <c r="AB21" s="133"/>
      <c r="AC21" s="133"/>
      <c r="AD21" s="133"/>
      <c r="AE21" s="133"/>
      <c r="AF21" s="222"/>
      <c r="AG21" s="222"/>
      <c r="AH21" s="222"/>
      <c r="AI21" s="176"/>
      <c r="AJ21" s="176"/>
      <c r="AK21" s="176"/>
      <c r="AL21" s="176"/>
      <c r="AM21" s="176"/>
      <c r="AN21" s="176"/>
      <c r="AO21" s="176"/>
      <c r="AP21" s="176"/>
      <c r="AQ21" s="176"/>
      <c r="AR21" s="176"/>
      <c r="AS21" s="176"/>
      <c r="AT21" s="176"/>
      <c r="AU21" s="176"/>
      <c r="AV21" s="176"/>
      <c r="AW21" s="176"/>
      <c r="AX21" s="176"/>
      <c r="AY21" s="176"/>
      <c r="AZ21" s="176"/>
      <c r="BA21" s="176"/>
      <c r="BB21" s="176"/>
      <c r="BC21" s="176"/>
      <c r="BD21" s="176"/>
      <c r="BE21" s="176"/>
      <c r="BF21" s="176"/>
      <c r="BG21" s="176"/>
      <c r="BH21" s="176"/>
      <c r="BI21" s="176"/>
      <c r="BJ21" s="176"/>
      <c r="BK21" s="176"/>
      <c r="BL21" s="176"/>
      <c r="BM21" s="176"/>
      <c r="BN21" s="176"/>
      <c r="BO21" s="176"/>
    </row>
    <row r="22" spans="1:67" s="36" customFormat="1" ht="12" customHeight="1" x14ac:dyDescent="0.2">
      <c r="A22" s="1043" t="str">
        <f>A132</f>
        <v>7. Wärme- / Kälteabgabe</v>
      </c>
      <c r="B22" s="2638">
        <f>B132</f>
        <v>0</v>
      </c>
      <c r="C22" s="2639"/>
      <c r="D22" s="2640"/>
      <c r="E22" s="2599">
        <f>E132</f>
        <v>0</v>
      </c>
      <c r="F22" s="2600"/>
      <c r="G22" s="1070"/>
      <c r="H22" s="1071"/>
      <c r="I22" s="1072"/>
      <c r="J22" s="989">
        <f>J132</f>
        <v>0</v>
      </c>
      <c r="K22" s="2703" t="str">
        <f t="shared" si="0"/>
        <v/>
      </c>
      <c r="L22" s="2704"/>
      <c r="M22" s="1065">
        <f>M132</f>
        <v>0</v>
      </c>
      <c r="N22" s="596"/>
      <c r="O22" s="595"/>
      <c r="P22" s="595"/>
      <c r="Q22" s="595"/>
      <c r="R22" s="136"/>
      <c r="S22" s="129"/>
      <c r="T22" s="129"/>
      <c r="U22" s="129"/>
      <c r="V22" s="129"/>
      <c r="W22" s="129"/>
      <c r="X22" s="129"/>
      <c r="Y22" s="129"/>
      <c r="Z22" s="133"/>
      <c r="AA22" s="133"/>
      <c r="AB22" s="133"/>
      <c r="AC22" s="133"/>
      <c r="AD22" s="133"/>
      <c r="AE22" s="133"/>
      <c r="AF22" s="222"/>
      <c r="AG22" s="222"/>
      <c r="AH22" s="222"/>
      <c r="AI22" s="176"/>
      <c r="AJ22" s="176"/>
      <c r="AK22" s="176"/>
      <c r="AL22" s="176"/>
      <c r="AM22" s="176"/>
      <c r="AN22" s="176"/>
      <c r="AO22" s="176"/>
      <c r="AP22" s="176"/>
      <c r="AQ22" s="176"/>
      <c r="AR22" s="176"/>
      <c r="AS22" s="176"/>
      <c r="AT22" s="176"/>
      <c r="AU22" s="176"/>
      <c r="AV22" s="176"/>
      <c r="AW22" s="176"/>
      <c r="AX22" s="176"/>
      <c r="AY22" s="176"/>
      <c r="AZ22" s="176"/>
      <c r="BA22" s="176"/>
      <c r="BB22" s="176"/>
      <c r="BC22" s="176"/>
      <c r="BD22" s="176"/>
      <c r="BE22" s="176"/>
      <c r="BF22" s="176"/>
      <c r="BG22" s="176"/>
      <c r="BH22" s="176"/>
      <c r="BI22" s="176"/>
      <c r="BJ22" s="176"/>
      <c r="BK22" s="176"/>
      <c r="BL22" s="176"/>
      <c r="BM22" s="176"/>
      <c r="BN22" s="176"/>
      <c r="BO22" s="176"/>
    </row>
    <row r="23" spans="1:67" s="36" customFormat="1" ht="12" customHeight="1" x14ac:dyDescent="0.2">
      <c r="A23" s="1043" t="str">
        <f>A147</f>
        <v>8. Sicherheit</v>
      </c>
      <c r="B23" s="2638">
        <f>B147</f>
        <v>0</v>
      </c>
      <c r="C23" s="2639"/>
      <c r="D23" s="2640"/>
      <c r="E23" s="2599">
        <f>E147</f>
        <v>0</v>
      </c>
      <c r="F23" s="2600"/>
      <c r="G23" s="1070"/>
      <c r="H23" s="1071"/>
      <c r="I23" s="1072"/>
      <c r="J23" s="989">
        <f>J147</f>
        <v>0</v>
      </c>
      <c r="K23" s="2703" t="str">
        <f t="shared" si="0"/>
        <v/>
      </c>
      <c r="L23" s="2704"/>
      <c r="M23" s="1065">
        <f>M147</f>
        <v>0</v>
      </c>
      <c r="N23" s="596"/>
      <c r="O23" s="595"/>
      <c r="P23" s="595"/>
      <c r="Q23" s="595"/>
      <c r="R23" s="136"/>
      <c r="S23" s="129"/>
      <c r="T23" s="129"/>
      <c r="U23" s="129"/>
      <c r="V23" s="129"/>
      <c r="W23" s="129"/>
      <c r="X23" s="129"/>
      <c r="Y23" s="129"/>
      <c r="Z23" s="133"/>
      <c r="AA23" s="133"/>
      <c r="AB23" s="133"/>
      <c r="AC23" s="133"/>
      <c r="AD23" s="133"/>
      <c r="AE23" s="133"/>
      <c r="AF23" s="222"/>
      <c r="AG23" s="222"/>
      <c r="AH23" s="222"/>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row>
    <row r="24" spans="1:67" s="36" customFormat="1" ht="12" customHeight="1" x14ac:dyDescent="0.2">
      <c r="A24" s="1043" t="str">
        <f>A162</f>
        <v>9. Sanitär</v>
      </c>
      <c r="B24" s="2638">
        <f>B162</f>
        <v>0</v>
      </c>
      <c r="C24" s="2639"/>
      <c r="D24" s="2640"/>
      <c r="E24" s="2599">
        <f>E162</f>
        <v>0</v>
      </c>
      <c r="F24" s="2600"/>
      <c r="G24" s="1070"/>
      <c r="H24" s="1071"/>
      <c r="I24" s="1072"/>
      <c r="J24" s="989">
        <f>J162</f>
        <v>0</v>
      </c>
      <c r="K24" s="2703" t="str">
        <f t="shared" si="0"/>
        <v/>
      </c>
      <c r="L24" s="2704"/>
      <c r="M24" s="1065">
        <f>M162</f>
        <v>0</v>
      </c>
      <c r="N24" s="596"/>
      <c r="O24" s="595"/>
      <c r="P24" s="595"/>
      <c r="Q24" s="595"/>
      <c r="R24" s="136"/>
      <c r="S24" s="129"/>
      <c r="T24" s="129"/>
      <c r="U24" s="129"/>
      <c r="V24" s="129"/>
      <c r="W24" s="129"/>
      <c r="X24" s="129"/>
      <c r="Y24" s="129"/>
      <c r="Z24" s="133"/>
      <c r="AA24" s="133"/>
      <c r="AB24" s="133"/>
      <c r="AC24" s="133"/>
      <c r="AD24" s="133"/>
      <c r="AE24" s="133"/>
      <c r="AF24" s="222"/>
      <c r="AG24" s="222"/>
      <c r="AH24" s="222"/>
      <c r="AI24" s="176"/>
      <c r="AJ24" s="176"/>
      <c r="AK24" s="176"/>
      <c r="AL24" s="176"/>
      <c r="AM24" s="176"/>
      <c r="AN24" s="176"/>
      <c r="AO24" s="176"/>
      <c r="AP24" s="176"/>
      <c r="AQ24" s="176"/>
      <c r="AR24" s="176"/>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row>
    <row r="25" spans="1:67" s="36" customFormat="1" ht="12" customHeight="1" x14ac:dyDescent="0.2">
      <c r="A25" s="1043" t="str">
        <f>A177</f>
        <v>10. Lüftung</v>
      </c>
      <c r="B25" s="2638">
        <f>B177</f>
        <v>0</v>
      </c>
      <c r="C25" s="2639"/>
      <c r="D25" s="2640"/>
      <c r="E25" s="2599">
        <f>E177</f>
        <v>0</v>
      </c>
      <c r="F25" s="2600"/>
      <c r="G25" s="1070"/>
      <c r="H25" s="1071"/>
      <c r="I25" s="1072"/>
      <c r="J25" s="989">
        <f>J177</f>
        <v>0</v>
      </c>
      <c r="K25" s="2703" t="str">
        <f t="shared" si="0"/>
        <v/>
      </c>
      <c r="L25" s="2704"/>
      <c r="M25" s="1065">
        <f>M177</f>
        <v>0</v>
      </c>
      <c r="N25" s="596"/>
      <c r="O25" s="595"/>
      <c r="P25" s="595"/>
      <c r="Q25" s="595"/>
      <c r="R25" s="136"/>
      <c r="S25" s="129"/>
      <c r="T25" s="129"/>
      <c r="U25" s="129"/>
      <c r="V25" s="129"/>
      <c r="W25" s="129"/>
      <c r="X25" s="129"/>
      <c r="Y25" s="129"/>
      <c r="Z25" s="133"/>
      <c r="AA25" s="133"/>
      <c r="AB25" s="133"/>
      <c r="AC25" s="133"/>
      <c r="AD25" s="133"/>
      <c r="AE25" s="133"/>
      <c r="AF25" s="222"/>
      <c r="AG25" s="222"/>
      <c r="AH25" s="222"/>
      <c r="AI25" s="176"/>
      <c r="AJ25" s="176"/>
      <c r="AK25" s="176"/>
      <c r="AL25" s="176"/>
      <c r="AM25" s="176"/>
      <c r="AN25" s="176"/>
      <c r="AO25" s="176"/>
      <c r="AP25" s="176"/>
      <c r="AQ25" s="176"/>
      <c r="AR25" s="176"/>
      <c r="AS25" s="176"/>
      <c r="AT25" s="176"/>
      <c r="AU25" s="176"/>
      <c r="AV25" s="176"/>
      <c r="AW25" s="176"/>
      <c r="AX25" s="176"/>
      <c r="AY25" s="176"/>
      <c r="AZ25" s="176"/>
      <c r="BA25" s="176"/>
      <c r="BB25" s="176"/>
      <c r="BC25" s="176"/>
      <c r="BD25" s="176"/>
      <c r="BE25" s="176"/>
      <c r="BF25" s="176"/>
      <c r="BG25" s="176"/>
      <c r="BH25" s="176"/>
      <c r="BI25" s="176"/>
      <c r="BJ25" s="176"/>
      <c r="BK25" s="176"/>
      <c r="BL25" s="176"/>
      <c r="BM25" s="176"/>
      <c r="BN25" s="176"/>
      <c r="BO25" s="176"/>
    </row>
    <row r="26" spans="1:67" s="36" customFormat="1" ht="12" customHeight="1" x14ac:dyDescent="0.2">
      <c r="A26" s="1043" t="str">
        <f>A192</f>
        <v>11. Metallbauarbeiten</v>
      </c>
      <c r="B26" s="2638">
        <f>B192</f>
        <v>0</v>
      </c>
      <c r="C26" s="2639"/>
      <c r="D26" s="2640"/>
      <c r="E26" s="2599">
        <f>E192</f>
        <v>0</v>
      </c>
      <c r="F26" s="2600"/>
      <c r="G26" s="1070"/>
      <c r="H26" s="1071"/>
      <c r="I26" s="1072"/>
      <c r="J26" s="989">
        <f>J192</f>
        <v>0</v>
      </c>
      <c r="K26" s="2703" t="str">
        <f t="shared" si="0"/>
        <v/>
      </c>
      <c r="L26" s="2704"/>
      <c r="M26" s="1065">
        <f>M192</f>
        <v>0</v>
      </c>
      <c r="N26" s="596"/>
      <c r="O26" s="595"/>
      <c r="P26" s="595"/>
      <c r="Q26" s="595"/>
      <c r="R26" s="136"/>
      <c r="S26" s="129"/>
      <c r="T26" s="129"/>
      <c r="U26" s="129"/>
      <c r="V26" s="129"/>
      <c r="W26" s="129"/>
      <c r="X26" s="129"/>
      <c r="Y26" s="129"/>
      <c r="Z26" s="133"/>
      <c r="AA26" s="133"/>
      <c r="AB26" s="133"/>
      <c r="AC26" s="133"/>
      <c r="AD26" s="133"/>
      <c r="AE26" s="133"/>
      <c r="AF26" s="222"/>
      <c r="AG26" s="222"/>
      <c r="AH26" s="222"/>
      <c r="AI26" s="176"/>
      <c r="AJ26" s="176"/>
      <c r="AK26" s="176"/>
      <c r="AL26" s="176"/>
      <c r="AM26" s="176"/>
      <c r="AN26" s="176"/>
      <c r="AO26" s="176"/>
      <c r="AP26" s="176"/>
      <c r="AQ26" s="176"/>
      <c r="AR26" s="176"/>
      <c r="AS26" s="176"/>
      <c r="AT26" s="176"/>
      <c r="AU26" s="176"/>
      <c r="AV26" s="176"/>
      <c r="AW26" s="176"/>
      <c r="AX26" s="176"/>
      <c r="AY26" s="176"/>
      <c r="AZ26" s="176"/>
      <c r="BA26" s="176"/>
      <c r="BB26" s="176"/>
      <c r="BC26" s="176"/>
      <c r="BD26" s="176"/>
      <c r="BE26" s="176"/>
      <c r="BF26" s="176"/>
      <c r="BG26" s="176"/>
      <c r="BH26" s="176"/>
      <c r="BI26" s="176"/>
      <c r="BJ26" s="176"/>
      <c r="BK26" s="176"/>
      <c r="BL26" s="176"/>
      <c r="BM26" s="176"/>
      <c r="BN26" s="176"/>
      <c r="BO26" s="176"/>
    </row>
    <row r="27" spans="1:67" s="36" customFormat="1" ht="12" customHeight="1" x14ac:dyDescent="0.2">
      <c r="A27" s="1043" t="str">
        <f>A207</f>
        <v>12. Bauliches Zentrale</v>
      </c>
      <c r="B27" s="2638">
        <f>B207</f>
        <v>0</v>
      </c>
      <c r="C27" s="2639"/>
      <c r="D27" s="2640"/>
      <c r="E27" s="2599">
        <f>E207</f>
        <v>0</v>
      </c>
      <c r="F27" s="2600"/>
      <c r="G27" s="1070"/>
      <c r="H27" s="1071"/>
      <c r="I27" s="1072"/>
      <c r="J27" s="989">
        <f>J207</f>
        <v>0</v>
      </c>
      <c r="K27" s="2703" t="str">
        <f t="shared" si="0"/>
        <v/>
      </c>
      <c r="L27" s="2704"/>
      <c r="M27" s="1065">
        <f>M207</f>
        <v>0</v>
      </c>
      <c r="N27" s="596"/>
      <c r="O27" s="595"/>
      <c r="P27" s="595"/>
      <c r="Q27" s="595"/>
      <c r="R27" s="136"/>
      <c r="S27" s="129"/>
      <c r="T27" s="129"/>
      <c r="U27" s="129"/>
      <c r="V27" s="129"/>
      <c r="W27" s="129"/>
      <c r="X27" s="129"/>
      <c r="Y27" s="129"/>
      <c r="Z27" s="133"/>
      <c r="AA27" s="133"/>
      <c r="AB27" s="133"/>
      <c r="AC27" s="133"/>
      <c r="AD27" s="133"/>
      <c r="AE27" s="133"/>
      <c r="AF27" s="222"/>
      <c r="AG27" s="222"/>
      <c r="AH27" s="222"/>
      <c r="AI27" s="176"/>
      <c r="AJ27" s="176"/>
      <c r="AK27" s="176"/>
      <c r="AL27" s="176"/>
      <c r="AM27" s="176"/>
      <c r="AN27" s="176"/>
      <c r="AO27" s="176"/>
      <c r="AP27" s="176"/>
      <c r="AQ27" s="176"/>
      <c r="AR27" s="176"/>
      <c r="AS27" s="176"/>
      <c r="AT27" s="176"/>
      <c r="AU27" s="176"/>
      <c r="AV27" s="176"/>
      <c r="AW27" s="176"/>
      <c r="AX27" s="176"/>
      <c r="AY27" s="176"/>
      <c r="AZ27" s="176"/>
      <c r="BA27" s="176"/>
      <c r="BB27" s="176"/>
      <c r="BC27" s="176"/>
      <c r="BD27" s="176"/>
      <c r="BE27" s="176"/>
      <c r="BF27" s="176"/>
      <c r="BG27" s="176"/>
      <c r="BH27" s="176"/>
      <c r="BI27" s="176"/>
      <c r="BJ27" s="176"/>
      <c r="BK27" s="176"/>
      <c r="BL27" s="176"/>
      <c r="BM27" s="176"/>
      <c r="BN27" s="176"/>
      <c r="BO27" s="176"/>
    </row>
    <row r="28" spans="1:67" s="36" customFormat="1" ht="12" customHeight="1" x14ac:dyDescent="0.2">
      <c r="A28" s="1043" t="str">
        <f>A222</f>
        <v>13. Wärmeverbund Baumeister</v>
      </c>
      <c r="B28" s="2638">
        <f>B222</f>
        <v>0</v>
      </c>
      <c r="C28" s="2639"/>
      <c r="D28" s="2640"/>
      <c r="E28" s="2599">
        <f>E222</f>
        <v>0</v>
      </c>
      <c r="F28" s="2600"/>
      <c r="G28" s="1070"/>
      <c r="H28" s="1071"/>
      <c r="I28" s="1072"/>
      <c r="J28" s="989">
        <f>J222</f>
        <v>0</v>
      </c>
      <c r="K28" s="2703" t="str">
        <f t="shared" si="0"/>
        <v/>
      </c>
      <c r="L28" s="2704"/>
      <c r="M28" s="1065">
        <f>M222</f>
        <v>0</v>
      </c>
      <c r="N28" s="596"/>
      <c r="O28" s="595"/>
      <c r="P28" s="595"/>
      <c r="Q28" s="595"/>
      <c r="R28" s="136"/>
      <c r="S28" s="129"/>
      <c r="T28" s="129"/>
      <c r="U28" s="129"/>
      <c r="V28" s="129"/>
      <c r="W28" s="129"/>
      <c r="X28" s="129"/>
      <c r="Y28" s="129"/>
      <c r="Z28" s="133"/>
      <c r="AA28" s="133"/>
      <c r="AB28" s="133"/>
      <c r="AC28" s="133"/>
      <c r="AD28" s="133"/>
      <c r="AE28" s="133"/>
      <c r="AF28" s="222"/>
      <c r="AG28" s="222"/>
      <c r="AH28" s="222"/>
      <c r="AI28" s="176"/>
      <c r="AJ28" s="176"/>
      <c r="AK28" s="176"/>
      <c r="AL28" s="176"/>
      <c r="AM28" s="176"/>
      <c r="AN28" s="176"/>
      <c r="AO28" s="176"/>
      <c r="AP28" s="176"/>
      <c r="AQ28" s="176"/>
      <c r="AR28" s="176"/>
      <c r="AS28" s="176"/>
      <c r="AT28" s="176"/>
      <c r="AU28" s="176"/>
      <c r="AV28" s="176"/>
      <c r="AW28" s="176"/>
      <c r="AX28" s="176"/>
      <c r="AY28" s="176"/>
      <c r="AZ28" s="176"/>
      <c r="BA28" s="176"/>
      <c r="BB28" s="176"/>
      <c r="BC28" s="176"/>
      <c r="BD28" s="176"/>
      <c r="BE28" s="176"/>
      <c r="BF28" s="176"/>
      <c r="BG28" s="176"/>
      <c r="BH28" s="176"/>
      <c r="BI28" s="176"/>
      <c r="BJ28" s="176"/>
      <c r="BK28" s="176"/>
      <c r="BL28" s="176"/>
      <c r="BM28" s="176"/>
      <c r="BN28" s="176"/>
      <c r="BO28" s="176"/>
    </row>
    <row r="29" spans="1:67" s="36" customFormat="1" ht="12" customHeight="1" x14ac:dyDescent="0.2">
      <c r="A29" s="1043" t="str">
        <f>A237</f>
        <v>14. Wärmeverbund Leitungen</v>
      </c>
      <c r="B29" s="2638">
        <f>B237</f>
        <v>0</v>
      </c>
      <c r="C29" s="2639"/>
      <c r="D29" s="2640"/>
      <c r="E29" s="2599">
        <f>E237</f>
        <v>0</v>
      </c>
      <c r="F29" s="2600"/>
      <c r="G29" s="1070"/>
      <c r="H29" s="1071"/>
      <c r="I29" s="1072"/>
      <c r="J29" s="989">
        <f>J237</f>
        <v>0</v>
      </c>
      <c r="K29" s="2703" t="str">
        <f t="shared" si="0"/>
        <v/>
      </c>
      <c r="L29" s="2704"/>
      <c r="M29" s="1065">
        <f>M237</f>
        <v>0</v>
      </c>
      <c r="N29" s="596"/>
      <c r="O29" s="595"/>
      <c r="P29" s="595"/>
      <c r="Q29" s="595"/>
      <c r="R29" s="136"/>
      <c r="S29" s="129"/>
      <c r="T29" s="129"/>
      <c r="U29" s="129"/>
      <c r="V29" s="129"/>
      <c r="W29" s="129"/>
      <c r="X29" s="129"/>
      <c r="Y29" s="129"/>
      <c r="Z29" s="133"/>
      <c r="AA29" s="133"/>
      <c r="AB29" s="133"/>
      <c r="AC29" s="133"/>
      <c r="AD29" s="133"/>
      <c r="AE29" s="133"/>
      <c r="AF29" s="222"/>
      <c r="AG29" s="222"/>
      <c r="AH29" s="222"/>
      <c r="AI29" s="176"/>
      <c r="AJ29" s="176"/>
      <c r="AK29" s="176"/>
      <c r="AL29" s="176"/>
      <c r="AM29" s="176"/>
      <c r="AN29" s="176"/>
      <c r="AO29" s="176"/>
      <c r="AP29" s="176"/>
      <c r="AQ29" s="176"/>
      <c r="AR29" s="176"/>
      <c r="AS29" s="176"/>
      <c r="AT29" s="176"/>
      <c r="AU29" s="176"/>
      <c r="AV29" s="176"/>
      <c r="AW29" s="176"/>
      <c r="AX29" s="176"/>
      <c r="AY29" s="176"/>
      <c r="AZ29" s="176"/>
      <c r="BA29" s="176"/>
      <c r="BB29" s="176"/>
      <c r="BC29" s="176"/>
      <c r="BD29" s="176"/>
      <c r="BE29" s="176"/>
      <c r="BF29" s="176"/>
      <c r="BG29" s="176"/>
      <c r="BH29" s="176"/>
      <c r="BI29" s="176"/>
      <c r="BJ29" s="176"/>
      <c r="BK29" s="176"/>
      <c r="BL29" s="176"/>
      <c r="BM29" s="176"/>
      <c r="BN29" s="176"/>
      <c r="BO29" s="176"/>
    </row>
    <row r="30" spans="1:67" s="36" customFormat="1" ht="12" customHeight="1" x14ac:dyDescent="0.2">
      <c r="A30" s="1043" t="str">
        <f>A252</f>
        <v>15. MSRL</v>
      </c>
      <c r="B30" s="2638">
        <f>B252</f>
        <v>0</v>
      </c>
      <c r="C30" s="2639"/>
      <c r="D30" s="2640"/>
      <c r="E30" s="2599">
        <f>E252</f>
        <v>0</v>
      </c>
      <c r="F30" s="2600"/>
      <c r="G30" s="1070"/>
      <c r="H30" s="1071"/>
      <c r="I30" s="1072"/>
      <c r="J30" s="989">
        <f>J252</f>
        <v>0</v>
      </c>
      <c r="K30" s="2703" t="str">
        <f t="shared" si="0"/>
        <v/>
      </c>
      <c r="L30" s="2704"/>
      <c r="M30" s="1065">
        <f>M252</f>
        <v>0</v>
      </c>
      <c r="N30" s="596"/>
      <c r="O30" s="595"/>
      <c r="P30" s="595"/>
      <c r="Q30" s="595"/>
      <c r="R30" s="136"/>
      <c r="S30" s="129"/>
      <c r="T30" s="129"/>
      <c r="U30" s="129"/>
      <c r="V30" s="129"/>
      <c r="W30" s="129"/>
      <c r="X30" s="129"/>
      <c r="Y30" s="129"/>
      <c r="Z30" s="133"/>
      <c r="AA30" s="133"/>
      <c r="AB30" s="133"/>
      <c r="AC30" s="133"/>
      <c r="AD30" s="133"/>
      <c r="AE30" s="133"/>
      <c r="AF30" s="222"/>
      <c r="AG30" s="222"/>
      <c r="AH30" s="222"/>
      <c r="AI30" s="176"/>
      <c r="AJ30" s="176"/>
      <c r="AK30" s="176"/>
      <c r="AL30" s="176"/>
      <c r="AM30" s="176"/>
      <c r="AN30" s="176"/>
      <c r="AO30" s="176"/>
      <c r="AP30" s="176"/>
      <c r="AQ30" s="176"/>
      <c r="AR30" s="176"/>
      <c r="AS30" s="176"/>
      <c r="AT30" s="176"/>
      <c r="AU30" s="176"/>
      <c r="AV30" s="176"/>
      <c r="AW30" s="176"/>
      <c r="AX30" s="176"/>
      <c r="AY30" s="176"/>
      <c r="AZ30" s="176"/>
      <c r="BA30" s="176"/>
      <c r="BB30" s="176"/>
      <c r="BC30" s="176"/>
      <c r="BD30" s="176"/>
      <c r="BE30" s="176"/>
      <c r="BF30" s="176"/>
      <c r="BG30" s="176"/>
      <c r="BH30" s="176"/>
      <c r="BI30" s="176"/>
      <c r="BJ30" s="176"/>
      <c r="BK30" s="176"/>
      <c r="BL30" s="176"/>
      <c r="BM30" s="176"/>
      <c r="BN30" s="176"/>
      <c r="BO30" s="176"/>
    </row>
    <row r="31" spans="1:67" s="36" customFormat="1" ht="12" customHeight="1" x14ac:dyDescent="0.2">
      <c r="A31" s="1043" t="str">
        <f>A267</f>
        <v>16. Elektro</v>
      </c>
      <c r="B31" s="2638">
        <f>B267</f>
        <v>0</v>
      </c>
      <c r="C31" s="2639"/>
      <c r="D31" s="2640"/>
      <c r="E31" s="2599">
        <f>E267</f>
        <v>0</v>
      </c>
      <c r="F31" s="2600"/>
      <c r="G31" s="1070"/>
      <c r="H31" s="1071"/>
      <c r="I31" s="1072"/>
      <c r="J31" s="989">
        <f>J267</f>
        <v>0</v>
      </c>
      <c r="K31" s="2703" t="str">
        <f t="shared" si="0"/>
        <v/>
      </c>
      <c r="L31" s="2704"/>
      <c r="M31" s="1065">
        <f>M267</f>
        <v>0</v>
      </c>
      <c r="N31" s="596"/>
      <c r="O31" s="595"/>
      <c r="P31" s="595"/>
      <c r="Q31" s="595"/>
      <c r="R31" s="136"/>
      <c r="S31" s="129"/>
      <c r="T31" s="129"/>
      <c r="U31" s="129"/>
      <c r="V31" s="129"/>
      <c r="W31" s="129"/>
      <c r="X31" s="129"/>
      <c r="Y31" s="129"/>
      <c r="Z31" s="133"/>
      <c r="AA31" s="133"/>
      <c r="AB31" s="133"/>
      <c r="AC31" s="133"/>
      <c r="AD31" s="133"/>
      <c r="AE31" s="133"/>
      <c r="AF31" s="222"/>
      <c r="AG31" s="222"/>
      <c r="AH31" s="222"/>
      <c r="AI31" s="176"/>
      <c r="AJ31" s="176"/>
      <c r="AK31" s="176"/>
      <c r="AL31" s="176"/>
      <c r="AM31" s="176"/>
      <c r="AN31" s="176"/>
      <c r="AO31" s="176"/>
      <c r="AP31" s="176"/>
      <c r="AQ31" s="176"/>
      <c r="AR31" s="176"/>
      <c r="AS31" s="176"/>
      <c r="AT31" s="176"/>
      <c r="AU31" s="176"/>
      <c r="AV31" s="176"/>
      <c r="AW31" s="176"/>
      <c r="AX31" s="176"/>
      <c r="AY31" s="176"/>
      <c r="AZ31" s="176"/>
      <c r="BA31" s="176"/>
      <c r="BB31" s="176"/>
      <c r="BC31" s="176"/>
      <c r="BD31" s="176"/>
      <c r="BE31" s="176"/>
      <c r="BF31" s="176"/>
      <c r="BG31" s="176"/>
      <c r="BH31" s="176"/>
      <c r="BI31" s="176"/>
      <c r="BJ31" s="176"/>
      <c r="BK31" s="176"/>
      <c r="BL31" s="176"/>
      <c r="BM31" s="176"/>
      <c r="BN31" s="176"/>
      <c r="BO31" s="176"/>
    </row>
    <row r="32" spans="1:67" s="36" customFormat="1" ht="12" customHeight="1" x14ac:dyDescent="0.2">
      <c r="A32" s="1043" t="str">
        <f>+A282</f>
        <v>17. Baumeister</v>
      </c>
      <c r="B32" s="2683">
        <f>+B282</f>
        <v>0</v>
      </c>
      <c r="C32" s="2684"/>
      <c r="D32" s="2685"/>
      <c r="E32" s="2599">
        <f>+E282</f>
        <v>0</v>
      </c>
      <c r="F32" s="2600"/>
      <c r="G32" s="1070"/>
      <c r="H32" s="1071"/>
      <c r="I32" s="1072"/>
      <c r="J32" s="989">
        <f>+J282</f>
        <v>0</v>
      </c>
      <c r="K32" s="2703" t="str">
        <f t="shared" si="0"/>
        <v/>
      </c>
      <c r="L32" s="2704"/>
      <c r="M32" s="1065">
        <f>+M282</f>
        <v>0</v>
      </c>
      <c r="N32" s="596"/>
      <c r="O32" s="595"/>
      <c r="P32" s="595"/>
      <c r="Q32" s="595"/>
      <c r="R32" s="136"/>
      <c r="S32" s="129"/>
      <c r="T32" s="129"/>
      <c r="U32" s="129"/>
      <c r="V32" s="129"/>
      <c r="W32" s="129"/>
      <c r="X32" s="129"/>
      <c r="Y32" s="129"/>
      <c r="Z32" s="133"/>
      <c r="AA32" s="133"/>
      <c r="AB32" s="133"/>
      <c r="AC32" s="133"/>
      <c r="AD32" s="133"/>
      <c r="AE32" s="133"/>
      <c r="AF32" s="222"/>
      <c r="AG32" s="222"/>
      <c r="AH32" s="222"/>
      <c r="AI32" s="176"/>
      <c r="AJ32" s="176"/>
      <c r="AK32" s="176"/>
      <c r="AL32" s="176"/>
      <c r="AM32" s="176"/>
      <c r="AN32" s="176"/>
      <c r="AO32" s="176"/>
      <c r="AP32" s="176"/>
      <c r="AQ32" s="176"/>
      <c r="AR32" s="176"/>
      <c r="AS32" s="176"/>
      <c r="AT32" s="176"/>
      <c r="AU32" s="176"/>
      <c r="AV32" s="176"/>
      <c r="AW32" s="176"/>
      <c r="AX32" s="176"/>
      <c r="AY32" s="176"/>
      <c r="AZ32" s="176"/>
      <c r="BA32" s="176"/>
      <c r="BB32" s="176"/>
      <c r="BC32" s="176"/>
      <c r="BD32" s="176"/>
      <c r="BE32" s="176"/>
      <c r="BF32" s="176"/>
      <c r="BG32" s="176"/>
      <c r="BH32" s="176"/>
      <c r="BI32" s="176"/>
      <c r="BJ32" s="176"/>
      <c r="BK32" s="176"/>
      <c r="BL32" s="176"/>
      <c r="BM32" s="176"/>
      <c r="BN32" s="176"/>
      <c r="BO32" s="176"/>
    </row>
    <row r="33" spans="1:67" s="36" customFormat="1" ht="12" customHeight="1" x14ac:dyDescent="0.2">
      <c r="A33" s="1043" t="str">
        <f>A297</f>
        <v>18. Weiteres (ohne Baumeister)</v>
      </c>
      <c r="B33" s="2638">
        <f>B297</f>
        <v>0</v>
      </c>
      <c r="C33" s="2639"/>
      <c r="D33" s="2640"/>
      <c r="E33" s="2599">
        <f>E297</f>
        <v>0</v>
      </c>
      <c r="F33" s="2600"/>
      <c r="G33" s="1070"/>
      <c r="H33" s="1071"/>
      <c r="I33" s="1072"/>
      <c r="J33" s="989">
        <f>J297</f>
        <v>0</v>
      </c>
      <c r="K33" s="2703" t="str">
        <f t="shared" si="0"/>
        <v/>
      </c>
      <c r="L33" s="2704"/>
      <c r="M33" s="1065">
        <f>M297</f>
        <v>0</v>
      </c>
      <c r="N33" s="596"/>
      <c r="O33" s="595"/>
      <c r="P33" s="595"/>
      <c r="Q33" s="595"/>
      <c r="R33" s="136"/>
      <c r="S33" s="129"/>
      <c r="T33" s="129"/>
      <c r="U33" s="129"/>
      <c r="V33" s="129"/>
      <c r="W33" s="129"/>
      <c r="X33" s="129"/>
      <c r="Y33" s="129"/>
      <c r="Z33" s="133"/>
      <c r="AA33" s="133"/>
      <c r="AB33" s="133"/>
      <c r="AC33" s="133"/>
      <c r="AD33" s="133"/>
      <c r="AE33" s="133"/>
      <c r="AF33" s="222"/>
      <c r="AG33" s="222"/>
      <c r="AH33" s="222"/>
      <c r="AI33" s="176"/>
      <c r="AJ33" s="176"/>
      <c r="AK33" s="176"/>
      <c r="AL33" s="176"/>
      <c r="AM33" s="176"/>
      <c r="AN33" s="176"/>
      <c r="AO33" s="176"/>
      <c r="AP33" s="176"/>
      <c r="AQ33" s="176"/>
      <c r="AR33" s="176"/>
      <c r="AS33" s="176"/>
      <c r="AT33" s="176"/>
      <c r="AU33" s="176"/>
      <c r="AV33" s="176"/>
      <c r="AW33" s="176"/>
      <c r="AX33" s="176"/>
      <c r="AY33" s="176"/>
      <c r="AZ33" s="176"/>
      <c r="BA33" s="176"/>
      <c r="BB33" s="176"/>
      <c r="BC33" s="176"/>
      <c r="BD33" s="176"/>
      <c r="BE33" s="176"/>
      <c r="BF33" s="176"/>
      <c r="BG33" s="176"/>
      <c r="BH33" s="176"/>
      <c r="BI33" s="176"/>
      <c r="BJ33" s="176"/>
      <c r="BK33" s="176"/>
      <c r="BL33" s="176"/>
      <c r="BM33" s="176"/>
      <c r="BN33" s="176"/>
      <c r="BO33" s="176"/>
    </row>
    <row r="34" spans="1:67" s="36" customFormat="1" ht="12" customHeight="1" x14ac:dyDescent="0.2">
      <c r="A34" s="1043" t="str">
        <f>A312</f>
        <v>19. Baunebenkosten</v>
      </c>
      <c r="B34" s="2638">
        <f>B312</f>
        <v>0</v>
      </c>
      <c r="C34" s="2639"/>
      <c r="D34" s="2640"/>
      <c r="E34" s="2599">
        <f>E312</f>
        <v>0</v>
      </c>
      <c r="F34" s="2600"/>
      <c r="G34" s="1070"/>
      <c r="H34" s="1071"/>
      <c r="I34" s="1072"/>
      <c r="J34" s="989">
        <f>J312</f>
        <v>0</v>
      </c>
      <c r="K34" s="2703" t="str">
        <f t="shared" si="0"/>
        <v/>
      </c>
      <c r="L34" s="2704"/>
      <c r="M34" s="1065">
        <f>M312</f>
        <v>0</v>
      </c>
      <c r="N34" s="596"/>
      <c r="O34" s="595"/>
      <c r="P34" s="595"/>
      <c r="Q34" s="595"/>
      <c r="R34" s="136"/>
      <c r="S34" s="129"/>
      <c r="T34" s="129"/>
      <c r="U34" s="129"/>
      <c r="V34" s="129"/>
      <c r="W34" s="129"/>
      <c r="X34" s="129"/>
      <c r="Y34" s="129"/>
      <c r="Z34" s="133"/>
      <c r="AA34" s="133"/>
      <c r="AB34" s="133"/>
      <c r="AC34" s="133"/>
      <c r="AD34" s="133"/>
      <c r="AE34" s="133"/>
      <c r="AF34" s="222"/>
      <c r="AG34" s="222"/>
      <c r="AH34" s="222"/>
      <c r="AI34" s="176"/>
      <c r="AJ34" s="176"/>
      <c r="AK34" s="176"/>
      <c r="AL34" s="176"/>
      <c r="AM34" s="176"/>
      <c r="AN34" s="176"/>
      <c r="AO34" s="176"/>
      <c r="AP34" s="176"/>
      <c r="AQ34" s="176"/>
      <c r="AR34" s="176"/>
      <c r="AS34" s="176"/>
      <c r="AT34" s="176"/>
      <c r="AU34" s="176"/>
      <c r="AV34" s="176"/>
      <c r="AW34" s="176"/>
      <c r="AX34" s="176"/>
      <c r="AY34" s="176"/>
      <c r="AZ34" s="176"/>
      <c r="BA34" s="176"/>
      <c r="BB34" s="176"/>
      <c r="BC34" s="176"/>
      <c r="BD34" s="176"/>
      <c r="BE34" s="176"/>
      <c r="BF34" s="176"/>
      <c r="BG34" s="176"/>
      <c r="BH34" s="176"/>
      <c r="BI34" s="176"/>
      <c r="BJ34" s="176"/>
      <c r="BK34" s="176"/>
      <c r="BL34" s="176"/>
      <c r="BM34" s="176"/>
      <c r="BN34" s="176"/>
      <c r="BO34" s="176"/>
    </row>
    <row r="35" spans="1:67" s="36" customFormat="1" ht="12" customHeight="1" x14ac:dyDescent="0.2">
      <c r="A35" s="1043" t="str">
        <f>A327</f>
        <v>20. Unvorhergesehenes</v>
      </c>
      <c r="B35" s="2638">
        <f>B327</f>
        <v>0</v>
      </c>
      <c r="C35" s="2639"/>
      <c r="D35" s="2640"/>
      <c r="E35" s="2599">
        <f>E327</f>
        <v>0</v>
      </c>
      <c r="F35" s="2600"/>
      <c r="G35" s="1070"/>
      <c r="H35" s="1071"/>
      <c r="I35" s="1072"/>
      <c r="J35" s="989">
        <f>J327</f>
        <v>0</v>
      </c>
      <c r="K35" s="2703" t="str">
        <f t="shared" si="0"/>
        <v/>
      </c>
      <c r="L35" s="2704"/>
      <c r="M35" s="1065">
        <f>M327</f>
        <v>0</v>
      </c>
      <c r="N35" s="596"/>
      <c r="O35" s="595"/>
      <c r="P35" s="595"/>
      <c r="Q35" s="595"/>
      <c r="R35" s="136"/>
      <c r="S35" s="129"/>
      <c r="T35" s="129"/>
      <c r="U35" s="129"/>
      <c r="V35" s="129"/>
      <c r="W35" s="129"/>
      <c r="X35" s="129"/>
      <c r="Y35" s="129"/>
      <c r="Z35" s="133"/>
      <c r="AA35" s="133"/>
      <c r="AB35" s="133"/>
      <c r="AC35" s="133"/>
      <c r="AD35" s="133"/>
      <c r="AE35" s="133"/>
      <c r="AF35" s="222"/>
      <c r="AG35" s="222"/>
      <c r="AH35" s="222"/>
      <c r="AI35" s="176"/>
      <c r="AJ35" s="176"/>
      <c r="AK35" s="176"/>
      <c r="AL35" s="176"/>
      <c r="AM35" s="176"/>
      <c r="AN35" s="176"/>
      <c r="AO35" s="176"/>
      <c r="AP35" s="176"/>
      <c r="AQ35" s="176"/>
      <c r="AR35" s="176"/>
      <c r="AS35" s="176"/>
      <c r="AT35" s="176"/>
      <c r="AU35" s="176"/>
      <c r="AV35" s="176"/>
      <c r="AW35" s="176"/>
      <c r="AX35" s="176"/>
      <c r="AY35" s="176"/>
      <c r="AZ35" s="176"/>
      <c r="BA35" s="176"/>
      <c r="BB35" s="176"/>
      <c r="BC35" s="176"/>
      <c r="BD35" s="176"/>
      <c r="BE35" s="176"/>
      <c r="BF35" s="176"/>
      <c r="BG35" s="176"/>
      <c r="BH35" s="176"/>
      <c r="BI35" s="176"/>
      <c r="BJ35" s="176"/>
      <c r="BK35" s="176"/>
      <c r="BL35" s="176"/>
      <c r="BM35" s="176"/>
      <c r="BN35" s="176"/>
      <c r="BO35" s="176"/>
    </row>
    <row r="36" spans="1:67" s="36" customFormat="1" ht="12" customHeight="1" x14ac:dyDescent="0.2">
      <c r="A36" s="1043" t="str">
        <f>A341</f>
        <v>21. Honorare / Nebenkosten</v>
      </c>
      <c r="B36" s="2638">
        <f>B341</f>
        <v>0</v>
      </c>
      <c r="C36" s="2639"/>
      <c r="D36" s="2640"/>
      <c r="E36" s="2599">
        <f>E341</f>
        <v>0</v>
      </c>
      <c r="F36" s="2600"/>
      <c r="G36" s="1070"/>
      <c r="H36" s="1071"/>
      <c r="I36" s="1072"/>
      <c r="J36" s="989">
        <f>J341</f>
        <v>0</v>
      </c>
      <c r="K36" s="2703" t="str">
        <f t="shared" si="0"/>
        <v/>
      </c>
      <c r="L36" s="2704"/>
      <c r="M36" s="1065">
        <f>M341</f>
        <v>0</v>
      </c>
      <c r="N36" s="596"/>
      <c r="O36" s="595"/>
      <c r="P36" s="595"/>
      <c r="Q36" s="595"/>
      <c r="R36" s="136"/>
      <c r="S36" s="129"/>
      <c r="T36" s="129"/>
      <c r="U36" s="129"/>
      <c r="V36" s="129"/>
      <c r="W36" s="129"/>
      <c r="X36" s="129"/>
      <c r="Y36" s="129"/>
      <c r="Z36" s="133"/>
      <c r="AA36" s="133"/>
      <c r="AB36" s="133"/>
      <c r="AC36" s="133"/>
      <c r="AD36" s="133"/>
      <c r="AE36" s="133"/>
      <c r="AF36" s="222"/>
      <c r="AG36" s="222"/>
      <c r="AH36" s="222"/>
      <c r="AI36" s="176"/>
      <c r="AJ36" s="176"/>
      <c r="AK36" s="176"/>
      <c r="AL36" s="176"/>
      <c r="AM36" s="176"/>
      <c r="AN36" s="176"/>
      <c r="AO36" s="176"/>
      <c r="AP36" s="176"/>
      <c r="AQ36" s="176"/>
      <c r="AR36" s="176"/>
      <c r="AS36" s="176"/>
      <c r="AT36" s="176"/>
      <c r="AU36" s="176"/>
      <c r="AV36" s="176"/>
      <c r="AW36" s="176"/>
      <c r="AX36" s="176"/>
      <c r="AY36" s="176"/>
      <c r="AZ36" s="176"/>
      <c r="BA36" s="176"/>
      <c r="BB36" s="176"/>
      <c r="BC36" s="176"/>
      <c r="BD36" s="176"/>
      <c r="BE36" s="176"/>
      <c r="BF36" s="176"/>
      <c r="BG36" s="176"/>
      <c r="BH36" s="176"/>
      <c r="BI36" s="176"/>
      <c r="BJ36" s="176"/>
      <c r="BK36" s="176"/>
      <c r="BL36" s="176"/>
      <c r="BM36" s="176"/>
      <c r="BN36" s="176"/>
      <c r="BO36" s="176"/>
    </row>
    <row r="37" spans="1:67" s="36" customFormat="1" ht="12" customHeight="1" x14ac:dyDescent="0.2">
      <c r="A37" s="1044" t="str">
        <f>A398</f>
        <v>22. Betriebsführung</v>
      </c>
      <c r="B37" s="2608">
        <f>B398</f>
        <v>0</v>
      </c>
      <c r="C37" s="2609"/>
      <c r="D37" s="2610"/>
      <c r="E37" s="2601">
        <f>E398</f>
        <v>0</v>
      </c>
      <c r="F37" s="2602"/>
      <c r="G37" s="1073"/>
      <c r="H37" s="1074"/>
      <c r="I37" s="1075"/>
      <c r="J37" s="997">
        <f>J398</f>
        <v>0</v>
      </c>
      <c r="K37" s="2688" t="str">
        <f t="shared" si="0"/>
        <v/>
      </c>
      <c r="L37" s="2689"/>
      <c r="M37" s="1066">
        <f>M398</f>
        <v>0</v>
      </c>
      <c r="N37" s="596"/>
      <c r="O37" s="595"/>
      <c r="P37" s="595"/>
      <c r="Q37" s="595"/>
      <c r="R37" s="136"/>
      <c r="S37" s="129"/>
      <c r="T37" s="129"/>
      <c r="U37" s="129"/>
      <c r="V37" s="129"/>
      <c r="W37" s="129"/>
      <c r="X37" s="129"/>
      <c r="Y37" s="129"/>
      <c r="Z37" s="133"/>
      <c r="AA37" s="133"/>
      <c r="AB37" s="133"/>
      <c r="AC37" s="133"/>
      <c r="AD37" s="133"/>
      <c r="AE37" s="133"/>
      <c r="AF37" s="222"/>
      <c r="AG37" s="222"/>
      <c r="AH37" s="222"/>
      <c r="AI37" s="176"/>
      <c r="AJ37" s="176"/>
      <c r="AK37" s="176"/>
      <c r="AL37" s="176"/>
      <c r="AM37" s="176"/>
      <c r="AN37" s="176"/>
      <c r="AO37" s="176"/>
      <c r="AP37" s="176"/>
      <c r="AQ37" s="176"/>
      <c r="AR37" s="176"/>
      <c r="AS37" s="176"/>
      <c r="AT37" s="176"/>
      <c r="AU37" s="176"/>
      <c r="AV37" s="176"/>
      <c r="AW37" s="176"/>
      <c r="AX37" s="176"/>
      <c r="AY37" s="176"/>
      <c r="AZ37" s="176"/>
      <c r="BA37" s="176"/>
      <c r="BB37" s="176"/>
      <c r="BC37" s="176"/>
      <c r="BD37" s="176"/>
      <c r="BE37" s="176"/>
      <c r="BF37" s="176"/>
      <c r="BG37" s="176"/>
      <c r="BH37" s="176"/>
      <c r="BI37" s="176"/>
      <c r="BJ37" s="176"/>
      <c r="BK37" s="176"/>
      <c r="BL37" s="176"/>
      <c r="BM37" s="176"/>
      <c r="BN37" s="176"/>
      <c r="BO37" s="176"/>
    </row>
    <row r="38" spans="1:67" s="39" customFormat="1" ht="14.1" customHeight="1" x14ac:dyDescent="0.2">
      <c r="A38" s="1103" t="s">
        <v>525</v>
      </c>
      <c r="B38" s="1104"/>
      <c r="C38" s="1105"/>
      <c r="D38" s="1106"/>
      <c r="E38" s="2614">
        <f>E404</f>
        <v>0</v>
      </c>
      <c r="F38" s="2615"/>
      <c r="G38" s="1076"/>
      <c r="H38" s="1077"/>
      <c r="I38" s="1078"/>
      <c r="J38" s="1052">
        <f>J404</f>
        <v>0</v>
      </c>
      <c r="K38" s="2709" t="str">
        <f t="shared" si="0"/>
        <v/>
      </c>
      <c r="L38" s="2710"/>
      <c r="M38" s="1107">
        <f>M404</f>
        <v>0</v>
      </c>
      <c r="N38" s="410"/>
      <c r="O38" s="68"/>
      <c r="P38" s="68"/>
      <c r="Q38" s="68"/>
      <c r="R38" s="602"/>
      <c r="S38" s="130"/>
      <c r="T38" s="130"/>
      <c r="U38" s="130"/>
      <c r="V38" s="130"/>
      <c r="W38" s="130"/>
      <c r="X38" s="130"/>
      <c r="Y38" s="130"/>
      <c r="Z38" s="603"/>
      <c r="AA38" s="603"/>
      <c r="AB38" s="603"/>
      <c r="AC38" s="603"/>
      <c r="AD38" s="603"/>
      <c r="AE38" s="603"/>
      <c r="AF38" s="604"/>
      <c r="AG38" s="604"/>
      <c r="AH38" s="604"/>
    </row>
    <row r="39" spans="1:67" s="36" customFormat="1" ht="10.5" customHeight="1" x14ac:dyDescent="0.2">
      <c r="A39" s="1348"/>
      <c r="B39" s="2690"/>
      <c r="C39" s="2691"/>
      <c r="D39" s="2692"/>
      <c r="E39" s="2601"/>
      <c r="F39" s="2602"/>
      <c r="G39" s="1088" t="s">
        <v>11</v>
      </c>
      <c r="H39" s="1089"/>
      <c r="I39" s="1083"/>
      <c r="J39" s="1084"/>
      <c r="K39" s="1087"/>
      <c r="L39" s="1307"/>
      <c r="M39" s="1317"/>
      <c r="N39" s="410"/>
      <c r="O39" s="68"/>
      <c r="P39" s="68"/>
      <c r="Q39" s="135"/>
      <c r="R39" s="136"/>
      <c r="S39" s="129"/>
      <c r="T39" s="129"/>
      <c r="U39" s="129"/>
      <c r="V39" s="129"/>
      <c r="W39" s="129"/>
      <c r="X39" s="129"/>
      <c r="Y39" s="129"/>
      <c r="Z39" s="133"/>
      <c r="AA39" s="133"/>
      <c r="AB39" s="133"/>
      <c r="AC39" s="133"/>
      <c r="AD39" s="133"/>
      <c r="AE39" s="133"/>
      <c r="AF39" s="222"/>
      <c r="AG39" s="222"/>
      <c r="AH39" s="222"/>
      <c r="AI39" s="176"/>
      <c r="AJ39" s="176"/>
      <c r="AK39" s="176"/>
      <c r="AL39" s="176"/>
      <c r="AM39" s="176"/>
      <c r="AN39" s="176"/>
      <c r="AO39" s="176"/>
      <c r="AP39" s="176"/>
      <c r="AQ39" s="176"/>
      <c r="AR39" s="176"/>
      <c r="AS39" s="176"/>
      <c r="AT39" s="176"/>
      <c r="AU39" s="176"/>
      <c r="AV39" s="176"/>
      <c r="AW39" s="176"/>
      <c r="AX39" s="176"/>
      <c r="AY39" s="176"/>
      <c r="AZ39" s="176"/>
      <c r="BA39" s="176"/>
      <c r="BB39" s="176"/>
      <c r="BC39" s="176"/>
      <c r="BD39" s="176"/>
      <c r="BE39" s="176"/>
      <c r="BF39" s="176"/>
      <c r="BG39" s="176"/>
      <c r="BH39" s="176"/>
      <c r="BI39" s="176"/>
      <c r="BJ39" s="176"/>
      <c r="BK39" s="176"/>
      <c r="BL39" s="176"/>
      <c r="BM39" s="176"/>
      <c r="BN39" s="176"/>
      <c r="BO39" s="176"/>
    </row>
    <row r="40" spans="1:67" s="36" customFormat="1" ht="10.5" customHeight="1" x14ac:dyDescent="0.2">
      <c r="A40" s="1345" t="s">
        <v>260</v>
      </c>
      <c r="B40" s="2603"/>
      <c r="C40" s="2604"/>
      <c r="D40" s="2605"/>
      <c r="E40" s="2730">
        <f>SUM(E41:E53)</f>
        <v>0</v>
      </c>
      <c r="F40" s="2731"/>
      <c r="G40" s="2732"/>
      <c r="H40" s="2733"/>
      <c r="I40" s="1121">
        <f>IF(E40=0,0,J40/E40)</f>
        <v>0</v>
      </c>
      <c r="J40" s="1346">
        <f>SUM(J41:J53)</f>
        <v>0</v>
      </c>
      <c r="K40" s="2734">
        <f>IF(E40=0,0,M40/E40*100)</f>
        <v>0</v>
      </c>
      <c r="L40" s="2735"/>
      <c r="M40" s="1347">
        <f>SUM(M41:M53)</f>
        <v>0</v>
      </c>
      <c r="N40" s="505"/>
      <c r="O40" s="177">
        <f t="shared" ref="O40:O54" si="1">IF(ISBLANK(H40),G40,H40)</f>
        <v>0</v>
      </c>
      <c r="P40" s="366"/>
      <c r="Q40" s="135"/>
      <c r="R40" s="136"/>
      <c r="S40" s="129"/>
      <c r="T40" s="129"/>
      <c r="U40" s="129"/>
      <c r="V40" s="129"/>
      <c r="W40" s="129"/>
      <c r="X40" s="129"/>
      <c r="Y40" s="129"/>
      <c r="Z40" s="133"/>
      <c r="AA40" s="133"/>
      <c r="AB40" s="133"/>
      <c r="AC40" s="133"/>
      <c r="AD40" s="133"/>
      <c r="AE40" s="133"/>
      <c r="AF40" s="222"/>
      <c r="AG40" s="222"/>
      <c r="AH40" s="222"/>
      <c r="AI40" s="176"/>
      <c r="AJ40" s="176"/>
      <c r="AK40" s="176"/>
      <c r="AL40" s="176"/>
      <c r="AM40" s="176"/>
      <c r="AN40" s="176"/>
      <c r="AO40" s="176"/>
      <c r="AP40" s="176"/>
      <c r="AQ40" s="176"/>
      <c r="AR40" s="176"/>
      <c r="AS40" s="176"/>
      <c r="AT40" s="176"/>
      <c r="AU40" s="176"/>
      <c r="AV40" s="176"/>
      <c r="AW40" s="176"/>
      <c r="AX40" s="176"/>
      <c r="AY40" s="176"/>
      <c r="AZ40" s="176"/>
      <c r="BA40" s="176"/>
      <c r="BB40" s="176"/>
      <c r="BC40" s="176"/>
      <c r="BD40" s="176"/>
      <c r="BE40" s="176"/>
      <c r="BF40" s="176"/>
      <c r="BG40" s="176"/>
      <c r="BH40" s="176"/>
      <c r="BI40" s="176"/>
      <c r="BJ40" s="176"/>
      <c r="BK40" s="176"/>
      <c r="BL40" s="176"/>
      <c r="BM40" s="176"/>
      <c r="BN40" s="176"/>
      <c r="BO40" s="176"/>
    </row>
    <row r="41" spans="1:67" s="36" customFormat="1" ht="10.5" customHeight="1" x14ac:dyDescent="0.2">
      <c r="A41" s="1042" t="s">
        <v>261</v>
      </c>
      <c r="B41" s="2624"/>
      <c r="C41" s="2625"/>
      <c r="D41" s="2626"/>
      <c r="E41" s="2386"/>
      <c r="F41" s="2387"/>
      <c r="G41" s="1056">
        <v>30</v>
      </c>
      <c r="H41" s="1057"/>
      <c r="I41" s="1079">
        <f t="shared" ref="I41:I54" si="2">IF($O41&gt;0,-PMT(($I$9),$O41,1),0)</f>
        <v>4.6199342169092869E-2</v>
      </c>
      <c r="J41" s="1080">
        <f t="shared" ref="J41:J53" si="3">ROUND(E41*I41,0)</f>
        <v>0</v>
      </c>
      <c r="K41" s="1060">
        <v>1.5</v>
      </c>
      <c r="L41" s="1304"/>
      <c r="M41" s="1085">
        <f t="shared" ref="M41:M54" si="4">ROUND(E41/100*IF(ISBLANK(L41),K41,L41),0)</f>
        <v>0</v>
      </c>
      <c r="N41" s="505"/>
      <c r="O41" s="365">
        <f t="shared" si="1"/>
        <v>30</v>
      </c>
      <c r="P41" s="366"/>
      <c r="Q41" s="135"/>
      <c r="R41" s="136"/>
      <c r="S41" s="129"/>
      <c r="T41" s="129"/>
      <c r="U41" s="129"/>
      <c r="V41" s="129"/>
      <c r="W41" s="129"/>
      <c r="X41" s="129"/>
      <c r="Y41" s="129"/>
      <c r="Z41" s="133"/>
      <c r="AA41" s="133"/>
      <c r="AB41" s="133"/>
      <c r="AC41" s="133"/>
      <c r="AD41" s="133"/>
      <c r="AE41" s="133"/>
      <c r="AF41" s="222"/>
      <c r="AG41" s="222"/>
      <c r="AH41" s="222"/>
      <c r="AI41" s="176"/>
      <c r="AJ41" s="176"/>
      <c r="AK41" s="176"/>
      <c r="AL41" s="176"/>
      <c r="AM41" s="176"/>
      <c r="AN41" s="176"/>
      <c r="AO41" s="176"/>
      <c r="AP41" s="176"/>
      <c r="AQ41" s="176"/>
      <c r="AR41" s="176"/>
      <c r="AS41" s="176"/>
      <c r="AT41" s="176"/>
      <c r="AU41" s="176"/>
      <c r="AV41" s="176"/>
      <c r="AW41" s="176"/>
      <c r="AX41" s="176"/>
      <c r="AY41" s="176"/>
      <c r="AZ41" s="176"/>
      <c r="BA41" s="176"/>
      <c r="BB41" s="176"/>
      <c r="BC41" s="176"/>
      <c r="BD41" s="176"/>
      <c r="BE41" s="176"/>
      <c r="BF41" s="176"/>
      <c r="BG41" s="176"/>
      <c r="BH41" s="176"/>
      <c r="BI41" s="176"/>
      <c r="BJ41" s="176"/>
      <c r="BK41" s="176"/>
      <c r="BL41" s="176"/>
      <c r="BM41" s="176"/>
      <c r="BN41" s="176"/>
      <c r="BO41" s="176"/>
    </row>
    <row r="42" spans="1:67" s="36" customFormat="1" ht="10.5" customHeight="1" x14ac:dyDescent="0.2">
      <c r="A42" s="1043" t="s">
        <v>262</v>
      </c>
      <c r="B42" s="2594"/>
      <c r="C42" s="2595"/>
      <c r="D42" s="2596"/>
      <c r="E42" s="2395"/>
      <c r="F42" s="2396"/>
      <c r="G42" s="1058">
        <v>30</v>
      </c>
      <c r="H42" s="1059"/>
      <c r="I42" s="1081">
        <f t="shared" si="2"/>
        <v>4.6199342169092869E-2</v>
      </c>
      <c r="J42" s="1082">
        <f t="shared" si="3"/>
        <v>0</v>
      </c>
      <c r="K42" s="1061">
        <v>2</v>
      </c>
      <c r="L42" s="1305"/>
      <c r="M42" s="1086">
        <f t="shared" si="4"/>
        <v>0</v>
      </c>
      <c r="N42" s="505"/>
      <c r="O42" s="365">
        <f t="shared" si="1"/>
        <v>30</v>
      </c>
      <c r="P42" s="366"/>
      <c r="Q42" s="135"/>
      <c r="R42" s="136"/>
      <c r="S42" s="129"/>
      <c r="T42" s="129"/>
      <c r="U42" s="129"/>
      <c r="V42" s="129"/>
      <c r="W42" s="129"/>
      <c r="X42" s="129"/>
      <c r="Y42" s="129"/>
      <c r="Z42" s="133"/>
      <c r="AA42" s="133"/>
      <c r="AB42" s="133"/>
      <c r="AC42" s="133"/>
      <c r="AD42" s="133"/>
      <c r="AE42" s="133"/>
      <c r="AF42" s="222"/>
      <c r="AG42" s="222"/>
      <c r="AH42" s="222"/>
      <c r="AI42" s="176"/>
      <c r="AJ42" s="176"/>
      <c r="AK42" s="176"/>
      <c r="AL42" s="176"/>
      <c r="AM42" s="176"/>
      <c r="AN42" s="176"/>
      <c r="AO42" s="176"/>
      <c r="AP42" s="176"/>
      <c r="AQ42" s="176"/>
      <c r="AR42" s="176"/>
      <c r="AS42" s="176"/>
      <c r="AT42" s="176"/>
      <c r="AU42" s="176"/>
      <c r="AV42" s="176"/>
      <c r="AW42" s="176"/>
      <c r="AX42" s="176"/>
      <c r="AY42" s="176"/>
      <c r="AZ42" s="176"/>
      <c r="BA42" s="176"/>
      <c r="BB42" s="176"/>
      <c r="BC42" s="176"/>
      <c r="BD42" s="176"/>
      <c r="BE42" s="176"/>
      <c r="BF42" s="176"/>
      <c r="BG42" s="176"/>
      <c r="BH42" s="176"/>
      <c r="BI42" s="176"/>
      <c r="BJ42" s="176"/>
      <c r="BK42" s="176"/>
      <c r="BL42" s="176"/>
      <c r="BM42" s="176"/>
      <c r="BN42" s="176"/>
      <c r="BO42" s="176"/>
    </row>
    <row r="43" spans="1:67" s="36" customFormat="1" ht="10.5" customHeight="1" x14ac:dyDescent="0.2">
      <c r="A43" s="1043" t="s">
        <v>394</v>
      </c>
      <c r="B43" s="2594"/>
      <c r="C43" s="2595"/>
      <c r="D43" s="2596"/>
      <c r="E43" s="2395"/>
      <c r="F43" s="2396"/>
      <c r="G43" s="1058">
        <v>30</v>
      </c>
      <c r="H43" s="1059"/>
      <c r="I43" s="1081">
        <f t="shared" si="2"/>
        <v>4.6199342169092869E-2</v>
      </c>
      <c r="J43" s="1082">
        <f t="shared" si="3"/>
        <v>0</v>
      </c>
      <c r="K43" s="1061">
        <v>2</v>
      </c>
      <c r="L43" s="1305"/>
      <c r="M43" s="1086">
        <f t="shared" si="4"/>
        <v>0</v>
      </c>
      <c r="N43" s="505"/>
      <c r="O43" s="365">
        <f t="shared" si="1"/>
        <v>30</v>
      </c>
      <c r="P43" s="366"/>
      <c r="Q43" s="135"/>
      <c r="R43" s="136"/>
      <c r="S43" s="129"/>
      <c r="T43" s="129"/>
      <c r="U43" s="129"/>
      <c r="V43" s="129"/>
      <c r="W43" s="129"/>
      <c r="X43" s="129"/>
      <c r="Y43" s="129"/>
      <c r="Z43" s="133"/>
      <c r="AA43" s="133"/>
      <c r="AB43" s="133"/>
      <c r="AC43" s="133"/>
      <c r="AD43" s="133"/>
      <c r="AE43" s="133"/>
      <c r="AF43" s="222"/>
      <c r="AG43" s="222"/>
      <c r="AH43" s="222"/>
      <c r="AI43" s="176"/>
      <c r="AJ43" s="176"/>
      <c r="AK43" s="176"/>
      <c r="AL43" s="176"/>
      <c r="AM43" s="176"/>
      <c r="AN43" s="176"/>
      <c r="AO43" s="176"/>
      <c r="AP43" s="176"/>
      <c r="AQ43" s="176"/>
      <c r="AR43" s="176"/>
      <c r="AS43" s="176"/>
      <c r="AT43" s="176"/>
      <c r="AU43" s="176"/>
      <c r="AV43" s="176"/>
      <c r="AW43" s="176"/>
      <c r="AX43" s="176"/>
      <c r="AY43" s="176"/>
      <c r="AZ43" s="176"/>
      <c r="BA43" s="176"/>
      <c r="BB43" s="176"/>
      <c r="BC43" s="176"/>
      <c r="BD43" s="176"/>
      <c r="BE43" s="176"/>
      <c r="BF43" s="176"/>
      <c r="BG43" s="176"/>
      <c r="BH43" s="176"/>
      <c r="BI43" s="176"/>
      <c r="BJ43" s="176"/>
      <c r="BK43" s="176"/>
      <c r="BL43" s="176"/>
      <c r="BM43" s="176"/>
      <c r="BN43" s="176"/>
      <c r="BO43" s="176"/>
    </row>
    <row r="44" spans="1:67" s="36" customFormat="1" ht="10.5" customHeight="1" x14ac:dyDescent="0.2">
      <c r="A44" s="1043" t="s">
        <v>671</v>
      </c>
      <c r="B44" s="2594"/>
      <c r="C44" s="2595"/>
      <c r="D44" s="2596"/>
      <c r="E44" s="2395"/>
      <c r="F44" s="2396"/>
      <c r="G44" s="1058">
        <v>30</v>
      </c>
      <c r="H44" s="1059"/>
      <c r="I44" s="1081">
        <f t="shared" si="2"/>
        <v>4.6199342169092869E-2</v>
      </c>
      <c r="J44" s="1082">
        <f t="shared" si="3"/>
        <v>0</v>
      </c>
      <c r="K44" s="1061">
        <v>0.5</v>
      </c>
      <c r="L44" s="1305"/>
      <c r="M44" s="1086">
        <f t="shared" si="4"/>
        <v>0</v>
      </c>
      <c r="N44" s="505"/>
      <c r="O44" s="365">
        <f t="shared" si="1"/>
        <v>30</v>
      </c>
      <c r="P44" s="366"/>
      <c r="Q44" s="135"/>
      <c r="R44" s="136"/>
      <c r="S44" s="129"/>
      <c r="T44" s="129"/>
      <c r="U44" s="129"/>
      <c r="V44" s="129"/>
      <c r="W44" s="129"/>
      <c r="X44" s="129"/>
      <c r="Y44" s="129"/>
      <c r="Z44" s="133"/>
      <c r="AA44" s="133"/>
      <c r="AB44" s="133"/>
      <c r="AC44" s="133"/>
      <c r="AD44" s="133"/>
      <c r="AE44" s="133"/>
      <c r="AF44" s="222"/>
      <c r="AG44" s="222"/>
      <c r="AH44" s="222"/>
      <c r="AI44" s="176"/>
      <c r="AJ44" s="176"/>
      <c r="AK44" s="176"/>
      <c r="AL44" s="176"/>
      <c r="AM44" s="176"/>
      <c r="AN44" s="176"/>
      <c r="AO44" s="176"/>
      <c r="AP44" s="176"/>
      <c r="AQ44" s="176"/>
      <c r="AR44" s="176"/>
      <c r="AS44" s="176"/>
      <c r="AT44" s="176"/>
      <c r="AU44" s="176"/>
      <c r="AV44" s="176"/>
      <c r="AW44" s="176"/>
      <c r="AX44" s="176"/>
      <c r="AY44" s="176"/>
      <c r="AZ44" s="176"/>
      <c r="BA44" s="176"/>
      <c r="BB44" s="176"/>
      <c r="BC44" s="176"/>
      <c r="BD44" s="176"/>
      <c r="BE44" s="176"/>
      <c r="BF44" s="176"/>
      <c r="BG44" s="176"/>
      <c r="BH44" s="176"/>
      <c r="BI44" s="176"/>
      <c r="BJ44" s="176"/>
      <c r="BK44" s="176"/>
      <c r="BL44" s="176"/>
      <c r="BM44" s="176"/>
      <c r="BN44" s="176"/>
      <c r="BO44" s="176"/>
    </row>
    <row r="45" spans="1:67" s="36" customFormat="1" ht="10.5" customHeight="1" x14ac:dyDescent="0.2">
      <c r="A45" s="1043" t="s">
        <v>395</v>
      </c>
      <c r="B45" s="2594"/>
      <c r="C45" s="2595"/>
      <c r="D45" s="2596"/>
      <c r="E45" s="2395"/>
      <c r="F45" s="2396"/>
      <c r="G45" s="1058">
        <v>30</v>
      </c>
      <c r="H45" s="1059"/>
      <c r="I45" s="1081">
        <f t="shared" si="2"/>
        <v>4.6199342169092869E-2</v>
      </c>
      <c r="J45" s="1082">
        <f t="shared" si="3"/>
        <v>0</v>
      </c>
      <c r="K45" s="1061">
        <v>0</v>
      </c>
      <c r="L45" s="1305"/>
      <c r="M45" s="1086">
        <f t="shared" si="4"/>
        <v>0</v>
      </c>
      <c r="N45" s="505"/>
      <c r="O45" s="365">
        <f t="shared" si="1"/>
        <v>30</v>
      </c>
      <c r="P45" s="366"/>
      <c r="Q45" s="135"/>
      <c r="R45" s="136"/>
      <c r="S45" s="129"/>
      <c r="T45" s="129"/>
      <c r="U45" s="129"/>
      <c r="V45" s="129"/>
      <c r="W45" s="129"/>
      <c r="X45" s="129"/>
      <c r="Y45" s="129"/>
      <c r="Z45" s="133"/>
      <c r="AA45" s="133"/>
      <c r="AB45" s="133"/>
      <c r="AC45" s="133"/>
      <c r="AD45" s="133"/>
      <c r="AE45" s="133"/>
      <c r="AF45" s="222"/>
      <c r="AG45" s="222"/>
      <c r="AH45" s="222"/>
      <c r="AI45" s="176"/>
      <c r="AJ45" s="176"/>
      <c r="AK45" s="176"/>
      <c r="AL45" s="176"/>
      <c r="AM45" s="176"/>
      <c r="AN45" s="176"/>
      <c r="AO45" s="176"/>
      <c r="AP45" s="176"/>
      <c r="AQ45" s="176"/>
      <c r="AR45" s="176"/>
      <c r="AS45" s="176"/>
      <c r="AT45" s="176"/>
      <c r="AU45" s="176"/>
      <c r="AV45" s="176"/>
      <c r="AW45" s="176"/>
      <c r="AX45" s="176"/>
      <c r="AY45" s="176"/>
      <c r="AZ45" s="176"/>
      <c r="BA45" s="176"/>
      <c r="BB45" s="176"/>
      <c r="BC45" s="176"/>
      <c r="BD45" s="176"/>
      <c r="BE45" s="176"/>
      <c r="BF45" s="176"/>
      <c r="BG45" s="176"/>
      <c r="BH45" s="176"/>
      <c r="BI45" s="176"/>
      <c r="BJ45" s="176"/>
      <c r="BK45" s="176"/>
      <c r="BL45" s="176"/>
      <c r="BM45" s="176"/>
      <c r="BN45" s="176"/>
      <c r="BO45" s="176"/>
    </row>
    <row r="46" spans="1:67" s="36" customFormat="1" ht="10.5" customHeight="1" x14ac:dyDescent="0.2">
      <c r="A46" s="1043" t="s">
        <v>263</v>
      </c>
      <c r="B46" s="2594"/>
      <c r="C46" s="2595"/>
      <c r="D46" s="2596"/>
      <c r="E46" s="2395"/>
      <c r="F46" s="2396"/>
      <c r="G46" s="1058">
        <v>30</v>
      </c>
      <c r="H46" s="1059"/>
      <c r="I46" s="1081">
        <f t="shared" si="2"/>
        <v>4.6199342169092869E-2</v>
      </c>
      <c r="J46" s="1082">
        <f t="shared" si="3"/>
        <v>0</v>
      </c>
      <c r="K46" s="1061">
        <v>1.5</v>
      </c>
      <c r="L46" s="1305"/>
      <c r="M46" s="1086">
        <f t="shared" si="4"/>
        <v>0</v>
      </c>
      <c r="N46" s="505"/>
      <c r="O46" s="365">
        <f t="shared" si="1"/>
        <v>30</v>
      </c>
      <c r="P46" s="366"/>
      <c r="Q46" s="135"/>
      <c r="R46" s="136"/>
      <c r="S46" s="129"/>
      <c r="T46" s="129"/>
      <c r="U46" s="129"/>
      <c r="V46" s="129"/>
      <c r="W46" s="129"/>
      <c r="X46" s="129"/>
      <c r="Y46" s="129"/>
      <c r="Z46" s="133"/>
      <c r="AA46" s="133"/>
      <c r="AB46" s="133"/>
      <c r="AC46" s="133"/>
      <c r="AD46" s="133"/>
      <c r="AE46" s="133"/>
      <c r="AF46" s="222"/>
      <c r="AG46" s="222"/>
      <c r="AH46" s="222"/>
      <c r="AI46" s="176"/>
      <c r="AJ46" s="176"/>
      <c r="AK46" s="176"/>
      <c r="AL46" s="176"/>
      <c r="AM46" s="176"/>
      <c r="AN46" s="176"/>
      <c r="AO46" s="176"/>
      <c r="AP46" s="176"/>
      <c r="AQ46" s="176"/>
      <c r="AR46" s="176"/>
      <c r="AS46" s="176"/>
      <c r="AT46" s="176"/>
      <c r="AU46" s="176"/>
      <c r="AV46" s="176"/>
      <c r="AW46" s="176"/>
      <c r="AX46" s="176"/>
      <c r="AY46" s="176"/>
      <c r="AZ46" s="176"/>
      <c r="BA46" s="176"/>
      <c r="BB46" s="176"/>
      <c r="BC46" s="176"/>
      <c r="BD46" s="176"/>
      <c r="BE46" s="176"/>
      <c r="BF46" s="176"/>
      <c r="BG46" s="176"/>
      <c r="BH46" s="176"/>
      <c r="BI46" s="176"/>
      <c r="BJ46" s="176"/>
      <c r="BK46" s="176"/>
      <c r="BL46" s="176"/>
      <c r="BM46" s="176"/>
      <c r="BN46" s="176"/>
      <c r="BO46" s="176"/>
    </row>
    <row r="47" spans="1:67" s="36" customFormat="1" ht="10.5" customHeight="1" x14ac:dyDescent="0.2">
      <c r="A47" s="1043" t="s">
        <v>672</v>
      </c>
      <c r="B47" s="2594"/>
      <c r="C47" s="2595"/>
      <c r="D47" s="2596"/>
      <c r="E47" s="2395"/>
      <c r="F47" s="2396"/>
      <c r="G47" s="1058">
        <v>30</v>
      </c>
      <c r="H47" s="1059"/>
      <c r="I47" s="1081">
        <f t="shared" si="2"/>
        <v>4.6199342169092869E-2</v>
      </c>
      <c r="J47" s="1082">
        <f t="shared" si="3"/>
        <v>0</v>
      </c>
      <c r="K47" s="1061">
        <v>2.5</v>
      </c>
      <c r="L47" s="1305"/>
      <c r="M47" s="1086">
        <f t="shared" si="4"/>
        <v>0</v>
      </c>
      <c r="N47" s="505"/>
      <c r="O47" s="365">
        <f t="shared" si="1"/>
        <v>30</v>
      </c>
      <c r="P47" s="366"/>
      <c r="Q47" s="135"/>
      <c r="R47" s="136"/>
      <c r="S47" s="129"/>
      <c r="T47" s="129"/>
      <c r="U47" s="129"/>
      <c r="V47" s="129"/>
      <c r="W47" s="129"/>
      <c r="X47" s="129"/>
      <c r="Y47" s="129"/>
      <c r="Z47" s="133"/>
      <c r="AA47" s="133"/>
      <c r="AB47" s="133"/>
      <c r="AC47" s="133"/>
      <c r="AD47" s="133"/>
      <c r="AE47" s="133"/>
      <c r="AF47" s="222"/>
      <c r="AG47" s="222"/>
      <c r="AH47" s="222"/>
      <c r="AI47" s="176"/>
      <c r="AJ47" s="176"/>
      <c r="AK47" s="176"/>
      <c r="AL47" s="176"/>
      <c r="AM47" s="176"/>
      <c r="AN47" s="176"/>
      <c r="AO47" s="176"/>
      <c r="AP47" s="176"/>
      <c r="AQ47" s="176"/>
      <c r="AR47" s="176"/>
      <c r="AS47" s="176"/>
      <c r="AT47" s="176"/>
      <c r="AU47" s="176"/>
      <c r="AV47" s="176"/>
      <c r="AW47" s="176"/>
      <c r="AX47" s="176"/>
      <c r="AY47" s="176"/>
      <c r="AZ47" s="176"/>
      <c r="BA47" s="176"/>
      <c r="BB47" s="176"/>
      <c r="BC47" s="176"/>
      <c r="BD47" s="176"/>
      <c r="BE47" s="176"/>
      <c r="BF47" s="176"/>
      <c r="BG47" s="176"/>
      <c r="BH47" s="176"/>
      <c r="BI47" s="176"/>
      <c r="BJ47" s="176"/>
      <c r="BK47" s="176"/>
      <c r="BL47" s="176"/>
      <c r="BM47" s="176"/>
      <c r="BN47" s="176"/>
      <c r="BO47" s="176"/>
    </row>
    <row r="48" spans="1:67" s="36" customFormat="1" ht="10.5" customHeight="1" x14ac:dyDescent="0.2">
      <c r="A48" s="1055"/>
      <c r="B48" s="2594"/>
      <c r="C48" s="2595"/>
      <c r="D48" s="2596"/>
      <c r="E48" s="2395"/>
      <c r="F48" s="2396"/>
      <c r="G48" s="2590"/>
      <c r="H48" s="2591"/>
      <c r="I48" s="1081">
        <f t="shared" si="2"/>
        <v>0</v>
      </c>
      <c r="J48" s="1082">
        <f t="shared" si="3"/>
        <v>0</v>
      </c>
      <c r="K48" s="2588"/>
      <c r="L48" s="2589"/>
      <c r="M48" s="1086">
        <f t="shared" si="4"/>
        <v>0</v>
      </c>
      <c r="N48" s="505"/>
      <c r="O48" s="365">
        <f t="shared" si="1"/>
        <v>0</v>
      </c>
      <c r="P48" s="366"/>
      <c r="Q48" s="135"/>
      <c r="R48" s="136"/>
      <c r="S48" s="129"/>
      <c r="T48" s="129"/>
      <c r="U48" s="129"/>
      <c r="V48" s="129"/>
      <c r="W48" s="129"/>
      <c r="X48" s="129"/>
      <c r="Y48" s="129"/>
      <c r="Z48" s="133"/>
      <c r="AA48" s="133"/>
      <c r="AB48" s="133"/>
      <c r="AC48" s="133"/>
      <c r="AD48" s="133"/>
      <c r="AE48" s="133"/>
      <c r="AF48" s="222"/>
      <c r="AG48" s="222"/>
      <c r="AH48" s="222"/>
      <c r="AI48" s="176"/>
      <c r="AJ48" s="176"/>
      <c r="AK48" s="176"/>
      <c r="AL48" s="176"/>
      <c r="AM48" s="176"/>
      <c r="AN48" s="176"/>
      <c r="AO48" s="176"/>
      <c r="AP48" s="176"/>
      <c r="AQ48" s="176"/>
      <c r="AR48" s="176"/>
      <c r="AS48" s="176"/>
      <c r="AT48" s="176"/>
      <c r="AU48" s="176"/>
      <c r="AV48" s="176"/>
      <c r="AW48" s="176"/>
      <c r="AX48" s="176"/>
      <c r="AY48" s="176"/>
      <c r="AZ48" s="176"/>
      <c r="BA48" s="176"/>
      <c r="BB48" s="176"/>
      <c r="BC48" s="176"/>
      <c r="BD48" s="176"/>
      <c r="BE48" s="176"/>
      <c r="BF48" s="176"/>
      <c r="BG48" s="176"/>
      <c r="BH48" s="176"/>
      <c r="BI48" s="176"/>
      <c r="BJ48" s="176"/>
      <c r="BK48" s="176"/>
      <c r="BL48" s="176"/>
      <c r="BM48" s="176"/>
      <c r="BN48" s="176"/>
      <c r="BO48" s="176"/>
    </row>
    <row r="49" spans="1:67" s="36" customFormat="1" ht="10.5" customHeight="1" x14ac:dyDescent="0.2">
      <c r="A49" s="1055"/>
      <c r="B49" s="2594"/>
      <c r="C49" s="2595"/>
      <c r="D49" s="2596"/>
      <c r="E49" s="2395"/>
      <c r="F49" s="2396"/>
      <c r="G49" s="2590"/>
      <c r="H49" s="2591"/>
      <c r="I49" s="1081">
        <f t="shared" si="2"/>
        <v>0</v>
      </c>
      <c r="J49" s="1082">
        <f t="shared" si="3"/>
        <v>0</v>
      </c>
      <c r="K49" s="2588"/>
      <c r="L49" s="2589"/>
      <c r="M49" s="1086">
        <f t="shared" si="4"/>
        <v>0</v>
      </c>
      <c r="N49" s="505"/>
      <c r="O49" s="365">
        <f t="shared" si="1"/>
        <v>0</v>
      </c>
      <c r="P49" s="366"/>
      <c r="Q49" s="135"/>
      <c r="R49" s="136"/>
      <c r="S49" s="129"/>
      <c r="T49" s="129"/>
      <c r="U49" s="129"/>
      <c r="V49" s="129"/>
      <c r="W49" s="129"/>
      <c r="X49" s="129"/>
      <c r="Y49" s="129"/>
      <c r="Z49" s="133"/>
      <c r="AA49" s="133"/>
      <c r="AB49" s="133"/>
      <c r="AC49" s="133"/>
      <c r="AD49" s="133"/>
      <c r="AE49" s="133"/>
      <c r="AF49" s="222"/>
      <c r="AG49" s="222"/>
      <c r="AH49" s="222"/>
      <c r="AI49" s="176"/>
      <c r="AJ49" s="176"/>
      <c r="AK49" s="176"/>
      <c r="AL49" s="176"/>
      <c r="AM49" s="176"/>
      <c r="AN49" s="176"/>
      <c r="AO49" s="176"/>
      <c r="AP49" s="176"/>
      <c r="AQ49" s="176"/>
      <c r="AR49" s="176"/>
      <c r="AS49" s="176"/>
      <c r="AT49" s="176"/>
      <c r="AU49" s="176"/>
      <c r="AV49" s="176"/>
      <c r="AW49" s="176"/>
      <c r="AX49" s="176"/>
      <c r="AY49" s="176"/>
      <c r="AZ49" s="176"/>
      <c r="BA49" s="176"/>
      <c r="BB49" s="176"/>
      <c r="BC49" s="176"/>
      <c r="BD49" s="176"/>
      <c r="BE49" s="176"/>
      <c r="BF49" s="176"/>
      <c r="BG49" s="176"/>
      <c r="BH49" s="176"/>
      <c r="BI49" s="176"/>
      <c r="BJ49" s="176"/>
      <c r="BK49" s="176"/>
      <c r="BL49" s="176"/>
      <c r="BM49" s="176"/>
      <c r="BN49" s="176"/>
      <c r="BO49" s="176"/>
    </row>
    <row r="50" spans="1:67" s="36" customFormat="1" ht="10.5" customHeight="1" x14ac:dyDescent="0.2">
      <c r="A50" s="1055"/>
      <c r="B50" s="2594"/>
      <c r="C50" s="2595"/>
      <c r="D50" s="2596"/>
      <c r="E50" s="2395"/>
      <c r="F50" s="2396"/>
      <c r="G50" s="2590"/>
      <c r="H50" s="2591"/>
      <c r="I50" s="1081">
        <f t="shared" si="2"/>
        <v>0</v>
      </c>
      <c r="J50" s="1082">
        <f t="shared" si="3"/>
        <v>0</v>
      </c>
      <c r="K50" s="2588"/>
      <c r="L50" s="2589"/>
      <c r="M50" s="1086">
        <f t="shared" si="4"/>
        <v>0</v>
      </c>
      <c r="N50" s="505"/>
      <c r="O50" s="365">
        <f t="shared" si="1"/>
        <v>0</v>
      </c>
      <c r="P50" s="366"/>
      <c r="Q50" s="135"/>
      <c r="R50" s="136"/>
      <c r="S50" s="129"/>
      <c r="T50" s="129"/>
      <c r="U50" s="129"/>
      <c r="V50" s="129"/>
      <c r="W50" s="129"/>
      <c r="X50" s="129"/>
      <c r="Y50" s="129"/>
      <c r="Z50" s="133"/>
      <c r="AA50" s="133"/>
      <c r="AB50" s="133"/>
      <c r="AC50" s="133"/>
      <c r="AD50" s="133"/>
      <c r="AE50" s="133"/>
      <c r="AF50" s="222"/>
      <c r="AG50" s="222"/>
      <c r="AH50" s="222"/>
      <c r="AI50" s="176"/>
      <c r="AJ50" s="176"/>
      <c r="AK50" s="176"/>
      <c r="AL50" s="176"/>
      <c r="AM50" s="176"/>
      <c r="AN50" s="176"/>
      <c r="AO50" s="176"/>
      <c r="AP50" s="176"/>
      <c r="AQ50" s="176"/>
      <c r="AR50" s="176"/>
      <c r="AS50" s="176"/>
      <c r="AT50" s="176"/>
      <c r="AU50" s="176"/>
      <c r="AV50" s="176"/>
      <c r="AW50" s="176"/>
      <c r="AX50" s="176"/>
      <c r="AY50" s="176"/>
      <c r="AZ50" s="176"/>
      <c r="BA50" s="176"/>
      <c r="BB50" s="176"/>
      <c r="BC50" s="176"/>
      <c r="BD50" s="176"/>
      <c r="BE50" s="176"/>
      <c r="BF50" s="176"/>
      <c r="BG50" s="176"/>
      <c r="BH50" s="176"/>
      <c r="BI50" s="176"/>
      <c r="BJ50" s="176"/>
      <c r="BK50" s="176"/>
      <c r="BL50" s="176"/>
      <c r="BM50" s="176"/>
      <c r="BN50" s="176"/>
      <c r="BO50" s="176"/>
    </row>
    <row r="51" spans="1:67" s="36" customFormat="1" ht="10.5" customHeight="1" x14ac:dyDescent="0.2">
      <c r="A51" s="1055"/>
      <c r="B51" s="2594"/>
      <c r="C51" s="2595"/>
      <c r="D51" s="2596"/>
      <c r="E51" s="2395"/>
      <c r="F51" s="2396"/>
      <c r="G51" s="2590"/>
      <c r="H51" s="2591"/>
      <c r="I51" s="1081">
        <f t="shared" si="2"/>
        <v>0</v>
      </c>
      <c r="J51" s="1082">
        <f t="shared" si="3"/>
        <v>0</v>
      </c>
      <c r="K51" s="2588"/>
      <c r="L51" s="2589"/>
      <c r="M51" s="1086">
        <f t="shared" si="4"/>
        <v>0</v>
      </c>
      <c r="N51" s="505"/>
      <c r="O51" s="365">
        <f t="shared" si="1"/>
        <v>0</v>
      </c>
      <c r="P51" s="366"/>
      <c r="Q51" s="135"/>
      <c r="R51" s="136"/>
      <c r="S51" s="129"/>
      <c r="T51" s="129"/>
      <c r="U51" s="129"/>
      <c r="V51" s="129"/>
      <c r="W51" s="129"/>
      <c r="X51" s="129"/>
      <c r="Y51" s="129"/>
      <c r="Z51" s="133"/>
      <c r="AA51" s="133"/>
      <c r="AB51" s="133"/>
      <c r="AC51" s="133"/>
      <c r="AD51" s="133"/>
      <c r="AE51" s="133"/>
      <c r="AF51" s="222"/>
      <c r="AG51" s="222"/>
      <c r="AH51" s="222"/>
      <c r="AI51" s="176"/>
      <c r="AJ51" s="176"/>
      <c r="AK51" s="176"/>
      <c r="AL51" s="176"/>
      <c r="AM51" s="176"/>
      <c r="AN51" s="176"/>
      <c r="AO51" s="176"/>
      <c r="AP51" s="176"/>
      <c r="AQ51" s="176"/>
      <c r="AR51" s="176"/>
      <c r="AS51" s="176"/>
      <c r="AT51" s="176"/>
      <c r="AU51" s="176"/>
      <c r="AV51" s="176"/>
      <c r="AW51" s="176"/>
      <c r="AX51" s="176"/>
      <c r="AY51" s="176"/>
      <c r="AZ51" s="176"/>
      <c r="BA51" s="176"/>
      <c r="BB51" s="176"/>
      <c r="BC51" s="176"/>
      <c r="BD51" s="176"/>
      <c r="BE51" s="176"/>
      <c r="BF51" s="176"/>
      <c r="BG51" s="176"/>
      <c r="BH51" s="176"/>
      <c r="BI51" s="176"/>
      <c r="BJ51" s="176"/>
      <c r="BK51" s="176"/>
      <c r="BL51" s="176"/>
      <c r="BM51" s="176"/>
      <c r="BN51" s="176"/>
      <c r="BO51" s="176"/>
    </row>
    <row r="52" spans="1:67" s="36" customFormat="1" ht="10.5" customHeight="1" x14ac:dyDescent="0.2">
      <c r="A52" s="1055"/>
      <c r="B52" s="2594"/>
      <c r="C52" s="2595"/>
      <c r="D52" s="2596"/>
      <c r="E52" s="2395"/>
      <c r="F52" s="2396"/>
      <c r="G52" s="2590"/>
      <c r="H52" s="2591"/>
      <c r="I52" s="1081">
        <f t="shared" si="2"/>
        <v>0</v>
      </c>
      <c r="J52" s="1082">
        <f t="shared" si="3"/>
        <v>0</v>
      </c>
      <c r="K52" s="2588"/>
      <c r="L52" s="2589"/>
      <c r="M52" s="1086">
        <f t="shared" si="4"/>
        <v>0</v>
      </c>
      <c r="N52" s="505"/>
      <c r="O52" s="365">
        <f t="shared" si="1"/>
        <v>0</v>
      </c>
      <c r="P52" s="366"/>
      <c r="Q52" s="135"/>
      <c r="R52" s="136"/>
      <c r="S52" s="129"/>
      <c r="T52" s="129"/>
      <c r="U52" s="129"/>
      <c r="V52" s="129"/>
      <c r="W52" s="129"/>
      <c r="X52" s="129"/>
      <c r="Y52" s="129"/>
      <c r="Z52" s="133"/>
      <c r="AA52" s="133"/>
      <c r="AB52" s="133"/>
      <c r="AC52" s="133"/>
      <c r="AD52" s="133"/>
      <c r="AE52" s="133"/>
      <c r="AF52" s="222"/>
      <c r="AG52" s="222"/>
      <c r="AH52" s="222"/>
      <c r="AI52" s="176"/>
      <c r="AJ52" s="176"/>
      <c r="AK52" s="176"/>
      <c r="AL52" s="176"/>
      <c r="AM52" s="176"/>
      <c r="AN52" s="176"/>
      <c r="AO52" s="176"/>
      <c r="AP52" s="176"/>
      <c r="AQ52" s="176"/>
      <c r="AR52" s="176"/>
      <c r="AS52" s="176"/>
      <c r="AT52" s="176"/>
      <c r="AU52" s="176"/>
      <c r="AV52" s="176"/>
      <c r="AW52" s="176"/>
      <c r="AX52" s="176"/>
      <c r="AY52" s="176"/>
      <c r="AZ52" s="176"/>
      <c r="BA52" s="176"/>
      <c r="BB52" s="176"/>
      <c r="BC52" s="176"/>
      <c r="BD52" s="176"/>
      <c r="BE52" s="176"/>
      <c r="BF52" s="176"/>
      <c r="BG52" s="176"/>
      <c r="BH52" s="176"/>
      <c r="BI52" s="176"/>
      <c r="BJ52" s="176"/>
      <c r="BK52" s="176"/>
      <c r="BL52" s="176"/>
      <c r="BM52" s="176"/>
      <c r="BN52" s="176"/>
      <c r="BO52" s="176"/>
    </row>
    <row r="53" spans="1:67" s="36" customFormat="1" ht="10.5" customHeight="1" x14ac:dyDescent="0.2">
      <c r="A53" s="1055"/>
      <c r="B53" s="2594"/>
      <c r="C53" s="2595"/>
      <c r="D53" s="2596"/>
      <c r="E53" s="2395"/>
      <c r="F53" s="2396"/>
      <c r="G53" s="2590"/>
      <c r="H53" s="2591"/>
      <c r="I53" s="1081">
        <f t="shared" si="2"/>
        <v>0</v>
      </c>
      <c r="J53" s="1082">
        <f t="shared" si="3"/>
        <v>0</v>
      </c>
      <c r="K53" s="2588"/>
      <c r="L53" s="2589"/>
      <c r="M53" s="1086">
        <f t="shared" si="4"/>
        <v>0</v>
      </c>
      <c r="N53" s="505"/>
      <c r="O53" s="365">
        <f t="shared" si="1"/>
        <v>0</v>
      </c>
      <c r="P53" s="366"/>
      <c r="Q53" s="135"/>
      <c r="R53" s="136"/>
      <c r="S53" s="129"/>
      <c r="T53" s="129"/>
      <c r="U53" s="129"/>
      <c r="V53" s="129"/>
      <c r="W53" s="129"/>
      <c r="X53" s="129"/>
      <c r="Y53" s="129"/>
      <c r="Z53" s="133"/>
      <c r="AA53" s="133"/>
      <c r="AB53" s="133"/>
      <c r="AC53" s="133"/>
      <c r="AD53" s="133"/>
      <c r="AE53" s="133"/>
      <c r="AF53" s="222"/>
      <c r="AG53" s="222"/>
      <c r="AH53" s="222"/>
      <c r="AI53" s="176"/>
      <c r="AJ53" s="176"/>
      <c r="AK53" s="176"/>
      <c r="AL53" s="176"/>
      <c r="AM53" s="176"/>
      <c r="AN53" s="176"/>
      <c r="AO53" s="176"/>
      <c r="AP53" s="176"/>
      <c r="AQ53" s="176"/>
      <c r="AR53" s="176"/>
      <c r="AS53" s="176"/>
      <c r="AT53" s="176"/>
      <c r="AU53" s="176"/>
      <c r="AV53" s="176"/>
      <c r="AW53" s="176"/>
      <c r="AX53" s="176"/>
      <c r="AY53" s="176"/>
      <c r="AZ53" s="176"/>
      <c r="BA53" s="176"/>
      <c r="BB53" s="176"/>
      <c r="BC53" s="176"/>
      <c r="BD53" s="176"/>
      <c r="BE53" s="176"/>
      <c r="BF53" s="176"/>
      <c r="BG53" s="176"/>
      <c r="BH53" s="176"/>
      <c r="BI53" s="176"/>
      <c r="BJ53" s="176"/>
      <c r="BK53" s="176"/>
      <c r="BL53" s="176"/>
      <c r="BM53" s="176"/>
      <c r="BN53" s="176"/>
      <c r="BO53" s="176"/>
    </row>
    <row r="54" spans="1:67" s="36" customFormat="1" ht="10.5" customHeight="1" x14ac:dyDescent="0.2">
      <c r="A54" s="1348"/>
      <c r="B54" s="2690"/>
      <c r="C54" s="2691"/>
      <c r="D54" s="2692"/>
      <c r="E54" s="2601"/>
      <c r="F54" s="2602"/>
      <c r="G54" s="1088"/>
      <c r="H54" s="1089"/>
      <c r="I54" s="1083">
        <f t="shared" si="2"/>
        <v>0</v>
      </c>
      <c r="J54" s="1084"/>
      <c r="K54" s="1087"/>
      <c r="L54" s="1307"/>
      <c r="M54" s="1317">
        <f t="shared" si="4"/>
        <v>0</v>
      </c>
      <c r="N54" s="505"/>
      <c r="O54" s="365">
        <f t="shared" si="1"/>
        <v>0</v>
      </c>
      <c r="P54" s="366"/>
      <c r="Q54" s="135"/>
      <c r="R54" s="136"/>
      <c r="S54" s="129"/>
      <c r="T54" s="129"/>
      <c r="U54" s="129"/>
      <c r="V54" s="129"/>
      <c r="W54" s="129"/>
      <c r="X54" s="129"/>
      <c r="Y54" s="129"/>
      <c r="Z54" s="133"/>
      <c r="AA54" s="133"/>
      <c r="AB54" s="133"/>
      <c r="AC54" s="133"/>
      <c r="AD54" s="133"/>
      <c r="AE54" s="133"/>
      <c r="AF54" s="222"/>
      <c r="AG54" s="222"/>
      <c r="AH54" s="222"/>
      <c r="AI54" s="176"/>
      <c r="AJ54" s="176"/>
      <c r="AK54" s="176"/>
      <c r="AL54" s="176"/>
      <c r="AM54" s="176"/>
      <c r="AN54" s="176"/>
      <c r="AO54" s="176"/>
      <c r="AP54" s="176"/>
      <c r="AQ54" s="176"/>
      <c r="AR54" s="176"/>
      <c r="AS54" s="176"/>
      <c r="AT54" s="176"/>
      <c r="AU54" s="176"/>
      <c r="AV54" s="176"/>
      <c r="AW54" s="176"/>
      <c r="AX54" s="176"/>
      <c r="AY54" s="176"/>
      <c r="AZ54" s="176"/>
      <c r="BA54" s="176"/>
      <c r="BB54" s="176"/>
      <c r="BC54" s="176"/>
      <c r="BD54" s="176"/>
      <c r="BE54" s="176"/>
      <c r="BF54" s="176"/>
      <c r="BG54" s="176"/>
      <c r="BH54" s="176"/>
      <c r="BI54" s="176"/>
      <c r="BJ54" s="176"/>
      <c r="BK54" s="176"/>
      <c r="BL54" s="176"/>
      <c r="BM54" s="176"/>
      <c r="BN54" s="176"/>
      <c r="BO54" s="176"/>
    </row>
    <row r="55" spans="1:67" s="36" customFormat="1" ht="10.5" customHeight="1" x14ac:dyDescent="0.2">
      <c r="A55" s="1345" t="s">
        <v>264</v>
      </c>
      <c r="B55" s="2603"/>
      <c r="C55" s="2604"/>
      <c r="D55" s="2605"/>
      <c r="E55" s="2730">
        <f>SUM(E56:E68)</f>
        <v>0</v>
      </c>
      <c r="F55" s="2731"/>
      <c r="G55" s="2732"/>
      <c r="H55" s="2733"/>
      <c r="I55" s="1121">
        <f>IF(E55=0,0,J55/E55)</f>
        <v>0</v>
      </c>
      <c r="J55" s="1346">
        <f>SUM(J56:J68)</f>
        <v>0</v>
      </c>
      <c r="K55" s="2734">
        <f>IF(E55=0,0,M55/E55*100)</f>
        <v>0</v>
      </c>
      <c r="L55" s="2736"/>
      <c r="M55" s="1347">
        <f>SUM(M56:M68)</f>
        <v>0</v>
      </c>
      <c r="N55" s="505"/>
      <c r="O55" s="178">
        <f>IF(H55="",G55,H55)</f>
        <v>0</v>
      </c>
      <c r="P55" s="366"/>
      <c r="Q55" s="135"/>
      <c r="R55" s="136"/>
      <c r="S55" s="129"/>
      <c r="T55" s="129"/>
      <c r="U55" s="129"/>
      <c r="V55" s="129"/>
      <c r="W55" s="129"/>
      <c r="X55" s="129"/>
      <c r="Y55" s="129"/>
      <c r="Z55" s="133"/>
      <c r="AA55" s="133"/>
      <c r="AB55" s="133"/>
      <c r="AC55" s="133"/>
      <c r="AD55" s="133"/>
      <c r="AE55" s="133"/>
      <c r="AF55" s="222"/>
      <c r="AG55" s="222"/>
      <c r="AH55" s="222"/>
      <c r="AI55" s="176"/>
      <c r="AJ55" s="176"/>
      <c r="AK55" s="176"/>
      <c r="AL55" s="176"/>
      <c r="AM55" s="176"/>
      <c r="AN55" s="176"/>
      <c r="AO55" s="176"/>
      <c r="AP55" s="176"/>
      <c r="AQ55" s="176"/>
      <c r="AR55" s="176"/>
      <c r="AS55" s="176"/>
      <c r="AT55" s="176"/>
      <c r="AU55" s="176"/>
      <c r="AV55" s="176"/>
      <c r="AW55" s="176"/>
      <c r="AX55" s="176"/>
      <c r="AY55" s="176"/>
      <c r="AZ55" s="176"/>
      <c r="BA55" s="176"/>
      <c r="BB55" s="176"/>
      <c r="BC55" s="176"/>
      <c r="BD55" s="176"/>
      <c r="BE55" s="176"/>
      <c r="BF55" s="176"/>
      <c r="BG55" s="176"/>
      <c r="BH55" s="176"/>
      <c r="BI55" s="176"/>
      <c r="BJ55" s="176"/>
      <c r="BK55" s="176"/>
      <c r="BL55" s="176"/>
      <c r="BM55" s="176"/>
      <c r="BN55" s="176"/>
      <c r="BO55" s="176"/>
    </row>
    <row r="56" spans="1:67" s="36" customFormat="1" ht="10.5" customHeight="1" x14ac:dyDescent="0.2">
      <c r="A56" s="1042" t="s">
        <v>265</v>
      </c>
      <c r="B56" s="2624"/>
      <c r="C56" s="2625"/>
      <c r="D56" s="2626"/>
      <c r="E56" s="2386"/>
      <c r="F56" s="2387"/>
      <c r="G56" s="1056">
        <v>50</v>
      </c>
      <c r="H56" s="1057"/>
      <c r="I56" s="1079">
        <f t="shared" ref="I56:I69" si="5">IF($O56&gt;0,-PMT(($I$9),$O56,1),0)</f>
        <v>3.3518358840153369E-2</v>
      </c>
      <c r="J56" s="1080">
        <f t="shared" ref="J56:J68" si="6">ROUND(E56*I56,0)</f>
        <v>0</v>
      </c>
      <c r="K56" s="1060">
        <v>0</v>
      </c>
      <c r="L56" s="1304"/>
      <c r="M56" s="1085">
        <f t="shared" ref="M56:M69" si="7">ROUND(E56/100*IF(ISBLANK(L56),K56,L56),0)</f>
        <v>0</v>
      </c>
      <c r="N56" s="505"/>
      <c r="O56" s="365">
        <f t="shared" ref="O56:O69" si="8">IF(ISBLANK(H56),G56,H56)</f>
        <v>50</v>
      </c>
      <c r="P56" s="366"/>
      <c r="Q56" s="135"/>
      <c r="R56" s="136"/>
      <c r="S56" s="129"/>
      <c r="T56" s="129"/>
      <c r="U56" s="129"/>
      <c r="V56" s="129"/>
      <c r="W56" s="129"/>
      <c r="X56" s="129"/>
      <c r="Y56" s="129"/>
      <c r="Z56" s="133"/>
      <c r="AA56" s="133"/>
      <c r="AB56" s="133"/>
      <c r="AC56" s="133"/>
      <c r="AD56" s="133"/>
      <c r="AE56" s="133"/>
      <c r="AF56" s="222"/>
      <c r="AG56" s="222"/>
      <c r="AH56" s="222"/>
      <c r="AI56" s="176"/>
      <c r="AJ56" s="176"/>
      <c r="AK56" s="176"/>
      <c r="AL56" s="176"/>
      <c r="AM56" s="176"/>
      <c r="AN56" s="176"/>
      <c r="AO56" s="176"/>
      <c r="AP56" s="176"/>
      <c r="AQ56" s="176"/>
      <c r="AR56" s="176"/>
      <c r="AS56" s="176"/>
      <c r="AT56" s="176"/>
      <c r="AU56" s="176"/>
      <c r="AV56" s="176"/>
      <c r="AW56" s="176"/>
      <c r="AX56" s="176"/>
      <c r="AY56" s="176"/>
      <c r="AZ56" s="176"/>
      <c r="BA56" s="176"/>
      <c r="BB56" s="176"/>
      <c r="BC56" s="176"/>
      <c r="BD56" s="176"/>
      <c r="BE56" s="176"/>
      <c r="BF56" s="176"/>
      <c r="BG56" s="176"/>
      <c r="BH56" s="176"/>
      <c r="BI56" s="176"/>
      <c r="BJ56" s="176"/>
      <c r="BK56" s="176"/>
      <c r="BL56" s="176"/>
      <c r="BM56" s="176"/>
      <c r="BN56" s="176"/>
      <c r="BO56" s="176"/>
    </row>
    <row r="57" spans="1:67" s="36" customFormat="1" ht="10.5" customHeight="1" x14ac:dyDescent="0.2">
      <c r="A57" s="1043" t="s">
        <v>266</v>
      </c>
      <c r="B57" s="2594"/>
      <c r="C57" s="2595"/>
      <c r="D57" s="2596"/>
      <c r="E57" s="2395"/>
      <c r="F57" s="2396"/>
      <c r="G57" s="1058">
        <v>30</v>
      </c>
      <c r="H57" s="1059"/>
      <c r="I57" s="1081">
        <f t="shared" si="5"/>
        <v>4.6199342169092869E-2</v>
      </c>
      <c r="J57" s="1082">
        <f t="shared" si="6"/>
        <v>0</v>
      </c>
      <c r="K57" s="1061"/>
      <c r="L57" s="1305"/>
      <c r="M57" s="1086">
        <f t="shared" si="7"/>
        <v>0</v>
      </c>
      <c r="N57" s="505"/>
      <c r="O57" s="365">
        <f t="shared" si="8"/>
        <v>30</v>
      </c>
      <c r="P57" s="366"/>
      <c r="Q57" s="135"/>
      <c r="R57" s="136"/>
      <c r="S57" s="129"/>
      <c r="T57" s="129"/>
      <c r="U57" s="129"/>
      <c r="V57" s="129"/>
      <c r="W57" s="129"/>
      <c r="X57" s="129"/>
      <c r="Y57" s="129"/>
      <c r="Z57" s="133"/>
      <c r="AA57" s="133"/>
      <c r="AB57" s="133"/>
      <c r="AC57" s="133"/>
      <c r="AD57" s="133"/>
      <c r="AE57" s="133"/>
      <c r="AF57" s="222"/>
      <c r="AG57" s="222"/>
      <c r="AH57" s="222"/>
      <c r="AI57" s="176"/>
      <c r="AJ57" s="176"/>
      <c r="AK57" s="176"/>
      <c r="AL57" s="176"/>
      <c r="AM57" s="176"/>
      <c r="AN57" s="176"/>
      <c r="AO57" s="176"/>
      <c r="AP57" s="176"/>
      <c r="AQ57" s="176"/>
      <c r="AR57" s="176"/>
      <c r="AS57" s="176"/>
      <c r="AT57" s="176"/>
      <c r="AU57" s="176"/>
      <c r="AV57" s="176"/>
      <c r="AW57" s="176"/>
      <c r="AX57" s="176"/>
      <c r="AY57" s="176"/>
      <c r="AZ57" s="176"/>
      <c r="BA57" s="176"/>
      <c r="BB57" s="176"/>
      <c r="BC57" s="176"/>
      <c r="BD57" s="176"/>
      <c r="BE57" s="176"/>
      <c r="BF57" s="176"/>
      <c r="BG57" s="176"/>
      <c r="BH57" s="176"/>
      <c r="BI57" s="176"/>
      <c r="BJ57" s="176"/>
      <c r="BK57" s="176"/>
      <c r="BL57" s="176"/>
      <c r="BM57" s="176"/>
      <c r="BN57" s="176"/>
      <c r="BO57" s="176"/>
    </row>
    <row r="58" spans="1:67" s="36" customFormat="1" ht="10.5" customHeight="1" x14ac:dyDescent="0.2">
      <c r="A58" s="1043" t="s">
        <v>396</v>
      </c>
      <c r="B58" s="2594"/>
      <c r="C58" s="2595"/>
      <c r="D58" s="2596"/>
      <c r="E58" s="2395"/>
      <c r="F58" s="2396"/>
      <c r="G58" s="1058">
        <v>20</v>
      </c>
      <c r="H58" s="1059"/>
      <c r="I58" s="1081">
        <f t="shared" si="5"/>
        <v>6.2642070767998229E-2</v>
      </c>
      <c r="J58" s="1082">
        <f t="shared" si="6"/>
        <v>0</v>
      </c>
      <c r="K58" s="1061">
        <v>2.5</v>
      </c>
      <c r="L58" s="1305"/>
      <c r="M58" s="1086">
        <f t="shared" si="7"/>
        <v>0</v>
      </c>
      <c r="N58" s="505"/>
      <c r="O58" s="365">
        <f t="shared" si="8"/>
        <v>20</v>
      </c>
      <c r="P58" s="366"/>
      <c r="Q58" s="135"/>
      <c r="R58" s="136"/>
      <c r="S58" s="129"/>
      <c r="T58" s="129"/>
      <c r="U58" s="129"/>
      <c r="V58" s="129"/>
      <c r="W58" s="129"/>
      <c r="X58" s="129"/>
      <c r="Y58" s="129"/>
      <c r="Z58" s="133"/>
      <c r="AA58" s="133"/>
      <c r="AB58" s="133"/>
      <c r="AC58" s="133"/>
      <c r="AD58" s="133"/>
      <c r="AE58" s="133"/>
      <c r="AF58" s="222"/>
      <c r="AG58" s="222"/>
      <c r="AH58" s="222"/>
      <c r="AI58" s="176"/>
      <c r="AJ58" s="176"/>
      <c r="AK58" s="176"/>
      <c r="AL58" s="176"/>
      <c r="AM58" s="176"/>
      <c r="AN58" s="176"/>
      <c r="AO58" s="176"/>
      <c r="AP58" s="176"/>
      <c r="AQ58" s="176"/>
      <c r="AR58" s="176"/>
      <c r="AS58" s="176"/>
      <c r="AT58" s="176"/>
      <c r="AU58" s="176"/>
      <c r="AV58" s="176"/>
      <c r="AW58" s="176"/>
      <c r="AX58" s="176"/>
      <c r="AY58" s="176"/>
      <c r="AZ58" s="176"/>
      <c r="BA58" s="176"/>
      <c r="BB58" s="176"/>
      <c r="BC58" s="176"/>
      <c r="BD58" s="176"/>
      <c r="BE58" s="176"/>
      <c r="BF58" s="176"/>
      <c r="BG58" s="176"/>
      <c r="BH58" s="176"/>
      <c r="BI58" s="176"/>
      <c r="BJ58" s="176"/>
      <c r="BK58" s="176"/>
      <c r="BL58" s="176"/>
      <c r="BM58" s="176"/>
      <c r="BN58" s="176"/>
      <c r="BO58" s="176"/>
    </row>
    <row r="59" spans="1:67" s="36" customFormat="1" ht="10.5" customHeight="1" x14ac:dyDescent="0.2">
      <c r="A59" s="1043" t="s">
        <v>267</v>
      </c>
      <c r="B59" s="2594"/>
      <c r="C59" s="2595"/>
      <c r="D59" s="2596"/>
      <c r="E59" s="2395"/>
      <c r="F59" s="2396"/>
      <c r="G59" s="1058">
        <v>20</v>
      </c>
      <c r="H59" s="1059"/>
      <c r="I59" s="1081">
        <f t="shared" si="5"/>
        <v>6.2642070767998229E-2</v>
      </c>
      <c r="J59" s="1082">
        <f t="shared" si="6"/>
        <v>0</v>
      </c>
      <c r="K59" s="1061">
        <v>3.5</v>
      </c>
      <c r="L59" s="1305"/>
      <c r="M59" s="1086">
        <f t="shared" si="7"/>
        <v>0</v>
      </c>
      <c r="N59" s="505"/>
      <c r="O59" s="365">
        <f t="shared" si="8"/>
        <v>20</v>
      </c>
      <c r="P59" s="366"/>
      <c r="Q59" s="135"/>
      <c r="R59" s="136"/>
      <c r="S59" s="129"/>
      <c r="T59" s="129"/>
      <c r="U59" s="129"/>
      <c r="V59" s="129"/>
      <c r="W59" s="129"/>
      <c r="X59" s="129"/>
      <c r="Y59" s="129"/>
      <c r="Z59" s="133"/>
      <c r="AA59" s="133"/>
      <c r="AB59" s="133"/>
      <c r="AC59" s="133"/>
      <c r="AD59" s="133"/>
      <c r="AE59" s="133"/>
      <c r="AF59" s="222"/>
      <c r="AG59" s="222"/>
      <c r="AH59" s="222"/>
      <c r="AI59" s="176"/>
      <c r="AJ59" s="176"/>
      <c r="AK59" s="176"/>
      <c r="AL59" s="176"/>
      <c r="AM59" s="176"/>
      <c r="AN59" s="176"/>
      <c r="AO59" s="176"/>
      <c r="AP59" s="176"/>
      <c r="AQ59" s="176"/>
      <c r="AR59" s="176"/>
      <c r="AS59" s="176"/>
      <c r="AT59" s="176"/>
      <c r="AU59" s="176"/>
      <c r="AV59" s="176"/>
      <c r="AW59" s="176"/>
      <c r="AX59" s="176"/>
      <c r="AY59" s="176"/>
      <c r="AZ59" s="176"/>
      <c r="BA59" s="176"/>
      <c r="BB59" s="176"/>
      <c r="BC59" s="176"/>
      <c r="BD59" s="176"/>
      <c r="BE59" s="176"/>
      <c r="BF59" s="176"/>
      <c r="BG59" s="176"/>
      <c r="BH59" s="176"/>
      <c r="BI59" s="176"/>
      <c r="BJ59" s="176"/>
      <c r="BK59" s="176"/>
      <c r="BL59" s="176"/>
      <c r="BM59" s="176"/>
      <c r="BN59" s="176"/>
      <c r="BO59" s="176"/>
    </row>
    <row r="60" spans="1:67" s="36" customFormat="1" ht="10.5" customHeight="1" x14ac:dyDescent="0.2">
      <c r="A60" s="1043" t="s">
        <v>268</v>
      </c>
      <c r="B60" s="2594"/>
      <c r="C60" s="2595"/>
      <c r="D60" s="2596"/>
      <c r="E60" s="2395"/>
      <c r="F60" s="2396"/>
      <c r="G60" s="1058">
        <v>20</v>
      </c>
      <c r="H60" s="1059"/>
      <c r="I60" s="1081">
        <f t="shared" si="5"/>
        <v>6.2642070767998229E-2</v>
      </c>
      <c r="J60" s="1082">
        <f t="shared" si="6"/>
        <v>0</v>
      </c>
      <c r="K60" s="1061">
        <v>3</v>
      </c>
      <c r="L60" s="1305"/>
      <c r="M60" s="1086">
        <f t="shared" si="7"/>
        <v>0</v>
      </c>
      <c r="N60" s="505"/>
      <c r="O60" s="365">
        <f t="shared" si="8"/>
        <v>20</v>
      </c>
      <c r="P60" s="366"/>
      <c r="Q60" s="135"/>
      <c r="R60" s="136"/>
      <c r="S60" s="129"/>
      <c r="T60" s="129"/>
      <c r="U60" s="129"/>
      <c r="V60" s="129"/>
      <c r="W60" s="129"/>
      <c r="X60" s="129"/>
      <c r="Y60" s="129"/>
      <c r="Z60" s="133"/>
      <c r="AA60" s="133"/>
      <c r="AB60" s="133"/>
      <c r="AC60" s="133"/>
      <c r="AD60" s="133"/>
      <c r="AE60" s="133"/>
      <c r="AF60" s="222"/>
      <c r="AG60" s="222"/>
      <c r="AH60" s="222"/>
      <c r="AI60" s="176"/>
      <c r="AJ60" s="176"/>
      <c r="AK60" s="176"/>
      <c r="AL60" s="176"/>
      <c r="AM60" s="176"/>
      <c r="AN60" s="176"/>
      <c r="AO60" s="176"/>
      <c r="AP60" s="176"/>
      <c r="AQ60" s="176"/>
      <c r="AR60" s="176"/>
      <c r="AS60" s="176"/>
      <c r="AT60" s="176"/>
      <c r="AU60" s="176"/>
      <c r="AV60" s="176"/>
      <c r="AW60" s="176"/>
      <c r="AX60" s="176"/>
      <c r="AY60" s="176"/>
      <c r="AZ60" s="176"/>
      <c r="BA60" s="176"/>
      <c r="BB60" s="176"/>
      <c r="BC60" s="176"/>
      <c r="BD60" s="176"/>
      <c r="BE60" s="176"/>
      <c r="BF60" s="176"/>
      <c r="BG60" s="176"/>
      <c r="BH60" s="176"/>
      <c r="BI60" s="176"/>
      <c r="BJ60" s="176"/>
      <c r="BK60" s="176"/>
      <c r="BL60" s="176"/>
      <c r="BM60" s="176"/>
      <c r="BN60" s="176"/>
      <c r="BO60" s="176"/>
    </row>
    <row r="61" spans="1:67" s="36" customFormat="1" ht="10.5" customHeight="1" x14ac:dyDescent="0.2">
      <c r="A61" s="1043" t="s">
        <v>269</v>
      </c>
      <c r="B61" s="2594"/>
      <c r="C61" s="2595"/>
      <c r="D61" s="2596"/>
      <c r="E61" s="2395"/>
      <c r="F61" s="2396"/>
      <c r="G61" s="1058">
        <v>20</v>
      </c>
      <c r="H61" s="1059"/>
      <c r="I61" s="1081">
        <f t="shared" si="5"/>
        <v>6.2642070767998229E-2</v>
      </c>
      <c r="J61" s="1082">
        <f t="shared" si="6"/>
        <v>0</v>
      </c>
      <c r="K61" s="1061">
        <v>2</v>
      </c>
      <c r="L61" s="1305"/>
      <c r="M61" s="1086">
        <f t="shared" si="7"/>
        <v>0</v>
      </c>
      <c r="N61" s="505"/>
      <c r="O61" s="365">
        <f t="shared" si="8"/>
        <v>20</v>
      </c>
      <c r="P61" s="366"/>
      <c r="Q61" s="135"/>
      <c r="R61" s="136"/>
      <c r="S61" s="129"/>
      <c r="T61" s="129"/>
      <c r="U61" s="129"/>
      <c r="V61" s="129"/>
      <c r="W61" s="129"/>
      <c r="X61" s="129"/>
      <c r="Y61" s="129"/>
      <c r="Z61" s="133"/>
      <c r="AA61" s="133"/>
      <c r="AB61" s="133"/>
      <c r="AC61" s="133"/>
      <c r="AD61" s="133"/>
      <c r="AE61" s="133"/>
      <c r="AF61" s="222"/>
      <c r="AG61" s="222"/>
      <c r="AH61" s="222"/>
      <c r="AI61" s="176"/>
      <c r="AJ61" s="176"/>
      <c r="AK61" s="176"/>
      <c r="AL61" s="176"/>
      <c r="AM61" s="176"/>
      <c r="AN61" s="176"/>
      <c r="AO61" s="176"/>
      <c r="AP61" s="176"/>
      <c r="AQ61" s="176"/>
      <c r="AR61" s="176"/>
      <c r="AS61" s="176"/>
      <c r="AT61" s="176"/>
      <c r="AU61" s="176"/>
      <c r="AV61" s="176"/>
      <c r="AW61" s="176"/>
      <c r="AX61" s="176"/>
      <c r="AY61" s="176"/>
      <c r="AZ61" s="176"/>
      <c r="BA61" s="176"/>
      <c r="BB61" s="176"/>
      <c r="BC61" s="176"/>
      <c r="BD61" s="176"/>
      <c r="BE61" s="176"/>
      <c r="BF61" s="176"/>
      <c r="BG61" s="176"/>
      <c r="BH61" s="176"/>
      <c r="BI61" s="176"/>
      <c r="BJ61" s="176"/>
      <c r="BK61" s="176"/>
      <c r="BL61" s="176"/>
      <c r="BM61" s="176"/>
      <c r="BN61" s="176"/>
      <c r="BO61" s="176"/>
    </row>
    <row r="62" spans="1:67" s="36" customFormat="1" ht="10.5" customHeight="1" x14ac:dyDescent="0.2">
      <c r="A62" s="1043" t="s">
        <v>270</v>
      </c>
      <c r="B62" s="2594"/>
      <c r="C62" s="2595"/>
      <c r="D62" s="2596"/>
      <c r="E62" s="2395"/>
      <c r="F62" s="2396"/>
      <c r="G62" s="1058">
        <v>20</v>
      </c>
      <c r="H62" s="1059"/>
      <c r="I62" s="1081">
        <f t="shared" si="5"/>
        <v>6.2642070767998229E-2</v>
      </c>
      <c r="J62" s="1082">
        <f t="shared" si="6"/>
        <v>0</v>
      </c>
      <c r="K62" s="1061">
        <v>3</v>
      </c>
      <c r="L62" s="1305"/>
      <c r="M62" s="1086">
        <f t="shared" si="7"/>
        <v>0</v>
      </c>
      <c r="N62" s="505"/>
      <c r="O62" s="365">
        <f t="shared" si="8"/>
        <v>20</v>
      </c>
      <c r="P62" s="366"/>
      <c r="Q62" s="135"/>
      <c r="R62" s="136"/>
      <c r="S62" s="129"/>
      <c r="T62" s="129"/>
      <c r="U62" s="129"/>
      <c r="V62" s="129"/>
      <c r="W62" s="129"/>
      <c r="X62" s="129"/>
      <c r="Y62" s="129"/>
      <c r="Z62" s="133"/>
      <c r="AA62" s="133"/>
      <c r="AB62" s="133"/>
      <c r="AC62" s="133"/>
      <c r="AD62" s="133"/>
      <c r="AE62" s="133"/>
      <c r="AF62" s="222"/>
      <c r="AG62" s="222"/>
      <c r="AH62" s="222"/>
      <c r="AI62" s="176"/>
      <c r="AJ62" s="176"/>
      <c r="AK62" s="176"/>
      <c r="AL62" s="176"/>
      <c r="AM62" s="176"/>
      <c r="AN62" s="176"/>
      <c r="AO62" s="176"/>
      <c r="AP62" s="176"/>
      <c r="AQ62" s="176"/>
      <c r="AR62" s="176"/>
      <c r="AS62" s="176"/>
      <c r="AT62" s="176"/>
      <c r="AU62" s="176"/>
      <c r="AV62" s="176"/>
      <c r="AW62" s="176"/>
      <c r="AX62" s="176"/>
      <c r="AY62" s="176"/>
      <c r="AZ62" s="176"/>
      <c r="BA62" s="176"/>
      <c r="BB62" s="176"/>
      <c r="BC62" s="176"/>
      <c r="BD62" s="176"/>
      <c r="BE62" s="176"/>
      <c r="BF62" s="176"/>
      <c r="BG62" s="176"/>
      <c r="BH62" s="176"/>
      <c r="BI62" s="176"/>
      <c r="BJ62" s="176"/>
      <c r="BK62" s="176"/>
      <c r="BL62" s="176"/>
      <c r="BM62" s="176"/>
      <c r="BN62" s="176"/>
      <c r="BO62" s="176"/>
    </row>
    <row r="63" spans="1:67" s="36" customFormat="1" ht="10.5" customHeight="1" x14ac:dyDescent="0.2">
      <c r="A63" s="1043" t="s">
        <v>271</v>
      </c>
      <c r="B63" s="2594"/>
      <c r="C63" s="2595"/>
      <c r="D63" s="2596"/>
      <c r="E63" s="2395"/>
      <c r="F63" s="2396"/>
      <c r="G63" s="1058">
        <v>20</v>
      </c>
      <c r="H63" s="1059"/>
      <c r="I63" s="1081">
        <f t="shared" si="5"/>
        <v>6.2642070767998229E-2</v>
      </c>
      <c r="J63" s="1082">
        <f t="shared" si="6"/>
        <v>0</v>
      </c>
      <c r="K63" s="1061">
        <v>3</v>
      </c>
      <c r="L63" s="1305"/>
      <c r="M63" s="1086">
        <f t="shared" si="7"/>
        <v>0</v>
      </c>
      <c r="N63" s="505"/>
      <c r="O63" s="365">
        <f t="shared" si="8"/>
        <v>20</v>
      </c>
      <c r="P63" s="366"/>
      <c r="Q63" s="135"/>
      <c r="R63" s="136"/>
      <c r="S63" s="129"/>
      <c r="T63" s="129"/>
      <c r="U63" s="129"/>
      <c r="V63" s="129"/>
      <c r="W63" s="129"/>
      <c r="X63" s="129"/>
      <c r="Y63" s="129"/>
      <c r="Z63" s="133"/>
      <c r="AA63" s="133"/>
      <c r="AB63" s="133"/>
      <c r="AC63" s="133"/>
      <c r="AD63" s="133"/>
      <c r="AE63" s="133"/>
      <c r="AF63" s="222"/>
      <c r="AG63" s="222"/>
      <c r="AH63" s="222"/>
      <c r="AI63" s="176"/>
      <c r="AJ63" s="176"/>
      <c r="AK63" s="176"/>
      <c r="AL63" s="176"/>
      <c r="AM63" s="176"/>
      <c r="AN63" s="176"/>
      <c r="AO63" s="176"/>
      <c r="AP63" s="176"/>
      <c r="AQ63" s="176"/>
      <c r="AR63" s="176"/>
      <c r="AS63" s="176"/>
      <c r="AT63" s="176"/>
      <c r="AU63" s="176"/>
      <c r="AV63" s="176"/>
      <c r="AW63" s="176"/>
      <c r="AX63" s="176"/>
      <c r="AY63" s="176"/>
      <c r="AZ63" s="176"/>
      <c r="BA63" s="176"/>
      <c r="BB63" s="176"/>
      <c r="BC63" s="176"/>
      <c r="BD63" s="176"/>
      <c r="BE63" s="176"/>
      <c r="BF63" s="176"/>
      <c r="BG63" s="176"/>
      <c r="BH63" s="176"/>
      <c r="BI63" s="176"/>
      <c r="BJ63" s="176"/>
      <c r="BK63" s="176"/>
      <c r="BL63" s="176"/>
      <c r="BM63" s="176"/>
      <c r="BN63" s="176"/>
      <c r="BO63" s="176"/>
    </row>
    <row r="64" spans="1:67" s="36" customFormat="1" ht="10.5" customHeight="1" x14ac:dyDescent="0.2">
      <c r="A64" s="1043" t="s">
        <v>272</v>
      </c>
      <c r="B64" s="2594"/>
      <c r="C64" s="2595"/>
      <c r="D64" s="2596"/>
      <c r="E64" s="2395"/>
      <c r="F64" s="2396"/>
      <c r="G64" s="1058">
        <v>40</v>
      </c>
      <c r="H64" s="1059"/>
      <c r="I64" s="1081">
        <f t="shared" si="5"/>
        <v>3.8177378061076156E-2</v>
      </c>
      <c r="J64" s="1082">
        <f t="shared" si="6"/>
        <v>0</v>
      </c>
      <c r="K64" s="1061">
        <v>0</v>
      </c>
      <c r="L64" s="1305"/>
      <c r="M64" s="1086">
        <f t="shared" si="7"/>
        <v>0</v>
      </c>
      <c r="N64" s="505"/>
      <c r="O64" s="365">
        <f t="shared" si="8"/>
        <v>40</v>
      </c>
      <c r="P64" s="366"/>
      <c r="Q64" s="135"/>
      <c r="R64" s="136"/>
      <c r="S64" s="129"/>
      <c r="T64" s="129"/>
      <c r="U64" s="129"/>
      <c r="V64" s="129"/>
      <c r="W64" s="129"/>
      <c r="X64" s="129"/>
      <c r="Y64" s="129"/>
      <c r="Z64" s="133"/>
      <c r="AA64" s="133"/>
      <c r="AB64" s="133"/>
      <c r="AC64" s="133"/>
      <c r="AD64" s="133"/>
      <c r="AE64" s="133"/>
      <c r="AF64" s="222"/>
      <c r="AG64" s="222"/>
      <c r="AH64" s="222"/>
      <c r="AI64" s="176"/>
      <c r="AJ64" s="176"/>
      <c r="AK64" s="176"/>
      <c r="AL64" s="176"/>
      <c r="AM64" s="176"/>
      <c r="AN64" s="176"/>
      <c r="AO64" s="176"/>
      <c r="AP64" s="176"/>
      <c r="AQ64" s="176"/>
      <c r="AR64" s="176"/>
      <c r="AS64" s="176"/>
      <c r="AT64" s="176"/>
      <c r="AU64" s="176"/>
      <c r="AV64" s="176"/>
      <c r="AW64" s="176"/>
      <c r="AX64" s="176"/>
      <c r="AY64" s="176"/>
      <c r="AZ64" s="176"/>
      <c r="BA64" s="176"/>
      <c r="BB64" s="176"/>
      <c r="BC64" s="176"/>
      <c r="BD64" s="176"/>
      <c r="BE64" s="176"/>
      <c r="BF64" s="176"/>
      <c r="BG64" s="176"/>
      <c r="BH64" s="176"/>
      <c r="BI64" s="176"/>
      <c r="BJ64" s="176"/>
      <c r="BK64" s="176"/>
      <c r="BL64" s="176"/>
      <c r="BM64" s="176"/>
      <c r="BN64" s="176"/>
      <c r="BO64" s="176"/>
    </row>
    <row r="65" spans="1:67" s="36" customFormat="1" ht="10.5" customHeight="1" x14ac:dyDescent="0.2">
      <c r="A65" s="1043" t="s">
        <v>273</v>
      </c>
      <c r="B65" s="2594"/>
      <c r="C65" s="2595"/>
      <c r="D65" s="2596"/>
      <c r="E65" s="2395"/>
      <c r="F65" s="2396"/>
      <c r="G65" s="1058">
        <v>20</v>
      </c>
      <c r="H65" s="1059"/>
      <c r="I65" s="1081">
        <f t="shared" si="5"/>
        <v>6.2642070767998229E-2</v>
      </c>
      <c r="J65" s="1082">
        <f t="shared" si="6"/>
        <v>0</v>
      </c>
      <c r="K65" s="1061">
        <v>8</v>
      </c>
      <c r="L65" s="1305"/>
      <c r="M65" s="1086">
        <f t="shared" si="7"/>
        <v>0</v>
      </c>
      <c r="N65" s="505"/>
      <c r="O65" s="365">
        <f t="shared" si="8"/>
        <v>20</v>
      </c>
      <c r="P65" s="366"/>
      <c r="Q65" s="135"/>
      <c r="R65" s="136"/>
      <c r="S65" s="129"/>
      <c r="T65" s="129"/>
      <c r="U65" s="129"/>
      <c r="V65" s="129"/>
      <c r="W65" s="129"/>
      <c r="X65" s="129"/>
      <c r="Y65" s="129"/>
      <c r="Z65" s="133"/>
      <c r="AA65" s="133"/>
      <c r="AB65" s="133"/>
      <c r="AC65" s="133"/>
      <c r="AD65" s="133"/>
      <c r="AE65" s="133"/>
      <c r="AF65" s="222"/>
      <c r="AG65" s="222"/>
      <c r="AH65" s="222"/>
      <c r="AI65" s="176"/>
      <c r="AJ65" s="176"/>
      <c r="AK65" s="176"/>
      <c r="AL65" s="176"/>
      <c r="AM65" s="176"/>
      <c r="AN65" s="176"/>
      <c r="AO65" s="176"/>
      <c r="AP65" s="176"/>
      <c r="AQ65" s="176"/>
      <c r="AR65" s="176"/>
      <c r="AS65" s="176"/>
      <c r="AT65" s="176"/>
      <c r="AU65" s="176"/>
      <c r="AV65" s="176"/>
      <c r="AW65" s="176"/>
      <c r="AX65" s="176"/>
      <c r="AY65" s="176"/>
      <c r="AZ65" s="176"/>
      <c r="BA65" s="176"/>
      <c r="BB65" s="176"/>
      <c r="BC65" s="176"/>
      <c r="BD65" s="176"/>
      <c r="BE65" s="176"/>
      <c r="BF65" s="176"/>
      <c r="BG65" s="176"/>
      <c r="BH65" s="176"/>
      <c r="BI65" s="176"/>
      <c r="BJ65" s="176"/>
      <c r="BK65" s="176"/>
      <c r="BL65" s="176"/>
      <c r="BM65" s="176"/>
      <c r="BN65" s="176"/>
      <c r="BO65" s="176"/>
    </row>
    <row r="66" spans="1:67" s="36" customFormat="1" ht="10.5" customHeight="1" x14ac:dyDescent="0.2">
      <c r="A66" s="1043" t="s">
        <v>274</v>
      </c>
      <c r="B66" s="2594"/>
      <c r="C66" s="2595"/>
      <c r="D66" s="2596"/>
      <c r="E66" s="2395"/>
      <c r="F66" s="2396"/>
      <c r="G66" s="1058">
        <v>20</v>
      </c>
      <c r="H66" s="1059"/>
      <c r="I66" s="1081">
        <f t="shared" si="5"/>
        <v>6.2642070767998229E-2</v>
      </c>
      <c r="J66" s="1082">
        <f t="shared" si="6"/>
        <v>0</v>
      </c>
      <c r="K66" s="1061">
        <v>0</v>
      </c>
      <c r="L66" s="1305"/>
      <c r="M66" s="1086">
        <f t="shared" si="7"/>
        <v>0</v>
      </c>
      <c r="N66" s="505"/>
      <c r="O66" s="365">
        <f t="shared" si="8"/>
        <v>20</v>
      </c>
      <c r="P66" s="366"/>
      <c r="Q66" s="135"/>
      <c r="R66" s="136"/>
      <c r="S66" s="129"/>
      <c r="T66" s="129"/>
      <c r="U66" s="129"/>
      <c r="V66" s="129"/>
      <c r="W66" s="129"/>
      <c r="X66" s="129"/>
      <c r="Y66" s="129"/>
      <c r="Z66" s="133"/>
      <c r="AA66" s="133"/>
      <c r="AB66" s="133"/>
      <c r="AC66" s="133"/>
      <c r="AD66" s="133"/>
      <c r="AE66" s="133"/>
      <c r="AF66" s="222"/>
      <c r="AG66" s="222"/>
      <c r="AH66" s="222"/>
      <c r="AI66" s="176"/>
      <c r="AJ66" s="176"/>
      <c r="AK66" s="176"/>
      <c r="AL66" s="176"/>
      <c r="AM66" s="176"/>
      <c r="AN66" s="176"/>
      <c r="AO66" s="176"/>
      <c r="AP66" s="176"/>
      <c r="AQ66" s="176"/>
      <c r="AR66" s="176"/>
      <c r="AS66" s="176"/>
      <c r="AT66" s="176"/>
      <c r="AU66" s="176"/>
      <c r="AV66" s="176"/>
      <c r="AW66" s="176"/>
      <c r="AX66" s="176"/>
      <c r="AY66" s="176"/>
      <c r="AZ66" s="176"/>
      <c r="BA66" s="176"/>
      <c r="BB66" s="176"/>
      <c r="BC66" s="176"/>
      <c r="BD66" s="176"/>
      <c r="BE66" s="176"/>
      <c r="BF66" s="176"/>
      <c r="BG66" s="176"/>
      <c r="BH66" s="176"/>
      <c r="BI66" s="176"/>
      <c r="BJ66" s="176"/>
      <c r="BK66" s="176"/>
      <c r="BL66" s="176"/>
      <c r="BM66" s="176"/>
      <c r="BN66" s="176"/>
      <c r="BO66" s="176"/>
    </row>
    <row r="67" spans="1:67" s="36" customFormat="1" ht="10.5" customHeight="1" x14ac:dyDescent="0.2">
      <c r="A67" s="1055"/>
      <c r="B67" s="2594"/>
      <c r="C67" s="2595"/>
      <c r="D67" s="2596"/>
      <c r="E67" s="2395"/>
      <c r="F67" s="2396"/>
      <c r="G67" s="2590"/>
      <c r="H67" s="2591"/>
      <c r="I67" s="1081">
        <f t="shared" si="5"/>
        <v>0</v>
      </c>
      <c r="J67" s="1082">
        <f t="shared" si="6"/>
        <v>0</v>
      </c>
      <c r="K67" s="2588"/>
      <c r="L67" s="2589"/>
      <c r="M67" s="1086">
        <f t="shared" si="7"/>
        <v>0</v>
      </c>
      <c r="N67" s="505"/>
      <c r="O67" s="365">
        <f t="shared" si="8"/>
        <v>0</v>
      </c>
      <c r="P67" s="366"/>
      <c r="Q67" s="135"/>
      <c r="R67" s="136"/>
      <c r="S67" s="129"/>
      <c r="T67" s="129"/>
      <c r="U67" s="129"/>
      <c r="V67" s="129"/>
      <c r="W67" s="129"/>
      <c r="X67" s="129"/>
      <c r="Y67" s="129"/>
      <c r="Z67" s="133"/>
      <c r="AA67" s="133"/>
      <c r="AB67" s="133"/>
      <c r="AC67" s="133"/>
      <c r="AD67" s="133"/>
      <c r="AE67" s="133"/>
      <c r="AF67" s="222"/>
      <c r="AG67" s="222"/>
      <c r="AH67" s="222"/>
      <c r="AI67" s="176"/>
      <c r="AJ67" s="176"/>
      <c r="AK67" s="176"/>
      <c r="AL67" s="176"/>
      <c r="AM67" s="176"/>
      <c r="AN67" s="176"/>
      <c r="AO67" s="176"/>
      <c r="AP67" s="176"/>
      <c r="AQ67" s="176"/>
      <c r="AR67" s="176"/>
      <c r="AS67" s="176"/>
      <c r="AT67" s="176"/>
      <c r="AU67" s="176"/>
      <c r="AV67" s="176"/>
      <c r="AW67" s="176"/>
      <c r="AX67" s="176"/>
      <c r="AY67" s="176"/>
      <c r="AZ67" s="176"/>
      <c r="BA67" s="176"/>
      <c r="BB67" s="176"/>
      <c r="BC67" s="176"/>
      <c r="BD67" s="176"/>
      <c r="BE67" s="176"/>
      <c r="BF67" s="176"/>
      <c r="BG67" s="176"/>
      <c r="BH67" s="176"/>
      <c r="BI67" s="176"/>
      <c r="BJ67" s="176"/>
      <c r="BK67" s="176"/>
      <c r="BL67" s="176"/>
      <c r="BM67" s="176"/>
      <c r="BN67" s="176"/>
      <c r="BO67" s="176"/>
    </row>
    <row r="68" spans="1:67" s="36" customFormat="1" ht="10.5" customHeight="1" x14ac:dyDescent="0.2">
      <c r="A68" s="1055"/>
      <c r="B68" s="2594"/>
      <c r="C68" s="2595"/>
      <c r="D68" s="2596"/>
      <c r="E68" s="2395"/>
      <c r="F68" s="2396"/>
      <c r="G68" s="2590"/>
      <c r="H68" s="2591"/>
      <c r="I68" s="1081">
        <f t="shared" si="5"/>
        <v>0</v>
      </c>
      <c r="J68" s="1082">
        <f t="shared" si="6"/>
        <v>0</v>
      </c>
      <c r="K68" s="2588"/>
      <c r="L68" s="2589"/>
      <c r="M68" s="1086">
        <f t="shared" si="7"/>
        <v>0</v>
      </c>
      <c r="N68" s="505"/>
      <c r="O68" s="365">
        <f t="shared" si="8"/>
        <v>0</v>
      </c>
      <c r="P68" s="366"/>
      <c r="Q68" s="135"/>
      <c r="R68" s="136"/>
      <c r="S68" s="129"/>
      <c r="T68" s="129"/>
      <c r="U68" s="129"/>
      <c r="V68" s="129"/>
      <c r="W68" s="129"/>
      <c r="X68" s="129"/>
      <c r="Y68" s="129"/>
      <c r="Z68" s="133"/>
      <c r="AA68" s="133"/>
      <c r="AB68" s="133"/>
      <c r="AC68" s="133"/>
      <c r="AD68" s="133"/>
      <c r="AE68" s="133"/>
      <c r="AF68" s="222"/>
      <c r="AG68" s="222"/>
      <c r="AH68" s="222"/>
      <c r="AI68" s="176"/>
      <c r="AJ68" s="176"/>
      <c r="AK68" s="176"/>
      <c r="AL68" s="176"/>
      <c r="AM68" s="176"/>
      <c r="AN68" s="176"/>
      <c r="AO68" s="176"/>
      <c r="AP68" s="176"/>
      <c r="AQ68" s="176"/>
      <c r="AR68" s="176"/>
      <c r="AS68" s="176"/>
      <c r="AT68" s="176"/>
      <c r="AU68" s="176"/>
      <c r="AV68" s="176"/>
      <c r="AW68" s="176"/>
      <c r="AX68" s="176"/>
      <c r="AY68" s="176"/>
      <c r="AZ68" s="176"/>
      <c r="BA68" s="176"/>
      <c r="BB68" s="176"/>
      <c r="BC68" s="176"/>
      <c r="BD68" s="176"/>
      <c r="BE68" s="176"/>
      <c r="BF68" s="176"/>
      <c r="BG68" s="176"/>
      <c r="BH68" s="176"/>
      <c r="BI68" s="176"/>
      <c r="BJ68" s="176"/>
      <c r="BK68" s="176"/>
      <c r="BL68" s="176"/>
      <c r="BM68" s="176"/>
      <c r="BN68" s="176"/>
      <c r="BO68" s="176"/>
    </row>
    <row r="69" spans="1:67" s="36" customFormat="1" ht="10.5" customHeight="1" x14ac:dyDescent="0.2">
      <c r="A69" s="1348"/>
      <c r="B69" s="2690"/>
      <c r="C69" s="2691"/>
      <c r="D69" s="2692"/>
      <c r="E69" s="2601"/>
      <c r="F69" s="2602"/>
      <c r="G69" s="1088"/>
      <c r="H69" s="1089"/>
      <c r="I69" s="1083">
        <f t="shared" si="5"/>
        <v>0</v>
      </c>
      <c r="J69" s="1084"/>
      <c r="K69" s="1087"/>
      <c r="L69" s="1307"/>
      <c r="M69" s="1317">
        <f t="shared" si="7"/>
        <v>0</v>
      </c>
      <c r="N69" s="505"/>
      <c r="O69" s="365">
        <f t="shared" si="8"/>
        <v>0</v>
      </c>
      <c r="P69" s="366"/>
      <c r="Q69" s="135"/>
      <c r="R69" s="136"/>
      <c r="S69" s="129"/>
      <c r="T69" s="129"/>
      <c r="U69" s="129"/>
      <c r="V69" s="129"/>
      <c r="W69" s="129"/>
      <c r="X69" s="129"/>
      <c r="Y69" s="129"/>
      <c r="Z69" s="133"/>
      <c r="AA69" s="133"/>
      <c r="AB69" s="133"/>
      <c r="AC69" s="133"/>
      <c r="AD69" s="133"/>
      <c r="AE69" s="133"/>
      <c r="AF69" s="222"/>
      <c r="AG69" s="222"/>
      <c r="AH69" s="222"/>
      <c r="AI69" s="176"/>
      <c r="AJ69" s="176"/>
      <c r="AK69" s="176"/>
      <c r="AL69" s="176"/>
      <c r="AM69" s="176"/>
      <c r="AN69" s="176"/>
      <c r="AO69" s="176"/>
      <c r="AP69" s="176"/>
      <c r="AQ69" s="176"/>
      <c r="AR69" s="176"/>
      <c r="AS69" s="176"/>
      <c r="AT69" s="176"/>
      <c r="AU69" s="176"/>
      <c r="AV69" s="176"/>
      <c r="AW69" s="176"/>
      <c r="AX69" s="176"/>
      <c r="AY69" s="176"/>
      <c r="AZ69" s="176"/>
      <c r="BA69" s="176"/>
      <c r="BB69" s="176"/>
      <c r="BC69" s="176"/>
      <c r="BD69" s="176"/>
      <c r="BE69" s="176"/>
      <c r="BF69" s="176"/>
      <c r="BG69" s="176"/>
      <c r="BH69" s="176"/>
      <c r="BI69" s="176"/>
      <c r="BJ69" s="176"/>
      <c r="BK69" s="176"/>
      <c r="BL69" s="176"/>
      <c r="BM69" s="176"/>
      <c r="BN69" s="176"/>
      <c r="BO69" s="176"/>
    </row>
    <row r="70" spans="1:67" s="36" customFormat="1" ht="10.5" customHeight="1" x14ac:dyDescent="0.2">
      <c r="A70" s="1345" t="s">
        <v>275</v>
      </c>
      <c r="B70" s="2603"/>
      <c r="C70" s="2604"/>
      <c r="D70" s="2605"/>
      <c r="E70" s="2730">
        <f>SUM(E71:E83)</f>
        <v>0</v>
      </c>
      <c r="F70" s="2731"/>
      <c r="G70" s="2732"/>
      <c r="H70" s="2733"/>
      <c r="I70" s="1121">
        <f>IF(E70=0,0,J70/E70)</f>
        <v>0</v>
      </c>
      <c r="J70" s="1346">
        <f>SUM(J71:J83)</f>
        <v>0</v>
      </c>
      <c r="K70" s="2734">
        <f>IF(E70=0,0,M70/E70*100)</f>
        <v>0</v>
      </c>
      <c r="L70" s="2736"/>
      <c r="M70" s="1347">
        <f>SUM(M71:M83)</f>
        <v>0</v>
      </c>
      <c r="N70" s="505"/>
      <c r="O70" s="178">
        <f>IF(H70="",G70,H70)</f>
        <v>0</v>
      </c>
      <c r="P70" s="366"/>
      <c r="Q70" s="135"/>
      <c r="R70" s="136"/>
      <c r="S70" s="129"/>
      <c r="T70" s="129"/>
      <c r="U70" s="129"/>
      <c r="V70" s="129"/>
      <c r="W70" s="129"/>
      <c r="X70" s="129"/>
      <c r="Y70" s="129"/>
      <c r="Z70" s="133"/>
      <c r="AA70" s="133"/>
      <c r="AB70" s="133"/>
      <c r="AC70" s="133"/>
      <c r="AD70" s="133"/>
      <c r="AE70" s="133"/>
      <c r="AF70" s="222"/>
      <c r="AG70" s="222"/>
      <c r="AH70" s="222"/>
      <c r="AI70" s="176"/>
      <c r="AJ70" s="176"/>
      <c r="AK70" s="176"/>
      <c r="AL70" s="176"/>
      <c r="AM70" s="176"/>
      <c r="AN70" s="176"/>
      <c r="AO70" s="176"/>
      <c r="AP70" s="176"/>
      <c r="AQ70" s="176"/>
      <c r="AR70" s="176"/>
      <c r="AS70" s="176"/>
      <c r="AT70" s="176"/>
      <c r="AU70" s="176"/>
      <c r="AV70" s="176"/>
      <c r="AW70" s="176"/>
      <c r="AX70" s="176"/>
      <c r="AY70" s="176"/>
      <c r="AZ70" s="176"/>
      <c r="BA70" s="176"/>
      <c r="BB70" s="176"/>
      <c r="BC70" s="176"/>
      <c r="BD70" s="176"/>
      <c r="BE70" s="176"/>
      <c r="BF70" s="176"/>
      <c r="BG70" s="176"/>
      <c r="BH70" s="176"/>
      <c r="BI70" s="176"/>
      <c r="BJ70" s="176"/>
      <c r="BK70" s="176"/>
      <c r="BL70" s="176"/>
      <c r="BM70" s="176"/>
      <c r="BN70" s="176"/>
      <c r="BO70" s="176"/>
    </row>
    <row r="71" spans="1:67" s="36" customFormat="1" ht="10.5" customHeight="1" x14ac:dyDescent="0.2">
      <c r="A71" s="1042" t="s">
        <v>276</v>
      </c>
      <c r="B71" s="2624"/>
      <c r="C71" s="2625"/>
      <c r="D71" s="2626"/>
      <c r="E71" s="2386"/>
      <c r="F71" s="2387"/>
      <c r="G71" s="1056">
        <v>40</v>
      </c>
      <c r="H71" s="1057"/>
      <c r="I71" s="1079">
        <f t="shared" ref="I71:I84" si="9">IF($O71&gt;0,-PMT(($I$9),$O71,1),0)</f>
        <v>3.8177378061076156E-2</v>
      </c>
      <c r="J71" s="1080">
        <f t="shared" ref="J71:J83" si="10">ROUND(E71*I71,0)</f>
        <v>0</v>
      </c>
      <c r="K71" s="1060">
        <v>1.5</v>
      </c>
      <c r="L71" s="1304"/>
      <c r="M71" s="1085">
        <f t="shared" ref="M71:M84" si="11">ROUND(E71/100*IF(ISBLANK(L71),K71,L71),0)</f>
        <v>0</v>
      </c>
      <c r="N71" s="505"/>
      <c r="O71" s="365">
        <f t="shared" ref="O71:O84" si="12">IF(ISBLANK(H71),G71,H71)</f>
        <v>40</v>
      </c>
      <c r="P71" s="366"/>
      <c r="Q71" s="135"/>
      <c r="R71" s="136"/>
      <c r="S71" s="129"/>
      <c r="T71" s="129"/>
      <c r="U71" s="129"/>
      <c r="V71" s="129"/>
      <c r="W71" s="129"/>
      <c r="X71" s="129"/>
      <c r="Y71" s="129"/>
      <c r="Z71" s="133"/>
      <c r="AA71" s="133"/>
      <c r="AB71" s="133"/>
      <c r="AC71" s="133"/>
      <c r="AD71" s="133"/>
      <c r="AE71" s="133"/>
      <c r="AF71" s="222"/>
      <c r="AG71" s="222"/>
      <c r="AH71" s="222"/>
      <c r="AI71" s="176"/>
      <c r="AJ71" s="176"/>
      <c r="AK71" s="176"/>
      <c r="AL71" s="176"/>
      <c r="AM71" s="176"/>
      <c r="AN71" s="176"/>
      <c r="AO71" s="176"/>
      <c r="AP71" s="176"/>
      <c r="AQ71" s="176"/>
      <c r="AR71" s="176"/>
      <c r="AS71" s="176"/>
      <c r="AT71" s="176"/>
      <c r="AU71" s="176"/>
      <c r="AV71" s="176"/>
      <c r="AW71" s="176"/>
      <c r="AX71" s="176"/>
      <c r="AY71" s="176"/>
      <c r="AZ71" s="176"/>
      <c r="BA71" s="176"/>
      <c r="BB71" s="176"/>
      <c r="BC71" s="176"/>
      <c r="BD71" s="176"/>
      <c r="BE71" s="176"/>
      <c r="BF71" s="176"/>
      <c r="BG71" s="176"/>
      <c r="BH71" s="176"/>
      <c r="BI71" s="176"/>
      <c r="BJ71" s="176"/>
      <c r="BK71" s="176"/>
      <c r="BL71" s="176"/>
      <c r="BM71" s="176"/>
      <c r="BN71" s="176"/>
      <c r="BO71" s="176"/>
    </row>
    <row r="72" spans="1:67" s="36" customFormat="1" ht="10.5" customHeight="1" x14ac:dyDescent="0.2">
      <c r="A72" s="1043" t="s">
        <v>277</v>
      </c>
      <c r="B72" s="2594"/>
      <c r="C72" s="2595"/>
      <c r="D72" s="2596"/>
      <c r="E72" s="2395"/>
      <c r="F72" s="2396"/>
      <c r="G72" s="1058">
        <v>40</v>
      </c>
      <c r="H72" s="1059"/>
      <c r="I72" s="1081">
        <f t="shared" si="9"/>
        <v>3.8177378061076156E-2</v>
      </c>
      <c r="J72" s="1082">
        <f t="shared" si="10"/>
        <v>0</v>
      </c>
      <c r="K72" s="1061">
        <v>0.5</v>
      </c>
      <c r="L72" s="1305"/>
      <c r="M72" s="1086">
        <f t="shared" si="11"/>
        <v>0</v>
      </c>
      <c r="N72" s="505"/>
      <c r="O72" s="365">
        <f t="shared" si="12"/>
        <v>40</v>
      </c>
      <c r="P72" s="366"/>
      <c r="Q72" s="135"/>
      <c r="R72" s="136"/>
      <c r="S72" s="129"/>
      <c r="T72" s="129"/>
      <c r="U72" s="129"/>
      <c r="V72" s="129"/>
      <c r="W72" s="129"/>
      <c r="X72" s="129"/>
      <c r="Y72" s="129"/>
      <c r="Z72" s="133"/>
      <c r="AA72" s="133"/>
      <c r="AB72" s="133"/>
      <c r="AC72" s="133"/>
      <c r="AD72" s="133"/>
      <c r="AE72" s="133"/>
      <c r="AF72" s="222"/>
      <c r="AG72" s="222"/>
      <c r="AH72" s="222"/>
      <c r="AI72" s="176"/>
      <c r="AJ72" s="176"/>
      <c r="AK72" s="176"/>
      <c r="AL72" s="176"/>
      <c r="AM72" s="176"/>
      <c r="AN72" s="176"/>
      <c r="AO72" s="176"/>
      <c r="AP72" s="176"/>
      <c r="AQ72" s="176"/>
      <c r="AR72" s="176"/>
      <c r="AS72" s="176"/>
      <c r="AT72" s="176"/>
      <c r="AU72" s="176"/>
      <c r="AV72" s="176"/>
      <c r="AW72" s="176"/>
      <c r="AX72" s="176"/>
      <c r="AY72" s="176"/>
      <c r="AZ72" s="176"/>
      <c r="BA72" s="176"/>
      <c r="BB72" s="176"/>
      <c r="BC72" s="176"/>
      <c r="BD72" s="176"/>
      <c r="BE72" s="176"/>
      <c r="BF72" s="176"/>
      <c r="BG72" s="176"/>
      <c r="BH72" s="176"/>
      <c r="BI72" s="176"/>
      <c r="BJ72" s="176"/>
      <c r="BK72" s="176"/>
      <c r="BL72" s="176"/>
      <c r="BM72" s="176"/>
      <c r="BN72" s="176"/>
      <c r="BO72" s="176"/>
    </row>
    <row r="73" spans="1:67" s="36" customFormat="1" ht="10.5" customHeight="1" x14ac:dyDescent="0.2">
      <c r="A73" s="1043" t="s">
        <v>278</v>
      </c>
      <c r="B73" s="2594"/>
      <c r="C73" s="2595"/>
      <c r="D73" s="2596"/>
      <c r="E73" s="2395"/>
      <c r="F73" s="2396"/>
      <c r="G73" s="1058">
        <v>20</v>
      </c>
      <c r="H73" s="1059"/>
      <c r="I73" s="1081">
        <f t="shared" si="9"/>
        <v>6.2642070767998229E-2</v>
      </c>
      <c r="J73" s="1082">
        <f t="shared" si="10"/>
        <v>0</v>
      </c>
      <c r="K73" s="1061">
        <v>1</v>
      </c>
      <c r="L73" s="1305"/>
      <c r="M73" s="1086">
        <f t="shared" si="11"/>
        <v>0</v>
      </c>
      <c r="N73" s="505"/>
      <c r="O73" s="365">
        <f t="shared" si="12"/>
        <v>20</v>
      </c>
      <c r="P73" s="366"/>
      <c r="Q73" s="135"/>
      <c r="R73" s="136"/>
      <c r="S73" s="129"/>
      <c r="T73" s="129"/>
      <c r="U73" s="129"/>
      <c r="V73" s="129"/>
      <c r="W73" s="129"/>
      <c r="X73" s="129"/>
      <c r="Y73" s="129"/>
      <c r="Z73" s="133"/>
      <c r="AA73" s="133"/>
      <c r="AB73" s="133"/>
      <c r="AC73" s="133"/>
      <c r="AD73" s="133"/>
      <c r="AE73" s="133"/>
      <c r="AF73" s="222"/>
      <c r="AG73" s="222"/>
      <c r="AH73" s="222"/>
      <c r="AI73" s="176"/>
      <c r="AJ73" s="176"/>
      <c r="AK73" s="176"/>
      <c r="AL73" s="176"/>
      <c r="AM73" s="176"/>
      <c r="AN73" s="176"/>
      <c r="AO73" s="176"/>
      <c r="AP73" s="176"/>
      <c r="AQ73" s="176"/>
      <c r="AR73" s="176"/>
      <c r="AS73" s="176"/>
      <c r="AT73" s="176"/>
      <c r="AU73" s="176"/>
      <c r="AV73" s="176"/>
      <c r="AW73" s="176"/>
      <c r="AX73" s="176"/>
      <c r="AY73" s="176"/>
      <c r="AZ73" s="176"/>
      <c r="BA73" s="176"/>
      <c r="BB73" s="176"/>
      <c r="BC73" s="176"/>
      <c r="BD73" s="176"/>
      <c r="BE73" s="176"/>
      <c r="BF73" s="176"/>
      <c r="BG73" s="176"/>
      <c r="BH73" s="176"/>
      <c r="BI73" s="176"/>
      <c r="BJ73" s="176"/>
      <c r="BK73" s="176"/>
      <c r="BL73" s="176"/>
      <c r="BM73" s="176"/>
      <c r="BN73" s="176"/>
      <c r="BO73" s="176"/>
    </row>
    <row r="74" spans="1:67" s="36" customFormat="1" ht="10.5" customHeight="1" x14ac:dyDescent="0.2">
      <c r="A74" s="1043" t="s">
        <v>279</v>
      </c>
      <c r="B74" s="2594"/>
      <c r="C74" s="2595"/>
      <c r="D74" s="2596"/>
      <c r="E74" s="2395"/>
      <c r="F74" s="2396"/>
      <c r="G74" s="1058">
        <v>30</v>
      </c>
      <c r="H74" s="1059"/>
      <c r="I74" s="1081">
        <f t="shared" si="9"/>
        <v>4.6199342169092869E-2</v>
      </c>
      <c r="J74" s="1082">
        <f t="shared" si="10"/>
        <v>0</v>
      </c>
      <c r="K74" s="1061">
        <v>2</v>
      </c>
      <c r="L74" s="1305"/>
      <c r="M74" s="1086">
        <f t="shared" si="11"/>
        <v>0</v>
      </c>
      <c r="N74" s="505"/>
      <c r="O74" s="365">
        <f t="shared" si="12"/>
        <v>30</v>
      </c>
      <c r="P74" s="366"/>
      <c r="Q74" s="135"/>
      <c r="R74" s="136"/>
      <c r="S74" s="129"/>
      <c r="T74" s="129"/>
      <c r="U74" s="129"/>
      <c r="V74" s="129"/>
      <c r="W74" s="129"/>
      <c r="X74" s="129"/>
      <c r="Y74" s="129"/>
      <c r="Z74" s="133"/>
      <c r="AA74" s="133"/>
      <c r="AB74" s="133"/>
      <c r="AC74" s="133"/>
      <c r="AD74" s="133"/>
      <c r="AE74" s="133"/>
      <c r="AF74" s="222"/>
      <c r="AG74" s="222"/>
      <c r="AH74" s="222"/>
      <c r="AI74" s="176"/>
      <c r="AJ74" s="176"/>
      <c r="AK74" s="176"/>
      <c r="AL74" s="176"/>
      <c r="AM74" s="176"/>
      <c r="AN74" s="176"/>
      <c r="AO74" s="176"/>
      <c r="AP74" s="176"/>
      <c r="AQ74" s="176"/>
      <c r="AR74" s="176"/>
      <c r="AS74" s="176"/>
      <c r="AT74" s="176"/>
      <c r="AU74" s="176"/>
      <c r="AV74" s="176"/>
      <c r="AW74" s="176"/>
      <c r="AX74" s="176"/>
      <c r="AY74" s="176"/>
      <c r="AZ74" s="176"/>
      <c r="BA74" s="176"/>
      <c r="BB74" s="176"/>
      <c r="BC74" s="176"/>
      <c r="BD74" s="176"/>
      <c r="BE74" s="176"/>
      <c r="BF74" s="176"/>
      <c r="BG74" s="176"/>
      <c r="BH74" s="176"/>
      <c r="BI74" s="176"/>
      <c r="BJ74" s="176"/>
      <c r="BK74" s="176"/>
      <c r="BL74" s="176"/>
      <c r="BM74" s="176"/>
      <c r="BN74" s="176"/>
      <c r="BO74" s="176"/>
    </row>
    <row r="75" spans="1:67" s="36" customFormat="1" ht="10.5" customHeight="1" x14ac:dyDescent="0.2">
      <c r="A75" s="1043" t="s">
        <v>280</v>
      </c>
      <c r="B75" s="2594"/>
      <c r="C75" s="2595"/>
      <c r="D75" s="2596"/>
      <c r="E75" s="2395"/>
      <c r="F75" s="2396"/>
      <c r="G75" s="1058">
        <v>30</v>
      </c>
      <c r="H75" s="1059"/>
      <c r="I75" s="1081">
        <f t="shared" si="9"/>
        <v>4.6199342169092869E-2</v>
      </c>
      <c r="J75" s="1082">
        <f t="shared" si="10"/>
        <v>0</v>
      </c>
      <c r="K75" s="1061">
        <v>1.5</v>
      </c>
      <c r="L75" s="1305"/>
      <c r="M75" s="1086">
        <f t="shared" si="11"/>
        <v>0</v>
      </c>
      <c r="N75" s="505"/>
      <c r="O75" s="365">
        <f t="shared" si="12"/>
        <v>30</v>
      </c>
      <c r="P75" s="366"/>
      <c r="Q75" s="135"/>
      <c r="R75" s="136"/>
      <c r="S75" s="129"/>
      <c r="T75" s="129"/>
      <c r="U75" s="129"/>
      <c r="V75" s="129"/>
      <c r="W75" s="129"/>
      <c r="X75" s="129"/>
      <c r="Y75" s="129"/>
      <c r="Z75" s="133"/>
      <c r="AA75" s="133"/>
      <c r="AB75" s="133"/>
      <c r="AC75" s="133"/>
      <c r="AD75" s="133"/>
      <c r="AE75" s="133"/>
      <c r="AF75" s="222"/>
      <c r="AG75" s="222"/>
      <c r="AH75" s="222"/>
      <c r="AI75" s="176"/>
      <c r="AJ75" s="176"/>
      <c r="AK75" s="176"/>
      <c r="AL75" s="176"/>
      <c r="AM75" s="176"/>
      <c r="AN75" s="176"/>
      <c r="AO75" s="176"/>
      <c r="AP75" s="176"/>
      <c r="AQ75" s="176"/>
      <c r="AR75" s="176"/>
      <c r="AS75" s="176"/>
      <c r="AT75" s="176"/>
      <c r="AU75" s="176"/>
      <c r="AV75" s="176"/>
      <c r="AW75" s="176"/>
      <c r="AX75" s="176"/>
      <c r="AY75" s="176"/>
      <c r="AZ75" s="176"/>
      <c r="BA75" s="176"/>
      <c r="BB75" s="176"/>
      <c r="BC75" s="176"/>
      <c r="BD75" s="176"/>
      <c r="BE75" s="176"/>
      <c r="BF75" s="176"/>
      <c r="BG75" s="176"/>
      <c r="BH75" s="176"/>
      <c r="BI75" s="176"/>
      <c r="BJ75" s="176"/>
      <c r="BK75" s="176"/>
      <c r="BL75" s="176"/>
      <c r="BM75" s="176"/>
      <c r="BN75" s="176"/>
      <c r="BO75" s="176"/>
    </row>
    <row r="76" spans="1:67" s="36" customFormat="1" ht="10.5" customHeight="1" x14ac:dyDescent="0.2">
      <c r="A76" s="1043" t="s">
        <v>281</v>
      </c>
      <c r="B76" s="2594"/>
      <c r="C76" s="2595"/>
      <c r="D76" s="2596"/>
      <c r="E76" s="2395"/>
      <c r="F76" s="2396"/>
      <c r="G76" s="1058">
        <v>20</v>
      </c>
      <c r="H76" s="1059"/>
      <c r="I76" s="1081">
        <f t="shared" si="9"/>
        <v>6.2642070767998229E-2</v>
      </c>
      <c r="J76" s="1082">
        <f t="shared" si="10"/>
        <v>0</v>
      </c>
      <c r="K76" s="1061">
        <v>1</v>
      </c>
      <c r="L76" s="1305"/>
      <c r="M76" s="1086">
        <f t="shared" si="11"/>
        <v>0</v>
      </c>
      <c r="N76" s="505"/>
      <c r="O76" s="365">
        <f t="shared" si="12"/>
        <v>20</v>
      </c>
      <c r="P76" s="366"/>
      <c r="Q76" s="135"/>
      <c r="R76" s="136"/>
      <c r="S76" s="129"/>
      <c r="T76" s="129"/>
      <c r="U76" s="129"/>
      <c r="V76" s="129"/>
      <c r="W76" s="129"/>
      <c r="X76" s="129"/>
      <c r="Y76" s="129"/>
      <c r="Z76" s="133"/>
      <c r="AA76" s="133"/>
      <c r="AB76" s="133"/>
      <c r="AC76" s="133"/>
      <c r="AD76" s="133"/>
      <c r="AE76" s="133"/>
      <c r="AF76" s="222"/>
      <c r="AG76" s="222"/>
      <c r="AH76" s="222"/>
      <c r="AI76" s="176"/>
      <c r="AJ76" s="176"/>
      <c r="AK76" s="176"/>
      <c r="AL76" s="176"/>
      <c r="AM76" s="176"/>
      <c r="AN76" s="176"/>
      <c r="AO76" s="176"/>
      <c r="AP76" s="176"/>
      <c r="AQ76" s="176"/>
      <c r="AR76" s="176"/>
      <c r="AS76" s="176"/>
      <c r="AT76" s="176"/>
      <c r="AU76" s="176"/>
      <c r="AV76" s="176"/>
      <c r="AW76" s="176"/>
      <c r="AX76" s="176"/>
      <c r="AY76" s="176"/>
      <c r="AZ76" s="176"/>
      <c r="BA76" s="176"/>
      <c r="BB76" s="176"/>
      <c r="BC76" s="176"/>
      <c r="BD76" s="176"/>
      <c r="BE76" s="176"/>
      <c r="BF76" s="176"/>
      <c r="BG76" s="176"/>
      <c r="BH76" s="176"/>
      <c r="BI76" s="176"/>
      <c r="BJ76" s="176"/>
      <c r="BK76" s="176"/>
      <c r="BL76" s="176"/>
      <c r="BM76" s="176"/>
      <c r="BN76" s="176"/>
      <c r="BO76" s="176"/>
    </row>
    <row r="77" spans="1:67" s="36" customFormat="1" ht="10.5" customHeight="1" x14ac:dyDescent="0.2">
      <c r="A77" s="1043" t="s">
        <v>673</v>
      </c>
      <c r="B77" s="2594"/>
      <c r="C77" s="2595"/>
      <c r="D77" s="2596"/>
      <c r="E77" s="2395"/>
      <c r="F77" s="2396"/>
      <c r="G77" s="1058">
        <v>15</v>
      </c>
      <c r="H77" s="1059"/>
      <c r="I77" s="1081">
        <f t="shared" si="9"/>
        <v>7.9288524964265278E-2</v>
      </c>
      <c r="J77" s="1082">
        <f t="shared" si="10"/>
        <v>0</v>
      </c>
      <c r="K77" s="1061">
        <v>4</v>
      </c>
      <c r="L77" s="1305"/>
      <c r="M77" s="1086">
        <f t="shared" si="11"/>
        <v>0</v>
      </c>
      <c r="N77" s="505"/>
      <c r="O77" s="365">
        <f t="shared" si="12"/>
        <v>15</v>
      </c>
      <c r="P77" s="366"/>
      <c r="Q77" s="135"/>
      <c r="R77" s="136"/>
      <c r="S77" s="129"/>
      <c r="T77" s="129"/>
      <c r="U77" s="129"/>
      <c r="V77" s="129"/>
      <c r="W77" s="129"/>
      <c r="X77" s="129"/>
      <c r="Y77" s="129"/>
      <c r="Z77" s="133"/>
      <c r="AA77" s="133"/>
      <c r="AB77" s="133"/>
      <c r="AC77" s="133"/>
      <c r="AD77" s="133"/>
      <c r="AE77" s="133"/>
      <c r="AF77" s="222"/>
      <c r="AG77" s="222"/>
      <c r="AH77" s="222"/>
      <c r="AI77" s="176"/>
      <c r="AJ77" s="176"/>
      <c r="AK77" s="176"/>
      <c r="AL77" s="176"/>
      <c r="AM77" s="176"/>
      <c r="AN77" s="176"/>
      <c r="AO77" s="176"/>
      <c r="AP77" s="176"/>
      <c r="AQ77" s="176"/>
      <c r="AR77" s="176"/>
      <c r="AS77" s="176"/>
      <c r="AT77" s="176"/>
      <c r="AU77" s="176"/>
      <c r="AV77" s="176"/>
      <c r="AW77" s="176"/>
      <c r="AX77" s="176"/>
      <c r="AY77" s="176"/>
      <c r="AZ77" s="176"/>
      <c r="BA77" s="176"/>
      <c r="BB77" s="176"/>
      <c r="BC77" s="176"/>
      <c r="BD77" s="176"/>
      <c r="BE77" s="176"/>
      <c r="BF77" s="176"/>
      <c r="BG77" s="176"/>
      <c r="BH77" s="176"/>
      <c r="BI77" s="176"/>
      <c r="BJ77" s="176"/>
      <c r="BK77" s="176"/>
      <c r="BL77" s="176"/>
      <c r="BM77" s="176"/>
      <c r="BN77" s="176"/>
      <c r="BO77" s="176"/>
    </row>
    <row r="78" spans="1:67" s="36" customFormat="1" ht="10.5" customHeight="1" x14ac:dyDescent="0.2">
      <c r="A78" s="1055"/>
      <c r="B78" s="2594"/>
      <c r="C78" s="2595"/>
      <c r="D78" s="2596"/>
      <c r="E78" s="2395"/>
      <c r="F78" s="2396"/>
      <c r="G78" s="2590"/>
      <c r="H78" s="2591"/>
      <c r="I78" s="1081">
        <f t="shared" si="9"/>
        <v>0</v>
      </c>
      <c r="J78" s="1082">
        <f t="shared" si="10"/>
        <v>0</v>
      </c>
      <c r="K78" s="2588"/>
      <c r="L78" s="2589"/>
      <c r="M78" s="1086">
        <f t="shared" si="11"/>
        <v>0</v>
      </c>
      <c r="N78" s="505"/>
      <c r="O78" s="365">
        <f t="shared" si="12"/>
        <v>0</v>
      </c>
      <c r="P78" s="366"/>
      <c r="Q78" s="135"/>
      <c r="R78" s="136"/>
      <c r="S78" s="129"/>
      <c r="T78" s="129"/>
      <c r="U78" s="129"/>
      <c r="V78" s="129"/>
      <c r="W78" s="129"/>
      <c r="X78" s="129"/>
      <c r="Y78" s="129"/>
      <c r="Z78" s="133"/>
      <c r="AA78" s="133"/>
      <c r="AB78" s="133"/>
      <c r="AC78" s="133"/>
      <c r="AD78" s="133"/>
      <c r="AE78" s="133"/>
      <c r="AF78" s="222"/>
      <c r="AG78" s="222"/>
      <c r="AH78" s="222"/>
      <c r="AI78" s="176"/>
      <c r="AJ78" s="176"/>
      <c r="AK78" s="176"/>
      <c r="AL78" s="176"/>
      <c r="AM78" s="176"/>
      <c r="AN78" s="176"/>
      <c r="AO78" s="176"/>
      <c r="AP78" s="176"/>
      <c r="AQ78" s="176"/>
      <c r="AR78" s="176"/>
      <c r="AS78" s="176"/>
      <c r="AT78" s="176"/>
      <c r="AU78" s="176"/>
      <c r="AV78" s="176"/>
      <c r="AW78" s="176"/>
      <c r="AX78" s="176"/>
      <c r="AY78" s="176"/>
      <c r="AZ78" s="176"/>
      <c r="BA78" s="176"/>
      <c r="BB78" s="176"/>
      <c r="BC78" s="176"/>
      <c r="BD78" s="176"/>
      <c r="BE78" s="176"/>
      <c r="BF78" s="176"/>
      <c r="BG78" s="176"/>
      <c r="BH78" s="176"/>
      <c r="BI78" s="176"/>
      <c r="BJ78" s="176"/>
      <c r="BK78" s="176"/>
      <c r="BL78" s="176"/>
      <c r="BM78" s="176"/>
      <c r="BN78" s="176"/>
      <c r="BO78" s="176"/>
    </row>
    <row r="79" spans="1:67" s="36" customFormat="1" ht="10.5" customHeight="1" x14ac:dyDescent="0.2">
      <c r="A79" s="1055"/>
      <c r="B79" s="2594"/>
      <c r="C79" s="2595"/>
      <c r="D79" s="2596"/>
      <c r="E79" s="2395"/>
      <c r="F79" s="2396"/>
      <c r="G79" s="2590"/>
      <c r="H79" s="2591"/>
      <c r="I79" s="1081">
        <f t="shared" si="9"/>
        <v>0</v>
      </c>
      <c r="J79" s="1082">
        <f t="shared" si="10"/>
        <v>0</v>
      </c>
      <c r="K79" s="2588"/>
      <c r="L79" s="2589"/>
      <c r="M79" s="1086">
        <f t="shared" si="11"/>
        <v>0</v>
      </c>
      <c r="N79" s="505"/>
      <c r="O79" s="365">
        <f t="shared" si="12"/>
        <v>0</v>
      </c>
      <c r="P79" s="366"/>
      <c r="Q79" s="135"/>
      <c r="R79" s="136"/>
      <c r="S79" s="129"/>
      <c r="T79" s="129"/>
      <c r="U79" s="129"/>
      <c r="V79" s="129"/>
      <c r="W79" s="129"/>
      <c r="X79" s="129"/>
      <c r="Y79" s="129"/>
      <c r="Z79" s="133"/>
      <c r="AA79" s="133"/>
      <c r="AB79" s="133"/>
      <c r="AC79" s="133"/>
      <c r="AD79" s="133"/>
      <c r="AE79" s="133"/>
      <c r="AF79" s="222"/>
      <c r="AG79" s="222"/>
      <c r="AH79" s="222"/>
      <c r="AI79" s="176"/>
      <c r="AJ79" s="176"/>
      <c r="AK79" s="176"/>
      <c r="AL79" s="176"/>
      <c r="AM79" s="176"/>
      <c r="AN79" s="176"/>
      <c r="AO79" s="176"/>
      <c r="AP79" s="176"/>
      <c r="AQ79" s="176"/>
      <c r="AR79" s="176"/>
      <c r="AS79" s="176"/>
      <c r="AT79" s="176"/>
      <c r="AU79" s="176"/>
      <c r="AV79" s="176"/>
      <c r="AW79" s="176"/>
      <c r="AX79" s="176"/>
      <c r="AY79" s="176"/>
      <c r="AZ79" s="176"/>
      <c r="BA79" s="176"/>
      <c r="BB79" s="176"/>
      <c r="BC79" s="176"/>
      <c r="BD79" s="176"/>
      <c r="BE79" s="176"/>
      <c r="BF79" s="176"/>
      <c r="BG79" s="176"/>
      <c r="BH79" s="176"/>
      <c r="BI79" s="176"/>
      <c r="BJ79" s="176"/>
      <c r="BK79" s="176"/>
      <c r="BL79" s="176"/>
      <c r="BM79" s="176"/>
      <c r="BN79" s="176"/>
      <c r="BO79" s="176"/>
    </row>
    <row r="80" spans="1:67" s="36" customFormat="1" ht="10.5" customHeight="1" x14ac:dyDescent="0.2">
      <c r="A80" s="1055"/>
      <c r="B80" s="2594"/>
      <c r="C80" s="2595"/>
      <c r="D80" s="2596"/>
      <c r="E80" s="2395"/>
      <c r="F80" s="2396"/>
      <c r="G80" s="2590"/>
      <c r="H80" s="2591"/>
      <c r="I80" s="1081">
        <f t="shared" si="9"/>
        <v>0</v>
      </c>
      <c r="J80" s="1082">
        <f t="shared" si="10"/>
        <v>0</v>
      </c>
      <c r="K80" s="2588"/>
      <c r="L80" s="2589"/>
      <c r="M80" s="1086">
        <f t="shared" si="11"/>
        <v>0</v>
      </c>
      <c r="N80" s="505"/>
      <c r="O80" s="365">
        <f t="shared" si="12"/>
        <v>0</v>
      </c>
      <c r="P80" s="366"/>
      <c r="Q80" s="135"/>
      <c r="R80" s="136"/>
      <c r="S80" s="129"/>
      <c r="T80" s="129"/>
      <c r="U80" s="129"/>
      <c r="V80" s="129"/>
      <c r="W80" s="129"/>
      <c r="X80" s="129"/>
      <c r="Y80" s="129"/>
      <c r="Z80" s="133"/>
      <c r="AA80" s="133"/>
      <c r="AB80" s="133"/>
      <c r="AC80" s="133"/>
      <c r="AD80" s="133"/>
      <c r="AE80" s="133"/>
      <c r="AF80" s="222"/>
      <c r="AG80" s="222"/>
      <c r="AH80" s="222"/>
      <c r="AI80" s="176"/>
      <c r="AJ80" s="176"/>
      <c r="AK80" s="176"/>
      <c r="AL80" s="176"/>
      <c r="AM80" s="176"/>
      <c r="AN80" s="176"/>
      <c r="AO80" s="176"/>
      <c r="AP80" s="176"/>
      <c r="AQ80" s="176"/>
      <c r="AR80" s="176"/>
      <c r="AS80" s="176"/>
      <c r="AT80" s="176"/>
      <c r="AU80" s="176"/>
      <c r="AV80" s="176"/>
      <c r="AW80" s="176"/>
      <c r="AX80" s="176"/>
      <c r="AY80" s="176"/>
      <c r="AZ80" s="176"/>
      <c r="BA80" s="176"/>
      <c r="BB80" s="176"/>
      <c r="BC80" s="176"/>
      <c r="BD80" s="176"/>
      <c r="BE80" s="176"/>
      <c r="BF80" s="176"/>
      <c r="BG80" s="176"/>
      <c r="BH80" s="176"/>
      <c r="BI80" s="176"/>
      <c r="BJ80" s="176"/>
      <c r="BK80" s="176"/>
      <c r="BL80" s="176"/>
      <c r="BM80" s="176"/>
      <c r="BN80" s="176"/>
      <c r="BO80" s="176"/>
    </row>
    <row r="81" spans="1:67" s="36" customFormat="1" ht="10.5" customHeight="1" x14ac:dyDescent="0.2">
      <c r="A81" s="1055"/>
      <c r="B81" s="2594"/>
      <c r="C81" s="2595"/>
      <c r="D81" s="2596"/>
      <c r="E81" s="2395"/>
      <c r="F81" s="2396"/>
      <c r="G81" s="2590"/>
      <c r="H81" s="2591"/>
      <c r="I81" s="1081">
        <f t="shared" si="9"/>
        <v>0</v>
      </c>
      <c r="J81" s="1082">
        <f t="shared" si="10"/>
        <v>0</v>
      </c>
      <c r="K81" s="2588"/>
      <c r="L81" s="2589"/>
      <c r="M81" s="1086">
        <f t="shared" si="11"/>
        <v>0</v>
      </c>
      <c r="N81" s="505"/>
      <c r="O81" s="365">
        <f t="shared" si="12"/>
        <v>0</v>
      </c>
      <c r="P81" s="366"/>
      <c r="Q81" s="135"/>
      <c r="R81" s="136"/>
      <c r="S81" s="129"/>
      <c r="T81" s="129"/>
      <c r="U81" s="129"/>
      <c r="V81" s="129"/>
      <c r="W81" s="129"/>
      <c r="X81" s="129"/>
      <c r="Y81" s="129"/>
      <c r="Z81" s="133"/>
      <c r="AA81" s="133"/>
      <c r="AB81" s="133"/>
      <c r="AC81" s="133"/>
      <c r="AD81" s="133"/>
      <c r="AE81" s="133"/>
      <c r="AF81" s="222"/>
      <c r="AG81" s="222"/>
      <c r="AH81" s="222"/>
      <c r="AI81" s="176"/>
      <c r="AJ81" s="176"/>
      <c r="AK81" s="176"/>
      <c r="AL81" s="176"/>
      <c r="AM81" s="176"/>
      <c r="AN81" s="176"/>
      <c r="AO81" s="176"/>
      <c r="AP81" s="176"/>
      <c r="AQ81" s="176"/>
      <c r="AR81" s="176"/>
      <c r="AS81" s="176"/>
      <c r="AT81" s="176"/>
      <c r="AU81" s="176"/>
      <c r="AV81" s="176"/>
      <c r="AW81" s="176"/>
      <c r="AX81" s="176"/>
      <c r="AY81" s="176"/>
      <c r="AZ81" s="176"/>
      <c r="BA81" s="176"/>
      <c r="BB81" s="176"/>
      <c r="BC81" s="176"/>
      <c r="BD81" s="176"/>
      <c r="BE81" s="176"/>
      <c r="BF81" s="176"/>
      <c r="BG81" s="176"/>
      <c r="BH81" s="176"/>
      <c r="BI81" s="176"/>
      <c r="BJ81" s="176"/>
      <c r="BK81" s="176"/>
      <c r="BL81" s="176"/>
      <c r="BM81" s="176"/>
      <c r="BN81" s="176"/>
      <c r="BO81" s="176"/>
    </row>
    <row r="82" spans="1:67" s="36" customFormat="1" ht="10.5" customHeight="1" x14ac:dyDescent="0.2">
      <c r="A82" s="1055"/>
      <c r="B82" s="2594"/>
      <c r="C82" s="2595"/>
      <c r="D82" s="2596"/>
      <c r="E82" s="2395"/>
      <c r="F82" s="2396"/>
      <c r="G82" s="2590"/>
      <c r="H82" s="2591"/>
      <c r="I82" s="1081">
        <f t="shared" si="9"/>
        <v>0</v>
      </c>
      <c r="J82" s="1082">
        <f t="shared" si="10"/>
        <v>0</v>
      </c>
      <c r="K82" s="2588"/>
      <c r="L82" s="2589"/>
      <c r="M82" s="1086">
        <f t="shared" si="11"/>
        <v>0</v>
      </c>
      <c r="N82" s="505"/>
      <c r="O82" s="365">
        <f t="shared" si="12"/>
        <v>0</v>
      </c>
      <c r="P82" s="366"/>
      <c r="Q82" s="135"/>
      <c r="R82" s="136"/>
      <c r="S82" s="129"/>
      <c r="T82" s="129"/>
      <c r="U82" s="129"/>
      <c r="V82" s="129"/>
      <c r="W82" s="129"/>
      <c r="X82" s="129"/>
      <c r="Y82" s="129"/>
      <c r="Z82" s="133"/>
      <c r="AA82" s="133"/>
      <c r="AB82" s="133"/>
      <c r="AC82" s="133"/>
      <c r="AD82" s="133"/>
      <c r="AE82" s="133"/>
      <c r="AF82" s="222"/>
      <c r="AG82" s="222"/>
      <c r="AH82" s="222"/>
      <c r="AI82" s="176"/>
      <c r="AJ82" s="176"/>
      <c r="AK82" s="176"/>
      <c r="AL82" s="176"/>
      <c r="AM82" s="176"/>
      <c r="AN82" s="176"/>
      <c r="AO82" s="176"/>
      <c r="AP82" s="176"/>
      <c r="AQ82" s="176"/>
      <c r="AR82" s="176"/>
      <c r="AS82" s="176"/>
      <c r="AT82" s="176"/>
      <c r="AU82" s="176"/>
      <c r="AV82" s="176"/>
      <c r="AW82" s="176"/>
      <c r="AX82" s="176"/>
      <c r="AY82" s="176"/>
      <c r="AZ82" s="176"/>
      <c r="BA82" s="176"/>
      <c r="BB82" s="176"/>
      <c r="BC82" s="176"/>
      <c r="BD82" s="176"/>
      <c r="BE82" s="176"/>
      <c r="BF82" s="176"/>
      <c r="BG82" s="176"/>
      <c r="BH82" s="176"/>
      <c r="BI82" s="176"/>
      <c r="BJ82" s="176"/>
      <c r="BK82" s="176"/>
      <c r="BL82" s="176"/>
      <c r="BM82" s="176"/>
      <c r="BN82" s="176"/>
      <c r="BO82" s="176"/>
    </row>
    <row r="83" spans="1:67" s="36" customFormat="1" ht="10.5" customHeight="1" x14ac:dyDescent="0.2">
      <c r="A83" s="1055"/>
      <c r="B83" s="2594"/>
      <c r="C83" s="2595"/>
      <c r="D83" s="2596"/>
      <c r="E83" s="2395"/>
      <c r="F83" s="2396"/>
      <c r="G83" s="2590"/>
      <c r="H83" s="2591"/>
      <c r="I83" s="1081">
        <f t="shared" si="9"/>
        <v>0</v>
      </c>
      <c r="J83" s="1082">
        <f t="shared" si="10"/>
        <v>0</v>
      </c>
      <c r="K83" s="2588"/>
      <c r="L83" s="2589"/>
      <c r="M83" s="1086">
        <f t="shared" si="11"/>
        <v>0</v>
      </c>
      <c r="N83" s="505"/>
      <c r="O83" s="365">
        <f t="shared" si="12"/>
        <v>0</v>
      </c>
      <c r="P83" s="366"/>
      <c r="Q83" s="135"/>
      <c r="R83" s="136"/>
      <c r="S83" s="129"/>
      <c r="T83" s="129"/>
      <c r="U83" s="129"/>
      <c r="V83" s="129"/>
      <c r="W83" s="129"/>
      <c r="X83" s="129"/>
      <c r="Y83" s="129"/>
      <c r="Z83" s="133"/>
      <c r="AA83" s="133"/>
      <c r="AB83" s="133"/>
      <c r="AC83" s="133"/>
      <c r="AD83" s="133"/>
      <c r="AE83" s="133"/>
      <c r="AF83" s="222"/>
      <c r="AG83" s="222"/>
      <c r="AH83" s="222"/>
      <c r="AI83" s="176"/>
      <c r="AJ83" s="176"/>
      <c r="AK83" s="176"/>
      <c r="AL83" s="176"/>
      <c r="AM83" s="176"/>
      <c r="AN83" s="176"/>
      <c r="AO83" s="176"/>
      <c r="AP83" s="176"/>
      <c r="AQ83" s="176"/>
      <c r="AR83" s="176"/>
      <c r="AS83" s="176"/>
      <c r="AT83" s="176"/>
      <c r="AU83" s="176"/>
      <c r="AV83" s="176"/>
      <c r="AW83" s="176"/>
      <c r="AX83" s="176"/>
      <c r="AY83" s="176"/>
      <c r="AZ83" s="176"/>
      <c r="BA83" s="176"/>
      <c r="BB83" s="176"/>
      <c r="BC83" s="176"/>
      <c r="BD83" s="176"/>
      <c r="BE83" s="176"/>
      <c r="BF83" s="176"/>
      <c r="BG83" s="176"/>
      <c r="BH83" s="176"/>
      <c r="BI83" s="176"/>
      <c r="BJ83" s="176"/>
      <c r="BK83" s="176"/>
      <c r="BL83" s="176"/>
      <c r="BM83" s="176"/>
      <c r="BN83" s="176"/>
      <c r="BO83" s="176"/>
    </row>
    <row r="84" spans="1:67" s="36" customFormat="1" ht="10.5" customHeight="1" x14ac:dyDescent="0.2">
      <c r="A84" s="1348"/>
      <c r="B84" s="2690"/>
      <c r="C84" s="2691"/>
      <c r="D84" s="2692"/>
      <c r="E84" s="2601"/>
      <c r="F84" s="2602"/>
      <c r="G84" s="1088"/>
      <c r="H84" s="1089"/>
      <c r="I84" s="1083">
        <f t="shared" si="9"/>
        <v>0</v>
      </c>
      <c r="J84" s="1084"/>
      <c r="K84" s="1087"/>
      <c r="L84" s="1307"/>
      <c r="M84" s="1317">
        <f t="shared" si="11"/>
        <v>0</v>
      </c>
      <c r="N84" s="505"/>
      <c r="O84" s="365">
        <f t="shared" si="12"/>
        <v>0</v>
      </c>
      <c r="P84" s="366"/>
      <c r="Q84" s="135"/>
      <c r="R84" s="136"/>
      <c r="S84" s="129"/>
      <c r="T84" s="129"/>
      <c r="U84" s="129"/>
      <c r="V84" s="129"/>
      <c r="W84" s="129"/>
      <c r="X84" s="129"/>
      <c r="Y84" s="129"/>
      <c r="Z84" s="133"/>
      <c r="AA84" s="133"/>
      <c r="AB84" s="133"/>
      <c r="AC84" s="133"/>
      <c r="AD84" s="133"/>
      <c r="AE84" s="133"/>
      <c r="AF84" s="222"/>
      <c r="AG84" s="222"/>
      <c r="AH84" s="222"/>
      <c r="AI84" s="176"/>
      <c r="AJ84" s="176"/>
      <c r="AK84" s="176"/>
      <c r="AL84" s="176"/>
      <c r="AM84" s="176"/>
      <c r="AN84" s="176"/>
      <c r="AO84" s="176"/>
      <c r="AP84" s="176"/>
      <c r="AQ84" s="176"/>
      <c r="AR84" s="176"/>
      <c r="AS84" s="176"/>
      <c r="AT84" s="176"/>
      <c r="AU84" s="176"/>
      <c r="AV84" s="176"/>
      <c r="AW84" s="176"/>
      <c r="AX84" s="176"/>
      <c r="AY84" s="176"/>
      <c r="AZ84" s="176"/>
      <c r="BA84" s="176"/>
      <c r="BB84" s="176"/>
      <c r="BC84" s="176"/>
      <c r="BD84" s="176"/>
      <c r="BE84" s="176"/>
      <c r="BF84" s="176"/>
      <c r="BG84" s="176"/>
      <c r="BH84" s="176"/>
      <c r="BI84" s="176"/>
      <c r="BJ84" s="176"/>
      <c r="BK84" s="176"/>
      <c r="BL84" s="176"/>
      <c r="BM84" s="176"/>
      <c r="BN84" s="176"/>
      <c r="BO84" s="176"/>
    </row>
    <row r="85" spans="1:67" s="36" customFormat="1" ht="10.5" customHeight="1" x14ac:dyDescent="0.2">
      <c r="A85" s="1345" t="s">
        <v>282</v>
      </c>
      <c r="B85" s="2603"/>
      <c r="C85" s="2604"/>
      <c r="D85" s="2605"/>
      <c r="E85" s="2730">
        <f>SUM(E86:E100)</f>
        <v>0</v>
      </c>
      <c r="F85" s="2731"/>
      <c r="G85" s="2732"/>
      <c r="H85" s="2733"/>
      <c r="I85" s="1121">
        <f>IF(E85=0,0,J85/E85)</f>
        <v>0</v>
      </c>
      <c r="J85" s="1346">
        <f>SUM(J86:J100)</f>
        <v>0</v>
      </c>
      <c r="K85" s="2734">
        <f>IF(E85=0,0,M85/E85*100)</f>
        <v>0</v>
      </c>
      <c r="L85" s="2736"/>
      <c r="M85" s="1347">
        <f>SUM(M86:M100)</f>
        <v>0</v>
      </c>
      <c r="N85" s="505"/>
      <c r="O85" s="178">
        <f>IF(H85="",G85,H85)</f>
        <v>0</v>
      </c>
      <c r="P85" s="366"/>
      <c r="Q85" s="135"/>
      <c r="R85" s="136"/>
      <c r="S85" s="129"/>
      <c r="T85" s="129"/>
      <c r="U85" s="129"/>
      <c r="V85" s="129"/>
      <c r="W85" s="129"/>
      <c r="X85" s="129"/>
      <c r="Y85" s="129"/>
      <c r="Z85" s="133"/>
      <c r="AA85" s="133"/>
      <c r="AB85" s="133"/>
      <c r="AC85" s="133"/>
      <c r="AD85" s="133"/>
      <c r="AE85" s="133"/>
      <c r="AF85" s="222"/>
      <c r="AG85" s="222"/>
      <c r="AH85" s="222"/>
      <c r="AI85" s="176"/>
      <c r="AJ85" s="176"/>
      <c r="AK85" s="176"/>
      <c r="AL85" s="176"/>
      <c r="AM85" s="176"/>
      <c r="AN85" s="176"/>
      <c r="AO85" s="176"/>
      <c r="AP85" s="176"/>
      <c r="AQ85" s="176"/>
      <c r="AR85" s="176"/>
      <c r="AS85" s="176"/>
      <c r="AT85" s="176"/>
      <c r="AU85" s="176"/>
      <c r="AV85" s="176"/>
      <c r="AW85" s="176"/>
      <c r="AX85" s="176"/>
      <c r="AY85" s="176"/>
      <c r="AZ85" s="176"/>
      <c r="BA85" s="176"/>
      <c r="BB85" s="176"/>
      <c r="BC85" s="176"/>
      <c r="BD85" s="176"/>
      <c r="BE85" s="176"/>
      <c r="BF85" s="176"/>
      <c r="BG85" s="176"/>
      <c r="BH85" s="176"/>
      <c r="BI85" s="176"/>
      <c r="BJ85" s="176"/>
      <c r="BK85" s="176"/>
      <c r="BL85" s="176"/>
      <c r="BM85" s="176"/>
      <c r="BN85" s="176"/>
      <c r="BO85" s="176"/>
    </row>
    <row r="86" spans="1:67" s="36" customFormat="1" ht="10.5" customHeight="1" x14ac:dyDescent="0.2">
      <c r="A86" s="1042" t="s">
        <v>47</v>
      </c>
      <c r="B86" s="2624"/>
      <c r="C86" s="2625"/>
      <c r="D86" s="2626"/>
      <c r="E86" s="2386"/>
      <c r="F86" s="2387"/>
      <c r="G86" s="1056">
        <v>20</v>
      </c>
      <c r="H86" s="1057"/>
      <c r="I86" s="1079">
        <f t="shared" ref="I86:I101" si="13">IF($O86&gt;0,-PMT(($I$9),$O86,1),0)</f>
        <v>6.2642070767998229E-2</v>
      </c>
      <c r="J86" s="1080">
        <f t="shared" ref="J86:J100" si="14">ROUND(E86*I86,0)</f>
        <v>0</v>
      </c>
      <c r="K86" s="1060">
        <v>2.5</v>
      </c>
      <c r="L86" s="1304"/>
      <c r="M86" s="1085">
        <f t="shared" ref="M86:M101" si="15">ROUND(E86/100*IF(ISBLANK(L86),K86,L86),0)</f>
        <v>0</v>
      </c>
      <c r="N86" s="505"/>
      <c r="O86" s="365">
        <f t="shared" ref="O86:O101" si="16">IF(ISBLANK(H86),G86,H86)</f>
        <v>20</v>
      </c>
      <c r="P86" s="366"/>
      <c r="Q86" s="135"/>
      <c r="R86" s="136"/>
      <c r="S86" s="129"/>
      <c r="T86" s="129"/>
      <c r="U86" s="129"/>
      <c r="V86" s="129"/>
      <c r="W86" s="129"/>
      <c r="X86" s="129"/>
      <c r="Y86" s="129"/>
      <c r="Z86" s="133"/>
      <c r="AA86" s="133"/>
      <c r="AB86" s="133"/>
      <c r="AC86" s="133"/>
      <c r="AD86" s="133"/>
      <c r="AE86" s="133"/>
      <c r="AF86" s="222"/>
      <c r="AG86" s="222"/>
      <c r="AH86" s="222"/>
      <c r="AI86" s="176"/>
      <c r="AJ86" s="176"/>
      <c r="AK86" s="176"/>
      <c r="AL86" s="176"/>
      <c r="AM86" s="176"/>
      <c r="AN86" s="176"/>
      <c r="AO86" s="176"/>
      <c r="AP86" s="176"/>
      <c r="AQ86" s="176"/>
      <c r="AR86" s="176"/>
      <c r="AS86" s="176"/>
      <c r="AT86" s="176"/>
      <c r="AU86" s="176"/>
      <c r="AV86" s="176"/>
      <c r="AW86" s="176"/>
      <c r="AX86" s="176"/>
      <c r="AY86" s="176"/>
      <c r="AZ86" s="176"/>
      <c r="BA86" s="176"/>
      <c r="BB86" s="176"/>
      <c r="BC86" s="176"/>
      <c r="BD86" s="176"/>
      <c r="BE86" s="176"/>
      <c r="BF86" s="176"/>
      <c r="BG86" s="176"/>
      <c r="BH86" s="176"/>
      <c r="BI86" s="176"/>
      <c r="BJ86" s="176"/>
      <c r="BK86" s="176"/>
      <c r="BL86" s="176"/>
      <c r="BM86" s="176"/>
      <c r="BN86" s="176"/>
      <c r="BO86" s="176"/>
    </row>
    <row r="87" spans="1:67" s="36" customFormat="1" ht="10.5" customHeight="1" x14ac:dyDescent="0.2">
      <c r="A87" s="1043" t="s">
        <v>48</v>
      </c>
      <c r="B87" s="2594"/>
      <c r="C87" s="2595"/>
      <c r="D87" s="2596"/>
      <c r="E87" s="2395"/>
      <c r="F87" s="2396"/>
      <c r="G87" s="1058">
        <v>20</v>
      </c>
      <c r="H87" s="1059"/>
      <c r="I87" s="1081">
        <f t="shared" si="13"/>
        <v>6.2642070767998229E-2</v>
      </c>
      <c r="J87" s="1082">
        <f t="shared" si="14"/>
        <v>0</v>
      </c>
      <c r="K87" s="1061">
        <v>2.5</v>
      </c>
      <c r="L87" s="1305"/>
      <c r="M87" s="1086">
        <f t="shared" si="15"/>
        <v>0</v>
      </c>
      <c r="N87" s="505"/>
      <c r="O87" s="365">
        <f t="shared" si="16"/>
        <v>20</v>
      </c>
      <c r="P87" s="366"/>
      <c r="Q87" s="135"/>
      <c r="R87" s="136"/>
      <c r="S87" s="129"/>
      <c r="T87" s="129"/>
      <c r="U87" s="129"/>
      <c r="V87" s="129"/>
      <c r="W87" s="129"/>
      <c r="X87" s="129"/>
      <c r="Y87" s="129"/>
      <c r="Z87" s="133"/>
      <c r="AA87" s="133"/>
      <c r="AB87" s="133"/>
      <c r="AC87" s="133"/>
      <c r="AD87" s="133"/>
      <c r="AE87" s="133"/>
      <c r="AF87" s="222"/>
      <c r="AG87" s="222"/>
      <c r="AH87" s="222"/>
      <c r="AI87" s="176"/>
      <c r="AJ87" s="176"/>
      <c r="AK87" s="176"/>
      <c r="AL87" s="176"/>
      <c r="AM87" s="176"/>
      <c r="AN87" s="176"/>
      <c r="AO87" s="176"/>
      <c r="AP87" s="176"/>
      <c r="AQ87" s="176"/>
      <c r="AR87" s="176"/>
      <c r="AS87" s="176"/>
      <c r="AT87" s="176"/>
      <c r="AU87" s="176"/>
      <c r="AV87" s="176"/>
      <c r="AW87" s="176"/>
      <c r="AX87" s="176"/>
      <c r="AY87" s="176"/>
      <c r="AZ87" s="176"/>
      <c r="BA87" s="176"/>
      <c r="BB87" s="176"/>
      <c r="BC87" s="176"/>
      <c r="BD87" s="176"/>
      <c r="BE87" s="176"/>
      <c r="BF87" s="176"/>
      <c r="BG87" s="176"/>
      <c r="BH87" s="176"/>
      <c r="BI87" s="176"/>
      <c r="BJ87" s="176"/>
      <c r="BK87" s="176"/>
      <c r="BL87" s="176"/>
      <c r="BM87" s="176"/>
      <c r="BN87" s="176"/>
      <c r="BO87" s="176"/>
    </row>
    <row r="88" spans="1:67" s="36" customFormat="1" ht="10.5" customHeight="1" x14ac:dyDescent="0.2">
      <c r="A88" s="1043" t="s">
        <v>676</v>
      </c>
      <c r="B88" s="2594"/>
      <c r="C88" s="2595"/>
      <c r="D88" s="2596"/>
      <c r="E88" s="2395"/>
      <c r="F88" s="2396"/>
      <c r="G88" s="1058">
        <v>20</v>
      </c>
      <c r="H88" s="1059"/>
      <c r="I88" s="1081">
        <f t="shared" si="13"/>
        <v>6.2642070767998229E-2</v>
      </c>
      <c r="J88" s="1082">
        <f t="shared" si="14"/>
        <v>0</v>
      </c>
      <c r="K88" s="1061">
        <v>5</v>
      </c>
      <c r="L88" s="1305"/>
      <c r="M88" s="1086">
        <f t="shared" si="15"/>
        <v>0</v>
      </c>
      <c r="N88" s="505"/>
      <c r="O88" s="365">
        <f t="shared" si="16"/>
        <v>20</v>
      </c>
      <c r="P88" s="366"/>
      <c r="Q88" s="135"/>
      <c r="R88" s="136"/>
      <c r="S88" s="129"/>
      <c r="T88" s="129"/>
      <c r="U88" s="129"/>
      <c r="V88" s="129"/>
      <c r="W88" s="129"/>
      <c r="X88" s="129"/>
      <c r="Y88" s="129"/>
      <c r="Z88" s="133"/>
      <c r="AA88" s="133"/>
      <c r="AB88" s="133"/>
      <c r="AC88" s="133"/>
      <c r="AD88" s="133"/>
      <c r="AE88" s="133"/>
      <c r="AF88" s="222"/>
      <c r="AG88" s="222"/>
      <c r="AH88" s="222"/>
      <c r="AI88" s="176"/>
      <c r="AJ88" s="176"/>
      <c r="AK88" s="176"/>
      <c r="AL88" s="176"/>
      <c r="AM88" s="176"/>
      <c r="AN88" s="176"/>
      <c r="AO88" s="176"/>
      <c r="AP88" s="176"/>
      <c r="AQ88" s="176"/>
      <c r="AR88" s="176"/>
      <c r="AS88" s="176"/>
      <c r="AT88" s="176"/>
      <c r="AU88" s="176"/>
      <c r="AV88" s="176"/>
      <c r="AW88" s="176"/>
      <c r="AX88" s="176"/>
      <c r="AY88" s="176"/>
      <c r="AZ88" s="176"/>
      <c r="BA88" s="176"/>
      <c r="BB88" s="176"/>
      <c r="BC88" s="176"/>
      <c r="BD88" s="176"/>
      <c r="BE88" s="176"/>
      <c r="BF88" s="176"/>
      <c r="BG88" s="176"/>
      <c r="BH88" s="176"/>
      <c r="BI88" s="176"/>
      <c r="BJ88" s="176"/>
      <c r="BK88" s="176"/>
      <c r="BL88" s="176"/>
      <c r="BM88" s="176"/>
      <c r="BN88" s="176"/>
      <c r="BO88" s="176"/>
    </row>
    <row r="89" spans="1:67" s="36" customFormat="1" ht="10.5" customHeight="1" x14ac:dyDescent="0.2">
      <c r="A89" s="1043" t="s">
        <v>64</v>
      </c>
      <c r="B89" s="2594"/>
      <c r="C89" s="2595"/>
      <c r="D89" s="2596"/>
      <c r="E89" s="2395"/>
      <c r="F89" s="2396"/>
      <c r="G89" s="1058">
        <v>20</v>
      </c>
      <c r="H89" s="1059"/>
      <c r="I89" s="1081">
        <f t="shared" si="13"/>
        <v>6.2642070767998229E-2</v>
      </c>
      <c r="J89" s="1082">
        <f t="shared" si="14"/>
        <v>0</v>
      </c>
      <c r="K89" s="1061">
        <v>3.5</v>
      </c>
      <c r="L89" s="1305"/>
      <c r="M89" s="1086">
        <f t="shared" si="15"/>
        <v>0</v>
      </c>
      <c r="N89" s="505"/>
      <c r="O89" s="365">
        <f t="shared" si="16"/>
        <v>20</v>
      </c>
      <c r="P89" s="366"/>
      <c r="Q89" s="135"/>
      <c r="R89" s="136"/>
      <c r="S89" s="129"/>
      <c r="T89" s="129"/>
      <c r="U89" s="129"/>
      <c r="V89" s="129"/>
      <c r="W89" s="129"/>
      <c r="X89" s="129"/>
      <c r="Y89" s="129"/>
      <c r="Z89" s="133"/>
      <c r="AA89" s="133"/>
      <c r="AB89" s="133"/>
      <c r="AC89" s="133"/>
      <c r="AD89" s="133"/>
      <c r="AE89" s="133"/>
      <c r="AF89" s="222"/>
      <c r="AG89" s="222"/>
      <c r="AH89" s="222"/>
      <c r="AI89" s="176"/>
      <c r="AJ89" s="176"/>
      <c r="AK89" s="176"/>
      <c r="AL89" s="176"/>
      <c r="AM89" s="176"/>
      <c r="AN89" s="176"/>
      <c r="AO89" s="176"/>
      <c r="AP89" s="176"/>
      <c r="AQ89" s="176"/>
      <c r="AR89" s="176"/>
      <c r="AS89" s="176"/>
      <c r="AT89" s="176"/>
      <c r="AU89" s="176"/>
      <c r="AV89" s="176"/>
      <c r="AW89" s="176"/>
      <c r="AX89" s="176"/>
      <c r="AY89" s="176"/>
      <c r="AZ89" s="176"/>
      <c r="BA89" s="176"/>
      <c r="BB89" s="176"/>
      <c r="BC89" s="176"/>
      <c r="BD89" s="176"/>
      <c r="BE89" s="176"/>
      <c r="BF89" s="176"/>
      <c r="BG89" s="176"/>
      <c r="BH89" s="176"/>
      <c r="BI89" s="176"/>
      <c r="BJ89" s="176"/>
      <c r="BK89" s="176"/>
      <c r="BL89" s="176"/>
      <c r="BM89" s="176"/>
      <c r="BN89" s="176"/>
      <c r="BO89" s="176"/>
    </row>
    <row r="90" spans="1:67" s="36" customFormat="1" ht="10.5" customHeight="1" x14ac:dyDescent="0.2">
      <c r="A90" s="1043" t="s">
        <v>71</v>
      </c>
      <c r="B90" s="2594"/>
      <c r="C90" s="2595"/>
      <c r="D90" s="2596"/>
      <c r="E90" s="2395"/>
      <c r="F90" s="2396"/>
      <c r="G90" s="1058">
        <v>20</v>
      </c>
      <c r="H90" s="1059"/>
      <c r="I90" s="1081">
        <f t="shared" si="13"/>
        <v>6.2642070767998229E-2</v>
      </c>
      <c r="J90" s="1082">
        <f t="shared" si="14"/>
        <v>0</v>
      </c>
      <c r="K90" s="1061">
        <v>3.5</v>
      </c>
      <c r="L90" s="1305"/>
      <c r="M90" s="1086">
        <f t="shared" si="15"/>
        <v>0</v>
      </c>
      <c r="N90" s="505"/>
      <c r="O90" s="365">
        <f t="shared" si="16"/>
        <v>20</v>
      </c>
      <c r="P90" s="366"/>
      <c r="Q90" s="135"/>
      <c r="R90" s="136"/>
      <c r="S90" s="129"/>
      <c r="T90" s="129"/>
      <c r="U90" s="129"/>
      <c r="V90" s="129"/>
      <c r="W90" s="129"/>
      <c r="X90" s="129"/>
      <c r="Y90" s="129"/>
      <c r="Z90" s="133"/>
      <c r="AA90" s="133"/>
      <c r="AB90" s="133"/>
      <c r="AC90" s="133"/>
      <c r="AD90" s="133"/>
      <c r="AE90" s="133"/>
      <c r="AF90" s="222"/>
      <c r="AG90" s="222"/>
      <c r="AH90" s="222"/>
      <c r="AI90" s="176"/>
      <c r="AJ90" s="176"/>
      <c r="AK90" s="176"/>
      <c r="AL90" s="176"/>
      <c r="AM90" s="176"/>
      <c r="AN90" s="176"/>
      <c r="AO90" s="176"/>
      <c r="AP90" s="176"/>
      <c r="AQ90" s="176"/>
      <c r="AR90" s="176"/>
      <c r="AS90" s="176"/>
      <c r="AT90" s="176"/>
      <c r="AU90" s="176"/>
      <c r="AV90" s="176"/>
      <c r="AW90" s="176"/>
      <c r="AX90" s="176"/>
      <c r="AY90" s="176"/>
      <c r="AZ90" s="176"/>
      <c r="BA90" s="176"/>
      <c r="BB90" s="176"/>
      <c r="BC90" s="176"/>
      <c r="BD90" s="176"/>
      <c r="BE90" s="176"/>
      <c r="BF90" s="176"/>
      <c r="BG90" s="176"/>
      <c r="BH90" s="176"/>
      <c r="BI90" s="176"/>
      <c r="BJ90" s="176"/>
      <c r="BK90" s="176"/>
      <c r="BL90" s="176"/>
      <c r="BM90" s="176"/>
      <c r="BN90" s="176"/>
      <c r="BO90" s="176"/>
    </row>
    <row r="91" spans="1:67" s="36" customFormat="1" ht="10.5" customHeight="1" x14ac:dyDescent="0.2">
      <c r="A91" s="1043" t="s">
        <v>677</v>
      </c>
      <c r="B91" s="2594"/>
      <c r="C91" s="2595"/>
      <c r="D91" s="2596"/>
      <c r="E91" s="2395"/>
      <c r="F91" s="2396"/>
      <c r="G91" s="1058">
        <v>20</v>
      </c>
      <c r="H91" s="1059"/>
      <c r="I91" s="1081">
        <f t="shared" si="13"/>
        <v>6.2642070767998229E-2</v>
      </c>
      <c r="J91" s="1082">
        <f t="shared" si="14"/>
        <v>0</v>
      </c>
      <c r="K91" s="1061">
        <v>3.5</v>
      </c>
      <c r="L91" s="1305"/>
      <c r="M91" s="1086">
        <f t="shared" si="15"/>
        <v>0</v>
      </c>
      <c r="N91" s="505"/>
      <c r="O91" s="365">
        <f t="shared" si="16"/>
        <v>20</v>
      </c>
      <c r="P91" s="366"/>
      <c r="Q91" s="135"/>
      <c r="R91" s="136"/>
      <c r="S91" s="129"/>
      <c r="T91" s="129"/>
      <c r="U91" s="129"/>
      <c r="V91" s="129"/>
      <c r="W91" s="129"/>
      <c r="X91" s="129"/>
      <c r="Y91" s="129"/>
      <c r="Z91" s="133"/>
      <c r="AA91" s="133"/>
      <c r="AB91" s="133"/>
      <c r="AC91" s="133"/>
      <c r="AD91" s="133"/>
      <c r="AE91" s="133"/>
      <c r="AF91" s="222"/>
      <c r="AG91" s="222"/>
      <c r="AH91" s="222"/>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row>
    <row r="92" spans="1:67" s="36" customFormat="1" ht="10.5" customHeight="1" x14ac:dyDescent="0.2">
      <c r="A92" s="1043" t="s">
        <v>79</v>
      </c>
      <c r="B92" s="2594"/>
      <c r="C92" s="2595"/>
      <c r="D92" s="2596"/>
      <c r="E92" s="2395"/>
      <c r="F92" s="2396"/>
      <c r="G92" s="1058">
        <v>20</v>
      </c>
      <c r="H92" s="1059"/>
      <c r="I92" s="1081">
        <f t="shared" si="13"/>
        <v>6.2642070767998229E-2</v>
      </c>
      <c r="J92" s="1082">
        <f t="shared" si="14"/>
        <v>0</v>
      </c>
      <c r="K92" s="1061">
        <v>3.5</v>
      </c>
      <c r="L92" s="1305"/>
      <c r="M92" s="1086">
        <f t="shared" si="15"/>
        <v>0</v>
      </c>
      <c r="N92" s="505"/>
      <c r="O92" s="365">
        <f t="shared" si="16"/>
        <v>20</v>
      </c>
      <c r="P92" s="366"/>
      <c r="Q92" s="135"/>
      <c r="R92" s="136"/>
      <c r="S92" s="129"/>
      <c r="T92" s="129"/>
      <c r="U92" s="129"/>
      <c r="V92" s="129"/>
      <c r="W92" s="129"/>
      <c r="X92" s="129"/>
      <c r="Y92" s="129"/>
      <c r="Z92" s="133"/>
      <c r="AA92" s="133"/>
      <c r="AB92" s="133"/>
      <c r="AC92" s="133"/>
      <c r="AD92" s="133"/>
      <c r="AE92" s="133"/>
      <c r="AF92" s="222"/>
      <c r="AG92" s="222"/>
      <c r="AH92" s="222"/>
      <c r="AI92" s="176"/>
      <c r="AJ92" s="176"/>
      <c r="AK92" s="176"/>
      <c r="AL92" s="176"/>
      <c r="AM92" s="176"/>
      <c r="AN92" s="176"/>
      <c r="AO92" s="176"/>
      <c r="AP92" s="176"/>
      <c r="AQ92" s="176"/>
      <c r="AR92" s="176"/>
      <c r="AS92" s="176"/>
      <c r="AT92" s="176"/>
      <c r="AU92" s="176"/>
      <c r="AV92" s="176"/>
      <c r="AW92" s="176"/>
      <c r="AX92" s="176"/>
      <c r="AY92" s="176"/>
      <c r="AZ92" s="176"/>
      <c r="BA92" s="176"/>
      <c r="BB92" s="176"/>
      <c r="BC92" s="176"/>
      <c r="BD92" s="176"/>
      <c r="BE92" s="176"/>
      <c r="BF92" s="176"/>
      <c r="BG92" s="176"/>
      <c r="BH92" s="176"/>
      <c r="BI92" s="176"/>
      <c r="BJ92" s="176"/>
      <c r="BK92" s="176"/>
      <c r="BL92" s="176"/>
      <c r="BM92" s="176"/>
      <c r="BN92" s="176"/>
      <c r="BO92" s="176"/>
    </row>
    <row r="93" spans="1:67" s="36" customFormat="1" ht="10.5" customHeight="1" x14ac:dyDescent="0.2">
      <c r="A93" s="1043" t="s">
        <v>149</v>
      </c>
      <c r="B93" s="2594"/>
      <c r="C93" s="2595"/>
      <c r="D93" s="2596"/>
      <c r="E93" s="2395"/>
      <c r="F93" s="2396"/>
      <c r="G93" s="1058">
        <v>20</v>
      </c>
      <c r="H93" s="1059"/>
      <c r="I93" s="1081">
        <f t="shared" si="13"/>
        <v>6.2642070767998229E-2</v>
      </c>
      <c r="J93" s="1082">
        <f t="shared" si="14"/>
        <v>0</v>
      </c>
      <c r="K93" s="1061">
        <v>3.5</v>
      </c>
      <c r="L93" s="1305"/>
      <c r="M93" s="1086">
        <f t="shared" si="15"/>
        <v>0</v>
      </c>
      <c r="N93" s="505"/>
      <c r="O93" s="365">
        <f t="shared" si="16"/>
        <v>20</v>
      </c>
      <c r="P93" s="366"/>
      <c r="Q93" s="135"/>
      <c r="R93" s="136"/>
      <c r="S93" s="129"/>
      <c r="T93" s="129"/>
      <c r="U93" s="129"/>
      <c r="V93" s="129"/>
      <c r="W93" s="129"/>
      <c r="X93" s="129"/>
      <c r="Y93" s="129"/>
      <c r="Z93" s="133"/>
      <c r="AA93" s="133"/>
      <c r="AB93" s="133"/>
      <c r="AC93" s="133"/>
      <c r="AD93" s="133"/>
      <c r="AE93" s="133"/>
      <c r="AF93" s="222"/>
      <c r="AG93" s="222"/>
      <c r="AH93" s="222"/>
      <c r="AI93" s="176"/>
      <c r="AJ93" s="176"/>
      <c r="AK93" s="176"/>
      <c r="AL93" s="176"/>
      <c r="AM93" s="176"/>
      <c r="AN93" s="176"/>
      <c r="AO93" s="176"/>
      <c r="AP93" s="176"/>
      <c r="AQ93" s="176"/>
      <c r="AR93" s="176"/>
      <c r="AS93" s="176"/>
      <c r="AT93" s="176"/>
      <c r="AU93" s="176"/>
      <c r="AV93" s="176"/>
      <c r="AW93" s="176"/>
      <c r="AX93" s="176"/>
      <c r="AY93" s="176"/>
      <c r="AZ93" s="176"/>
      <c r="BA93" s="176"/>
      <c r="BB93" s="176"/>
      <c r="BC93" s="176"/>
      <c r="BD93" s="176"/>
      <c r="BE93" s="176"/>
      <c r="BF93" s="176"/>
      <c r="BG93" s="176"/>
      <c r="BH93" s="176"/>
      <c r="BI93" s="176"/>
      <c r="BJ93" s="176"/>
      <c r="BK93" s="176"/>
      <c r="BL93" s="176"/>
      <c r="BM93" s="176"/>
      <c r="BN93" s="176"/>
      <c r="BO93" s="176"/>
    </row>
    <row r="94" spans="1:67" s="36" customFormat="1" ht="10.5" customHeight="1" x14ac:dyDescent="0.2">
      <c r="A94" s="1043" t="s">
        <v>674</v>
      </c>
      <c r="B94" s="2594"/>
      <c r="C94" s="2595"/>
      <c r="D94" s="2596"/>
      <c r="E94" s="2395"/>
      <c r="F94" s="2396"/>
      <c r="G94" s="1058">
        <v>20</v>
      </c>
      <c r="H94" s="1059"/>
      <c r="I94" s="1081">
        <f t="shared" si="13"/>
        <v>6.2642070767998229E-2</v>
      </c>
      <c r="J94" s="1082">
        <f t="shared" si="14"/>
        <v>0</v>
      </c>
      <c r="K94" s="1061">
        <v>1.5</v>
      </c>
      <c r="L94" s="1305"/>
      <c r="M94" s="1086">
        <f t="shared" si="15"/>
        <v>0</v>
      </c>
      <c r="N94" s="505"/>
      <c r="O94" s="365">
        <f t="shared" si="16"/>
        <v>20</v>
      </c>
      <c r="P94" s="366"/>
      <c r="Q94" s="135"/>
      <c r="R94" s="136"/>
      <c r="S94" s="129"/>
      <c r="T94" s="129"/>
      <c r="U94" s="129"/>
      <c r="V94" s="129"/>
      <c r="W94" s="129"/>
      <c r="X94" s="129"/>
      <c r="Y94" s="129"/>
      <c r="Z94" s="133"/>
      <c r="AA94" s="133"/>
      <c r="AB94" s="133"/>
      <c r="AC94" s="133"/>
      <c r="AD94" s="133"/>
      <c r="AE94" s="133"/>
      <c r="AF94" s="222"/>
      <c r="AG94" s="222"/>
      <c r="AH94" s="222"/>
      <c r="AI94" s="176"/>
      <c r="AJ94" s="176"/>
      <c r="AK94" s="176"/>
      <c r="AL94" s="176"/>
      <c r="AM94" s="176"/>
      <c r="AN94" s="176"/>
      <c r="AO94" s="176"/>
      <c r="AP94" s="176"/>
      <c r="AQ94" s="176"/>
      <c r="AR94" s="176"/>
      <c r="AS94" s="176"/>
      <c r="AT94" s="176"/>
      <c r="AU94" s="176"/>
      <c r="AV94" s="176"/>
      <c r="AW94" s="176"/>
      <c r="AX94" s="176"/>
      <c r="AY94" s="176"/>
      <c r="AZ94" s="176"/>
      <c r="BA94" s="176"/>
      <c r="BB94" s="176"/>
      <c r="BC94" s="176"/>
      <c r="BD94" s="176"/>
      <c r="BE94" s="176"/>
      <c r="BF94" s="176"/>
      <c r="BG94" s="176"/>
      <c r="BH94" s="176"/>
      <c r="BI94" s="176"/>
      <c r="BJ94" s="176"/>
      <c r="BK94" s="176"/>
      <c r="BL94" s="176"/>
      <c r="BM94" s="176"/>
      <c r="BN94" s="176"/>
      <c r="BO94" s="176"/>
    </row>
    <row r="95" spans="1:67" s="36" customFormat="1" ht="10.5" customHeight="1" x14ac:dyDescent="0.2">
      <c r="A95" s="1043" t="s">
        <v>675</v>
      </c>
      <c r="B95" s="2594"/>
      <c r="C95" s="2595"/>
      <c r="D95" s="2596"/>
      <c r="E95" s="2395"/>
      <c r="F95" s="2396"/>
      <c r="G95" s="1058">
        <v>20</v>
      </c>
      <c r="H95" s="1059"/>
      <c r="I95" s="1081">
        <f t="shared" si="13"/>
        <v>6.2642070767998229E-2</v>
      </c>
      <c r="J95" s="1082">
        <f t="shared" si="14"/>
        <v>0</v>
      </c>
      <c r="K95" s="1061">
        <v>1.5</v>
      </c>
      <c r="L95" s="1305"/>
      <c r="M95" s="1086">
        <f t="shared" si="15"/>
        <v>0</v>
      </c>
      <c r="N95" s="505"/>
      <c r="O95" s="365">
        <f t="shared" si="16"/>
        <v>20</v>
      </c>
      <c r="P95" s="366"/>
      <c r="Q95" s="135"/>
      <c r="R95" s="136"/>
      <c r="S95" s="129"/>
      <c r="T95" s="129"/>
      <c r="U95" s="129"/>
      <c r="V95" s="129"/>
      <c r="W95" s="129"/>
      <c r="X95" s="129"/>
      <c r="Y95" s="129"/>
      <c r="Z95" s="133"/>
      <c r="AA95" s="133"/>
      <c r="AB95" s="133"/>
      <c r="AC95" s="133"/>
      <c r="AD95" s="133"/>
      <c r="AE95" s="133"/>
      <c r="AF95" s="222"/>
      <c r="AG95" s="222"/>
      <c r="AH95" s="222"/>
      <c r="AI95" s="176"/>
      <c r="AJ95" s="176"/>
      <c r="AK95" s="176"/>
      <c r="AL95" s="176"/>
      <c r="AM95" s="176"/>
      <c r="AN95" s="176"/>
      <c r="AO95" s="176"/>
      <c r="AP95" s="176"/>
      <c r="AQ95" s="176"/>
      <c r="AR95" s="176"/>
      <c r="AS95" s="176"/>
      <c r="AT95" s="176"/>
      <c r="AU95" s="176"/>
      <c r="AV95" s="176"/>
      <c r="AW95" s="176"/>
      <c r="AX95" s="176"/>
      <c r="AY95" s="176"/>
      <c r="AZ95" s="176"/>
      <c r="BA95" s="176"/>
      <c r="BB95" s="176"/>
      <c r="BC95" s="176"/>
      <c r="BD95" s="176"/>
      <c r="BE95" s="176"/>
      <c r="BF95" s="176"/>
      <c r="BG95" s="176"/>
      <c r="BH95" s="176"/>
      <c r="BI95" s="176"/>
      <c r="BJ95" s="176"/>
      <c r="BK95" s="176"/>
      <c r="BL95" s="176"/>
      <c r="BM95" s="176"/>
      <c r="BN95" s="176"/>
      <c r="BO95" s="176"/>
    </row>
    <row r="96" spans="1:67" s="36" customFormat="1" ht="10.5" customHeight="1" x14ac:dyDescent="0.2">
      <c r="A96" s="1043" t="s">
        <v>283</v>
      </c>
      <c r="B96" s="2594"/>
      <c r="C96" s="2595"/>
      <c r="D96" s="2596"/>
      <c r="E96" s="2395"/>
      <c r="F96" s="2396"/>
      <c r="G96" s="1058">
        <v>30</v>
      </c>
      <c r="H96" s="1059"/>
      <c r="I96" s="1081">
        <f t="shared" si="13"/>
        <v>4.6199342169092869E-2</v>
      </c>
      <c r="J96" s="1082">
        <f t="shared" si="14"/>
        <v>0</v>
      </c>
      <c r="K96" s="1061">
        <v>0.5</v>
      </c>
      <c r="L96" s="1305"/>
      <c r="M96" s="1086">
        <f t="shared" si="15"/>
        <v>0</v>
      </c>
      <c r="N96" s="505"/>
      <c r="O96" s="365">
        <f t="shared" si="16"/>
        <v>30</v>
      </c>
      <c r="P96" s="366"/>
      <c r="Q96" s="135"/>
      <c r="R96" s="136"/>
      <c r="S96" s="129"/>
      <c r="T96" s="129"/>
      <c r="U96" s="129"/>
      <c r="V96" s="129"/>
      <c r="W96" s="129"/>
      <c r="X96" s="129"/>
      <c r="Y96" s="129"/>
      <c r="Z96" s="133"/>
      <c r="AA96" s="133"/>
      <c r="AB96" s="133"/>
      <c r="AC96" s="133"/>
      <c r="AD96" s="133"/>
      <c r="AE96" s="133"/>
      <c r="AF96" s="222"/>
      <c r="AG96" s="222"/>
      <c r="AH96" s="222"/>
      <c r="AI96" s="176"/>
      <c r="AJ96" s="176"/>
      <c r="AK96" s="176"/>
      <c r="AL96" s="176"/>
      <c r="AM96" s="176"/>
      <c r="AN96" s="176"/>
      <c r="AO96" s="176"/>
      <c r="AP96" s="176"/>
      <c r="AQ96" s="176"/>
      <c r="AR96" s="176"/>
      <c r="AS96" s="176"/>
      <c r="AT96" s="176"/>
      <c r="AU96" s="176"/>
      <c r="AV96" s="176"/>
      <c r="AW96" s="176"/>
      <c r="AX96" s="176"/>
      <c r="AY96" s="176"/>
      <c r="AZ96" s="176"/>
      <c r="BA96" s="176"/>
      <c r="BB96" s="176"/>
      <c r="BC96" s="176"/>
      <c r="BD96" s="176"/>
      <c r="BE96" s="176"/>
      <c r="BF96" s="176"/>
      <c r="BG96" s="176"/>
      <c r="BH96" s="176"/>
      <c r="BI96" s="176"/>
      <c r="BJ96" s="176"/>
      <c r="BK96" s="176"/>
      <c r="BL96" s="176"/>
      <c r="BM96" s="176"/>
      <c r="BN96" s="176"/>
      <c r="BO96" s="176"/>
    </row>
    <row r="97" spans="1:67" s="36" customFormat="1" ht="10.5" customHeight="1" x14ac:dyDescent="0.2">
      <c r="A97" s="1043" t="s">
        <v>284</v>
      </c>
      <c r="B97" s="2594"/>
      <c r="C97" s="2595"/>
      <c r="D97" s="2596"/>
      <c r="E97" s="2395"/>
      <c r="F97" s="2396"/>
      <c r="G97" s="1058">
        <v>30</v>
      </c>
      <c r="H97" s="1059"/>
      <c r="I97" s="1081">
        <f t="shared" si="13"/>
        <v>4.6199342169092869E-2</v>
      </c>
      <c r="J97" s="1082">
        <f t="shared" ref="J97:J98" si="17">ROUND(E97*I97,0)</f>
        <v>0</v>
      </c>
      <c r="K97" s="1061">
        <v>0.5</v>
      </c>
      <c r="L97" s="1305"/>
      <c r="M97" s="1086">
        <f t="shared" ref="M97:M98" si="18">ROUND(E97/100*IF(ISBLANK(L97),K97,L97),0)</f>
        <v>0</v>
      </c>
      <c r="N97" s="703"/>
      <c r="O97" s="365">
        <f t="shared" ref="O97:O98" si="19">IF(ISBLANK(H97),G97,H97)</f>
        <v>30</v>
      </c>
      <c r="P97" s="366"/>
      <c r="Q97" s="135"/>
      <c r="R97" s="136"/>
      <c r="S97" s="129"/>
      <c r="T97" s="129"/>
      <c r="U97" s="129"/>
      <c r="V97" s="129"/>
      <c r="W97" s="129"/>
      <c r="X97" s="129"/>
      <c r="Y97" s="129"/>
      <c r="Z97" s="133"/>
      <c r="AA97" s="133"/>
      <c r="AB97" s="133"/>
      <c r="AC97" s="133"/>
      <c r="AD97" s="133"/>
      <c r="AE97" s="133"/>
      <c r="AF97" s="222"/>
      <c r="AG97" s="222"/>
      <c r="AH97" s="222"/>
      <c r="AI97" s="176"/>
      <c r="AJ97" s="176"/>
      <c r="AK97" s="176"/>
      <c r="AL97" s="176"/>
      <c r="AM97" s="176"/>
      <c r="AN97" s="176"/>
      <c r="AO97" s="176"/>
      <c r="AP97" s="176"/>
      <c r="AQ97" s="176"/>
      <c r="AR97" s="176"/>
      <c r="AS97" s="176"/>
      <c r="AT97" s="176"/>
      <c r="AU97" s="176"/>
      <c r="AV97" s="176"/>
      <c r="AW97" s="176"/>
      <c r="AX97" s="176"/>
      <c r="AY97" s="176"/>
      <c r="AZ97" s="176"/>
      <c r="BA97" s="176"/>
      <c r="BB97" s="176"/>
      <c r="BC97" s="176"/>
      <c r="BD97" s="176"/>
      <c r="BE97" s="176"/>
      <c r="BF97" s="176"/>
      <c r="BG97" s="176"/>
      <c r="BH97" s="176"/>
      <c r="BI97" s="176"/>
      <c r="BJ97" s="176"/>
      <c r="BK97" s="176"/>
      <c r="BL97" s="176"/>
      <c r="BM97" s="176"/>
      <c r="BN97" s="176"/>
      <c r="BO97" s="176"/>
    </row>
    <row r="98" spans="1:67" s="36" customFormat="1" ht="10.5" customHeight="1" x14ac:dyDescent="0.2">
      <c r="A98" s="1043" t="s">
        <v>274</v>
      </c>
      <c r="B98" s="2594"/>
      <c r="C98" s="2595"/>
      <c r="D98" s="2596"/>
      <c r="E98" s="2395"/>
      <c r="F98" s="2396"/>
      <c r="G98" s="1058">
        <v>30</v>
      </c>
      <c r="H98" s="1059"/>
      <c r="I98" s="1081">
        <f t="shared" si="13"/>
        <v>4.6199342169092869E-2</v>
      </c>
      <c r="J98" s="1082">
        <f t="shared" si="17"/>
        <v>0</v>
      </c>
      <c r="K98" s="1061">
        <v>0</v>
      </c>
      <c r="L98" s="1305"/>
      <c r="M98" s="1086">
        <f t="shared" si="18"/>
        <v>0</v>
      </c>
      <c r="N98" s="703"/>
      <c r="O98" s="365">
        <f t="shared" si="19"/>
        <v>30</v>
      </c>
      <c r="P98" s="366"/>
      <c r="Q98" s="135"/>
      <c r="R98" s="136"/>
      <c r="S98" s="129"/>
      <c r="T98" s="129"/>
      <c r="U98" s="129"/>
      <c r="V98" s="129"/>
      <c r="W98" s="129"/>
      <c r="X98" s="129"/>
      <c r="Y98" s="129"/>
      <c r="Z98" s="133"/>
      <c r="AA98" s="133"/>
      <c r="AB98" s="133"/>
      <c r="AC98" s="133"/>
      <c r="AD98" s="133"/>
      <c r="AE98" s="133"/>
      <c r="AF98" s="222"/>
      <c r="AG98" s="222"/>
      <c r="AH98" s="222"/>
      <c r="AI98" s="176"/>
      <c r="AJ98" s="176"/>
      <c r="AK98" s="176"/>
      <c r="AL98" s="176"/>
      <c r="AM98" s="176"/>
      <c r="AN98" s="176"/>
      <c r="AO98" s="176"/>
      <c r="AP98" s="176"/>
      <c r="AQ98" s="176"/>
      <c r="AR98" s="176"/>
      <c r="AS98" s="176"/>
      <c r="AT98" s="176"/>
      <c r="AU98" s="176"/>
      <c r="AV98" s="176"/>
      <c r="AW98" s="176"/>
      <c r="AX98" s="176"/>
      <c r="AY98" s="176"/>
      <c r="AZ98" s="176"/>
      <c r="BA98" s="176"/>
      <c r="BB98" s="176"/>
      <c r="BC98" s="176"/>
      <c r="BD98" s="176"/>
      <c r="BE98" s="176"/>
      <c r="BF98" s="176"/>
      <c r="BG98" s="176"/>
      <c r="BH98" s="176"/>
      <c r="BI98" s="176"/>
      <c r="BJ98" s="176"/>
      <c r="BK98" s="176"/>
      <c r="BL98" s="176"/>
      <c r="BM98" s="176"/>
      <c r="BN98" s="176"/>
      <c r="BO98" s="176"/>
    </row>
    <row r="99" spans="1:67" s="36" customFormat="1" ht="10.5" customHeight="1" x14ac:dyDescent="0.2">
      <c r="A99" s="1055"/>
      <c r="B99" s="2594"/>
      <c r="C99" s="2595"/>
      <c r="D99" s="2596"/>
      <c r="E99" s="2395"/>
      <c r="F99" s="2396"/>
      <c r="G99" s="2590"/>
      <c r="H99" s="2591"/>
      <c r="I99" s="1081">
        <f t="shared" si="13"/>
        <v>0</v>
      </c>
      <c r="J99" s="1082">
        <f t="shared" si="14"/>
        <v>0</v>
      </c>
      <c r="K99" s="2588"/>
      <c r="L99" s="2589"/>
      <c r="M99" s="1086">
        <f t="shared" si="15"/>
        <v>0</v>
      </c>
      <c r="N99" s="505"/>
      <c r="O99" s="365">
        <f t="shared" si="16"/>
        <v>0</v>
      </c>
      <c r="P99" s="366"/>
      <c r="Q99" s="135"/>
      <c r="R99" s="136"/>
      <c r="S99" s="129"/>
      <c r="T99" s="129"/>
      <c r="U99" s="129"/>
      <c r="V99" s="129"/>
      <c r="W99" s="129"/>
      <c r="X99" s="129"/>
      <c r="Y99" s="129"/>
      <c r="Z99" s="133"/>
      <c r="AA99" s="133"/>
      <c r="AB99" s="133"/>
      <c r="AC99" s="133"/>
      <c r="AD99" s="133"/>
      <c r="AE99" s="133"/>
      <c r="AF99" s="222"/>
      <c r="AG99" s="222"/>
      <c r="AH99" s="222"/>
      <c r="AI99" s="176"/>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row>
    <row r="100" spans="1:67" s="36" customFormat="1" ht="10.5" customHeight="1" x14ac:dyDescent="0.2">
      <c r="A100" s="1055"/>
      <c r="B100" s="2594"/>
      <c r="C100" s="2595"/>
      <c r="D100" s="2596"/>
      <c r="E100" s="2395"/>
      <c r="F100" s="2396"/>
      <c r="G100" s="2590"/>
      <c r="H100" s="2591"/>
      <c r="I100" s="1081">
        <f t="shared" si="13"/>
        <v>0</v>
      </c>
      <c r="J100" s="1082">
        <f t="shared" si="14"/>
        <v>0</v>
      </c>
      <c r="K100" s="2588"/>
      <c r="L100" s="2589"/>
      <c r="M100" s="1086">
        <f t="shared" si="15"/>
        <v>0</v>
      </c>
      <c r="N100" s="505"/>
      <c r="O100" s="365">
        <f t="shared" si="16"/>
        <v>0</v>
      </c>
      <c r="P100" s="366"/>
      <c r="Q100" s="135"/>
      <c r="R100" s="136"/>
      <c r="S100" s="129"/>
      <c r="T100" s="129"/>
      <c r="U100" s="129"/>
      <c r="V100" s="129"/>
      <c r="W100" s="129"/>
      <c r="X100" s="129"/>
      <c r="Y100" s="129"/>
      <c r="Z100" s="133"/>
      <c r="AA100" s="133"/>
      <c r="AB100" s="133"/>
      <c r="AC100" s="133"/>
      <c r="AD100" s="133"/>
      <c r="AE100" s="133"/>
      <c r="AF100" s="222"/>
      <c r="AG100" s="222"/>
      <c r="AH100" s="222"/>
      <c r="AI100" s="176"/>
      <c r="AJ100" s="176"/>
      <c r="AK100" s="176"/>
      <c r="AL100" s="176"/>
      <c r="AM100" s="176"/>
      <c r="AN100" s="176"/>
      <c r="AO100" s="176"/>
      <c r="AP100" s="176"/>
      <c r="AQ100" s="176"/>
      <c r="AR100" s="176"/>
      <c r="AS100" s="176"/>
      <c r="AT100" s="176"/>
      <c r="AU100" s="176"/>
      <c r="AV100" s="176"/>
      <c r="AW100" s="176"/>
      <c r="AX100" s="176"/>
      <c r="AY100" s="176"/>
      <c r="AZ100" s="176"/>
      <c r="BA100" s="176"/>
      <c r="BB100" s="176"/>
      <c r="BC100" s="176"/>
      <c r="BD100" s="176"/>
      <c r="BE100" s="176"/>
      <c r="BF100" s="176"/>
      <c r="BG100" s="176"/>
      <c r="BH100" s="176"/>
      <c r="BI100" s="176"/>
      <c r="BJ100" s="176"/>
      <c r="BK100" s="176"/>
      <c r="BL100" s="176"/>
      <c r="BM100" s="176"/>
      <c r="BN100" s="176"/>
      <c r="BO100" s="176"/>
    </row>
    <row r="101" spans="1:67" s="36" customFormat="1" ht="10.5" customHeight="1" x14ac:dyDescent="0.2">
      <c r="A101" s="1348"/>
      <c r="B101" s="2690"/>
      <c r="C101" s="2691"/>
      <c r="D101" s="2692"/>
      <c r="E101" s="2601"/>
      <c r="F101" s="2602"/>
      <c r="G101" s="1088"/>
      <c r="H101" s="1089"/>
      <c r="I101" s="1083">
        <f t="shared" si="13"/>
        <v>0</v>
      </c>
      <c r="J101" s="1084"/>
      <c r="K101" s="1087"/>
      <c r="L101" s="1307"/>
      <c r="M101" s="1317">
        <f t="shared" si="15"/>
        <v>0</v>
      </c>
      <c r="N101" s="505"/>
      <c r="O101" s="365">
        <f t="shared" si="16"/>
        <v>0</v>
      </c>
      <c r="P101" s="366"/>
      <c r="Q101" s="135"/>
      <c r="R101" s="136"/>
      <c r="S101" s="129"/>
      <c r="T101" s="129"/>
      <c r="U101" s="129"/>
      <c r="V101" s="129"/>
      <c r="W101" s="129"/>
      <c r="X101" s="129"/>
      <c r="Y101" s="129"/>
      <c r="Z101" s="133"/>
      <c r="AA101" s="133"/>
      <c r="AB101" s="133"/>
      <c r="AC101" s="133"/>
      <c r="AD101" s="133"/>
      <c r="AE101" s="133"/>
      <c r="AF101" s="222"/>
      <c r="AG101" s="222"/>
      <c r="AH101" s="222"/>
      <c r="AI101" s="176"/>
      <c r="AJ101" s="176"/>
      <c r="AK101" s="176"/>
      <c r="AL101" s="176"/>
      <c r="AM101" s="176"/>
      <c r="AN101" s="176"/>
      <c r="AO101" s="176"/>
      <c r="AP101" s="176"/>
      <c r="AQ101" s="176"/>
      <c r="AR101" s="176"/>
      <c r="AS101" s="176"/>
      <c r="AT101" s="176"/>
      <c r="AU101" s="176"/>
      <c r="AV101" s="176"/>
      <c r="AW101" s="176"/>
      <c r="AX101" s="176"/>
      <c r="AY101" s="176"/>
      <c r="AZ101" s="176"/>
      <c r="BA101" s="176"/>
      <c r="BB101" s="176"/>
      <c r="BC101" s="176"/>
      <c r="BD101" s="176"/>
      <c r="BE101" s="176"/>
      <c r="BF101" s="176"/>
      <c r="BG101" s="176"/>
      <c r="BH101" s="176"/>
      <c r="BI101" s="176"/>
      <c r="BJ101" s="176"/>
      <c r="BK101" s="176"/>
      <c r="BL101" s="176"/>
      <c r="BM101" s="176"/>
      <c r="BN101" s="176"/>
      <c r="BO101" s="176"/>
    </row>
    <row r="102" spans="1:67" s="36" customFormat="1" ht="10.5" customHeight="1" x14ac:dyDescent="0.2">
      <c r="A102" s="1345" t="s">
        <v>285</v>
      </c>
      <c r="B102" s="2603"/>
      <c r="C102" s="2604"/>
      <c r="D102" s="2605"/>
      <c r="E102" s="2730">
        <f>SUM(E103:E115)</f>
        <v>0</v>
      </c>
      <c r="F102" s="2731"/>
      <c r="G102" s="2732"/>
      <c r="H102" s="2733"/>
      <c r="I102" s="1121">
        <f>IF(E102=0,0,J102/E102)</f>
        <v>0</v>
      </c>
      <c r="J102" s="1346">
        <f>SUM(J103:J115)</f>
        <v>0</v>
      </c>
      <c r="K102" s="2734">
        <f>IF(E102=0,0,M102/E102*100)</f>
        <v>0</v>
      </c>
      <c r="L102" s="2736"/>
      <c r="M102" s="1347">
        <f>SUM(M103:M115)</f>
        <v>0</v>
      </c>
      <c r="N102" s="505"/>
      <c r="O102" s="178">
        <f>IF(H102="",G102,H102)</f>
        <v>0</v>
      </c>
      <c r="P102" s="366"/>
      <c r="Q102" s="135"/>
      <c r="R102" s="136"/>
      <c r="S102" s="129"/>
      <c r="T102" s="129"/>
      <c r="U102" s="129"/>
      <c r="V102" s="129"/>
      <c r="W102" s="129"/>
      <c r="X102" s="129"/>
      <c r="Y102" s="129"/>
      <c r="Z102" s="133"/>
      <c r="AA102" s="133"/>
      <c r="AB102" s="133"/>
      <c r="AC102" s="133"/>
      <c r="AD102" s="133"/>
      <c r="AE102" s="133"/>
      <c r="AF102" s="222"/>
      <c r="AG102" s="222"/>
      <c r="AH102" s="222"/>
      <c r="AI102" s="176"/>
      <c r="AJ102" s="176"/>
      <c r="AK102" s="176"/>
      <c r="AL102" s="176"/>
      <c r="AM102" s="176"/>
      <c r="AN102" s="176"/>
      <c r="AO102" s="176"/>
      <c r="AP102" s="176"/>
      <c r="AQ102" s="176"/>
      <c r="AR102" s="176"/>
      <c r="AS102" s="176"/>
      <c r="AT102" s="176"/>
      <c r="AU102" s="176"/>
      <c r="AV102" s="176"/>
      <c r="AW102" s="176"/>
      <c r="AX102" s="176"/>
      <c r="AY102" s="176"/>
      <c r="AZ102" s="176"/>
      <c r="BA102" s="176"/>
      <c r="BB102" s="176"/>
      <c r="BC102" s="176"/>
      <c r="BD102" s="176"/>
      <c r="BE102" s="176"/>
      <c r="BF102" s="176"/>
      <c r="BG102" s="176"/>
      <c r="BH102" s="176"/>
      <c r="BI102" s="176"/>
      <c r="BJ102" s="176"/>
      <c r="BK102" s="176"/>
      <c r="BL102" s="176"/>
      <c r="BM102" s="176"/>
      <c r="BN102" s="176"/>
      <c r="BO102" s="176"/>
    </row>
    <row r="103" spans="1:67" s="36" customFormat="1" ht="10.5" customHeight="1" x14ac:dyDescent="0.2">
      <c r="A103" s="1042" t="s">
        <v>397</v>
      </c>
      <c r="B103" s="2624"/>
      <c r="C103" s="2625"/>
      <c r="D103" s="2626"/>
      <c r="E103" s="2386"/>
      <c r="F103" s="2387"/>
      <c r="G103" s="1056">
        <v>20</v>
      </c>
      <c r="H103" s="1057"/>
      <c r="I103" s="1079">
        <f t="shared" ref="I103:I116" si="20">IF($O103&gt;0,-PMT(($I$9),$O103,1),0)</f>
        <v>6.2642070767998229E-2</v>
      </c>
      <c r="J103" s="1080">
        <f t="shared" ref="J103:J115" si="21">ROUND(E103*I103,0)</f>
        <v>0</v>
      </c>
      <c r="K103" s="1060">
        <v>2.5</v>
      </c>
      <c r="L103" s="1304"/>
      <c r="M103" s="1085">
        <f t="shared" ref="M103:M116" si="22">ROUND(E103/100*IF(ISBLANK(L103),K103,L103),0)</f>
        <v>0</v>
      </c>
      <c r="N103" s="505"/>
      <c r="O103" s="365">
        <f t="shared" ref="O103:O116" si="23">IF(ISBLANK(H103),G103,H103)</f>
        <v>20</v>
      </c>
      <c r="P103" s="366"/>
      <c r="Q103" s="135"/>
      <c r="R103" s="136"/>
      <c r="S103" s="129"/>
      <c r="T103" s="129"/>
      <c r="U103" s="129"/>
      <c r="V103" s="129"/>
      <c r="W103" s="129"/>
      <c r="X103" s="129"/>
      <c r="Y103" s="129"/>
      <c r="Z103" s="133"/>
      <c r="AA103" s="133"/>
      <c r="AB103" s="133"/>
      <c r="AC103" s="133"/>
      <c r="AD103" s="133"/>
      <c r="AE103" s="133"/>
      <c r="AF103" s="222"/>
      <c r="AG103" s="222"/>
      <c r="AH103" s="222"/>
      <c r="AI103" s="176"/>
      <c r="AJ103" s="176"/>
      <c r="AK103" s="176"/>
      <c r="AL103" s="176"/>
      <c r="AM103" s="176"/>
      <c r="AN103" s="176"/>
      <c r="AO103" s="176"/>
      <c r="AP103" s="176"/>
      <c r="AQ103" s="176"/>
      <c r="AR103" s="176"/>
      <c r="AS103" s="176"/>
      <c r="AT103" s="176"/>
      <c r="AU103" s="176"/>
      <c r="AV103" s="176"/>
      <c r="AW103" s="176"/>
      <c r="AX103" s="176"/>
      <c r="AY103" s="176"/>
      <c r="AZ103" s="176"/>
      <c r="BA103" s="176"/>
      <c r="BB103" s="176"/>
      <c r="BC103" s="176"/>
      <c r="BD103" s="176"/>
      <c r="BE103" s="176"/>
      <c r="BF103" s="176"/>
      <c r="BG103" s="176"/>
      <c r="BH103" s="176"/>
      <c r="BI103" s="176"/>
      <c r="BJ103" s="176"/>
      <c r="BK103" s="176"/>
      <c r="BL103" s="176"/>
      <c r="BM103" s="176"/>
      <c r="BN103" s="176"/>
      <c r="BO103" s="176"/>
    </row>
    <row r="104" spans="1:67" s="36" customFormat="1" ht="10.5" customHeight="1" x14ac:dyDescent="0.2">
      <c r="A104" s="1043" t="s">
        <v>398</v>
      </c>
      <c r="B104" s="2594"/>
      <c r="C104" s="2595"/>
      <c r="D104" s="2596"/>
      <c r="E104" s="2395"/>
      <c r="F104" s="2396"/>
      <c r="G104" s="1058">
        <v>20</v>
      </c>
      <c r="H104" s="1059"/>
      <c r="I104" s="1081">
        <f t="shared" si="20"/>
        <v>6.2642070767998229E-2</v>
      </c>
      <c r="J104" s="1082">
        <f t="shared" si="21"/>
        <v>0</v>
      </c>
      <c r="K104" s="1061">
        <v>2.5</v>
      </c>
      <c r="L104" s="1305"/>
      <c r="M104" s="1086">
        <f t="shared" si="22"/>
        <v>0</v>
      </c>
      <c r="N104" s="505"/>
      <c r="O104" s="365">
        <f t="shared" si="23"/>
        <v>20</v>
      </c>
      <c r="P104" s="366"/>
      <c r="Q104" s="135"/>
      <c r="R104" s="136"/>
      <c r="S104" s="129"/>
      <c r="T104" s="129"/>
      <c r="U104" s="129"/>
      <c r="V104" s="129"/>
      <c r="W104" s="129"/>
      <c r="X104" s="129"/>
      <c r="Y104" s="129"/>
      <c r="Z104" s="133"/>
      <c r="AA104" s="133"/>
      <c r="AB104" s="133"/>
      <c r="AC104" s="133"/>
      <c r="AD104" s="133"/>
      <c r="AE104" s="133"/>
      <c r="AF104" s="222"/>
      <c r="AG104" s="222"/>
      <c r="AH104" s="222"/>
      <c r="AI104" s="176"/>
      <c r="AJ104" s="176"/>
      <c r="AK104" s="176"/>
      <c r="AL104" s="176"/>
      <c r="AM104" s="176"/>
      <c r="AN104" s="176"/>
      <c r="AO104" s="176"/>
      <c r="AP104" s="176"/>
      <c r="AQ104" s="176"/>
      <c r="AR104" s="176"/>
      <c r="AS104" s="176"/>
      <c r="AT104" s="176"/>
      <c r="AU104" s="176"/>
      <c r="AV104" s="176"/>
      <c r="AW104" s="176"/>
      <c r="AX104" s="176"/>
      <c r="AY104" s="176"/>
      <c r="AZ104" s="176"/>
      <c r="BA104" s="176"/>
      <c r="BB104" s="176"/>
      <c r="BC104" s="176"/>
      <c r="BD104" s="176"/>
      <c r="BE104" s="176"/>
      <c r="BF104" s="176"/>
      <c r="BG104" s="176"/>
      <c r="BH104" s="176"/>
      <c r="BI104" s="176"/>
      <c r="BJ104" s="176"/>
      <c r="BK104" s="176"/>
      <c r="BL104" s="176"/>
      <c r="BM104" s="176"/>
      <c r="BN104" s="176"/>
      <c r="BO104" s="176"/>
    </row>
    <row r="105" spans="1:67" s="36" customFormat="1" ht="10.5" customHeight="1" x14ac:dyDescent="0.2">
      <c r="A105" s="1043" t="s">
        <v>286</v>
      </c>
      <c r="B105" s="2594"/>
      <c r="C105" s="2595"/>
      <c r="D105" s="2596"/>
      <c r="E105" s="2395"/>
      <c r="F105" s="2396"/>
      <c r="G105" s="1058">
        <v>15</v>
      </c>
      <c r="H105" s="1059"/>
      <c r="I105" s="1081">
        <f t="shared" si="20"/>
        <v>7.9288524964265278E-2</v>
      </c>
      <c r="J105" s="1082">
        <f t="shared" si="21"/>
        <v>0</v>
      </c>
      <c r="K105" s="1061">
        <v>3.5</v>
      </c>
      <c r="L105" s="1305"/>
      <c r="M105" s="1086">
        <f t="shared" si="22"/>
        <v>0</v>
      </c>
      <c r="N105" s="505"/>
      <c r="O105" s="365">
        <f t="shared" si="23"/>
        <v>15</v>
      </c>
      <c r="P105" s="366"/>
      <c r="Q105" s="135"/>
      <c r="R105" s="136"/>
      <c r="S105" s="129"/>
      <c r="T105" s="129"/>
      <c r="U105" s="129"/>
      <c r="V105" s="129"/>
      <c r="W105" s="129"/>
      <c r="X105" s="129"/>
      <c r="Y105" s="129"/>
      <c r="Z105" s="133"/>
      <c r="AA105" s="133"/>
      <c r="AB105" s="133"/>
      <c r="AC105" s="133"/>
      <c r="AD105" s="133"/>
      <c r="AE105" s="133"/>
      <c r="AF105" s="222"/>
      <c r="AG105" s="222"/>
      <c r="AH105" s="222"/>
      <c r="AI105" s="176"/>
      <c r="AJ105" s="176"/>
      <c r="AK105" s="176"/>
      <c r="AL105" s="176"/>
      <c r="AM105" s="176"/>
      <c r="AN105" s="176"/>
      <c r="AO105" s="176"/>
      <c r="AP105" s="176"/>
      <c r="AQ105" s="176"/>
      <c r="AR105" s="176"/>
      <c r="AS105" s="176"/>
      <c r="AT105" s="176"/>
      <c r="AU105" s="176"/>
      <c r="AV105" s="176"/>
      <c r="AW105" s="176"/>
      <c r="AX105" s="176"/>
      <c r="AY105" s="176"/>
      <c r="AZ105" s="176"/>
      <c r="BA105" s="176"/>
      <c r="BB105" s="176"/>
      <c r="BC105" s="176"/>
      <c r="BD105" s="176"/>
      <c r="BE105" s="176"/>
      <c r="BF105" s="176"/>
      <c r="BG105" s="176"/>
      <c r="BH105" s="176"/>
      <c r="BI105" s="176"/>
      <c r="BJ105" s="176"/>
      <c r="BK105" s="176"/>
      <c r="BL105" s="176"/>
      <c r="BM105" s="176"/>
      <c r="BN105" s="176"/>
      <c r="BO105" s="176"/>
    </row>
    <row r="106" spans="1:67" s="36" customFormat="1" ht="10.5" customHeight="1" x14ac:dyDescent="0.2">
      <c r="A106" s="1043" t="s">
        <v>287</v>
      </c>
      <c r="B106" s="2594"/>
      <c r="C106" s="2595"/>
      <c r="D106" s="2596"/>
      <c r="E106" s="2395"/>
      <c r="F106" s="2396"/>
      <c r="G106" s="1058">
        <v>15</v>
      </c>
      <c r="H106" s="1059"/>
      <c r="I106" s="1081">
        <f t="shared" si="20"/>
        <v>7.9288524964265278E-2</v>
      </c>
      <c r="J106" s="1082">
        <f t="shared" si="21"/>
        <v>0</v>
      </c>
      <c r="K106" s="1061">
        <v>3.5</v>
      </c>
      <c r="L106" s="1305"/>
      <c r="M106" s="1086">
        <f t="shared" si="22"/>
        <v>0</v>
      </c>
      <c r="N106" s="505"/>
      <c r="O106" s="365">
        <f t="shared" si="23"/>
        <v>15</v>
      </c>
      <c r="P106" s="366"/>
      <c r="Q106" s="135"/>
      <c r="R106" s="136"/>
      <c r="S106" s="129"/>
      <c r="T106" s="129"/>
      <c r="U106" s="129"/>
      <c r="V106" s="129"/>
      <c r="W106" s="129"/>
      <c r="X106" s="129"/>
      <c r="Y106" s="129"/>
      <c r="Z106" s="133"/>
      <c r="AA106" s="133"/>
      <c r="AB106" s="133"/>
      <c r="AC106" s="133"/>
      <c r="AD106" s="133"/>
      <c r="AE106" s="133"/>
      <c r="AF106" s="222"/>
      <c r="AG106" s="222"/>
      <c r="AH106" s="222"/>
      <c r="AI106" s="176"/>
      <c r="AJ106" s="176"/>
      <c r="AK106" s="176"/>
      <c r="AL106" s="176"/>
      <c r="AM106" s="176"/>
      <c r="AN106" s="176"/>
      <c r="AO106" s="176"/>
      <c r="AP106" s="176"/>
      <c r="AQ106" s="176"/>
      <c r="AR106" s="176"/>
      <c r="AS106" s="176"/>
      <c r="AT106" s="176"/>
      <c r="AU106" s="176"/>
      <c r="AV106" s="176"/>
      <c r="AW106" s="176"/>
      <c r="AX106" s="176"/>
      <c r="AY106" s="176"/>
      <c r="AZ106" s="176"/>
      <c r="BA106" s="176"/>
      <c r="BB106" s="176"/>
      <c r="BC106" s="176"/>
      <c r="BD106" s="176"/>
      <c r="BE106" s="176"/>
      <c r="BF106" s="176"/>
      <c r="BG106" s="176"/>
      <c r="BH106" s="176"/>
      <c r="BI106" s="176"/>
      <c r="BJ106" s="176"/>
      <c r="BK106" s="176"/>
      <c r="BL106" s="176"/>
      <c r="BM106" s="176"/>
      <c r="BN106" s="176"/>
      <c r="BO106" s="176"/>
    </row>
    <row r="107" spans="1:67" s="36" customFormat="1" ht="10.5" customHeight="1" x14ac:dyDescent="0.2">
      <c r="A107" s="1055"/>
      <c r="B107" s="2594"/>
      <c r="C107" s="2595"/>
      <c r="D107" s="2596"/>
      <c r="E107" s="2395"/>
      <c r="F107" s="2396"/>
      <c r="G107" s="2590"/>
      <c r="H107" s="2591"/>
      <c r="I107" s="1081">
        <f t="shared" si="20"/>
        <v>0</v>
      </c>
      <c r="J107" s="1082">
        <f t="shared" si="21"/>
        <v>0</v>
      </c>
      <c r="K107" s="2588"/>
      <c r="L107" s="2589"/>
      <c r="M107" s="1086">
        <f t="shared" si="22"/>
        <v>0</v>
      </c>
      <c r="N107" s="505"/>
      <c r="O107" s="365">
        <f t="shared" si="23"/>
        <v>0</v>
      </c>
      <c r="P107" s="366"/>
      <c r="Q107" s="135"/>
      <c r="R107" s="136"/>
      <c r="S107" s="129"/>
      <c r="T107" s="129"/>
      <c r="U107" s="129"/>
      <c r="V107" s="129"/>
      <c r="W107" s="129"/>
      <c r="X107" s="129"/>
      <c r="Y107" s="129"/>
      <c r="Z107" s="133"/>
      <c r="AA107" s="133"/>
      <c r="AB107" s="133"/>
      <c r="AC107" s="133"/>
      <c r="AD107" s="133"/>
      <c r="AE107" s="133"/>
      <c r="AF107" s="222"/>
      <c r="AG107" s="222"/>
      <c r="AH107" s="222"/>
      <c r="AI107" s="176"/>
      <c r="AJ107" s="176"/>
      <c r="AK107" s="176"/>
      <c r="AL107" s="176"/>
      <c r="AM107" s="176"/>
      <c r="AN107" s="176"/>
      <c r="AO107" s="176"/>
      <c r="AP107" s="176"/>
      <c r="AQ107" s="176"/>
      <c r="AR107" s="176"/>
      <c r="AS107" s="176"/>
      <c r="AT107" s="176"/>
      <c r="AU107" s="176"/>
      <c r="AV107" s="176"/>
      <c r="AW107" s="176"/>
      <c r="AX107" s="176"/>
      <c r="AY107" s="176"/>
      <c r="AZ107" s="176"/>
      <c r="BA107" s="176"/>
      <c r="BB107" s="176"/>
      <c r="BC107" s="176"/>
      <c r="BD107" s="176"/>
      <c r="BE107" s="176"/>
      <c r="BF107" s="176"/>
      <c r="BG107" s="176"/>
      <c r="BH107" s="176"/>
      <c r="BI107" s="176"/>
      <c r="BJ107" s="176"/>
      <c r="BK107" s="176"/>
      <c r="BL107" s="176"/>
      <c r="BM107" s="176"/>
      <c r="BN107" s="176"/>
      <c r="BO107" s="176"/>
    </row>
    <row r="108" spans="1:67" s="36" customFormat="1" ht="10.5" customHeight="1" x14ac:dyDescent="0.2">
      <c r="A108" s="1055"/>
      <c r="B108" s="2594"/>
      <c r="C108" s="2595"/>
      <c r="D108" s="2596"/>
      <c r="E108" s="2395"/>
      <c r="F108" s="2396"/>
      <c r="G108" s="2590"/>
      <c r="H108" s="2591"/>
      <c r="I108" s="1081">
        <f t="shared" si="20"/>
        <v>0</v>
      </c>
      <c r="J108" s="1082">
        <f t="shared" si="21"/>
        <v>0</v>
      </c>
      <c r="K108" s="2588"/>
      <c r="L108" s="2589"/>
      <c r="M108" s="1086">
        <f t="shared" si="22"/>
        <v>0</v>
      </c>
      <c r="N108" s="505"/>
      <c r="O108" s="365">
        <f t="shared" si="23"/>
        <v>0</v>
      </c>
      <c r="P108" s="366"/>
      <c r="Q108" s="135"/>
      <c r="R108" s="136"/>
      <c r="S108" s="129"/>
      <c r="T108" s="129"/>
      <c r="U108" s="129"/>
      <c r="V108" s="129"/>
      <c r="W108" s="129"/>
      <c r="X108" s="129"/>
      <c r="Y108" s="129"/>
      <c r="Z108" s="133"/>
      <c r="AA108" s="133"/>
      <c r="AB108" s="133"/>
      <c r="AC108" s="133"/>
      <c r="AD108" s="133"/>
      <c r="AE108" s="133"/>
      <c r="AF108" s="222"/>
      <c r="AG108" s="222"/>
      <c r="AH108" s="222"/>
      <c r="AI108" s="176"/>
      <c r="AJ108" s="176"/>
      <c r="AK108" s="176"/>
      <c r="AL108" s="176"/>
      <c r="AM108" s="176"/>
      <c r="AN108" s="176"/>
      <c r="AO108" s="176"/>
      <c r="AP108" s="176"/>
      <c r="AQ108" s="176"/>
      <c r="AR108" s="176"/>
      <c r="AS108" s="176"/>
      <c r="AT108" s="176"/>
      <c r="AU108" s="176"/>
      <c r="AV108" s="176"/>
      <c r="AW108" s="176"/>
      <c r="AX108" s="176"/>
      <c r="AY108" s="176"/>
      <c r="AZ108" s="176"/>
      <c r="BA108" s="176"/>
      <c r="BB108" s="176"/>
      <c r="BC108" s="176"/>
      <c r="BD108" s="176"/>
      <c r="BE108" s="176"/>
      <c r="BF108" s="176"/>
      <c r="BG108" s="176"/>
      <c r="BH108" s="176"/>
      <c r="BI108" s="176"/>
      <c r="BJ108" s="176"/>
      <c r="BK108" s="176"/>
      <c r="BL108" s="176"/>
      <c r="BM108" s="176"/>
      <c r="BN108" s="176"/>
      <c r="BO108" s="176"/>
    </row>
    <row r="109" spans="1:67" s="36" customFormat="1" ht="10.5" customHeight="1" x14ac:dyDescent="0.2">
      <c r="A109" s="1055"/>
      <c r="B109" s="2594"/>
      <c r="C109" s="2595"/>
      <c r="D109" s="2596"/>
      <c r="E109" s="2395"/>
      <c r="F109" s="2396"/>
      <c r="G109" s="2590"/>
      <c r="H109" s="2591"/>
      <c r="I109" s="1081">
        <f t="shared" si="20"/>
        <v>0</v>
      </c>
      <c r="J109" s="1082">
        <f t="shared" si="21"/>
        <v>0</v>
      </c>
      <c r="K109" s="2588"/>
      <c r="L109" s="2589"/>
      <c r="M109" s="1086">
        <f t="shared" si="22"/>
        <v>0</v>
      </c>
      <c r="N109" s="505"/>
      <c r="O109" s="365">
        <f t="shared" si="23"/>
        <v>0</v>
      </c>
      <c r="P109" s="366"/>
      <c r="Q109" s="135"/>
      <c r="R109" s="136"/>
      <c r="S109" s="129"/>
      <c r="T109" s="129"/>
      <c r="U109" s="129"/>
      <c r="V109" s="129"/>
      <c r="W109" s="129"/>
      <c r="X109" s="129"/>
      <c r="Y109" s="129"/>
      <c r="Z109" s="133"/>
      <c r="AA109" s="133"/>
      <c r="AB109" s="133"/>
      <c r="AC109" s="133"/>
      <c r="AD109" s="133"/>
      <c r="AE109" s="133"/>
      <c r="AF109" s="222"/>
      <c r="AG109" s="222"/>
      <c r="AH109" s="222"/>
      <c r="AI109" s="176"/>
      <c r="AJ109" s="176"/>
      <c r="AK109" s="176"/>
      <c r="AL109" s="176"/>
      <c r="AM109" s="176"/>
      <c r="AN109" s="176"/>
      <c r="AO109" s="176"/>
      <c r="AP109" s="176"/>
      <c r="AQ109" s="176"/>
      <c r="AR109" s="176"/>
      <c r="AS109" s="176"/>
      <c r="AT109" s="176"/>
      <c r="AU109" s="176"/>
      <c r="AV109" s="176"/>
      <c r="AW109" s="176"/>
      <c r="AX109" s="176"/>
      <c r="AY109" s="176"/>
      <c r="AZ109" s="176"/>
      <c r="BA109" s="176"/>
      <c r="BB109" s="176"/>
      <c r="BC109" s="176"/>
      <c r="BD109" s="176"/>
      <c r="BE109" s="176"/>
      <c r="BF109" s="176"/>
      <c r="BG109" s="176"/>
      <c r="BH109" s="176"/>
      <c r="BI109" s="176"/>
      <c r="BJ109" s="176"/>
      <c r="BK109" s="176"/>
      <c r="BL109" s="176"/>
      <c r="BM109" s="176"/>
      <c r="BN109" s="176"/>
      <c r="BO109" s="176"/>
    </row>
    <row r="110" spans="1:67" s="36" customFormat="1" ht="10.5" customHeight="1" x14ac:dyDescent="0.2">
      <c r="A110" s="1055"/>
      <c r="B110" s="2594"/>
      <c r="C110" s="2595"/>
      <c r="D110" s="2596"/>
      <c r="E110" s="2395"/>
      <c r="F110" s="2396"/>
      <c r="G110" s="2590"/>
      <c r="H110" s="2591"/>
      <c r="I110" s="1081">
        <f t="shared" si="20"/>
        <v>0</v>
      </c>
      <c r="J110" s="1082">
        <f t="shared" si="21"/>
        <v>0</v>
      </c>
      <c r="K110" s="2588"/>
      <c r="L110" s="2589"/>
      <c r="M110" s="1086">
        <f t="shared" si="22"/>
        <v>0</v>
      </c>
      <c r="N110" s="505"/>
      <c r="O110" s="365">
        <f t="shared" si="23"/>
        <v>0</v>
      </c>
      <c r="P110" s="366"/>
      <c r="Q110" s="135"/>
      <c r="R110" s="136"/>
      <c r="S110" s="129"/>
      <c r="T110" s="129"/>
      <c r="U110" s="129"/>
      <c r="V110" s="129"/>
      <c r="W110" s="129"/>
      <c r="X110" s="129"/>
      <c r="Y110" s="129"/>
      <c r="Z110" s="133"/>
      <c r="AA110" s="133"/>
      <c r="AB110" s="133"/>
      <c r="AC110" s="133"/>
      <c r="AD110" s="133"/>
      <c r="AE110" s="133"/>
      <c r="AF110" s="222"/>
      <c r="AG110" s="222"/>
      <c r="AH110" s="222"/>
      <c r="AI110" s="176"/>
      <c r="AJ110" s="176"/>
      <c r="AK110" s="176"/>
      <c r="AL110" s="176"/>
      <c r="AM110" s="176"/>
      <c r="AN110" s="176"/>
      <c r="AO110" s="176"/>
      <c r="AP110" s="176"/>
      <c r="AQ110" s="176"/>
      <c r="AR110" s="176"/>
      <c r="AS110" s="176"/>
      <c r="AT110" s="176"/>
      <c r="AU110" s="176"/>
      <c r="AV110" s="176"/>
      <c r="AW110" s="176"/>
      <c r="AX110" s="176"/>
      <c r="AY110" s="176"/>
      <c r="AZ110" s="176"/>
      <c r="BA110" s="176"/>
      <c r="BB110" s="176"/>
      <c r="BC110" s="176"/>
      <c r="BD110" s="176"/>
      <c r="BE110" s="176"/>
      <c r="BF110" s="176"/>
      <c r="BG110" s="176"/>
      <c r="BH110" s="176"/>
      <c r="BI110" s="176"/>
      <c r="BJ110" s="176"/>
      <c r="BK110" s="176"/>
      <c r="BL110" s="176"/>
      <c r="BM110" s="176"/>
      <c r="BN110" s="176"/>
      <c r="BO110" s="176"/>
    </row>
    <row r="111" spans="1:67" s="36" customFormat="1" ht="10.5" customHeight="1" x14ac:dyDescent="0.2">
      <c r="A111" s="1055"/>
      <c r="B111" s="2594"/>
      <c r="C111" s="2595"/>
      <c r="D111" s="2596"/>
      <c r="E111" s="2395"/>
      <c r="F111" s="2396"/>
      <c r="G111" s="2590"/>
      <c r="H111" s="2591"/>
      <c r="I111" s="1081">
        <f t="shared" si="20"/>
        <v>0</v>
      </c>
      <c r="J111" s="1082">
        <f t="shared" si="21"/>
        <v>0</v>
      </c>
      <c r="K111" s="2588"/>
      <c r="L111" s="2589"/>
      <c r="M111" s="1086">
        <f t="shared" si="22"/>
        <v>0</v>
      </c>
      <c r="N111" s="505"/>
      <c r="O111" s="365">
        <f t="shared" si="23"/>
        <v>0</v>
      </c>
      <c r="P111" s="366"/>
      <c r="Q111" s="135"/>
      <c r="R111" s="136"/>
      <c r="S111" s="129"/>
      <c r="T111" s="129"/>
      <c r="U111" s="129"/>
      <c r="V111" s="129"/>
      <c r="W111" s="129"/>
      <c r="X111" s="129"/>
      <c r="Y111" s="129"/>
      <c r="Z111" s="133"/>
      <c r="AA111" s="133"/>
      <c r="AB111" s="133"/>
      <c r="AC111" s="133"/>
      <c r="AD111" s="133"/>
      <c r="AE111" s="133"/>
      <c r="AF111" s="222"/>
      <c r="AG111" s="222"/>
      <c r="AH111" s="222"/>
      <c r="AI111" s="176"/>
      <c r="AJ111" s="176"/>
      <c r="AK111" s="176"/>
      <c r="AL111" s="176"/>
      <c r="AM111" s="176"/>
      <c r="AN111" s="176"/>
      <c r="AO111" s="176"/>
      <c r="AP111" s="176"/>
      <c r="AQ111" s="176"/>
      <c r="AR111" s="176"/>
      <c r="AS111" s="176"/>
      <c r="AT111" s="176"/>
      <c r="AU111" s="176"/>
      <c r="AV111" s="176"/>
      <c r="AW111" s="176"/>
      <c r="AX111" s="176"/>
      <c r="AY111" s="176"/>
      <c r="AZ111" s="176"/>
      <c r="BA111" s="176"/>
      <c r="BB111" s="176"/>
      <c r="BC111" s="176"/>
      <c r="BD111" s="176"/>
      <c r="BE111" s="176"/>
      <c r="BF111" s="176"/>
      <c r="BG111" s="176"/>
      <c r="BH111" s="176"/>
      <c r="BI111" s="176"/>
      <c r="BJ111" s="176"/>
      <c r="BK111" s="176"/>
      <c r="BL111" s="176"/>
      <c r="BM111" s="176"/>
      <c r="BN111" s="176"/>
      <c r="BO111" s="176"/>
    </row>
    <row r="112" spans="1:67" s="36" customFormat="1" ht="10.5" customHeight="1" x14ac:dyDescent="0.2">
      <c r="A112" s="1055"/>
      <c r="B112" s="2594"/>
      <c r="C112" s="2595"/>
      <c r="D112" s="2596"/>
      <c r="E112" s="2395"/>
      <c r="F112" s="2396"/>
      <c r="G112" s="2590"/>
      <c r="H112" s="2591"/>
      <c r="I112" s="1081">
        <f t="shared" si="20"/>
        <v>0</v>
      </c>
      <c r="J112" s="1082">
        <f t="shared" si="21"/>
        <v>0</v>
      </c>
      <c r="K112" s="2588"/>
      <c r="L112" s="2589"/>
      <c r="M112" s="1086">
        <f t="shared" si="22"/>
        <v>0</v>
      </c>
      <c r="N112" s="505"/>
      <c r="O112" s="365">
        <f t="shared" si="23"/>
        <v>0</v>
      </c>
      <c r="P112" s="366"/>
      <c r="Q112" s="135"/>
      <c r="R112" s="136"/>
      <c r="S112" s="129"/>
      <c r="T112" s="129"/>
      <c r="U112" s="129"/>
      <c r="V112" s="129"/>
      <c r="W112" s="129"/>
      <c r="X112" s="129"/>
      <c r="Y112" s="129"/>
      <c r="Z112" s="133"/>
      <c r="AA112" s="133"/>
      <c r="AB112" s="133"/>
      <c r="AC112" s="133"/>
      <c r="AD112" s="133"/>
      <c r="AE112" s="133"/>
      <c r="AF112" s="222"/>
      <c r="AG112" s="222"/>
      <c r="AH112" s="222"/>
      <c r="AI112" s="176"/>
      <c r="AJ112" s="176"/>
      <c r="AK112" s="176"/>
      <c r="AL112" s="176"/>
      <c r="AM112" s="176"/>
      <c r="AN112" s="176"/>
      <c r="AO112" s="176"/>
      <c r="AP112" s="176"/>
      <c r="AQ112" s="176"/>
      <c r="AR112" s="176"/>
      <c r="AS112" s="176"/>
      <c r="AT112" s="176"/>
      <c r="AU112" s="176"/>
      <c r="AV112" s="176"/>
      <c r="AW112" s="176"/>
      <c r="AX112" s="176"/>
      <c r="AY112" s="176"/>
      <c r="AZ112" s="176"/>
      <c r="BA112" s="176"/>
      <c r="BB112" s="176"/>
      <c r="BC112" s="176"/>
      <c r="BD112" s="176"/>
      <c r="BE112" s="176"/>
      <c r="BF112" s="176"/>
      <c r="BG112" s="176"/>
      <c r="BH112" s="176"/>
      <c r="BI112" s="176"/>
      <c r="BJ112" s="176"/>
      <c r="BK112" s="176"/>
      <c r="BL112" s="176"/>
      <c r="BM112" s="176"/>
      <c r="BN112" s="176"/>
      <c r="BO112" s="176"/>
    </row>
    <row r="113" spans="1:67" s="36" customFormat="1" ht="10.5" customHeight="1" x14ac:dyDescent="0.2">
      <c r="A113" s="1055"/>
      <c r="B113" s="2594"/>
      <c r="C113" s="2595"/>
      <c r="D113" s="2596"/>
      <c r="E113" s="2395"/>
      <c r="F113" s="2396"/>
      <c r="G113" s="2590"/>
      <c r="H113" s="2591"/>
      <c r="I113" s="1081">
        <f t="shared" si="20"/>
        <v>0</v>
      </c>
      <c r="J113" s="1082">
        <f t="shared" si="21"/>
        <v>0</v>
      </c>
      <c r="K113" s="2588"/>
      <c r="L113" s="2589"/>
      <c r="M113" s="1086">
        <f t="shared" si="22"/>
        <v>0</v>
      </c>
      <c r="N113" s="505"/>
      <c r="O113" s="365">
        <f t="shared" si="23"/>
        <v>0</v>
      </c>
      <c r="P113" s="366"/>
      <c r="Q113" s="135"/>
      <c r="R113" s="136"/>
      <c r="S113" s="129"/>
      <c r="T113" s="129"/>
      <c r="U113" s="129"/>
      <c r="V113" s="129"/>
      <c r="W113" s="129"/>
      <c r="X113" s="129"/>
      <c r="Y113" s="129"/>
      <c r="Z113" s="133"/>
      <c r="AA113" s="133"/>
      <c r="AB113" s="133"/>
      <c r="AC113" s="133"/>
      <c r="AD113" s="133"/>
      <c r="AE113" s="133"/>
      <c r="AF113" s="222"/>
      <c r="AG113" s="222"/>
      <c r="AH113" s="222"/>
      <c r="AI113" s="176"/>
      <c r="AJ113" s="176"/>
      <c r="AK113" s="176"/>
      <c r="AL113" s="176"/>
      <c r="AM113" s="176"/>
      <c r="AN113" s="176"/>
      <c r="AO113" s="176"/>
      <c r="AP113" s="176"/>
      <c r="AQ113" s="176"/>
      <c r="AR113" s="176"/>
      <c r="AS113" s="176"/>
      <c r="AT113" s="176"/>
      <c r="AU113" s="176"/>
      <c r="AV113" s="176"/>
      <c r="AW113" s="176"/>
      <c r="AX113" s="176"/>
      <c r="AY113" s="176"/>
      <c r="AZ113" s="176"/>
      <c r="BA113" s="176"/>
      <c r="BB113" s="176"/>
      <c r="BC113" s="176"/>
      <c r="BD113" s="176"/>
      <c r="BE113" s="176"/>
      <c r="BF113" s="176"/>
      <c r="BG113" s="176"/>
      <c r="BH113" s="176"/>
      <c r="BI113" s="176"/>
      <c r="BJ113" s="176"/>
      <c r="BK113" s="176"/>
      <c r="BL113" s="176"/>
      <c r="BM113" s="176"/>
      <c r="BN113" s="176"/>
      <c r="BO113" s="176"/>
    </row>
    <row r="114" spans="1:67" s="36" customFormat="1" ht="10.5" customHeight="1" x14ac:dyDescent="0.2">
      <c r="A114" s="1055"/>
      <c r="B114" s="2594"/>
      <c r="C114" s="2595"/>
      <c r="D114" s="2596"/>
      <c r="E114" s="2395"/>
      <c r="F114" s="2396"/>
      <c r="G114" s="2590"/>
      <c r="H114" s="2591"/>
      <c r="I114" s="1081">
        <f t="shared" si="20"/>
        <v>0</v>
      </c>
      <c r="J114" s="1082">
        <f t="shared" si="21"/>
        <v>0</v>
      </c>
      <c r="K114" s="2588"/>
      <c r="L114" s="2589"/>
      <c r="M114" s="1086">
        <f t="shared" si="22"/>
        <v>0</v>
      </c>
      <c r="N114" s="505"/>
      <c r="O114" s="365">
        <f t="shared" si="23"/>
        <v>0</v>
      </c>
      <c r="P114" s="366"/>
      <c r="Q114" s="135"/>
      <c r="R114" s="136"/>
      <c r="S114" s="129"/>
      <c r="T114" s="129"/>
      <c r="U114" s="129"/>
      <c r="V114" s="129"/>
      <c r="W114" s="129"/>
      <c r="X114" s="129"/>
      <c r="Y114" s="129"/>
      <c r="Z114" s="133"/>
      <c r="AA114" s="133"/>
      <c r="AB114" s="133"/>
      <c r="AC114" s="133"/>
      <c r="AD114" s="133"/>
      <c r="AE114" s="133"/>
      <c r="AF114" s="222"/>
      <c r="AG114" s="222"/>
      <c r="AH114" s="222"/>
      <c r="AI114" s="176"/>
      <c r="AJ114" s="176"/>
      <c r="AK114" s="176"/>
      <c r="AL114" s="176"/>
      <c r="AM114" s="176"/>
      <c r="AN114" s="176"/>
      <c r="AO114" s="176"/>
      <c r="AP114" s="176"/>
      <c r="AQ114" s="176"/>
      <c r="AR114" s="176"/>
      <c r="AS114" s="176"/>
      <c r="AT114" s="176"/>
      <c r="AU114" s="176"/>
      <c r="AV114" s="176"/>
      <c r="AW114" s="176"/>
      <c r="AX114" s="176"/>
      <c r="AY114" s="176"/>
      <c r="AZ114" s="176"/>
      <c r="BA114" s="176"/>
      <c r="BB114" s="176"/>
      <c r="BC114" s="176"/>
      <c r="BD114" s="176"/>
      <c r="BE114" s="176"/>
      <c r="BF114" s="176"/>
      <c r="BG114" s="176"/>
      <c r="BH114" s="176"/>
      <c r="BI114" s="176"/>
      <c r="BJ114" s="176"/>
      <c r="BK114" s="176"/>
      <c r="BL114" s="176"/>
      <c r="BM114" s="176"/>
      <c r="BN114" s="176"/>
      <c r="BO114" s="176"/>
    </row>
    <row r="115" spans="1:67" s="36" customFormat="1" ht="10.5" customHeight="1" x14ac:dyDescent="0.2">
      <c r="A115" s="1055"/>
      <c r="B115" s="2594"/>
      <c r="C115" s="2595"/>
      <c r="D115" s="2596"/>
      <c r="E115" s="2395"/>
      <c r="F115" s="2396"/>
      <c r="G115" s="2590"/>
      <c r="H115" s="2591"/>
      <c r="I115" s="1081">
        <f t="shared" si="20"/>
        <v>0</v>
      </c>
      <c r="J115" s="1082">
        <f t="shared" si="21"/>
        <v>0</v>
      </c>
      <c r="K115" s="2588"/>
      <c r="L115" s="2589"/>
      <c r="M115" s="1086">
        <f t="shared" si="22"/>
        <v>0</v>
      </c>
      <c r="N115" s="505"/>
      <c r="O115" s="365">
        <f t="shared" si="23"/>
        <v>0</v>
      </c>
      <c r="P115" s="366"/>
      <c r="Q115" s="135"/>
      <c r="R115" s="136"/>
      <c r="S115" s="129"/>
      <c r="T115" s="129"/>
      <c r="U115" s="129"/>
      <c r="V115" s="129"/>
      <c r="W115" s="129"/>
      <c r="X115" s="129"/>
      <c r="Y115" s="129"/>
      <c r="Z115" s="133"/>
      <c r="AA115" s="133"/>
      <c r="AB115" s="133"/>
      <c r="AC115" s="133"/>
      <c r="AD115" s="133"/>
      <c r="AE115" s="133"/>
      <c r="AF115" s="222"/>
      <c r="AG115" s="222"/>
      <c r="AH115" s="222"/>
      <c r="AI115" s="176"/>
      <c r="AJ115" s="176"/>
      <c r="AK115" s="176"/>
      <c r="AL115" s="176"/>
      <c r="AM115" s="176"/>
      <c r="AN115" s="176"/>
      <c r="AO115" s="176"/>
      <c r="AP115" s="176"/>
      <c r="AQ115" s="176"/>
      <c r="AR115" s="176"/>
      <c r="AS115" s="176"/>
      <c r="AT115" s="176"/>
      <c r="AU115" s="176"/>
      <c r="AV115" s="176"/>
      <c r="AW115" s="176"/>
      <c r="AX115" s="176"/>
      <c r="AY115" s="176"/>
      <c r="AZ115" s="176"/>
      <c r="BA115" s="176"/>
      <c r="BB115" s="176"/>
      <c r="BC115" s="176"/>
      <c r="BD115" s="176"/>
      <c r="BE115" s="176"/>
      <c r="BF115" s="176"/>
      <c r="BG115" s="176"/>
      <c r="BH115" s="176"/>
      <c r="BI115" s="176"/>
      <c r="BJ115" s="176"/>
      <c r="BK115" s="176"/>
      <c r="BL115" s="176"/>
      <c r="BM115" s="176"/>
      <c r="BN115" s="176"/>
      <c r="BO115" s="176"/>
    </row>
    <row r="116" spans="1:67" s="36" customFormat="1" ht="10.5" customHeight="1" x14ac:dyDescent="0.2">
      <c r="A116" s="1348"/>
      <c r="B116" s="2690"/>
      <c r="C116" s="2691"/>
      <c r="D116" s="2692"/>
      <c r="E116" s="2601"/>
      <c r="F116" s="2602"/>
      <c r="G116" s="1088"/>
      <c r="H116" s="1089"/>
      <c r="I116" s="1083">
        <f t="shared" si="20"/>
        <v>0</v>
      </c>
      <c r="J116" s="1084"/>
      <c r="K116" s="1087"/>
      <c r="L116" s="1307"/>
      <c r="M116" s="1317">
        <f t="shared" si="22"/>
        <v>0</v>
      </c>
      <c r="N116" s="505"/>
      <c r="O116" s="365">
        <f t="shared" si="23"/>
        <v>0</v>
      </c>
      <c r="P116" s="366"/>
      <c r="Q116" s="135"/>
      <c r="R116" s="136"/>
      <c r="S116" s="129"/>
      <c r="T116" s="129"/>
      <c r="U116" s="129"/>
      <c r="V116" s="129"/>
      <c r="W116" s="129"/>
      <c r="X116" s="129"/>
      <c r="Y116" s="129"/>
      <c r="Z116" s="133"/>
      <c r="AA116" s="133"/>
      <c r="AB116" s="133"/>
      <c r="AC116" s="133"/>
      <c r="AD116" s="133"/>
      <c r="AE116" s="133"/>
      <c r="AF116" s="222"/>
      <c r="AG116" s="222"/>
      <c r="AH116" s="222"/>
      <c r="AI116" s="176"/>
      <c r="AJ116" s="176"/>
      <c r="AK116" s="176"/>
      <c r="AL116" s="176"/>
      <c r="AM116" s="176"/>
      <c r="AN116" s="176"/>
      <c r="AO116" s="176"/>
      <c r="AP116" s="176"/>
      <c r="AQ116" s="176"/>
      <c r="AR116" s="176"/>
      <c r="AS116" s="176"/>
      <c r="AT116" s="176"/>
      <c r="AU116" s="176"/>
      <c r="AV116" s="176"/>
      <c r="AW116" s="176"/>
      <c r="AX116" s="176"/>
      <c r="AY116" s="176"/>
      <c r="AZ116" s="176"/>
      <c r="BA116" s="176"/>
      <c r="BB116" s="176"/>
      <c r="BC116" s="176"/>
      <c r="BD116" s="176"/>
      <c r="BE116" s="176"/>
      <c r="BF116" s="176"/>
      <c r="BG116" s="176"/>
      <c r="BH116" s="176"/>
      <c r="BI116" s="176"/>
      <c r="BJ116" s="176"/>
      <c r="BK116" s="176"/>
      <c r="BL116" s="176"/>
      <c r="BM116" s="176"/>
      <c r="BN116" s="176"/>
      <c r="BO116" s="176"/>
    </row>
    <row r="117" spans="1:67" s="36" customFormat="1" ht="10.5" customHeight="1" x14ac:dyDescent="0.2">
      <c r="A117" s="1345" t="s">
        <v>288</v>
      </c>
      <c r="B117" s="2603"/>
      <c r="C117" s="2604"/>
      <c r="D117" s="2605"/>
      <c r="E117" s="2730">
        <f>SUM(E118:E130)</f>
        <v>0</v>
      </c>
      <c r="F117" s="2731"/>
      <c r="G117" s="2732"/>
      <c r="H117" s="2733"/>
      <c r="I117" s="1121">
        <f>IF(E117=0,0,J117/E117)</f>
        <v>0</v>
      </c>
      <c r="J117" s="1346">
        <f>SUM(J118:J130)</f>
        <v>0</v>
      </c>
      <c r="K117" s="2734">
        <f>IF(E117=0,0,M117/E117*100)</f>
        <v>0</v>
      </c>
      <c r="L117" s="2736"/>
      <c r="M117" s="1347">
        <f>SUM(M118:M130)</f>
        <v>0</v>
      </c>
      <c r="N117" s="505"/>
      <c r="O117" s="178">
        <f>IF(H117="",G117,H117)</f>
        <v>0</v>
      </c>
      <c r="P117" s="366"/>
      <c r="Q117" s="135"/>
      <c r="R117" s="136"/>
      <c r="S117" s="129"/>
      <c r="T117" s="129"/>
      <c r="U117" s="129"/>
      <c r="V117" s="129"/>
      <c r="W117" s="129"/>
      <c r="X117" s="129"/>
      <c r="Y117" s="129"/>
      <c r="Z117" s="133"/>
      <c r="AA117" s="133"/>
      <c r="AB117" s="133"/>
      <c r="AC117" s="133"/>
      <c r="AD117" s="133"/>
      <c r="AE117" s="133"/>
      <c r="AF117" s="222"/>
      <c r="AG117" s="222"/>
      <c r="AH117" s="222"/>
      <c r="AI117" s="176"/>
      <c r="AJ117" s="176"/>
      <c r="AK117" s="176"/>
      <c r="AL117" s="176"/>
      <c r="AM117" s="176"/>
      <c r="AN117" s="176"/>
      <c r="AO117" s="176"/>
      <c r="AP117" s="176"/>
      <c r="AQ117" s="176"/>
      <c r="AR117" s="176"/>
      <c r="AS117" s="176"/>
      <c r="AT117" s="176"/>
      <c r="AU117" s="176"/>
      <c r="AV117" s="176"/>
      <c r="AW117" s="176"/>
      <c r="AX117" s="176"/>
      <c r="AY117" s="176"/>
      <c r="AZ117" s="176"/>
      <c r="BA117" s="176"/>
      <c r="BB117" s="176"/>
      <c r="BC117" s="176"/>
      <c r="BD117" s="176"/>
      <c r="BE117" s="176"/>
      <c r="BF117" s="176"/>
      <c r="BG117" s="176"/>
      <c r="BH117" s="176"/>
      <c r="BI117" s="176"/>
      <c r="BJ117" s="176"/>
      <c r="BK117" s="176"/>
      <c r="BL117" s="176"/>
      <c r="BM117" s="176"/>
      <c r="BN117" s="176"/>
      <c r="BO117" s="176"/>
    </row>
    <row r="118" spans="1:67" s="36" customFormat="1" ht="10.5" customHeight="1" x14ac:dyDescent="0.2">
      <c r="A118" s="1042" t="s">
        <v>289</v>
      </c>
      <c r="B118" s="2624"/>
      <c r="C118" s="2625"/>
      <c r="D118" s="2626"/>
      <c r="E118" s="2386"/>
      <c r="F118" s="2387"/>
      <c r="G118" s="1056">
        <v>30</v>
      </c>
      <c r="H118" s="1057"/>
      <c r="I118" s="1079">
        <f t="shared" ref="I118:I131" si="24">IF($O118&gt;0,-PMT(($I$9),$O118,1),0)</f>
        <v>4.6199342169092869E-2</v>
      </c>
      <c r="J118" s="1080">
        <f t="shared" ref="J118:J130" si="25">ROUND(E118*I118,0)</f>
        <v>0</v>
      </c>
      <c r="K118" s="1060">
        <v>1</v>
      </c>
      <c r="L118" s="1304"/>
      <c r="M118" s="1085">
        <f t="shared" ref="M118:M131" si="26">ROUND(E118/100*IF(ISBLANK(L118),K118,L118),0)</f>
        <v>0</v>
      </c>
      <c r="N118" s="505"/>
      <c r="O118" s="365">
        <f t="shared" ref="O118:O131" si="27">IF(ISBLANK(H118),G118,H118)</f>
        <v>30</v>
      </c>
      <c r="P118" s="366"/>
      <c r="Q118" s="135"/>
      <c r="R118" s="136"/>
      <c r="S118" s="129"/>
      <c r="T118" s="129"/>
      <c r="U118" s="129"/>
      <c r="V118" s="129"/>
      <c r="W118" s="129"/>
      <c r="X118" s="129"/>
      <c r="Y118" s="129"/>
      <c r="Z118" s="133"/>
      <c r="AA118" s="133"/>
      <c r="AB118" s="133"/>
      <c r="AC118" s="133"/>
      <c r="AD118" s="133"/>
      <c r="AE118" s="133"/>
      <c r="AF118" s="222"/>
      <c r="AG118" s="222"/>
      <c r="AH118" s="222"/>
      <c r="AI118" s="176"/>
      <c r="AJ118" s="176"/>
      <c r="AK118" s="176"/>
      <c r="AL118" s="176"/>
      <c r="AM118" s="176"/>
      <c r="AN118" s="176"/>
      <c r="AO118" s="176"/>
      <c r="AP118" s="176"/>
      <c r="AQ118" s="176"/>
      <c r="AR118" s="176"/>
      <c r="AS118" s="176"/>
      <c r="AT118" s="176"/>
      <c r="AU118" s="176"/>
      <c r="AV118" s="176"/>
      <c r="AW118" s="176"/>
      <c r="AX118" s="176"/>
      <c r="AY118" s="176"/>
      <c r="AZ118" s="176"/>
      <c r="BA118" s="176"/>
      <c r="BB118" s="176"/>
      <c r="BC118" s="176"/>
      <c r="BD118" s="176"/>
      <c r="BE118" s="176"/>
      <c r="BF118" s="176"/>
      <c r="BG118" s="176"/>
      <c r="BH118" s="176"/>
      <c r="BI118" s="176"/>
      <c r="BJ118" s="176"/>
      <c r="BK118" s="176"/>
      <c r="BL118" s="176"/>
      <c r="BM118" s="176"/>
      <c r="BN118" s="176"/>
      <c r="BO118" s="176"/>
    </row>
    <row r="119" spans="1:67" s="36" customFormat="1" ht="10.5" customHeight="1" x14ac:dyDescent="0.2">
      <c r="A119" s="1043" t="s">
        <v>290</v>
      </c>
      <c r="B119" s="2594"/>
      <c r="C119" s="2595"/>
      <c r="D119" s="2596"/>
      <c r="E119" s="2395"/>
      <c r="F119" s="2396"/>
      <c r="G119" s="1058">
        <v>20</v>
      </c>
      <c r="H119" s="1059"/>
      <c r="I119" s="1081">
        <f t="shared" si="24"/>
        <v>6.2642070767998229E-2</v>
      </c>
      <c r="J119" s="1082">
        <f t="shared" si="25"/>
        <v>0</v>
      </c>
      <c r="K119" s="1061">
        <v>1</v>
      </c>
      <c r="L119" s="1305"/>
      <c r="M119" s="1086">
        <f t="shared" si="26"/>
        <v>0</v>
      </c>
      <c r="N119" s="505"/>
      <c r="O119" s="365">
        <f t="shared" si="27"/>
        <v>20</v>
      </c>
      <c r="P119" s="366"/>
      <c r="Q119" s="135"/>
      <c r="R119" s="136"/>
      <c r="S119" s="129"/>
      <c r="T119" s="129"/>
      <c r="U119" s="129"/>
      <c r="V119" s="129"/>
      <c r="W119" s="129"/>
      <c r="X119" s="129"/>
      <c r="Y119" s="129"/>
      <c r="Z119" s="133"/>
      <c r="AA119" s="133"/>
      <c r="AB119" s="133"/>
      <c r="AC119" s="133"/>
      <c r="AD119" s="133"/>
      <c r="AE119" s="133"/>
      <c r="AF119" s="222"/>
      <c r="AG119" s="222"/>
      <c r="AH119" s="222"/>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row>
    <row r="120" spans="1:67" s="36" customFormat="1" ht="10.5" customHeight="1" x14ac:dyDescent="0.2">
      <c r="A120" s="1043" t="s">
        <v>291</v>
      </c>
      <c r="B120" s="2594"/>
      <c r="C120" s="2595"/>
      <c r="D120" s="2596"/>
      <c r="E120" s="2395"/>
      <c r="F120" s="2396"/>
      <c r="G120" s="1058">
        <v>30</v>
      </c>
      <c r="H120" s="1059"/>
      <c r="I120" s="1081">
        <f t="shared" si="24"/>
        <v>4.6199342169092869E-2</v>
      </c>
      <c r="J120" s="1082">
        <f t="shared" si="25"/>
        <v>0</v>
      </c>
      <c r="K120" s="1061">
        <v>1</v>
      </c>
      <c r="L120" s="1305"/>
      <c r="M120" s="1086">
        <f t="shared" si="26"/>
        <v>0</v>
      </c>
      <c r="N120" s="505"/>
      <c r="O120" s="365">
        <f t="shared" si="27"/>
        <v>30</v>
      </c>
      <c r="P120" s="366"/>
      <c r="Q120" s="135"/>
      <c r="R120" s="136"/>
      <c r="S120" s="129"/>
      <c r="T120" s="129"/>
      <c r="U120" s="129"/>
      <c r="V120" s="129"/>
      <c r="W120" s="129"/>
      <c r="X120" s="129"/>
      <c r="Y120" s="129"/>
      <c r="Z120" s="133"/>
      <c r="AA120" s="133"/>
      <c r="AB120" s="133"/>
      <c r="AC120" s="133"/>
      <c r="AD120" s="133"/>
      <c r="AE120" s="133"/>
      <c r="AF120" s="222"/>
      <c r="AG120" s="222"/>
      <c r="AH120" s="222"/>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row>
    <row r="121" spans="1:67" s="36" customFormat="1" ht="10.5" customHeight="1" x14ac:dyDescent="0.2">
      <c r="A121" s="1043" t="s">
        <v>292</v>
      </c>
      <c r="B121" s="2594"/>
      <c r="C121" s="2595"/>
      <c r="D121" s="2596"/>
      <c r="E121" s="2395"/>
      <c r="F121" s="2396"/>
      <c r="G121" s="1058">
        <v>20</v>
      </c>
      <c r="H121" s="1059"/>
      <c r="I121" s="1081">
        <f t="shared" si="24"/>
        <v>6.2642070767998229E-2</v>
      </c>
      <c r="J121" s="1082">
        <f t="shared" si="25"/>
        <v>0</v>
      </c>
      <c r="K121" s="1061">
        <v>1.5</v>
      </c>
      <c r="L121" s="1305"/>
      <c r="M121" s="1086">
        <f t="shared" si="26"/>
        <v>0</v>
      </c>
      <c r="N121" s="505"/>
      <c r="O121" s="365">
        <f t="shared" si="27"/>
        <v>20</v>
      </c>
      <c r="P121" s="366"/>
      <c r="Q121" s="135"/>
      <c r="R121" s="136"/>
      <c r="S121" s="129"/>
      <c r="T121" s="129"/>
      <c r="U121" s="129"/>
      <c r="V121" s="129"/>
      <c r="W121" s="129"/>
      <c r="X121" s="129"/>
      <c r="Y121" s="129"/>
      <c r="Z121" s="133"/>
      <c r="AA121" s="133"/>
      <c r="AB121" s="133"/>
      <c r="AC121" s="133"/>
      <c r="AD121" s="133"/>
      <c r="AE121" s="133"/>
      <c r="AF121" s="222"/>
      <c r="AG121" s="222"/>
      <c r="AH121" s="222"/>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row>
    <row r="122" spans="1:67" s="36" customFormat="1" ht="10.5" customHeight="1" x14ac:dyDescent="0.2">
      <c r="A122" s="1043" t="s">
        <v>293</v>
      </c>
      <c r="B122" s="2594"/>
      <c r="C122" s="2595"/>
      <c r="D122" s="2596"/>
      <c r="E122" s="2395"/>
      <c r="F122" s="2396"/>
      <c r="G122" s="1058">
        <v>30</v>
      </c>
      <c r="H122" s="1059"/>
      <c r="I122" s="1081">
        <f t="shared" si="24"/>
        <v>4.6199342169092869E-2</v>
      </c>
      <c r="J122" s="1082">
        <f t="shared" si="25"/>
        <v>0</v>
      </c>
      <c r="K122" s="1061">
        <v>1</v>
      </c>
      <c r="L122" s="1305"/>
      <c r="M122" s="1086">
        <f t="shared" si="26"/>
        <v>0</v>
      </c>
      <c r="N122" s="505"/>
      <c r="O122" s="365">
        <f t="shared" si="27"/>
        <v>30</v>
      </c>
      <c r="P122" s="366"/>
      <c r="Q122" s="135"/>
      <c r="R122" s="136"/>
      <c r="S122" s="129"/>
      <c r="T122" s="129"/>
      <c r="U122" s="129"/>
      <c r="V122" s="129"/>
      <c r="W122" s="129"/>
      <c r="X122" s="129"/>
      <c r="Y122" s="129"/>
      <c r="Z122" s="133"/>
      <c r="AA122" s="133"/>
      <c r="AB122" s="133"/>
      <c r="AC122" s="133"/>
      <c r="AD122" s="133"/>
      <c r="AE122" s="133"/>
      <c r="AF122" s="222"/>
      <c r="AG122" s="222"/>
      <c r="AH122" s="222"/>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row>
    <row r="123" spans="1:67" s="36" customFormat="1" ht="10.5" customHeight="1" x14ac:dyDescent="0.2">
      <c r="A123" s="1043" t="s">
        <v>294</v>
      </c>
      <c r="B123" s="2594"/>
      <c r="C123" s="2595"/>
      <c r="D123" s="2596"/>
      <c r="E123" s="2395"/>
      <c r="F123" s="2396"/>
      <c r="G123" s="1058">
        <v>20</v>
      </c>
      <c r="H123" s="1059"/>
      <c r="I123" s="1081">
        <f t="shared" si="24"/>
        <v>6.2642070767998229E-2</v>
      </c>
      <c r="J123" s="1082">
        <f t="shared" si="25"/>
        <v>0</v>
      </c>
      <c r="K123" s="1061">
        <v>1</v>
      </c>
      <c r="L123" s="1305"/>
      <c r="M123" s="1086">
        <f t="shared" si="26"/>
        <v>0</v>
      </c>
      <c r="N123" s="505"/>
      <c r="O123" s="365">
        <f t="shared" si="27"/>
        <v>20</v>
      </c>
      <c r="P123" s="366"/>
      <c r="Q123" s="135"/>
      <c r="R123" s="136"/>
      <c r="S123" s="129"/>
      <c r="T123" s="129"/>
      <c r="U123" s="129"/>
      <c r="V123" s="129"/>
      <c r="W123" s="129"/>
      <c r="X123" s="129"/>
      <c r="Y123" s="129"/>
      <c r="Z123" s="133"/>
      <c r="AA123" s="133"/>
      <c r="AB123" s="133"/>
      <c r="AC123" s="133"/>
      <c r="AD123" s="133"/>
      <c r="AE123" s="133"/>
      <c r="AF123" s="222"/>
      <c r="AG123" s="222"/>
      <c r="AH123" s="222"/>
      <c r="AI123" s="176"/>
      <c r="AJ123" s="176"/>
      <c r="AK123" s="176"/>
      <c r="AL123" s="176"/>
      <c r="AM123" s="176"/>
      <c r="AN123" s="176"/>
      <c r="AO123" s="176"/>
      <c r="AP123" s="176"/>
      <c r="AQ123" s="176"/>
      <c r="AR123" s="176"/>
      <c r="AS123" s="176"/>
      <c r="AT123" s="176"/>
      <c r="AU123" s="176"/>
      <c r="AV123" s="176"/>
      <c r="AW123" s="176"/>
      <c r="AX123" s="176"/>
      <c r="AY123" s="176"/>
      <c r="AZ123" s="176"/>
      <c r="BA123" s="176"/>
      <c r="BB123" s="176"/>
      <c r="BC123" s="176"/>
      <c r="BD123" s="176"/>
      <c r="BE123" s="176"/>
      <c r="BF123" s="176"/>
      <c r="BG123" s="176"/>
      <c r="BH123" s="176"/>
      <c r="BI123" s="176"/>
      <c r="BJ123" s="176"/>
      <c r="BK123" s="176"/>
      <c r="BL123" s="176"/>
      <c r="BM123" s="176"/>
      <c r="BN123" s="176"/>
      <c r="BO123" s="176"/>
    </row>
    <row r="124" spans="1:67" s="36" customFormat="1" ht="10.5" customHeight="1" x14ac:dyDescent="0.2">
      <c r="A124" s="1043" t="s">
        <v>678</v>
      </c>
      <c r="B124" s="2594"/>
      <c r="C124" s="2595"/>
      <c r="D124" s="2596"/>
      <c r="E124" s="2395"/>
      <c r="F124" s="2396"/>
      <c r="G124" s="1058">
        <v>30</v>
      </c>
      <c r="H124" s="1059"/>
      <c r="I124" s="1081">
        <f t="shared" si="24"/>
        <v>4.6199342169092869E-2</v>
      </c>
      <c r="J124" s="1082">
        <f t="shared" si="25"/>
        <v>0</v>
      </c>
      <c r="K124" s="1061">
        <v>1</v>
      </c>
      <c r="L124" s="1305"/>
      <c r="M124" s="1086">
        <f t="shared" si="26"/>
        <v>0</v>
      </c>
      <c r="N124" s="505"/>
      <c r="O124" s="365">
        <f t="shared" si="27"/>
        <v>30</v>
      </c>
      <c r="P124" s="366"/>
      <c r="Q124" s="135"/>
      <c r="R124" s="136"/>
      <c r="S124" s="129"/>
      <c r="T124" s="129"/>
      <c r="U124" s="129"/>
      <c r="V124" s="129"/>
      <c r="W124" s="129"/>
      <c r="X124" s="129"/>
      <c r="Y124" s="129"/>
      <c r="Z124" s="133"/>
      <c r="AA124" s="133"/>
      <c r="AB124" s="133"/>
      <c r="AC124" s="133"/>
      <c r="AD124" s="133"/>
      <c r="AE124" s="133"/>
      <c r="AF124" s="222"/>
      <c r="AG124" s="222"/>
      <c r="AH124" s="222"/>
      <c r="AI124" s="176"/>
      <c r="AJ124" s="176"/>
      <c r="AK124" s="176"/>
      <c r="AL124" s="176"/>
      <c r="AM124" s="176"/>
      <c r="AN124" s="176"/>
      <c r="AO124" s="176"/>
      <c r="AP124" s="176"/>
      <c r="AQ124" s="176"/>
      <c r="AR124" s="176"/>
      <c r="AS124" s="176"/>
      <c r="AT124" s="176"/>
      <c r="AU124" s="176"/>
      <c r="AV124" s="176"/>
      <c r="AW124" s="176"/>
      <c r="AX124" s="176"/>
      <c r="AY124" s="176"/>
      <c r="AZ124" s="176"/>
      <c r="BA124" s="176"/>
      <c r="BB124" s="176"/>
      <c r="BC124" s="176"/>
      <c r="BD124" s="176"/>
      <c r="BE124" s="176"/>
      <c r="BF124" s="176"/>
      <c r="BG124" s="176"/>
      <c r="BH124" s="176"/>
      <c r="BI124" s="176"/>
      <c r="BJ124" s="176"/>
      <c r="BK124" s="176"/>
      <c r="BL124" s="176"/>
      <c r="BM124" s="176"/>
      <c r="BN124" s="176"/>
      <c r="BO124" s="176"/>
    </row>
    <row r="125" spans="1:67" s="36" customFormat="1" ht="10.5" customHeight="1" x14ac:dyDescent="0.2">
      <c r="A125" s="1043" t="s">
        <v>295</v>
      </c>
      <c r="B125" s="2594"/>
      <c r="C125" s="2595"/>
      <c r="D125" s="2596"/>
      <c r="E125" s="2395"/>
      <c r="F125" s="2396"/>
      <c r="G125" s="1058">
        <v>20</v>
      </c>
      <c r="H125" s="1059"/>
      <c r="I125" s="1081">
        <f t="shared" si="24"/>
        <v>6.2642070767998229E-2</v>
      </c>
      <c r="J125" s="1082">
        <f t="shared" si="25"/>
        <v>0</v>
      </c>
      <c r="K125" s="1061">
        <v>1.5</v>
      </c>
      <c r="L125" s="1305"/>
      <c r="M125" s="1086">
        <f t="shared" si="26"/>
        <v>0</v>
      </c>
      <c r="N125" s="505"/>
      <c r="O125" s="365">
        <f t="shared" si="27"/>
        <v>20</v>
      </c>
      <c r="P125" s="366"/>
      <c r="Q125" s="135"/>
      <c r="R125" s="136"/>
      <c r="S125" s="129"/>
      <c r="T125" s="129"/>
      <c r="U125" s="129"/>
      <c r="V125" s="129"/>
      <c r="W125" s="129"/>
      <c r="X125" s="129"/>
      <c r="Y125" s="129"/>
      <c r="Z125" s="133"/>
      <c r="AA125" s="133"/>
      <c r="AB125" s="133"/>
      <c r="AC125" s="133"/>
      <c r="AD125" s="133"/>
      <c r="AE125" s="133"/>
      <c r="AF125" s="222"/>
      <c r="AG125" s="222"/>
      <c r="AH125" s="222"/>
      <c r="AI125" s="176"/>
      <c r="AJ125" s="176"/>
      <c r="AK125" s="176"/>
      <c r="AL125" s="176"/>
      <c r="AM125" s="176"/>
      <c r="AN125" s="176"/>
      <c r="AO125" s="176"/>
      <c r="AP125" s="176"/>
      <c r="AQ125" s="176"/>
      <c r="AR125" s="176"/>
      <c r="AS125" s="176"/>
      <c r="AT125" s="176"/>
      <c r="AU125" s="176"/>
      <c r="AV125" s="176"/>
      <c r="AW125" s="176"/>
      <c r="AX125" s="176"/>
      <c r="AY125" s="176"/>
      <c r="AZ125" s="176"/>
      <c r="BA125" s="176"/>
      <c r="BB125" s="176"/>
      <c r="BC125" s="176"/>
      <c r="BD125" s="176"/>
      <c r="BE125" s="176"/>
      <c r="BF125" s="176"/>
      <c r="BG125" s="176"/>
      <c r="BH125" s="176"/>
      <c r="BI125" s="176"/>
      <c r="BJ125" s="176"/>
      <c r="BK125" s="176"/>
      <c r="BL125" s="176"/>
      <c r="BM125" s="176"/>
      <c r="BN125" s="176"/>
      <c r="BO125" s="176"/>
    </row>
    <row r="126" spans="1:67" s="36" customFormat="1" ht="10.5" customHeight="1" x14ac:dyDescent="0.2">
      <c r="A126" s="1043" t="s">
        <v>273</v>
      </c>
      <c r="B126" s="2594"/>
      <c r="C126" s="2595"/>
      <c r="D126" s="2596"/>
      <c r="E126" s="2395"/>
      <c r="F126" s="2396"/>
      <c r="G126" s="1058">
        <v>20</v>
      </c>
      <c r="H126" s="1059"/>
      <c r="I126" s="1081">
        <f t="shared" si="24"/>
        <v>6.2642070767998229E-2</v>
      </c>
      <c r="J126" s="1082">
        <f t="shared" si="25"/>
        <v>0</v>
      </c>
      <c r="K126" s="1061">
        <v>8</v>
      </c>
      <c r="L126" s="1305"/>
      <c r="M126" s="1086">
        <f t="shared" si="26"/>
        <v>0</v>
      </c>
      <c r="N126" s="505"/>
      <c r="O126" s="365">
        <f t="shared" si="27"/>
        <v>20</v>
      </c>
      <c r="P126" s="366"/>
      <c r="Q126" s="135"/>
      <c r="R126" s="136"/>
      <c r="S126" s="129"/>
      <c r="T126" s="129"/>
      <c r="U126" s="129"/>
      <c r="V126" s="129"/>
      <c r="W126" s="129"/>
      <c r="X126" s="129"/>
      <c r="Y126" s="129"/>
      <c r="Z126" s="133"/>
      <c r="AA126" s="133"/>
      <c r="AB126" s="133"/>
      <c r="AC126" s="133"/>
      <c r="AD126" s="133"/>
      <c r="AE126" s="133"/>
      <c r="AF126" s="222"/>
      <c r="AG126" s="222"/>
      <c r="AH126" s="222"/>
      <c r="AI126" s="176"/>
      <c r="AJ126" s="176"/>
      <c r="AK126" s="176"/>
      <c r="AL126" s="176"/>
      <c r="AM126" s="176"/>
      <c r="AN126" s="176"/>
      <c r="AO126" s="176"/>
      <c r="AP126" s="176"/>
      <c r="AQ126" s="176"/>
      <c r="AR126" s="176"/>
      <c r="AS126" s="176"/>
      <c r="AT126" s="176"/>
      <c r="AU126" s="176"/>
      <c r="AV126" s="176"/>
      <c r="AW126" s="176"/>
      <c r="AX126" s="176"/>
      <c r="AY126" s="176"/>
      <c r="AZ126" s="176"/>
      <c r="BA126" s="176"/>
      <c r="BB126" s="176"/>
      <c r="BC126" s="176"/>
      <c r="BD126" s="176"/>
      <c r="BE126" s="176"/>
      <c r="BF126" s="176"/>
      <c r="BG126" s="176"/>
      <c r="BH126" s="176"/>
      <c r="BI126" s="176"/>
      <c r="BJ126" s="176"/>
      <c r="BK126" s="176"/>
      <c r="BL126" s="176"/>
      <c r="BM126" s="176"/>
      <c r="BN126" s="176"/>
      <c r="BO126" s="176"/>
    </row>
    <row r="127" spans="1:67" s="36" customFormat="1" ht="10.5" customHeight="1" x14ac:dyDescent="0.2">
      <c r="A127" s="1043" t="s">
        <v>274</v>
      </c>
      <c r="B127" s="2594"/>
      <c r="C127" s="2595"/>
      <c r="D127" s="2596"/>
      <c r="E127" s="2395"/>
      <c r="F127" s="2396"/>
      <c r="G127" s="1058">
        <v>30</v>
      </c>
      <c r="H127" s="1059"/>
      <c r="I127" s="1081">
        <f t="shared" si="24"/>
        <v>4.6199342169092869E-2</v>
      </c>
      <c r="J127" s="1082">
        <f t="shared" si="25"/>
        <v>0</v>
      </c>
      <c r="K127" s="1061"/>
      <c r="L127" s="1305"/>
      <c r="M127" s="1086">
        <f t="shared" si="26"/>
        <v>0</v>
      </c>
      <c r="N127" s="505"/>
      <c r="O127" s="365">
        <f t="shared" si="27"/>
        <v>30</v>
      </c>
      <c r="P127" s="366"/>
      <c r="Q127" s="135"/>
      <c r="R127" s="136"/>
      <c r="S127" s="129"/>
      <c r="T127" s="129"/>
      <c r="U127" s="129"/>
      <c r="V127" s="129"/>
      <c r="W127" s="129"/>
      <c r="X127" s="129"/>
      <c r="Y127" s="129"/>
      <c r="Z127" s="133"/>
      <c r="AA127" s="133"/>
      <c r="AB127" s="133"/>
      <c r="AC127" s="133"/>
      <c r="AD127" s="133"/>
      <c r="AE127" s="133"/>
      <c r="AF127" s="222"/>
      <c r="AG127" s="222"/>
      <c r="AH127" s="222"/>
      <c r="AI127" s="176"/>
      <c r="AJ127" s="176"/>
      <c r="AK127" s="176"/>
      <c r="AL127" s="176"/>
      <c r="AM127" s="176"/>
      <c r="AN127" s="176"/>
      <c r="AO127" s="176"/>
      <c r="AP127" s="176"/>
      <c r="AQ127" s="176"/>
      <c r="AR127" s="176"/>
      <c r="AS127" s="176"/>
      <c r="AT127" s="176"/>
      <c r="AU127" s="176"/>
      <c r="AV127" s="176"/>
      <c r="AW127" s="176"/>
      <c r="AX127" s="176"/>
      <c r="AY127" s="176"/>
      <c r="AZ127" s="176"/>
      <c r="BA127" s="176"/>
      <c r="BB127" s="176"/>
      <c r="BC127" s="176"/>
      <c r="BD127" s="176"/>
      <c r="BE127" s="176"/>
      <c r="BF127" s="176"/>
      <c r="BG127" s="176"/>
      <c r="BH127" s="176"/>
      <c r="BI127" s="176"/>
      <c r="BJ127" s="176"/>
      <c r="BK127" s="176"/>
      <c r="BL127" s="176"/>
      <c r="BM127" s="176"/>
      <c r="BN127" s="176"/>
      <c r="BO127" s="176"/>
    </row>
    <row r="128" spans="1:67" s="36" customFormat="1" ht="10.5" customHeight="1" x14ac:dyDescent="0.2">
      <c r="A128" s="1055"/>
      <c r="B128" s="2594"/>
      <c r="C128" s="2595"/>
      <c r="D128" s="2596"/>
      <c r="E128" s="2395"/>
      <c r="F128" s="2396"/>
      <c r="G128" s="2590"/>
      <c r="H128" s="2591"/>
      <c r="I128" s="1081">
        <f t="shared" si="24"/>
        <v>0</v>
      </c>
      <c r="J128" s="1082">
        <f t="shared" si="25"/>
        <v>0</v>
      </c>
      <c r="K128" s="2588"/>
      <c r="L128" s="2589"/>
      <c r="M128" s="1086">
        <f t="shared" si="26"/>
        <v>0</v>
      </c>
      <c r="N128" s="505"/>
      <c r="O128" s="365">
        <f t="shared" si="27"/>
        <v>0</v>
      </c>
      <c r="P128" s="366"/>
      <c r="Q128" s="135"/>
      <c r="R128" s="136"/>
      <c r="S128" s="129"/>
      <c r="T128" s="129"/>
      <c r="U128" s="129"/>
      <c r="V128" s="129"/>
      <c r="W128" s="129"/>
      <c r="X128" s="129"/>
      <c r="Y128" s="129"/>
      <c r="Z128" s="133"/>
      <c r="AA128" s="133"/>
      <c r="AB128" s="133"/>
      <c r="AC128" s="133"/>
      <c r="AD128" s="133"/>
      <c r="AE128" s="133"/>
      <c r="AF128" s="222"/>
      <c r="AG128" s="222"/>
      <c r="AH128" s="222"/>
      <c r="AI128" s="176"/>
      <c r="AJ128" s="176"/>
      <c r="AK128" s="176"/>
      <c r="AL128" s="176"/>
      <c r="AM128" s="176"/>
      <c r="AN128" s="176"/>
      <c r="AO128" s="176"/>
      <c r="AP128" s="176"/>
      <c r="AQ128" s="176"/>
      <c r="AR128" s="176"/>
      <c r="AS128" s="176"/>
      <c r="AT128" s="176"/>
      <c r="AU128" s="176"/>
      <c r="AV128" s="176"/>
      <c r="AW128" s="176"/>
      <c r="AX128" s="176"/>
      <c r="AY128" s="176"/>
      <c r="AZ128" s="176"/>
      <c r="BA128" s="176"/>
      <c r="BB128" s="176"/>
      <c r="BC128" s="176"/>
      <c r="BD128" s="176"/>
      <c r="BE128" s="176"/>
      <c r="BF128" s="176"/>
      <c r="BG128" s="176"/>
      <c r="BH128" s="176"/>
      <c r="BI128" s="176"/>
      <c r="BJ128" s="176"/>
      <c r="BK128" s="176"/>
      <c r="BL128" s="176"/>
      <c r="BM128" s="176"/>
      <c r="BN128" s="176"/>
      <c r="BO128" s="176"/>
    </row>
    <row r="129" spans="1:67" s="36" customFormat="1" ht="10.5" customHeight="1" x14ac:dyDescent="0.2">
      <c r="A129" s="1055"/>
      <c r="B129" s="2594"/>
      <c r="C129" s="2595"/>
      <c r="D129" s="2596"/>
      <c r="E129" s="2395"/>
      <c r="F129" s="2396"/>
      <c r="G129" s="2590"/>
      <c r="H129" s="2591"/>
      <c r="I129" s="1081">
        <f t="shared" si="24"/>
        <v>0</v>
      </c>
      <c r="J129" s="1082">
        <f t="shared" si="25"/>
        <v>0</v>
      </c>
      <c r="K129" s="2588"/>
      <c r="L129" s="2589"/>
      <c r="M129" s="1086">
        <f t="shared" si="26"/>
        <v>0</v>
      </c>
      <c r="N129" s="505"/>
      <c r="O129" s="365">
        <f t="shared" si="27"/>
        <v>0</v>
      </c>
      <c r="P129" s="366"/>
      <c r="Q129" s="135"/>
      <c r="R129" s="136"/>
      <c r="S129" s="129"/>
      <c r="T129" s="129"/>
      <c r="U129" s="129"/>
      <c r="V129" s="129"/>
      <c r="W129" s="129"/>
      <c r="X129" s="129"/>
      <c r="Y129" s="129"/>
      <c r="Z129" s="133"/>
      <c r="AA129" s="133"/>
      <c r="AB129" s="133"/>
      <c r="AC129" s="133"/>
      <c r="AD129" s="133"/>
      <c r="AE129" s="133"/>
      <c r="AF129" s="222"/>
      <c r="AG129" s="222"/>
      <c r="AH129" s="222"/>
      <c r="AI129" s="176"/>
      <c r="AJ129" s="176"/>
      <c r="AK129" s="176"/>
      <c r="AL129" s="176"/>
      <c r="AM129" s="176"/>
      <c r="AN129" s="176"/>
      <c r="AO129" s="176"/>
      <c r="AP129" s="176"/>
      <c r="AQ129" s="176"/>
      <c r="AR129" s="176"/>
      <c r="AS129" s="176"/>
      <c r="AT129" s="176"/>
      <c r="AU129" s="176"/>
      <c r="AV129" s="176"/>
      <c r="AW129" s="176"/>
      <c r="AX129" s="176"/>
      <c r="AY129" s="176"/>
      <c r="AZ129" s="176"/>
      <c r="BA129" s="176"/>
      <c r="BB129" s="176"/>
      <c r="BC129" s="176"/>
      <c r="BD129" s="176"/>
      <c r="BE129" s="176"/>
      <c r="BF129" s="176"/>
      <c r="BG129" s="176"/>
      <c r="BH129" s="176"/>
      <c r="BI129" s="176"/>
      <c r="BJ129" s="176"/>
      <c r="BK129" s="176"/>
      <c r="BL129" s="176"/>
      <c r="BM129" s="176"/>
      <c r="BN129" s="176"/>
      <c r="BO129" s="176"/>
    </row>
    <row r="130" spans="1:67" s="36" customFormat="1" ht="10.5" customHeight="1" x14ac:dyDescent="0.2">
      <c r="A130" s="1055"/>
      <c r="B130" s="2594"/>
      <c r="C130" s="2595"/>
      <c r="D130" s="2596"/>
      <c r="E130" s="2395"/>
      <c r="F130" s="2396"/>
      <c r="G130" s="2590"/>
      <c r="H130" s="2591"/>
      <c r="I130" s="1081">
        <f t="shared" si="24"/>
        <v>0</v>
      </c>
      <c r="J130" s="1082">
        <f t="shared" si="25"/>
        <v>0</v>
      </c>
      <c r="K130" s="2588"/>
      <c r="L130" s="2589"/>
      <c r="M130" s="1086">
        <f t="shared" si="26"/>
        <v>0</v>
      </c>
      <c r="N130" s="505"/>
      <c r="O130" s="365">
        <f t="shared" si="27"/>
        <v>0</v>
      </c>
      <c r="P130" s="366"/>
      <c r="Q130" s="135"/>
      <c r="R130" s="136"/>
      <c r="S130" s="129"/>
      <c r="T130" s="129"/>
      <c r="U130" s="129"/>
      <c r="V130" s="129"/>
      <c r="W130" s="129"/>
      <c r="X130" s="129"/>
      <c r="Y130" s="129"/>
      <c r="Z130" s="133"/>
      <c r="AA130" s="133"/>
      <c r="AB130" s="133"/>
      <c r="AC130" s="133"/>
      <c r="AD130" s="133"/>
      <c r="AE130" s="133"/>
      <c r="AF130" s="222"/>
      <c r="AG130" s="222"/>
      <c r="AH130" s="222"/>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row>
    <row r="131" spans="1:67" s="36" customFormat="1" ht="10.5" customHeight="1" x14ac:dyDescent="0.2">
      <c r="A131" s="1348"/>
      <c r="B131" s="2690"/>
      <c r="C131" s="2691"/>
      <c r="D131" s="2692"/>
      <c r="E131" s="2601"/>
      <c r="F131" s="2602"/>
      <c r="G131" s="1088"/>
      <c r="H131" s="1089"/>
      <c r="I131" s="1083">
        <f t="shared" si="24"/>
        <v>0</v>
      </c>
      <c r="J131" s="1084"/>
      <c r="K131" s="1087"/>
      <c r="L131" s="1307"/>
      <c r="M131" s="1317">
        <f t="shared" si="26"/>
        <v>0</v>
      </c>
      <c r="N131" s="505"/>
      <c r="O131" s="365">
        <f t="shared" si="27"/>
        <v>0</v>
      </c>
      <c r="P131" s="366"/>
      <c r="Q131" s="135"/>
      <c r="R131" s="136"/>
      <c r="S131" s="129"/>
      <c r="T131" s="129"/>
      <c r="U131" s="129"/>
      <c r="V131" s="129"/>
      <c r="W131" s="129"/>
      <c r="X131" s="129"/>
      <c r="Y131" s="129"/>
      <c r="Z131" s="133"/>
      <c r="AA131" s="133"/>
      <c r="AB131" s="133"/>
      <c r="AC131" s="133"/>
      <c r="AD131" s="133"/>
      <c r="AE131" s="133"/>
      <c r="AF131" s="222"/>
      <c r="AG131" s="222"/>
      <c r="AH131" s="222"/>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row>
    <row r="132" spans="1:67" s="36" customFormat="1" ht="10.5" customHeight="1" x14ac:dyDescent="0.2">
      <c r="A132" s="1345" t="s">
        <v>296</v>
      </c>
      <c r="B132" s="2603"/>
      <c r="C132" s="2604"/>
      <c r="D132" s="2605"/>
      <c r="E132" s="2730">
        <f>SUM(E133:E145)</f>
        <v>0</v>
      </c>
      <c r="F132" s="2731"/>
      <c r="G132" s="2732"/>
      <c r="H132" s="2733"/>
      <c r="I132" s="1121">
        <f>IF(E132=0,0,J132/E132)</f>
        <v>0</v>
      </c>
      <c r="J132" s="1346">
        <f>SUM(J133:J145)</f>
        <v>0</v>
      </c>
      <c r="K132" s="2734">
        <f>IF(E132=0,0,M132/E132*100)</f>
        <v>0</v>
      </c>
      <c r="L132" s="2736"/>
      <c r="M132" s="1347">
        <f>SUM(M133:M145)</f>
        <v>0</v>
      </c>
      <c r="N132" s="505"/>
      <c r="O132" s="178">
        <f>IF(H132="",G132,H132)</f>
        <v>0</v>
      </c>
      <c r="P132" s="366"/>
      <c r="Q132" s="135"/>
      <c r="R132" s="136"/>
      <c r="S132" s="129"/>
      <c r="T132" s="129"/>
      <c r="U132" s="129"/>
      <c r="V132" s="129"/>
      <c r="W132" s="129"/>
      <c r="X132" s="129"/>
      <c r="Y132" s="129"/>
      <c r="Z132" s="133"/>
      <c r="AA132" s="133"/>
      <c r="AB132" s="133"/>
      <c r="AC132" s="133"/>
      <c r="AD132" s="133"/>
      <c r="AE132" s="133"/>
      <c r="AF132" s="222"/>
      <c r="AG132" s="222"/>
      <c r="AH132" s="222"/>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row>
    <row r="133" spans="1:67" s="36" customFormat="1" ht="10.5" customHeight="1" x14ac:dyDescent="0.2">
      <c r="A133" s="1042" t="s">
        <v>297</v>
      </c>
      <c r="B133" s="2624"/>
      <c r="C133" s="2625"/>
      <c r="D133" s="2626"/>
      <c r="E133" s="2386"/>
      <c r="F133" s="2387"/>
      <c r="G133" s="1056">
        <v>40</v>
      </c>
      <c r="H133" s="1057"/>
      <c r="I133" s="1079">
        <f t="shared" ref="I133:I146" si="28">IF($O133&gt;0,-PMT(($I$9),$O133,1),0)</f>
        <v>3.8177378061076156E-2</v>
      </c>
      <c r="J133" s="1080">
        <f t="shared" ref="J133:J145" si="29">ROUND(E133*I133,0)</f>
        <v>0</v>
      </c>
      <c r="K133" s="1060">
        <v>1</v>
      </c>
      <c r="L133" s="1304"/>
      <c r="M133" s="1085">
        <f t="shared" ref="M133:M146" si="30">ROUND(E133/100*IF(ISBLANK(L133),K133,L133),0)</f>
        <v>0</v>
      </c>
      <c r="N133" s="505"/>
      <c r="O133" s="365">
        <f t="shared" ref="O133:O146" si="31">IF(ISBLANK(H133),G133,H133)</f>
        <v>40</v>
      </c>
      <c r="P133" s="366"/>
      <c r="Q133" s="135"/>
      <c r="R133" s="136"/>
      <c r="S133" s="129"/>
      <c r="T133" s="129"/>
      <c r="U133" s="129"/>
      <c r="V133" s="129"/>
      <c r="W133" s="129"/>
      <c r="X133" s="129"/>
      <c r="Y133" s="129"/>
      <c r="Z133" s="133"/>
      <c r="AA133" s="133"/>
      <c r="AB133" s="133"/>
      <c r="AC133" s="133"/>
      <c r="AD133" s="133"/>
      <c r="AE133" s="133"/>
      <c r="AF133" s="222"/>
      <c r="AG133" s="222"/>
      <c r="AH133" s="222"/>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row>
    <row r="134" spans="1:67" s="36" customFormat="1" ht="10.5" customHeight="1" x14ac:dyDescent="0.2">
      <c r="A134" s="1043" t="s">
        <v>298</v>
      </c>
      <c r="B134" s="2594"/>
      <c r="C134" s="2595"/>
      <c r="D134" s="2596"/>
      <c r="E134" s="2395"/>
      <c r="F134" s="2396"/>
      <c r="G134" s="1058">
        <v>30</v>
      </c>
      <c r="H134" s="1059"/>
      <c r="I134" s="1081">
        <f t="shared" si="28"/>
        <v>4.6199342169092869E-2</v>
      </c>
      <c r="J134" s="1082">
        <f t="shared" si="29"/>
        <v>0</v>
      </c>
      <c r="K134" s="1061">
        <v>1</v>
      </c>
      <c r="L134" s="1305"/>
      <c r="M134" s="1086">
        <f t="shared" si="30"/>
        <v>0</v>
      </c>
      <c r="N134" s="505"/>
      <c r="O134" s="365">
        <f t="shared" si="31"/>
        <v>30</v>
      </c>
      <c r="P134" s="366"/>
      <c r="Q134" s="135"/>
      <c r="R134" s="136"/>
      <c r="S134" s="129"/>
      <c r="T134" s="129"/>
      <c r="U134" s="129"/>
      <c r="V134" s="129"/>
      <c r="W134" s="129"/>
      <c r="X134" s="129"/>
      <c r="Y134" s="129"/>
      <c r="Z134" s="133"/>
      <c r="AA134" s="133"/>
      <c r="AB134" s="133"/>
      <c r="AC134" s="133"/>
      <c r="AD134" s="133"/>
      <c r="AE134" s="133"/>
      <c r="AF134" s="222"/>
      <c r="AG134" s="222"/>
      <c r="AH134" s="222"/>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row>
    <row r="135" spans="1:67" s="36" customFormat="1" ht="10.5" customHeight="1" x14ac:dyDescent="0.2">
      <c r="A135" s="1043" t="s">
        <v>299</v>
      </c>
      <c r="B135" s="2594"/>
      <c r="C135" s="2595"/>
      <c r="D135" s="2596"/>
      <c r="E135" s="2395"/>
      <c r="F135" s="2396"/>
      <c r="G135" s="1058">
        <v>40</v>
      </c>
      <c r="H135" s="1059"/>
      <c r="I135" s="1081">
        <f t="shared" si="28"/>
        <v>3.8177378061076156E-2</v>
      </c>
      <c r="J135" s="1082">
        <f t="shared" si="29"/>
        <v>0</v>
      </c>
      <c r="K135" s="1061">
        <v>1</v>
      </c>
      <c r="L135" s="1305"/>
      <c r="M135" s="1086">
        <f t="shared" si="30"/>
        <v>0</v>
      </c>
      <c r="N135" s="505"/>
      <c r="O135" s="365">
        <f t="shared" si="31"/>
        <v>40</v>
      </c>
      <c r="P135" s="366"/>
      <c r="Q135" s="135"/>
      <c r="R135" s="136"/>
      <c r="S135" s="129"/>
      <c r="T135" s="129"/>
      <c r="U135" s="129"/>
      <c r="V135" s="129"/>
      <c r="W135" s="129"/>
      <c r="X135" s="129"/>
      <c r="Y135" s="129"/>
      <c r="Z135" s="133"/>
      <c r="AA135" s="133"/>
      <c r="AB135" s="133"/>
      <c r="AC135" s="133"/>
      <c r="AD135" s="133"/>
      <c r="AE135" s="133"/>
      <c r="AF135" s="222"/>
      <c r="AG135" s="222"/>
      <c r="AH135" s="222"/>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row>
    <row r="136" spans="1:67" s="36" customFormat="1" ht="10.5" customHeight="1" x14ac:dyDescent="0.2">
      <c r="A136" s="1043" t="s">
        <v>300</v>
      </c>
      <c r="B136" s="2594"/>
      <c r="C136" s="2595"/>
      <c r="D136" s="2596"/>
      <c r="E136" s="2395"/>
      <c r="F136" s="2396"/>
      <c r="G136" s="1058">
        <v>20</v>
      </c>
      <c r="H136" s="1059"/>
      <c r="I136" s="1081">
        <f t="shared" si="28"/>
        <v>6.2642070767998229E-2</v>
      </c>
      <c r="J136" s="1082">
        <f t="shared" si="29"/>
        <v>0</v>
      </c>
      <c r="K136" s="1061">
        <v>2</v>
      </c>
      <c r="L136" s="1305"/>
      <c r="M136" s="1086">
        <f t="shared" si="30"/>
        <v>0</v>
      </c>
      <c r="N136" s="505"/>
      <c r="O136" s="365">
        <f t="shared" si="31"/>
        <v>20</v>
      </c>
      <c r="P136" s="366"/>
      <c r="Q136" s="135"/>
      <c r="R136" s="136"/>
      <c r="S136" s="129"/>
      <c r="T136" s="129"/>
      <c r="U136" s="129"/>
      <c r="V136" s="129"/>
      <c r="W136" s="129"/>
      <c r="X136" s="129"/>
      <c r="Y136" s="129"/>
      <c r="Z136" s="133"/>
      <c r="AA136" s="133"/>
      <c r="AB136" s="133"/>
      <c r="AC136" s="133"/>
      <c r="AD136" s="133"/>
      <c r="AE136" s="133"/>
      <c r="AF136" s="222"/>
      <c r="AG136" s="222"/>
      <c r="AH136" s="222"/>
      <c r="AI136" s="176"/>
      <c r="AJ136" s="176"/>
      <c r="AK136" s="176"/>
      <c r="AL136" s="176"/>
      <c r="AM136" s="176"/>
      <c r="AN136" s="176"/>
      <c r="AO136" s="176"/>
      <c r="AP136" s="176"/>
      <c r="AQ136" s="176"/>
      <c r="AR136" s="176"/>
      <c r="AS136" s="176"/>
      <c r="AT136" s="176"/>
      <c r="AU136" s="176"/>
      <c r="AV136" s="176"/>
      <c r="AW136" s="176"/>
      <c r="AX136" s="176"/>
      <c r="AY136" s="176"/>
      <c r="AZ136" s="176"/>
      <c r="BA136" s="176"/>
      <c r="BB136" s="176"/>
      <c r="BC136" s="176"/>
      <c r="BD136" s="176"/>
      <c r="BE136" s="176"/>
      <c r="BF136" s="176"/>
      <c r="BG136" s="176"/>
      <c r="BH136" s="176"/>
      <c r="BI136" s="176"/>
      <c r="BJ136" s="176"/>
      <c r="BK136" s="176"/>
      <c r="BL136" s="176"/>
      <c r="BM136" s="176"/>
      <c r="BN136" s="176"/>
      <c r="BO136" s="176"/>
    </row>
    <row r="137" spans="1:67" s="36" customFormat="1" ht="10.5" customHeight="1" x14ac:dyDescent="0.2">
      <c r="A137" s="1043" t="s">
        <v>301</v>
      </c>
      <c r="B137" s="2594"/>
      <c r="C137" s="2595"/>
      <c r="D137" s="2596"/>
      <c r="E137" s="2395"/>
      <c r="F137" s="2396"/>
      <c r="G137" s="1058">
        <v>20</v>
      </c>
      <c r="H137" s="1059"/>
      <c r="I137" s="1081">
        <f t="shared" si="28"/>
        <v>6.2642070767998229E-2</v>
      </c>
      <c r="J137" s="1082">
        <f t="shared" si="29"/>
        <v>0</v>
      </c>
      <c r="K137" s="1061">
        <v>1.5</v>
      </c>
      <c r="L137" s="1305"/>
      <c r="M137" s="1086">
        <f t="shared" si="30"/>
        <v>0</v>
      </c>
      <c r="N137" s="505"/>
      <c r="O137" s="365">
        <f t="shared" si="31"/>
        <v>20</v>
      </c>
      <c r="P137" s="366"/>
      <c r="Q137" s="135"/>
      <c r="R137" s="136"/>
      <c r="S137" s="129"/>
      <c r="T137" s="129"/>
      <c r="U137" s="129"/>
      <c r="V137" s="129"/>
      <c r="W137" s="129"/>
      <c r="X137" s="129"/>
      <c r="Y137" s="129"/>
      <c r="Z137" s="133"/>
      <c r="AA137" s="133"/>
      <c r="AB137" s="133"/>
      <c r="AC137" s="133"/>
      <c r="AD137" s="133"/>
      <c r="AE137" s="133"/>
      <c r="AF137" s="222"/>
      <c r="AG137" s="222"/>
      <c r="AH137" s="222"/>
      <c r="AI137" s="176"/>
      <c r="AJ137" s="176"/>
      <c r="AK137" s="176"/>
      <c r="AL137" s="176"/>
      <c r="AM137" s="176"/>
      <c r="AN137" s="176"/>
      <c r="AO137" s="176"/>
      <c r="AP137" s="176"/>
      <c r="AQ137" s="176"/>
      <c r="AR137" s="176"/>
      <c r="AS137" s="176"/>
      <c r="AT137" s="176"/>
      <c r="AU137" s="176"/>
      <c r="AV137" s="176"/>
      <c r="AW137" s="176"/>
      <c r="AX137" s="176"/>
      <c r="AY137" s="176"/>
      <c r="AZ137" s="176"/>
      <c r="BA137" s="176"/>
      <c r="BB137" s="176"/>
      <c r="BC137" s="176"/>
      <c r="BD137" s="176"/>
      <c r="BE137" s="176"/>
      <c r="BF137" s="176"/>
      <c r="BG137" s="176"/>
      <c r="BH137" s="176"/>
      <c r="BI137" s="176"/>
      <c r="BJ137" s="176"/>
      <c r="BK137" s="176"/>
      <c r="BL137" s="176"/>
      <c r="BM137" s="176"/>
      <c r="BN137" s="176"/>
      <c r="BO137" s="176"/>
    </row>
    <row r="138" spans="1:67" s="36" customFormat="1" ht="10.5" customHeight="1" x14ac:dyDescent="0.2">
      <c r="A138" s="1043" t="s">
        <v>302</v>
      </c>
      <c r="B138" s="2594"/>
      <c r="C138" s="2595"/>
      <c r="D138" s="2596"/>
      <c r="E138" s="2395"/>
      <c r="F138" s="2396"/>
      <c r="G138" s="1058">
        <v>20</v>
      </c>
      <c r="H138" s="1059"/>
      <c r="I138" s="1081">
        <f t="shared" si="28"/>
        <v>6.2642070767998229E-2</v>
      </c>
      <c r="J138" s="1082">
        <f t="shared" si="29"/>
        <v>0</v>
      </c>
      <c r="K138" s="1061">
        <v>1.5</v>
      </c>
      <c r="L138" s="1305"/>
      <c r="M138" s="1086">
        <f t="shared" si="30"/>
        <v>0</v>
      </c>
      <c r="N138" s="505"/>
      <c r="O138" s="365">
        <f t="shared" si="31"/>
        <v>20</v>
      </c>
      <c r="P138" s="366"/>
      <c r="Q138" s="135"/>
      <c r="R138" s="136"/>
      <c r="S138" s="129"/>
      <c r="T138" s="129"/>
      <c r="U138" s="129"/>
      <c r="V138" s="129"/>
      <c r="W138" s="129"/>
      <c r="X138" s="129"/>
      <c r="Y138" s="129"/>
      <c r="Z138" s="133"/>
      <c r="AA138" s="133"/>
      <c r="AB138" s="133"/>
      <c r="AC138" s="133"/>
      <c r="AD138" s="133"/>
      <c r="AE138" s="133"/>
      <c r="AF138" s="222"/>
      <c r="AG138" s="222"/>
      <c r="AH138" s="222"/>
      <c r="AI138" s="176"/>
      <c r="AJ138" s="176"/>
      <c r="AK138" s="176"/>
      <c r="AL138" s="176"/>
      <c r="AM138" s="176"/>
      <c r="AN138" s="176"/>
      <c r="AO138" s="176"/>
      <c r="AP138" s="176"/>
      <c r="AQ138" s="176"/>
      <c r="AR138" s="176"/>
      <c r="AS138" s="176"/>
      <c r="AT138" s="176"/>
      <c r="AU138" s="176"/>
      <c r="AV138" s="176"/>
      <c r="AW138" s="176"/>
      <c r="AX138" s="176"/>
      <c r="AY138" s="176"/>
      <c r="AZ138" s="176"/>
      <c r="BA138" s="176"/>
      <c r="BB138" s="176"/>
      <c r="BC138" s="176"/>
      <c r="BD138" s="176"/>
      <c r="BE138" s="176"/>
      <c r="BF138" s="176"/>
      <c r="BG138" s="176"/>
      <c r="BH138" s="176"/>
      <c r="BI138" s="176"/>
      <c r="BJ138" s="176"/>
      <c r="BK138" s="176"/>
      <c r="BL138" s="176"/>
      <c r="BM138" s="176"/>
      <c r="BN138" s="176"/>
      <c r="BO138" s="176"/>
    </row>
    <row r="139" spans="1:67" s="36" customFormat="1" ht="10.5" customHeight="1" x14ac:dyDescent="0.2">
      <c r="A139" s="1043" t="s">
        <v>679</v>
      </c>
      <c r="B139" s="2594"/>
      <c r="C139" s="2595"/>
      <c r="D139" s="2596"/>
      <c r="E139" s="2395"/>
      <c r="F139" s="2396"/>
      <c r="G139" s="1058">
        <v>20</v>
      </c>
      <c r="H139" s="1059"/>
      <c r="I139" s="1081">
        <f t="shared" si="28"/>
        <v>6.2642070767998229E-2</v>
      </c>
      <c r="J139" s="1082">
        <f t="shared" si="29"/>
        <v>0</v>
      </c>
      <c r="K139" s="1061">
        <v>2.5</v>
      </c>
      <c r="L139" s="1305"/>
      <c r="M139" s="1086">
        <f t="shared" si="30"/>
        <v>0</v>
      </c>
      <c r="N139" s="505"/>
      <c r="O139" s="365">
        <f t="shared" si="31"/>
        <v>20</v>
      </c>
      <c r="P139" s="366"/>
      <c r="Q139" s="135"/>
      <c r="R139" s="136"/>
      <c r="S139" s="129"/>
      <c r="T139" s="129"/>
      <c r="U139" s="129"/>
      <c r="V139" s="129"/>
      <c r="W139" s="129"/>
      <c r="X139" s="129"/>
      <c r="Y139" s="129"/>
      <c r="Z139" s="133"/>
      <c r="AA139" s="133"/>
      <c r="AB139" s="133"/>
      <c r="AC139" s="133"/>
      <c r="AD139" s="133"/>
      <c r="AE139" s="133"/>
      <c r="AF139" s="222"/>
      <c r="AG139" s="222"/>
      <c r="AH139" s="222"/>
      <c r="AI139" s="176"/>
      <c r="AJ139" s="176"/>
      <c r="AK139" s="176"/>
      <c r="AL139" s="176"/>
      <c r="AM139" s="176"/>
      <c r="AN139" s="176"/>
      <c r="AO139" s="176"/>
      <c r="AP139" s="176"/>
      <c r="AQ139" s="176"/>
      <c r="AR139" s="176"/>
      <c r="AS139" s="176"/>
      <c r="AT139" s="176"/>
      <c r="AU139" s="176"/>
      <c r="AV139" s="176"/>
      <c r="AW139" s="176"/>
      <c r="AX139" s="176"/>
      <c r="AY139" s="176"/>
      <c r="AZ139" s="176"/>
      <c r="BA139" s="176"/>
      <c r="BB139" s="176"/>
      <c r="BC139" s="176"/>
      <c r="BD139" s="176"/>
      <c r="BE139" s="176"/>
      <c r="BF139" s="176"/>
      <c r="BG139" s="176"/>
      <c r="BH139" s="176"/>
      <c r="BI139" s="176"/>
      <c r="BJ139" s="176"/>
      <c r="BK139" s="176"/>
      <c r="BL139" s="176"/>
      <c r="BM139" s="176"/>
      <c r="BN139" s="176"/>
      <c r="BO139" s="176"/>
    </row>
    <row r="140" spans="1:67" s="36" customFormat="1" ht="10.5" customHeight="1" x14ac:dyDescent="0.2">
      <c r="A140" s="1043" t="s">
        <v>273</v>
      </c>
      <c r="B140" s="2594"/>
      <c r="C140" s="2595"/>
      <c r="D140" s="2596"/>
      <c r="E140" s="2395"/>
      <c r="F140" s="2396"/>
      <c r="G140" s="1058">
        <v>20</v>
      </c>
      <c r="H140" s="1059"/>
      <c r="I140" s="1081">
        <f t="shared" si="28"/>
        <v>6.2642070767998229E-2</v>
      </c>
      <c r="J140" s="1082">
        <f t="shared" si="29"/>
        <v>0</v>
      </c>
      <c r="K140" s="1061">
        <v>8</v>
      </c>
      <c r="L140" s="1305"/>
      <c r="M140" s="1086">
        <f t="shared" si="30"/>
        <v>0</v>
      </c>
      <c r="N140" s="505"/>
      <c r="O140" s="365">
        <f t="shared" si="31"/>
        <v>20</v>
      </c>
      <c r="P140" s="366"/>
      <c r="Q140" s="135"/>
      <c r="R140" s="136"/>
      <c r="S140" s="129"/>
      <c r="T140" s="129"/>
      <c r="U140" s="129"/>
      <c r="V140" s="129"/>
      <c r="W140" s="129"/>
      <c r="X140" s="129"/>
      <c r="Y140" s="129"/>
      <c r="Z140" s="133"/>
      <c r="AA140" s="133"/>
      <c r="AB140" s="133"/>
      <c r="AC140" s="133"/>
      <c r="AD140" s="133"/>
      <c r="AE140" s="133"/>
      <c r="AF140" s="222"/>
      <c r="AG140" s="222"/>
      <c r="AH140" s="222"/>
      <c r="AI140" s="176"/>
      <c r="AJ140" s="176"/>
      <c r="AK140" s="176"/>
      <c r="AL140" s="176"/>
      <c r="AM140" s="176"/>
      <c r="AN140" s="176"/>
      <c r="AO140" s="176"/>
      <c r="AP140" s="176"/>
      <c r="AQ140" s="176"/>
      <c r="AR140" s="176"/>
      <c r="AS140" s="176"/>
      <c r="AT140" s="176"/>
      <c r="AU140" s="176"/>
      <c r="AV140" s="176"/>
      <c r="AW140" s="176"/>
      <c r="AX140" s="176"/>
      <c r="AY140" s="176"/>
      <c r="AZ140" s="176"/>
      <c r="BA140" s="176"/>
      <c r="BB140" s="176"/>
      <c r="BC140" s="176"/>
      <c r="BD140" s="176"/>
      <c r="BE140" s="176"/>
      <c r="BF140" s="176"/>
      <c r="BG140" s="176"/>
      <c r="BH140" s="176"/>
      <c r="BI140" s="176"/>
      <c r="BJ140" s="176"/>
      <c r="BK140" s="176"/>
      <c r="BL140" s="176"/>
      <c r="BM140" s="176"/>
      <c r="BN140" s="176"/>
      <c r="BO140" s="176"/>
    </row>
    <row r="141" spans="1:67" s="36" customFormat="1" ht="10.5" customHeight="1" x14ac:dyDescent="0.2">
      <c r="A141" s="1043" t="s">
        <v>274</v>
      </c>
      <c r="B141" s="2594"/>
      <c r="C141" s="2595"/>
      <c r="D141" s="2596"/>
      <c r="E141" s="2395"/>
      <c r="F141" s="2396"/>
      <c r="G141" s="1058">
        <v>30</v>
      </c>
      <c r="H141" s="1059"/>
      <c r="I141" s="1081">
        <f t="shared" si="28"/>
        <v>4.6199342169092869E-2</v>
      </c>
      <c r="J141" s="1082">
        <f t="shared" si="29"/>
        <v>0</v>
      </c>
      <c r="K141" s="1061"/>
      <c r="L141" s="1305"/>
      <c r="M141" s="1086">
        <f t="shared" si="30"/>
        <v>0</v>
      </c>
      <c r="N141" s="505"/>
      <c r="O141" s="365">
        <f t="shared" si="31"/>
        <v>30</v>
      </c>
      <c r="P141" s="366"/>
      <c r="Q141" s="135"/>
      <c r="R141" s="136"/>
      <c r="S141" s="129"/>
      <c r="T141" s="129"/>
      <c r="U141" s="129"/>
      <c r="V141" s="129"/>
      <c r="W141" s="129"/>
      <c r="X141" s="129"/>
      <c r="Y141" s="129"/>
      <c r="Z141" s="133"/>
      <c r="AA141" s="133"/>
      <c r="AB141" s="133"/>
      <c r="AC141" s="133"/>
      <c r="AD141" s="133"/>
      <c r="AE141" s="133"/>
      <c r="AF141" s="222"/>
      <c r="AG141" s="222"/>
      <c r="AH141" s="222"/>
      <c r="AI141" s="176"/>
      <c r="AJ141" s="176"/>
      <c r="AK141" s="176"/>
      <c r="AL141" s="176"/>
      <c r="AM141" s="176"/>
      <c r="AN141" s="176"/>
      <c r="AO141" s="176"/>
      <c r="AP141" s="176"/>
      <c r="AQ141" s="176"/>
      <c r="AR141" s="176"/>
      <c r="AS141" s="176"/>
      <c r="AT141" s="176"/>
      <c r="AU141" s="176"/>
      <c r="AV141" s="176"/>
      <c r="AW141" s="176"/>
      <c r="AX141" s="176"/>
      <c r="AY141" s="176"/>
      <c r="AZ141" s="176"/>
      <c r="BA141" s="176"/>
      <c r="BB141" s="176"/>
      <c r="BC141" s="176"/>
      <c r="BD141" s="176"/>
      <c r="BE141" s="176"/>
      <c r="BF141" s="176"/>
      <c r="BG141" s="176"/>
      <c r="BH141" s="176"/>
      <c r="BI141" s="176"/>
      <c r="BJ141" s="176"/>
      <c r="BK141" s="176"/>
      <c r="BL141" s="176"/>
      <c r="BM141" s="176"/>
      <c r="BN141" s="176"/>
      <c r="BO141" s="176"/>
    </row>
    <row r="142" spans="1:67" s="36" customFormat="1" ht="10.5" customHeight="1" x14ac:dyDescent="0.2">
      <c r="A142" s="1055"/>
      <c r="B142" s="2594"/>
      <c r="C142" s="2595"/>
      <c r="D142" s="2596"/>
      <c r="E142" s="2395"/>
      <c r="F142" s="2396"/>
      <c r="G142" s="2590"/>
      <c r="H142" s="2591"/>
      <c r="I142" s="1081">
        <f t="shared" si="28"/>
        <v>0</v>
      </c>
      <c r="J142" s="1082">
        <f t="shared" si="29"/>
        <v>0</v>
      </c>
      <c r="K142" s="2588"/>
      <c r="L142" s="2589"/>
      <c r="M142" s="1086">
        <f t="shared" si="30"/>
        <v>0</v>
      </c>
      <c r="N142" s="505"/>
      <c r="O142" s="365">
        <f t="shared" si="31"/>
        <v>0</v>
      </c>
      <c r="P142" s="366"/>
      <c r="Q142" s="135"/>
      <c r="R142" s="136"/>
      <c r="S142" s="129"/>
      <c r="T142" s="129"/>
      <c r="U142" s="129"/>
      <c r="V142" s="129"/>
      <c r="W142" s="129"/>
      <c r="X142" s="129"/>
      <c r="Y142" s="129"/>
      <c r="Z142" s="133"/>
      <c r="AA142" s="133"/>
      <c r="AB142" s="133"/>
      <c r="AC142" s="133"/>
      <c r="AD142" s="133"/>
      <c r="AE142" s="133"/>
      <c r="AF142" s="222"/>
      <c r="AG142" s="222"/>
      <c r="AH142" s="222"/>
      <c r="AI142" s="176"/>
      <c r="AJ142" s="176"/>
      <c r="AK142" s="176"/>
      <c r="AL142" s="176"/>
      <c r="AM142" s="176"/>
      <c r="AN142" s="176"/>
      <c r="AO142" s="176"/>
      <c r="AP142" s="176"/>
      <c r="AQ142" s="176"/>
      <c r="AR142" s="176"/>
      <c r="AS142" s="176"/>
      <c r="AT142" s="176"/>
      <c r="AU142" s="176"/>
      <c r="AV142" s="176"/>
      <c r="AW142" s="176"/>
      <c r="AX142" s="176"/>
      <c r="AY142" s="176"/>
      <c r="AZ142" s="176"/>
      <c r="BA142" s="176"/>
      <c r="BB142" s="176"/>
      <c r="BC142" s="176"/>
      <c r="BD142" s="176"/>
      <c r="BE142" s="176"/>
      <c r="BF142" s="176"/>
      <c r="BG142" s="176"/>
      <c r="BH142" s="176"/>
      <c r="BI142" s="176"/>
      <c r="BJ142" s="176"/>
      <c r="BK142" s="176"/>
      <c r="BL142" s="176"/>
      <c r="BM142" s="176"/>
      <c r="BN142" s="176"/>
      <c r="BO142" s="176"/>
    </row>
    <row r="143" spans="1:67" s="36" customFormat="1" ht="10.5" customHeight="1" x14ac:dyDescent="0.2">
      <c r="A143" s="1055"/>
      <c r="B143" s="2594"/>
      <c r="C143" s="2595"/>
      <c r="D143" s="2596"/>
      <c r="E143" s="2395"/>
      <c r="F143" s="2396"/>
      <c r="G143" s="2590"/>
      <c r="H143" s="2591"/>
      <c r="I143" s="1081">
        <f t="shared" si="28"/>
        <v>0</v>
      </c>
      <c r="J143" s="1082">
        <f t="shared" si="29"/>
        <v>0</v>
      </c>
      <c r="K143" s="2588"/>
      <c r="L143" s="2589"/>
      <c r="M143" s="1086">
        <f t="shared" si="30"/>
        <v>0</v>
      </c>
      <c r="N143" s="505"/>
      <c r="O143" s="365">
        <f t="shared" si="31"/>
        <v>0</v>
      </c>
      <c r="P143" s="366"/>
      <c r="Q143" s="135"/>
      <c r="R143" s="136"/>
      <c r="S143" s="129"/>
      <c r="T143" s="129"/>
      <c r="U143" s="129"/>
      <c r="V143" s="129"/>
      <c r="W143" s="129"/>
      <c r="X143" s="129"/>
      <c r="Y143" s="129"/>
      <c r="Z143" s="133"/>
      <c r="AA143" s="133"/>
      <c r="AB143" s="133"/>
      <c r="AC143" s="133"/>
      <c r="AD143" s="133"/>
      <c r="AE143" s="133"/>
      <c r="AF143" s="222"/>
      <c r="AG143" s="222"/>
      <c r="AH143" s="222"/>
      <c r="AI143" s="176"/>
      <c r="AJ143" s="176"/>
      <c r="AK143" s="176"/>
      <c r="AL143" s="176"/>
      <c r="AM143" s="176"/>
      <c r="AN143" s="176"/>
      <c r="AO143" s="176"/>
      <c r="AP143" s="176"/>
      <c r="AQ143" s="176"/>
      <c r="AR143" s="176"/>
      <c r="AS143" s="176"/>
      <c r="AT143" s="176"/>
      <c r="AU143" s="176"/>
      <c r="AV143" s="176"/>
      <c r="AW143" s="176"/>
      <c r="AX143" s="176"/>
      <c r="AY143" s="176"/>
      <c r="AZ143" s="176"/>
      <c r="BA143" s="176"/>
      <c r="BB143" s="176"/>
      <c r="BC143" s="176"/>
      <c r="BD143" s="176"/>
      <c r="BE143" s="176"/>
      <c r="BF143" s="176"/>
      <c r="BG143" s="176"/>
      <c r="BH143" s="176"/>
      <c r="BI143" s="176"/>
      <c r="BJ143" s="176"/>
      <c r="BK143" s="176"/>
      <c r="BL143" s="176"/>
      <c r="BM143" s="176"/>
      <c r="BN143" s="176"/>
      <c r="BO143" s="176"/>
    </row>
    <row r="144" spans="1:67" s="36" customFormat="1" ht="10.5" customHeight="1" x14ac:dyDescent="0.2">
      <c r="A144" s="1055"/>
      <c r="B144" s="2594"/>
      <c r="C144" s="2595"/>
      <c r="D144" s="2596"/>
      <c r="E144" s="2395"/>
      <c r="F144" s="2396"/>
      <c r="G144" s="2590"/>
      <c r="H144" s="2591"/>
      <c r="I144" s="1081">
        <f t="shared" si="28"/>
        <v>0</v>
      </c>
      <c r="J144" s="1082">
        <f t="shared" si="29"/>
        <v>0</v>
      </c>
      <c r="K144" s="2588"/>
      <c r="L144" s="2589"/>
      <c r="M144" s="1086">
        <f t="shared" si="30"/>
        <v>0</v>
      </c>
      <c r="N144" s="505"/>
      <c r="O144" s="365">
        <f t="shared" si="31"/>
        <v>0</v>
      </c>
      <c r="P144" s="366"/>
      <c r="Q144" s="135"/>
      <c r="R144" s="136"/>
      <c r="S144" s="129"/>
      <c r="T144" s="129"/>
      <c r="U144" s="129"/>
      <c r="V144" s="129"/>
      <c r="W144" s="129"/>
      <c r="X144" s="129"/>
      <c r="Y144" s="129"/>
      <c r="Z144" s="133"/>
      <c r="AA144" s="133"/>
      <c r="AB144" s="133"/>
      <c r="AC144" s="133"/>
      <c r="AD144" s="133"/>
      <c r="AE144" s="133"/>
      <c r="AF144" s="222"/>
      <c r="AG144" s="222"/>
      <c r="AH144" s="222"/>
      <c r="AI144" s="176"/>
      <c r="AJ144" s="176"/>
      <c r="AK144" s="176"/>
      <c r="AL144" s="176"/>
      <c r="AM144" s="176"/>
      <c r="AN144" s="176"/>
      <c r="AO144" s="176"/>
      <c r="AP144" s="176"/>
      <c r="AQ144" s="176"/>
      <c r="AR144" s="176"/>
      <c r="AS144" s="176"/>
      <c r="AT144" s="176"/>
      <c r="AU144" s="176"/>
      <c r="AV144" s="176"/>
      <c r="AW144" s="176"/>
      <c r="AX144" s="176"/>
      <c r="AY144" s="176"/>
      <c r="AZ144" s="176"/>
      <c r="BA144" s="176"/>
      <c r="BB144" s="176"/>
      <c r="BC144" s="176"/>
      <c r="BD144" s="176"/>
      <c r="BE144" s="176"/>
      <c r="BF144" s="176"/>
      <c r="BG144" s="176"/>
      <c r="BH144" s="176"/>
      <c r="BI144" s="176"/>
      <c r="BJ144" s="176"/>
      <c r="BK144" s="176"/>
      <c r="BL144" s="176"/>
      <c r="BM144" s="176"/>
      <c r="BN144" s="176"/>
      <c r="BO144" s="176"/>
    </row>
    <row r="145" spans="1:67" s="36" customFormat="1" ht="10.5" customHeight="1" x14ac:dyDescent="0.2">
      <c r="A145" s="1055"/>
      <c r="B145" s="2594"/>
      <c r="C145" s="2595"/>
      <c r="D145" s="2596"/>
      <c r="E145" s="2395"/>
      <c r="F145" s="2396"/>
      <c r="G145" s="2590"/>
      <c r="H145" s="2591"/>
      <c r="I145" s="1081">
        <f t="shared" si="28"/>
        <v>0</v>
      </c>
      <c r="J145" s="1082">
        <f t="shared" si="29"/>
        <v>0</v>
      </c>
      <c r="K145" s="2588"/>
      <c r="L145" s="2589"/>
      <c r="M145" s="1086">
        <f t="shared" si="30"/>
        <v>0</v>
      </c>
      <c r="N145" s="505"/>
      <c r="O145" s="365">
        <f t="shared" si="31"/>
        <v>0</v>
      </c>
      <c r="P145" s="366"/>
      <c r="Q145" s="135"/>
      <c r="R145" s="136"/>
      <c r="S145" s="129"/>
      <c r="T145" s="129"/>
      <c r="U145" s="129"/>
      <c r="V145" s="129"/>
      <c r="W145" s="129"/>
      <c r="X145" s="129"/>
      <c r="Y145" s="129"/>
      <c r="Z145" s="133"/>
      <c r="AA145" s="133"/>
      <c r="AB145" s="133"/>
      <c r="AC145" s="133"/>
      <c r="AD145" s="133"/>
      <c r="AE145" s="133"/>
      <c r="AF145" s="222"/>
      <c r="AG145" s="222"/>
      <c r="AH145" s="222"/>
      <c r="AI145" s="176"/>
      <c r="AJ145" s="176"/>
      <c r="AK145" s="176"/>
      <c r="AL145" s="176"/>
      <c r="AM145" s="176"/>
      <c r="AN145" s="176"/>
      <c r="AO145" s="176"/>
      <c r="AP145" s="176"/>
      <c r="AQ145" s="176"/>
      <c r="AR145" s="176"/>
      <c r="AS145" s="176"/>
      <c r="AT145" s="176"/>
      <c r="AU145" s="176"/>
      <c r="AV145" s="176"/>
      <c r="AW145" s="176"/>
      <c r="AX145" s="176"/>
      <c r="AY145" s="176"/>
      <c r="AZ145" s="176"/>
      <c r="BA145" s="176"/>
      <c r="BB145" s="176"/>
      <c r="BC145" s="176"/>
      <c r="BD145" s="176"/>
      <c r="BE145" s="176"/>
      <c r="BF145" s="176"/>
      <c r="BG145" s="176"/>
      <c r="BH145" s="176"/>
      <c r="BI145" s="176"/>
      <c r="BJ145" s="176"/>
      <c r="BK145" s="176"/>
      <c r="BL145" s="176"/>
      <c r="BM145" s="176"/>
      <c r="BN145" s="176"/>
      <c r="BO145" s="176"/>
    </row>
    <row r="146" spans="1:67" s="36" customFormat="1" ht="10.5" customHeight="1" x14ac:dyDescent="0.2">
      <c r="A146" s="1348"/>
      <c r="B146" s="2690"/>
      <c r="C146" s="2691"/>
      <c r="D146" s="2692"/>
      <c r="E146" s="2601"/>
      <c r="F146" s="2602"/>
      <c r="G146" s="1088"/>
      <c r="H146" s="1089"/>
      <c r="I146" s="1083">
        <f t="shared" si="28"/>
        <v>0</v>
      </c>
      <c r="J146" s="1084"/>
      <c r="K146" s="1087"/>
      <c r="L146" s="1307"/>
      <c r="M146" s="1317">
        <f t="shared" si="30"/>
        <v>0</v>
      </c>
      <c r="N146" s="505"/>
      <c r="O146" s="365">
        <f t="shared" si="31"/>
        <v>0</v>
      </c>
      <c r="P146" s="366"/>
      <c r="Q146" s="135"/>
      <c r="R146" s="136"/>
      <c r="S146" s="129"/>
      <c r="T146" s="129"/>
      <c r="U146" s="129"/>
      <c r="V146" s="129"/>
      <c r="W146" s="129"/>
      <c r="X146" s="129"/>
      <c r="Y146" s="129"/>
      <c r="Z146" s="133"/>
      <c r="AA146" s="133"/>
      <c r="AB146" s="133"/>
      <c r="AC146" s="133"/>
      <c r="AD146" s="133"/>
      <c r="AE146" s="133"/>
      <c r="AF146" s="222"/>
      <c r="AG146" s="222"/>
      <c r="AH146" s="222"/>
      <c r="AI146" s="176"/>
      <c r="AJ146" s="176"/>
      <c r="AK146" s="176"/>
      <c r="AL146" s="176"/>
      <c r="AM146" s="176"/>
      <c r="AN146" s="176"/>
      <c r="AO146" s="176"/>
      <c r="AP146" s="176"/>
      <c r="AQ146" s="176"/>
      <c r="AR146" s="176"/>
      <c r="AS146" s="176"/>
      <c r="AT146" s="176"/>
      <c r="AU146" s="176"/>
      <c r="AV146" s="176"/>
      <c r="AW146" s="176"/>
      <c r="AX146" s="176"/>
      <c r="AY146" s="176"/>
      <c r="AZ146" s="176"/>
      <c r="BA146" s="176"/>
      <c r="BB146" s="176"/>
      <c r="BC146" s="176"/>
      <c r="BD146" s="176"/>
      <c r="BE146" s="176"/>
      <c r="BF146" s="176"/>
      <c r="BG146" s="176"/>
      <c r="BH146" s="176"/>
      <c r="BI146" s="176"/>
      <c r="BJ146" s="176"/>
      <c r="BK146" s="176"/>
      <c r="BL146" s="176"/>
      <c r="BM146" s="176"/>
      <c r="BN146" s="176"/>
      <c r="BO146" s="176"/>
    </row>
    <row r="147" spans="1:67" s="36" customFormat="1" ht="10.5" customHeight="1" x14ac:dyDescent="0.2">
      <c r="A147" s="1345" t="s">
        <v>303</v>
      </c>
      <c r="B147" s="2603"/>
      <c r="C147" s="2604"/>
      <c r="D147" s="2605"/>
      <c r="E147" s="2730">
        <f>SUM(E148:E160)</f>
        <v>0</v>
      </c>
      <c r="F147" s="2731"/>
      <c r="G147" s="2732"/>
      <c r="H147" s="2733"/>
      <c r="I147" s="1121">
        <f>IF(E147=0,0,J147/E147)</f>
        <v>0</v>
      </c>
      <c r="J147" s="1346">
        <f>SUM(J148:J160)</f>
        <v>0</v>
      </c>
      <c r="K147" s="2734">
        <f>IF(E147=0,0,M147/E147*100)</f>
        <v>0</v>
      </c>
      <c r="L147" s="2736"/>
      <c r="M147" s="1347">
        <f>SUM(M148:M160)</f>
        <v>0</v>
      </c>
      <c r="N147" s="505"/>
      <c r="O147" s="178">
        <f>IF(H147="",G147,H147)</f>
        <v>0</v>
      </c>
      <c r="P147" s="366"/>
      <c r="Q147" s="135"/>
      <c r="R147" s="136"/>
      <c r="S147" s="129"/>
      <c r="T147" s="129"/>
      <c r="U147" s="129"/>
      <c r="V147" s="129"/>
      <c r="W147" s="129"/>
      <c r="X147" s="129"/>
      <c r="Y147" s="129"/>
      <c r="Z147" s="133"/>
      <c r="AA147" s="133"/>
      <c r="AB147" s="133"/>
      <c r="AC147" s="133"/>
      <c r="AD147" s="133"/>
      <c r="AE147" s="133"/>
      <c r="AF147" s="222"/>
      <c r="AG147" s="222"/>
      <c r="AH147" s="222"/>
      <c r="AI147" s="176"/>
      <c r="AJ147" s="176"/>
      <c r="AK147" s="176"/>
      <c r="AL147" s="176"/>
      <c r="AM147" s="176"/>
      <c r="AN147" s="176"/>
      <c r="AO147" s="176"/>
      <c r="AP147" s="176"/>
      <c r="AQ147" s="176"/>
      <c r="AR147" s="176"/>
      <c r="AS147" s="176"/>
      <c r="AT147" s="176"/>
      <c r="AU147" s="176"/>
      <c r="AV147" s="176"/>
      <c r="AW147" s="176"/>
      <c r="AX147" s="176"/>
      <c r="AY147" s="176"/>
      <c r="AZ147" s="176"/>
      <c r="BA147" s="176"/>
      <c r="BB147" s="176"/>
      <c r="BC147" s="176"/>
      <c r="BD147" s="176"/>
      <c r="BE147" s="176"/>
      <c r="BF147" s="176"/>
      <c r="BG147" s="176"/>
      <c r="BH147" s="176"/>
      <c r="BI147" s="176"/>
      <c r="BJ147" s="176"/>
      <c r="BK147" s="176"/>
      <c r="BL147" s="176"/>
      <c r="BM147" s="176"/>
      <c r="BN147" s="176"/>
      <c r="BO147" s="176"/>
    </row>
    <row r="148" spans="1:67" s="36" customFormat="1" ht="10.5" customHeight="1" x14ac:dyDescent="0.2">
      <c r="A148" s="1042" t="s">
        <v>304</v>
      </c>
      <c r="B148" s="2624"/>
      <c r="C148" s="2625"/>
      <c r="D148" s="2626"/>
      <c r="E148" s="2386"/>
      <c r="F148" s="2387"/>
      <c r="G148" s="1056">
        <v>15</v>
      </c>
      <c r="H148" s="1057"/>
      <c r="I148" s="1079">
        <f t="shared" ref="I148:I161" si="32">IF($O148&gt;0,-PMT(($I$9),$O148,1),0)</f>
        <v>7.9288524964265278E-2</v>
      </c>
      <c r="J148" s="1080">
        <f t="shared" ref="J148:J160" si="33">ROUND(E148*I148,0)</f>
        <v>0</v>
      </c>
      <c r="K148" s="1060">
        <v>3</v>
      </c>
      <c r="L148" s="1304"/>
      <c r="M148" s="1085">
        <f t="shared" ref="M148:M161" si="34">ROUND(E148/100*IF(ISBLANK(L148),K148,L148),0)</f>
        <v>0</v>
      </c>
      <c r="N148" s="505"/>
      <c r="O148" s="365">
        <f t="shared" ref="O148:O161" si="35">IF(ISBLANK(H148),G148,H148)</f>
        <v>15</v>
      </c>
      <c r="P148" s="366"/>
      <c r="Q148" s="135"/>
      <c r="R148" s="136"/>
      <c r="S148" s="129"/>
      <c r="T148" s="129"/>
      <c r="U148" s="129"/>
      <c r="V148" s="129"/>
      <c r="W148" s="129"/>
      <c r="X148" s="129"/>
      <c r="Y148" s="129"/>
      <c r="Z148" s="133"/>
      <c r="AA148" s="133"/>
      <c r="AB148" s="133"/>
      <c r="AC148" s="133"/>
      <c r="AD148" s="133"/>
      <c r="AE148" s="133"/>
      <c r="AF148" s="222"/>
      <c r="AG148" s="222"/>
      <c r="AH148" s="222"/>
      <c r="AI148" s="176"/>
      <c r="AJ148" s="176"/>
      <c r="AK148" s="176"/>
      <c r="AL148" s="176"/>
      <c r="AM148" s="176"/>
      <c r="AN148" s="176"/>
      <c r="AO148" s="176"/>
      <c r="AP148" s="176"/>
      <c r="AQ148" s="176"/>
      <c r="AR148" s="176"/>
      <c r="AS148" s="176"/>
      <c r="AT148" s="176"/>
      <c r="AU148" s="176"/>
      <c r="AV148" s="176"/>
      <c r="AW148" s="176"/>
      <c r="AX148" s="176"/>
      <c r="AY148" s="176"/>
      <c r="AZ148" s="176"/>
      <c r="BA148" s="176"/>
      <c r="BB148" s="176"/>
      <c r="BC148" s="176"/>
      <c r="BD148" s="176"/>
      <c r="BE148" s="176"/>
      <c r="BF148" s="176"/>
      <c r="BG148" s="176"/>
      <c r="BH148" s="176"/>
      <c r="BI148" s="176"/>
      <c r="BJ148" s="176"/>
      <c r="BK148" s="176"/>
      <c r="BL148" s="176"/>
      <c r="BM148" s="176"/>
      <c r="BN148" s="176"/>
      <c r="BO148" s="176"/>
    </row>
    <row r="149" spans="1:67" s="36" customFormat="1" ht="10.5" customHeight="1" x14ac:dyDescent="0.2">
      <c r="A149" s="1043" t="s">
        <v>305</v>
      </c>
      <c r="B149" s="2594"/>
      <c r="C149" s="2595"/>
      <c r="D149" s="2596"/>
      <c r="E149" s="2395"/>
      <c r="F149" s="2396"/>
      <c r="G149" s="1058">
        <v>15</v>
      </c>
      <c r="H149" s="1059"/>
      <c r="I149" s="1081">
        <f t="shared" si="32"/>
        <v>7.9288524964265278E-2</v>
      </c>
      <c r="J149" s="1082">
        <f t="shared" si="33"/>
        <v>0</v>
      </c>
      <c r="K149" s="1061">
        <v>3</v>
      </c>
      <c r="L149" s="1305"/>
      <c r="M149" s="1086">
        <f t="shared" si="34"/>
        <v>0</v>
      </c>
      <c r="N149" s="505"/>
      <c r="O149" s="365">
        <f t="shared" si="35"/>
        <v>15</v>
      </c>
      <c r="P149" s="366"/>
      <c r="Q149" s="135"/>
      <c r="R149" s="136"/>
      <c r="S149" s="129"/>
      <c r="T149" s="129"/>
      <c r="U149" s="129"/>
      <c r="V149" s="129"/>
      <c r="W149" s="129"/>
      <c r="X149" s="129"/>
      <c r="Y149" s="129"/>
      <c r="Z149" s="133"/>
      <c r="AA149" s="133"/>
      <c r="AB149" s="133"/>
      <c r="AC149" s="133"/>
      <c r="AD149" s="133"/>
      <c r="AE149" s="133"/>
      <c r="AF149" s="222"/>
      <c r="AG149" s="222"/>
      <c r="AH149" s="222"/>
      <c r="AI149" s="176"/>
      <c r="AJ149" s="176"/>
      <c r="AK149" s="176"/>
      <c r="AL149" s="176"/>
      <c r="AM149" s="176"/>
      <c r="AN149" s="176"/>
      <c r="AO149" s="176"/>
      <c r="AP149" s="176"/>
      <c r="AQ149" s="176"/>
      <c r="AR149" s="176"/>
      <c r="AS149" s="176"/>
      <c r="AT149" s="176"/>
      <c r="AU149" s="176"/>
      <c r="AV149" s="176"/>
      <c r="AW149" s="176"/>
      <c r="AX149" s="176"/>
      <c r="AY149" s="176"/>
      <c r="AZ149" s="176"/>
      <c r="BA149" s="176"/>
      <c r="BB149" s="176"/>
      <c r="BC149" s="176"/>
      <c r="BD149" s="176"/>
      <c r="BE149" s="176"/>
      <c r="BF149" s="176"/>
      <c r="BG149" s="176"/>
      <c r="BH149" s="176"/>
      <c r="BI149" s="176"/>
      <c r="BJ149" s="176"/>
      <c r="BK149" s="176"/>
      <c r="BL149" s="176"/>
      <c r="BM149" s="176"/>
      <c r="BN149" s="176"/>
      <c r="BO149" s="176"/>
    </row>
    <row r="150" spans="1:67" s="36" customFormat="1" ht="10.5" customHeight="1" x14ac:dyDescent="0.2">
      <c r="A150" s="1043" t="s">
        <v>306</v>
      </c>
      <c r="B150" s="2594"/>
      <c r="C150" s="2595"/>
      <c r="D150" s="2596"/>
      <c r="E150" s="2395"/>
      <c r="F150" s="2396"/>
      <c r="G150" s="1058">
        <v>15</v>
      </c>
      <c r="H150" s="1059"/>
      <c r="I150" s="1081">
        <f t="shared" si="32"/>
        <v>7.9288524964265278E-2</v>
      </c>
      <c r="J150" s="1082">
        <f t="shared" si="33"/>
        <v>0</v>
      </c>
      <c r="K150" s="1061">
        <v>3</v>
      </c>
      <c r="L150" s="1305"/>
      <c r="M150" s="1086">
        <f t="shared" si="34"/>
        <v>0</v>
      </c>
      <c r="N150" s="505"/>
      <c r="O150" s="365">
        <f t="shared" si="35"/>
        <v>15</v>
      </c>
      <c r="P150" s="366"/>
      <c r="Q150" s="135"/>
      <c r="R150" s="136"/>
      <c r="S150" s="129"/>
      <c r="T150" s="129"/>
      <c r="U150" s="129"/>
      <c r="V150" s="129"/>
      <c r="W150" s="129"/>
      <c r="X150" s="129"/>
      <c r="Y150" s="129"/>
      <c r="Z150" s="133"/>
      <c r="AA150" s="133"/>
      <c r="AB150" s="133"/>
      <c r="AC150" s="133"/>
      <c r="AD150" s="133"/>
      <c r="AE150" s="133"/>
      <c r="AF150" s="222"/>
      <c r="AG150" s="222"/>
      <c r="AH150" s="222"/>
      <c r="AI150" s="176"/>
      <c r="AJ150" s="176"/>
      <c r="AK150" s="176"/>
      <c r="AL150" s="176"/>
      <c r="AM150" s="176"/>
      <c r="AN150" s="176"/>
      <c r="AO150" s="176"/>
      <c r="AP150" s="176"/>
      <c r="AQ150" s="176"/>
      <c r="AR150" s="176"/>
      <c r="AS150" s="176"/>
      <c r="AT150" s="176"/>
      <c r="AU150" s="176"/>
      <c r="AV150" s="176"/>
      <c r="AW150" s="176"/>
      <c r="AX150" s="176"/>
      <c r="AY150" s="176"/>
      <c r="AZ150" s="176"/>
      <c r="BA150" s="176"/>
      <c r="BB150" s="176"/>
      <c r="BC150" s="176"/>
      <c r="BD150" s="176"/>
      <c r="BE150" s="176"/>
      <c r="BF150" s="176"/>
      <c r="BG150" s="176"/>
      <c r="BH150" s="176"/>
      <c r="BI150" s="176"/>
      <c r="BJ150" s="176"/>
      <c r="BK150" s="176"/>
      <c r="BL150" s="176"/>
      <c r="BM150" s="176"/>
      <c r="BN150" s="176"/>
      <c r="BO150" s="176"/>
    </row>
    <row r="151" spans="1:67" s="36" customFormat="1" ht="10.5" customHeight="1" x14ac:dyDescent="0.2">
      <c r="A151" s="1043" t="s">
        <v>307</v>
      </c>
      <c r="B151" s="2594"/>
      <c r="C151" s="2595"/>
      <c r="D151" s="2596"/>
      <c r="E151" s="2395"/>
      <c r="F151" s="2396"/>
      <c r="G151" s="1058">
        <v>15</v>
      </c>
      <c r="H151" s="1059"/>
      <c r="I151" s="1081">
        <f t="shared" si="32"/>
        <v>7.9288524964265278E-2</v>
      </c>
      <c r="J151" s="1082">
        <f t="shared" si="33"/>
        <v>0</v>
      </c>
      <c r="K151" s="1061">
        <v>3</v>
      </c>
      <c r="L151" s="1305"/>
      <c r="M151" s="1086">
        <f t="shared" si="34"/>
        <v>0</v>
      </c>
      <c r="N151" s="505"/>
      <c r="O151" s="365">
        <f t="shared" si="35"/>
        <v>15</v>
      </c>
      <c r="P151" s="366"/>
      <c r="Q151" s="135"/>
      <c r="R151" s="136"/>
      <c r="S151" s="129"/>
      <c r="T151" s="129"/>
      <c r="U151" s="129"/>
      <c r="V151" s="129"/>
      <c r="W151" s="129"/>
      <c r="X151" s="129"/>
      <c r="Y151" s="129"/>
      <c r="Z151" s="133"/>
      <c r="AA151" s="133"/>
      <c r="AB151" s="133"/>
      <c r="AC151" s="133"/>
      <c r="AD151" s="133"/>
      <c r="AE151" s="133"/>
      <c r="AF151" s="222"/>
      <c r="AG151" s="222"/>
      <c r="AH151" s="222"/>
      <c r="AI151" s="176"/>
      <c r="AJ151" s="176"/>
      <c r="AK151" s="176"/>
      <c r="AL151" s="176"/>
      <c r="AM151" s="176"/>
      <c r="AN151" s="176"/>
      <c r="AO151" s="176"/>
      <c r="AP151" s="176"/>
      <c r="AQ151" s="176"/>
      <c r="AR151" s="176"/>
      <c r="AS151" s="176"/>
      <c r="AT151" s="176"/>
      <c r="AU151" s="176"/>
      <c r="AV151" s="176"/>
      <c r="AW151" s="176"/>
      <c r="AX151" s="176"/>
      <c r="AY151" s="176"/>
      <c r="AZ151" s="176"/>
      <c r="BA151" s="176"/>
      <c r="BB151" s="176"/>
      <c r="BC151" s="176"/>
      <c r="BD151" s="176"/>
      <c r="BE151" s="176"/>
      <c r="BF151" s="176"/>
      <c r="BG151" s="176"/>
      <c r="BH151" s="176"/>
      <c r="BI151" s="176"/>
      <c r="BJ151" s="176"/>
      <c r="BK151" s="176"/>
      <c r="BL151" s="176"/>
      <c r="BM151" s="176"/>
      <c r="BN151" s="176"/>
      <c r="BO151" s="176"/>
    </row>
    <row r="152" spans="1:67" s="36" customFormat="1" ht="10.5" customHeight="1" x14ac:dyDescent="0.2">
      <c r="A152" s="1055"/>
      <c r="B152" s="2594"/>
      <c r="C152" s="2595"/>
      <c r="D152" s="2596"/>
      <c r="E152" s="2395"/>
      <c r="F152" s="2396"/>
      <c r="G152" s="2590"/>
      <c r="H152" s="2591"/>
      <c r="I152" s="1081">
        <f t="shared" si="32"/>
        <v>0</v>
      </c>
      <c r="J152" s="1082">
        <f t="shared" si="33"/>
        <v>0</v>
      </c>
      <c r="K152" s="2588"/>
      <c r="L152" s="2589"/>
      <c r="M152" s="1086">
        <f t="shared" si="34"/>
        <v>0</v>
      </c>
      <c r="N152" s="505"/>
      <c r="O152" s="365">
        <f t="shared" si="35"/>
        <v>0</v>
      </c>
      <c r="P152" s="366"/>
      <c r="Q152" s="135"/>
      <c r="R152" s="136"/>
      <c r="S152" s="129"/>
      <c r="T152" s="129"/>
      <c r="U152" s="129"/>
      <c r="V152" s="129"/>
      <c r="W152" s="129"/>
      <c r="X152" s="129"/>
      <c r="Y152" s="129"/>
      <c r="Z152" s="133"/>
      <c r="AA152" s="133"/>
      <c r="AB152" s="133"/>
      <c r="AC152" s="133"/>
      <c r="AD152" s="133"/>
      <c r="AE152" s="133"/>
      <c r="AF152" s="222"/>
      <c r="AG152" s="222"/>
      <c r="AH152" s="222"/>
      <c r="AI152" s="176"/>
      <c r="AJ152" s="176"/>
      <c r="AK152" s="176"/>
      <c r="AL152" s="176"/>
      <c r="AM152" s="176"/>
      <c r="AN152" s="176"/>
      <c r="AO152" s="176"/>
      <c r="AP152" s="176"/>
      <c r="AQ152" s="176"/>
      <c r="AR152" s="176"/>
      <c r="AS152" s="176"/>
      <c r="AT152" s="176"/>
      <c r="AU152" s="176"/>
      <c r="AV152" s="176"/>
      <c r="AW152" s="176"/>
      <c r="AX152" s="176"/>
      <c r="AY152" s="176"/>
      <c r="AZ152" s="176"/>
      <c r="BA152" s="176"/>
      <c r="BB152" s="176"/>
      <c r="BC152" s="176"/>
      <c r="BD152" s="176"/>
      <c r="BE152" s="176"/>
      <c r="BF152" s="176"/>
      <c r="BG152" s="176"/>
      <c r="BH152" s="176"/>
      <c r="BI152" s="176"/>
      <c r="BJ152" s="176"/>
      <c r="BK152" s="176"/>
      <c r="BL152" s="176"/>
      <c r="BM152" s="176"/>
      <c r="BN152" s="176"/>
      <c r="BO152" s="176"/>
    </row>
    <row r="153" spans="1:67" s="36" customFormat="1" ht="10.5" customHeight="1" x14ac:dyDescent="0.2">
      <c r="A153" s="1055"/>
      <c r="B153" s="2594"/>
      <c r="C153" s="2595"/>
      <c r="D153" s="2596"/>
      <c r="E153" s="2395"/>
      <c r="F153" s="2396"/>
      <c r="G153" s="2590"/>
      <c r="H153" s="2591"/>
      <c r="I153" s="1081">
        <f t="shared" si="32"/>
        <v>0</v>
      </c>
      <c r="J153" s="1082">
        <f t="shared" si="33"/>
        <v>0</v>
      </c>
      <c r="K153" s="2588"/>
      <c r="L153" s="2589"/>
      <c r="M153" s="1086">
        <f t="shared" si="34"/>
        <v>0</v>
      </c>
      <c r="N153" s="505"/>
      <c r="O153" s="365">
        <f t="shared" si="35"/>
        <v>0</v>
      </c>
      <c r="P153" s="366"/>
      <c r="Q153" s="135"/>
      <c r="R153" s="136"/>
      <c r="S153" s="129"/>
      <c r="T153" s="129"/>
      <c r="U153" s="129"/>
      <c r="V153" s="129"/>
      <c r="W153" s="129"/>
      <c r="X153" s="129"/>
      <c r="Y153" s="129"/>
      <c r="Z153" s="133"/>
      <c r="AA153" s="133"/>
      <c r="AB153" s="133"/>
      <c r="AC153" s="133"/>
      <c r="AD153" s="133"/>
      <c r="AE153" s="133"/>
      <c r="AF153" s="222"/>
      <c r="AG153" s="222"/>
      <c r="AH153" s="222"/>
      <c r="AI153" s="176"/>
      <c r="AJ153" s="176"/>
      <c r="AK153" s="176"/>
      <c r="AL153" s="176"/>
      <c r="AM153" s="176"/>
      <c r="AN153" s="176"/>
      <c r="AO153" s="176"/>
      <c r="AP153" s="176"/>
      <c r="AQ153" s="176"/>
      <c r="AR153" s="176"/>
      <c r="AS153" s="176"/>
      <c r="AT153" s="176"/>
      <c r="AU153" s="176"/>
      <c r="AV153" s="176"/>
      <c r="AW153" s="176"/>
      <c r="AX153" s="176"/>
      <c r="AY153" s="176"/>
      <c r="AZ153" s="176"/>
      <c r="BA153" s="176"/>
      <c r="BB153" s="176"/>
      <c r="BC153" s="176"/>
      <c r="BD153" s="176"/>
      <c r="BE153" s="176"/>
      <c r="BF153" s="176"/>
      <c r="BG153" s="176"/>
      <c r="BH153" s="176"/>
      <c r="BI153" s="176"/>
      <c r="BJ153" s="176"/>
      <c r="BK153" s="176"/>
      <c r="BL153" s="176"/>
      <c r="BM153" s="176"/>
      <c r="BN153" s="176"/>
      <c r="BO153" s="176"/>
    </row>
    <row r="154" spans="1:67" s="36" customFormat="1" ht="10.5" customHeight="1" x14ac:dyDescent="0.2">
      <c r="A154" s="1055"/>
      <c r="B154" s="2594"/>
      <c r="C154" s="2595"/>
      <c r="D154" s="2596"/>
      <c r="E154" s="2395"/>
      <c r="F154" s="2396"/>
      <c r="G154" s="2590"/>
      <c r="H154" s="2591"/>
      <c r="I154" s="1081">
        <f t="shared" si="32"/>
        <v>0</v>
      </c>
      <c r="J154" s="1082">
        <f t="shared" si="33"/>
        <v>0</v>
      </c>
      <c r="K154" s="2588"/>
      <c r="L154" s="2589"/>
      <c r="M154" s="1086">
        <f t="shared" si="34"/>
        <v>0</v>
      </c>
      <c r="N154" s="505"/>
      <c r="O154" s="365">
        <f t="shared" si="35"/>
        <v>0</v>
      </c>
      <c r="P154" s="366"/>
      <c r="Q154" s="135"/>
      <c r="R154" s="136"/>
      <c r="S154" s="129"/>
      <c r="T154" s="129"/>
      <c r="U154" s="129"/>
      <c r="V154" s="129"/>
      <c r="W154" s="129"/>
      <c r="X154" s="129"/>
      <c r="Y154" s="129"/>
      <c r="Z154" s="133"/>
      <c r="AA154" s="133"/>
      <c r="AB154" s="133"/>
      <c r="AC154" s="133"/>
      <c r="AD154" s="133"/>
      <c r="AE154" s="133"/>
      <c r="AF154" s="222"/>
      <c r="AG154" s="222"/>
      <c r="AH154" s="222"/>
      <c r="AI154" s="176"/>
      <c r="AJ154" s="176"/>
      <c r="AK154" s="176"/>
      <c r="AL154" s="176"/>
      <c r="AM154" s="176"/>
      <c r="AN154" s="176"/>
      <c r="AO154" s="176"/>
      <c r="AP154" s="176"/>
      <c r="AQ154" s="176"/>
      <c r="AR154" s="176"/>
      <c r="AS154" s="176"/>
      <c r="AT154" s="176"/>
      <c r="AU154" s="176"/>
      <c r="AV154" s="176"/>
      <c r="AW154" s="176"/>
      <c r="AX154" s="176"/>
      <c r="AY154" s="176"/>
      <c r="AZ154" s="176"/>
      <c r="BA154" s="176"/>
      <c r="BB154" s="176"/>
      <c r="BC154" s="176"/>
      <c r="BD154" s="176"/>
      <c r="BE154" s="176"/>
      <c r="BF154" s="176"/>
      <c r="BG154" s="176"/>
      <c r="BH154" s="176"/>
      <c r="BI154" s="176"/>
      <c r="BJ154" s="176"/>
      <c r="BK154" s="176"/>
      <c r="BL154" s="176"/>
      <c r="BM154" s="176"/>
      <c r="BN154" s="176"/>
      <c r="BO154" s="176"/>
    </row>
    <row r="155" spans="1:67" s="36" customFormat="1" ht="10.5" customHeight="1" x14ac:dyDescent="0.2">
      <c r="A155" s="1055"/>
      <c r="B155" s="2594"/>
      <c r="C155" s="2595"/>
      <c r="D155" s="2596"/>
      <c r="E155" s="2395"/>
      <c r="F155" s="2396"/>
      <c r="G155" s="2590"/>
      <c r="H155" s="2591"/>
      <c r="I155" s="1081">
        <f t="shared" si="32"/>
        <v>0</v>
      </c>
      <c r="J155" s="1082">
        <f t="shared" si="33"/>
        <v>0</v>
      </c>
      <c r="K155" s="2588"/>
      <c r="L155" s="2589"/>
      <c r="M155" s="1086">
        <f t="shared" si="34"/>
        <v>0</v>
      </c>
      <c r="N155" s="505"/>
      <c r="O155" s="365">
        <f t="shared" si="35"/>
        <v>0</v>
      </c>
      <c r="P155" s="366"/>
      <c r="Q155" s="135"/>
      <c r="R155" s="136"/>
      <c r="S155" s="129"/>
      <c r="T155" s="129"/>
      <c r="U155" s="129"/>
      <c r="V155" s="129"/>
      <c r="W155" s="129"/>
      <c r="X155" s="129"/>
      <c r="Y155" s="129"/>
      <c r="Z155" s="133"/>
      <c r="AA155" s="133"/>
      <c r="AB155" s="133"/>
      <c r="AC155" s="133"/>
      <c r="AD155" s="133"/>
      <c r="AE155" s="133"/>
      <c r="AF155" s="222"/>
      <c r="AG155" s="222"/>
      <c r="AH155" s="222"/>
      <c r="AI155" s="176"/>
      <c r="AJ155" s="176"/>
      <c r="AK155" s="176"/>
      <c r="AL155" s="176"/>
      <c r="AM155" s="176"/>
      <c r="AN155" s="176"/>
      <c r="AO155" s="176"/>
      <c r="AP155" s="176"/>
      <c r="AQ155" s="176"/>
      <c r="AR155" s="176"/>
      <c r="AS155" s="176"/>
      <c r="AT155" s="176"/>
      <c r="AU155" s="176"/>
      <c r="AV155" s="176"/>
      <c r="AW155" s="176"/>
      <c r="AX155" s="176"/>
      <c r="AY155" s="176"/>
      <c r="AZ155" s="176"/>
      <c r="BA155" s="176"/>
      <c r="BB155" s="176"/>
      <c r="BC155" s="176"/>
      <c r="BD155" s="176"/>
      <c r="BE155" s="176"/>
      <c r="BF155" s="176"/>
      <c r="BG155" s="176"/>
      <c r="BH155" s="176"/>
      <c r="BI155" s="176"/>
      <c r="BJ155" s="176"/>
      <c r="BK155" s="176"/>
      <c r="BL155" s="176"/>
      <c r="BM155" s="176"/>
      <c r="BN155" s="176"/>
      <c r="BO155" s="176"/>
    </row>
    <row r="156" spans="1:67" s="36" customFormat="1" ht="10.5" customHeight="1" x14ac:dyDescent="0.2">
      <c r="A156" s="1055"/>
      <c r="B156" s="2594"/>
      <c r="C156" s="2595"/>
      <c r="D156" s="2596"/>
      <c r="E156" s="2395"/>
      <c r="F156" s="2396"/>
      <c r="G156" s="2590"/>
      <c r="H156" s="2591"/>
      <c r="I156" s="1081">
        <f t="shared" si="32"/>
        <v>0</v>
      </c>
      <c r="J156" s="1082">
        <f t="shared" si="33"/>
        <v>0</v>
      </c>
      <c r="K156" s="2588"/>
      <c r="L156" s="2589"/>
      <c r="M156" s="1086">
        <f t="shared" si="34"/>
        <v>0</v>
      </c>
      <c r="N156" s="505"/>
      <c r="O156" s="365">
        <f t="shared" si="35"/>
        <v>0</v>
      </c>
      <c r="P156" s="366"/>
      <c r="Q156" s="135"/>
      <c r="R156" s="136"/>
      <c r="S156" s="129"/>
      <c r="T156" s="129"/>
      <c r="U156" s="129"/>
      <c r="V156" s="129"/>
      <c r="W156" s="129"/>
      <c r="X156" s="129"/>
      <c r="Y156" s="129"/>
      <c r="Z156" s="133"/>
      <c r="AA156" s="133"/>
      <c r="AB156" s="133"/>
      <c r="AC156" s="133"/>
      <c r="AD156" s="133"/>
      <c r="AE156" s="133"/>
      <c r="AF156" s="222"/>
      <c r="AG156" s="222"/>
      <c r="AH156" s="222"/>
      <c r="AI156" s="176"/>
      <c r="AJ156" s="176"/>
      <c r="AK156" s="176"/>
      <c r="AL156" s="176"/>
      <c r="AM156" s="176"/>
      <c r="AN156" s="176"/>
      <c r="AO156" s="176"/>
      <c r="AP156" s="176"/>
      <c r="AQ156" s="176"/>
      <c r="AR156" s="176"/>
      <c r="AS156" s="176"/>
      <c r="AT156" s="176"/>
      <c r="AU156" s="176"/>
      <c r="AV156" s="176"/>
      <c r="AW156" s="176"/>
      <c r="AX156" s="176"/>
      <c r="AY156" s="176"/>
      <c r="AZ156" s="176"/>
      <c r="BA156" s="176"/>
      <c r="BB156" s="176"/>
      <c r="BC156" s="176"/>
      <c r="BD156" s="176"/>
      <c r="BE156" s="176"/>
      <c r="BF156" s="176"/>
      <c r="BG156" s="176"/>
      <c r="BH156" s="176"/>
      <c r="BI156" s="176"/>
      <c r="BJ156" s="176"/>
      <c r="BK156" s="176"/>
      <c r="BL156" s="176"/>
      <c r="BM156" s="176"/>
      <c r="BN156" s="176"/>
      <c r="BO156" s="176"/>
    </row>
    <row r="157" spans="1:67" s="36" customFormat="1" ht="10.5" customHeight="1" x14ac:dyDescent="0.2">
      <c r="A157" s="1055"/>
      <c r="B157" s="2594"/>
      <c r="C157" s="2595"/>
      <c r="D157" s="2596"/>
      <c r="E157" s="2395"/>
      <c r="F157" s="2396"/>
      <c r="G157" s="2590"/>
      <c r="H157" s="2591"/>
      <c r="I157" s="1081">
        <f t="shared" si="32"/>
        <v>0</v>
      </c>
      <c r="J157" s="1082">
        <f t="shared" si="33"/>
        <v>0</v>
      </c>
      <c r="K157" s="2588"/>
      <c r="L157" s="2589"/>
      <c r="M157" s="1086">
        <f t="shared" si="34"/>
        <v>0</v>
      </c>
      <c r="N157" s="505"/>
      <c r="O157" s="365">
        <f t="shared" si="35"/>
        <v>0</v>
      </c>
      <c r="P157" s="366"/>
      <c r="Q157" s="135"/>
      <c r="R157" s="136"/>
      <c r="S157" s="129"/>
      <c r="T157" s="129"/>
      <c r="U157" s="129"/>
      <c r="V157" s="129"/>
      <c r="W157" s="129"/>
      <c r="X157" s="129"/>
      <c r="Y157" s="129"/>
      <c r="Z157" s="133"/>
      <c r="AA157" s="133"/>
      <c r="AB157" s="133"/>
      <c r="AC157" s="133"/>
      <c r="AD157" s="133"/>
      <c r="AE157" s="133"/>
      <c r="AF157" s="222"/>
      <c r="AG157" s="222"/>
      <c r="AH157" s="222"/>
      <c r="AI157" s="176"/>
      <c r="AJ157" s="176"/>
      <c r="AK157" s="176"/>
      <c r="AL157" s="176"/>
      <c r="AM157" s="176"/>
      <c r="AN157" s="176"/>
      <c r="AO157" s="176"/>
      <c r="AP157" s="176"/>
      <c r="AQ157" s="176"/>
      <c r="AR157" s="176"/>
      <c r="AS157" s="176"/>
      <c r="AT157" s="176"/>
      <c r="AU157" s="176"/>
      <c r="AV157" s="176"/>
      <c r="AW157" s="176"/>
      <c r="AX157" s="176"/>
      <c r="AY157" s="176"/>
      <c r="AZ157" s="176"/>
      <c r="BA157" s="176"/>
      <c r="BB157" s="176"/>
      <c r="BC157" s="176"/>
      <c r="BD157" s="176"/>
      <c r="BE157" s="176"/>
      <c r="BF157" s="176"/>
      <c r="BG157" s="176"/>
      <c r="BH157" s="176"/>
      <c r="BI157" s="176"/>
      <c r="BJ157" s="176"/>
      <c r="BK157" s="176"/>
      <c r="BL157" s="176"/>
      <c r="BM157" s="176"/>
      <c r="BN157" s="176"/>
      <c r="BO157" s="176"/>
    </row>
    <row r="158" spans="1:67" s="36" customFormat="1" ht="10.5" customHeight="1" x14ac:dyDescent="0.2">
      <c r="A158" s="1055"/>
      <c r="B158" s="2594"/>
      <c r="C158" s="2595"/>
      <c r="D158" s="2596"/>
      <c r="E158" s="2395"/>
      <c r="F158" s="2396"/>
      <c r="G158" s="2590"/>
      <c r="H158" s="2591"/>
      <c r="I158" s="1081">
        <f t="shared" si="32"/>
        <v>0</v>
      </c>
      <c r="J158" s="1082">
        <f t="shared" si="33"/>
        <v>0</v>
      </c>
      <c r="K158" s="2588"/>
      <c r="L158" s="2589"/>
      <c r="M158" s="1086">
        <f t="shared" si="34"/>
        <v>0</v>
      </c>
      <c r="N158" s="505"/>
      <c r="O158" s="365">
        <f t="shared" si="35"/>
        <v>0</v>
      </c>
      <c r="P158" s="366"/>
      <c r="Q158" s="135"/>
      <c r="R158" s="136"/>
      <c r="S158" s="129"/>
      <c r="T158" s="129"/>
      <c r="U158" s="129"/>
      <c r="V158" s="129"/>
      <c r="W158" s="129"/>
      <c r="X158" s="129"/>
      <c r="Y158" s="129"/>
      <c r="Z158" s="133"/>
      <c r="AA158" s="133"/>
      <c r="AB158" s="133"/>
      <c r="AC158" s="133"/>
      <c r="AD158" s="133"/>
      <c r="AE158" s="133"/>
      <c r="AF158" s="222"/>
      <c r="AG158" s="222"/>
      <c r="AH158" s="222"/>
      <c r="AI158" s="176"/>
      <c r="AJ158" s="176"/>
      <c r="AK158" s="176"/>
      <c r="AL158" s="176"/>
      <c r="AM158" s="176"/>
      <c r="AN158" s="176"/>
      <c r="AO158" s="176"/>
      <c r="AP158" s="176"/>
      <c r="AQ158" s="176"/>
      <c r="AR158" s="176"/>
      <c r="AS158" s="176"/>
      <c r="AT158" s="176"/>
      <c r="AU158" s="176"/>
      <c r="AV158" s="176"/>
      <c r="AW158" s="176"/>
      <c r="AX158" s="176"/>
      <c r="AY158" s="176"/>
      <c r="AZ158" s="176"/>
      <c r="BA158" s="176"/>
      <c r="BB158" s="176"/>
      <c r="BC158" s="176"/>
      <c r="BD158" s="176"/>
      <c r="BE158" s="176"/>
      <c r="BF158" s="176"/>
      <c r="BG158" s="176"/>
      <c r="BH158" s="176"/>
      <c r="BI158" s="176"/>
      <c r="BJ158" s="176"/>
      <c r="BK158" s="176"/>
      <c r="BL158" s="176"/>
      <c r="BM158" s="176"/>
      <c r="BN158" s="176"/>
      <c r="BO158" s="176"/>
    </row>
    <row r="159" spans="1:67" s="36" customFormat="1" ht="10.5" customHeight="1" x14ac:dyDescent="0.2">
      <c r="A159" s="1055"/>
      <c r="B159" s="2594"/>
      <c r="C159" s="2595"/>
      <c r="D159" s="2596"/>
      <c r="E159" s="2395"/>
      <c r="F159" s="2396"/>
      <c r="G159" s="2590"/>
      <c r="H159" s="2591"/>
      <c r="I159" s="1081">
        <f t="shared" si="32"/>
        <v>0</v>
      </c>
      <c r="J159" s="1082">
        <f t="shared" si="33"/>
        <v>0</v>
      </c>
      <c r="K159" s="2588"/>
      <c r="L159" s="2589"/>
      <c r="M159" s="1086">
        <f t="shared" si="34"/>
        <v>0</v>
      </c>
      <c r="N159" s="505"/>
      <c r="O159" s="365">
        <f t="shared" si="35"/>
        <v>0</v>
      </c>
      <c r="P159" s="366"/>
      <c r="Q159" s="135"/>
      <c r="R159" s="136"/>
      <c r="S159" s="129"/>
      <c r="T159" s="129"/>
      <c r="U159" s="129"/>
      <c r="V159" s="129"/>
      <c r="W159" s="129"/>
      <c r="X159" s="129"/>
      <c r="Y159" s="129"/>
      <c r="Z159" s="133"/>
      <c r="AA159" s="133"/>
      <c r="AB159" s="133"/>
      <c r="AC159" s="133"/>
      <c r="AD159" s="133"/>
      <c r="AE159" s="133"/>
      <c r="AF159" s="222"/>
      <c r="AG159" s="222"/>
      <c r="AH159" s="222"/>
      <c r="AI159" s="176"/>
      <c r="AJ159" s="176"/>
      <c r="AK159" s="176"/>
      <c r="AL159" s="176"/>
      <c r="AM159" s="176"/>
      <c r="AN159" s="176"/>
      <c r="AO159" s="176"/>
      <c r="AP159" s="176"/>
      <c r="AQ159" s="176"/>
      <c r="AR159" s="176"/>
      <c r="AS159" s="176"/>
      <c r="AT159" s="176"/>
      <c r="AU159" s="176"/>
      <c r="AV159" s="176"/>
      <c r="AW159" s="176"/>
      <c r="AX159" s="176"/>
      <c r="AY159" s="176"/>
      <c r="AZ159" s="176"/>
      <c r="BA159" s="176"/>
      <c r="BB159" s="176"/>
      <c r="BC159" s="176"/>
      <c r="BD159" s="176"/>
      <c r="BE159" s="176"/>
      <c r="BF159" s="176"/>
      <c r="BG159" s="176"/>
      <c r="BH159" s="176"/>
      <c r="BI159" s="176"/>
      <c r="BJ159" s="176"/>
      <c r="BK159" s="176"/>
      <c r="BL159" s="176"/>
      <c r="BM159" s="176"/>
      <c r="BN159" s="176"/>
      <c r="BO159" s="176"/>
    </row>
    <row r="160" spans="1:67" s="36" customFormat="1" ht="10.5" customHeight="1" x14ac:dyDescent="0.2">
      <c r="A160" s="1055"/>
      <c r="B160" s="2594"/>
      <c r="C160" s="2595"/>
      <c r="D160" s="2596"/>
      <c r="E160" s="2395"/>
      <c r="F160" s="2396"/>
      <c r="G160" s="2590"/>
      <c r="H160" s="2591"/>
      <c r="I160" s="1081">
        <f t="shared" si="32"/>
        <v>0</v>
      </c>
      <c r="J160" s="1082">
        <f t="shared" si="33"/>
        <v>0</v>
      </c>
      <c r="K160" s="2588"/>
      <c r="L160" s="2589"/>
      <c r="M160" s="1086">
        <f t="shared" si="34"/>
        <v>0</v>
      </c>
      <c r="N160" s="505"/>
      <c r="O160" s="365">
        <f t="shared" si="35"/>
        <v>0</v>
      </c>
      <c r="P160" s="366"/>
      <c r="Q160" s="135"/>
      <c r="R160" s="136"/>
      <c r="S160" s="129"/>
      <c r="T160" s="129"/>
      <c r="U160" s="129"/>
      <c r="V160" s="129"/>
      <c r="W160" s="129"/>
      <c r="X160" s="129"/>
      <c r="Y160" s="129"/>
      <c r="Z160" s="133"/>
      <c r="AA160" s="133"/>
      <c r="AB160" s="133"/>
      <c r="AC160" s="133"/>
      <c r="AD160" s="133"/>
      <c r="AE160" s="133"/>
      <c r="AF160" s="222"/>
      <c r="AG160" s="222"/>
      <c r="AH160" s="222"/>
      <c r="AI160" s="176"/>
      <c r="AJ160" s="176"/>
      <c r="AK160" s="176"/>
      <c r="AL160" s="176"/>
      <c r="AM160" s="176"/>
      <c r="AN160" s="176"/>
      <c r="AO160" s="176"/>
      <c r="AP160" s="176"/>
      <c r="AQ160" s="176"/>
      <c r="AR160" s="176"/>
      <c r="AS160" s="176"/>
      <c r="AT160" s="176"/>
      <c r="AU160" s="176"/>
      <c r="AV160" s="176"/>
      <c r="AW160" s="176"/>
      <c r="AX160" s="176"/>
      <c r="AY160" s="176"/>
      <c r="AZ160" s="176"/>
      <c r="BA160" s="176"/>
      <c r="BB160" s="176"/>
      <c r="BC160" s="176"/>
      <c r="BD160" s="176"/>
      <c r="BE160" s="176"/>
      <c r="BF160" s="176"/>
      <c r="BG160" s="176"/>
      <c r="BH160" s="176"/>
      <c r="BI160" s="176"/>
      <c r="BJ160" s="176"/>
      <c r="BK160" s="176"/>
      <c r="BL160" s="176"/>
      <c r="BM160" s="176"/>
      <c r="BN160" s="176"/>
      <c r="BO160" s="176"/>
    </row>
    <row r="161" spans="1:67" s="36" customFormat="1" ht="10.5" customHeight="1" x14ac:dyDescent="0.2">
      <c r="A161" s="1348"/>
      <c r="B161" s="2690"/>
      <c r="C161" s="2691"/>
      <c r="D161" s="2692"/>
      <c r="E161" s="2601"/>
      <c r="F161" s="2602"/>
      <c r="G161" s="1088"/>
      <c r="H161" s="1089"/>
      <c r="I161" s="1083">
        <f t="shared" si="32"/>
        <v>0</v>
      </c>
      <c r="J161" s="1084"/>
      <c r="K161" s="1087"/>
      <c r="L161" s="1307"/>
      <c r="M161" s="1317">
        <f t="shared" si="34"/>
        <v>0</v>
      </c>
      <c r="N161" s="505"/>
      <c r="O161" s="365">
        <f t="shared" si="35"/>
        <v>0</v>
      </c>
      <c r="P161" s="366"/>
      <c r="Q161" s="135"/>
      <c r="R161" s="136"/>
      <c r="S161" s="129"/>
      <c r="T161" s="129"/>
      <c r="U161" s="129"/>
      <c r="V161" s="129"/>
      <c r="W161" s="129"/>
      <c r="X161" s="129"/>
      <c r="Y161" s="129"/>
      <c r="Z161" s="133"/>
      <c r="AA161" s="133"/>
      <c r="AB161" s="133"/>
      <c r="AC161" s="133"/>
      <c r="AD161" s="133"/>
      <c r="AE161" s="133"/>
      <c r="AF161" s="222"/>
      <c r="AG161" s="222"/>
      <c r="AH161" s="222"/>
      <c r="AI161" s="176"/>
      <c r="AJ161" s="176"/>
      <c r="AK161" s="176"/>
      <c r="AL161" s="176"/>
      <c r="AM161" s="176"/>
      <c r="AN161" s="176"/>
      <c r="AO161" s="176"/>
      <c r="AP161" s="176"/>
      <c r="AQ161" s="176"/>
      <c r="AR161" s="176"/>
      <c r="AS161" s="176"/>
      <c r="AT161" s="176"/>
      <c r="AU161" s="176"/>
      <c r="AV161" s="176"/>
      <c r="AW161" s="176"/>
      <c r="AX161" s="176"/>
      <c r="AY161" s="176"/>
      <c r="AZ161" s="176"/>
      <c r="BA161" s="176"/>
      <c r="BB161" s="176"/>
      <c r="BC161" s="176"/>
      <c r="BD161" s="176"/>
      <c r="BE161" s="176"/>
      <c r="BF161" s="176"/>
      <c r="BG161" s="176"/>
      <c r="BH161" s="176"/>
      <c r="BI161" s="176"/>
      <c r="BJ161" s="176"/>
      <c r="BK161" s="176"/>
      <c r="BL161" s="176"/>
      <c r="BM161" s="176"/>
      <c r="BN161" s="176"/>
      <c r="BO161" s="176"/>
    </row>
    <row r="162" spans="1:67" s="36" customFormat="1" ht="10.5" customHeight="1" x14ac:dyDescent="0.2">
      <c r="A162" s="1345" t="s">
        <v>308</v>
      </c>
      <c r="B162" s="2603"/>
      <c r="C162" s="2604"/>
      <c r="D162" s="2605"/>
      <c r="E162" s="2730">
        <f>SUM(E163:E175)</f>
        <v>0</v>
      </c>
      <c r="F162" s="2731"/>
      <c r="G162" s="2732"/>
      <c r="H162" s="2733"/>
      <c r="I162" s="1121">
        <f>IF(E162=0,0,J162/E162)</f>
        <v>0</v>
      </c>
      <c r="J162" s="1346">
        <f>SUM(J163:J175)</f>
        <v>0</v>
      </c>
      <c r="K162" s="2734">
        <f>IF(E162=0,0,M162/E162*100)</f>
        <v>0</v>
      </c>
      <c r="L162" s="2736"/>
      <c r="M162" s="1347">
        <f>SUM(M163:M175)</f>
        <v>0</v>
      </c>
      <c r="N162" s="505"/>
      <c r="O162" s="178">
        <f>IF(H162="",G162,H162)</f>
        <v>0</v>
      </c>
      <c r="P162" s="366"/>
      <c r="Q162" s="135"/>
      <c r="R162" s="136"/>
      <c r="S162" s="129"/>
      <c r="T162" s="129"/>
      <c r="U162" s="129"/>
      <c r="V162" s="129"/>
      <c r="W162" s="129"/>
      <c r="X162" s="129"/>
      <c r="Y162" s="129"/>
      <c r="Z162" s="133"/>
      <c r="AA162" s="133"/>
      <c r="AB162" s="133"/>
      <c r="AC162" s="133"/>
      <c r="AD162" s="133"/>
      <c r="AE162" s="133"/>
      <c r="AF162" s="222"/>
      <c r="AG162" s="222"/>
      <c r="AH162" s="222"/>
      <c r="AI162" s="176"/>
      <c r="AJ162" s="176"/>
      <c r="AK162" s="176"/>
      <c r="AL162" s="176"/>
      <c r="AM162" s="176"/>
      <c r="AN162" s="176"/>
      <c r="AO162" s="176"/>
      <c r="AP162" s="176"/>
      <c r="AQ162" s="176"/>
      <c r="AR162" s="176"/>
      <c r="AS162" s="176"/>
      <c r="AT162" s="176"/>
      <c r="AU162" s="176"/>
      <c r="AV162" s="176"/>
      <c r="AW162" s="176"/>
      <c r="AX162" s="176"/>
      <c r="AY162" s="176"/>
      <c r="AZ162" s="176"/>
      <c r="BA162" s="176"/>
      <c r="BB162" s="176"/>
      <c r="BC162" s="176"/>
      <c r="BD162" s="176"/>
      <c r="BE162" s="176"/>
      <c r="BF162" s="176"/>
      <c r="BG162" s="176"/>
      <c r="BH162" s="176"/>
      <c r="BI162" s="176"/>
      <c r="BJ162" s="176"/>
      <c r="BK162" s="176"/>
      <c r="BL162" s="176"/>
      <c r="BM162" s="176"/>
      <c r="BN162" s="176"/>
      <c r="BO162" s="176"/>
    </row>
    <row r="163" spans="1:67" s="36" customFormat="1" ht="10.5" customHeight="1" x14ac:dyDescent="0.2">
      <c r="A163" s="1042" t="s">
        <v>309</v>
      </c>
      <c r="B163" s="2624"/>
      <c r="C163" s="2625"/>
      <c r="D163" s="2626"/>
      <c r="E163" s="2386"/>
      <c r="F163" s="2387"/>
      <c r="G163" s="1056">
        <v>30</v>
      </c>
      <c r="H163" s="1057"/>
      <c r="I163" s="1079">
        <f t="shared" ref="I163:I176" si="36">IF($O163&gt;0,-PMT(($I$9),$O163,1),0)</f>
        <v>4.6199342169092869E-2</v>
      </c>
      <c r="J163" s="1080">
        <f t="shared" ref="J163:J175" si="37">ROUND(E163*I163,0)</f>
        <v>0</v>
      </c>
      <c r="K163" s="1060">
        <v>1</v>
      </c>
      <c r="L163" s="1304"/>
      <c r="M163" s="1085">
        <f t="shared" ref="M163:M176" si="38">ROUND(E163/100*IF(ISBLANK(L163),K163,L163),0)</f>
        <v>0</v>
      </c>
      <c r="N163" s="505"/>
      <c r="O163" s="365">
        <f t="shared" ref="O163:O176" si="39">IF(ISBLANK(H163),G163,H163)</f>
        <v>30</v>
      </c>
      <c r="P163" s="366"/>
      <c r="Q163" s="135"/>
      <c r="R163" s="136"/>
      <c r="S163" s="129"/>
      <c r="T163" s="129"/>
      <c r="U163" s="129"/>
      <c r="V163" s="129"/>
      <c r="W163" s="129"/>
      <c r="X163" s="129"/>
      <c r="Y163" s="129"/>
      <c r="Z163" s="133"/>
      <c r="AA163" s="133"/>
      <c r="AB163" s="133"/>
      <c r="AC163" s="133"/>
      <c r="AD163" s="133"/>
      <c r="AE163" s="133"/>
      <c r="AF163" s="222"/>
      <c r="AG163" s="222"/>
      <c r="AH163" s="222"/>
      <c r="AI163" s="176"/>
      <c r="AJ163" s="176"/>
      <c r="AK163" s="176"/>
      <c r="AL163" s="176"/>
      <c r="AM163" s="176"/>
      <c r="AN163" s="176"/>
      <c r="AO163" s="176"/>
      <c r="AP163" s="176"/>
      <c r="AQ163" s="176"/>
      <c r="AR163" s="176"/>
      <c r="AS163" s="176"/>
      <c r="AT163" s="176"/>
      <c r="AU163" s="176"/>
      <c r="AV163" s="176"/>
      <c r="AW163" s="176"/>
      <c r="AX163" s="176"/>
      <c r="AY163" s="176"/>
      <c r="AZ163" s="176"/>
      <c r="BA163" s="176"/>
      <c r="BB163" s="176"/>
      <c r="BC163" s="176"/>
      <c r="BD163" s="176"/>
      <c r="BE163" s="176"/>
      <c r="BF163" s="176"/>
      <c r="BG163" s="176"/>
      <c r="BH163" s="176"/>
      <c r="BI163" s="176"/>
      <c r="BJ163" s="176"/>
      <c r="BK163" s="176"/>
      <c r="BL163" s="176"/>
      <c r="BM163" s="176"/>
      <c r="BN163" s="176"/>
      <c r="BO163" s="176"/>
    </row>
    <row r="164" spans="1:67" s="36" customFormat="1" ht="10.5" customHeight="1" x14ac:dyDescent="0.2">
      <c r="A164" s="1043" t="s">
        <v>310</v>
      </c>
      <c r="B164" s="2594"/>
      <c r="C164" s="2595"/>
      <c r="D164" s="2596"/>
      <c r="E164" s="2395"/>
      <c r="F164" s="2396"/>
      <c r="G164" s="1058">
        <v>40</v>
      </c>
      <c r="H164" s="1059"/>
      <c r="I164" s="1081">
        <f t="shared" si="36"/>
        <v>3.8177378061076156E-2</v>
      </c>
      <c r="J164" s="1082">
        <f t="shared" si="37"/>
        <v>0</v>
      </c>
      <c r="K164" s="1061">
        <v>1.5</v>
      </c>
      <c r="L164" s="1305"/>
      <c r="M164" s="1086">
        <f t="shared" si="38"/>
        <v>0</v>
      </c>
      <c r="N164" s="505"/>
      <c r="O164" s="365">
        <f t="shared" si="39"/>
        <v>40</v>
      </c>
      <c r="P164" s="366"/>
      <c r="Q164" s="135"/>
      <c r="R164" s="136"/>
      <c r="S164" s="129"/>
      <c r="T164" s="129"/>
      <c r="U164" s="129"/>
      <c r="V164" s="129"/>
      <c r="W164" s="129"/>
      <c r="X164" s="129"/>
      <c r="Y164" s="129"/>
      <c r="Z164" s="133"/>
      <c r="AA164" s="133"/>
      <c r="AB164" s="133"/>
      <c r="AC164" s="133"/>
      <c r="AD164" s="133"/>
      <c r="AE164" s="133"/>
      <c r="AF164" s="222"/>
      <c r="AG164" s="222"/>
      <c r="AH164" s="222"/>
      <c r="AI164" s="176"/>
      <c r="AJ164" s="176"/>
      <c r="AK164" s="176"/>
      <c r="AL164" s="176"/>
      <c r="AM164" s="176"/>
      <c r="AN164" s="176"/>
      <c r="AO164" s="176"/>
      <c r="AP164" s="176"/>
      <c r="AQ164" s="176"/>
      <c r="AR164" s="176"/>
      <c r="AS164" s="176"/>
      <c r="AT164" s="176"/>
      <c r="AU164" s="176"/>
      <c r="AV164" s="176"/>
      <c r="AW164" s="176"/>
      <c r="AX164" s="176"/>
      <c r="AY164" s="176"/>
      <c r="AZ164" s="176"/>
      <c r="BA164" s="176"/>
      <c r="BB164" s="176"/>
      <c r="BC164" s="176"/>
      <c r="BD164" s="176"/>
      <c r="BE164" s="176"/>
      <c r="BF164" s="176"/>
      <c r="BG164" s="176"/>
      <c r="BH164" s="176"/>
      <c r="BI164" s="176"/>
      <c r="BJ164" s="176"/>
      <c r="BK164" s="176"/>
      <c r="BL164" s="176"/>
      <c r="BM164" s="176"/>
      <c r="BN164" s="176"/>
      <c r="BO164" s="176"/>
    </row>
    <row r="165" spans="1:67" s="36" customFormat="1" ht="10.5" customHeight="1" x14ac:dyDescent="0.2">
      <c r="A165" s="1043" t="s">
        <v>311</v>
      </c>
      <c r="B165" s="2594"/>
      <c r="C165" s="2595"/>
      <c r="D165" s="2596"/>
      <c r="E165" s="2395"/>
      <c r="F165" s="2396"/>
      <c r="G165" s="1058">
        <v>40</v>
      </c>
      <c r="H165" s="1059"/>
      <c r="I165" s="1081">
        <f t="shared" si="36"/>
        <v>3.8177378061076156E-2</v>
      </c>
      <c r="J165" s="1082">
        <f t="shared" si="37"/>
        <v>0</v>
      </c>
      <c r="K165" s="1061">
        <v>1.5</v>
      </c>
      <c r="L165" s="1305"/>
      <c r="M165" s="1086">
        <f t="shared" si="38"/>
        <v>0</v>
      </c>
      <c r="N165" s="505"/>
      <c r="O165" s="365">
        <f t="shared" si="39"/>
        <v>40</v>
      </c>
      <c r="P165" s="366"/>
      <c r="Q165" s="135"/>
      <c r="R165" s="136"/>
      <c r="S165" s="129"/>
      <c r="T165" s="129"/>
      <c r="U165" s="129"/>
      <c r="V165" s="129"/>
      <c r="W165" s="129"/>
      <c r="X165" s="129"/>
      <c r="Y165" s="129"/>
      <c r="Z165" s="133"/>
      <c r="AA165" s="133"/>
      <c r="AB165" s="133"/>
      <c r="AC165" s="133"/>
      <c r="AD165" s="133"/>
      <c r="AE165" s="133"/>
      <c r="AF165" s="222"/>
      <c r="AG165" s="222"/>
      <c r="AH165" s="222"/>
      <c r="AI165" s="176"/>
      <c r="AJ165" s="176"/>
      <c r="AK165" s="176"/>
      <c r="AL165" s="176"/>
      <c r="AM165" s="176"/>
      <c r="AN165" s="176"/>
      <c r="AO165" s="176"/>
      <c r="AP165" s="176"/>
      <c r="AQ165" s="176"/>
      <c r="AR165" s="176"/>
      <c r="AS165" s="176"/>
      <c r="AT165" s="176"/>
      <c r="AU165" s="176"/>
      <c r="AV165" s="176"/>
      <c r="AW165" s="176"/>
      <c r="AX165" s="176"/>
      <c r="AY165" s="176"/>
      <c r="AZ165" s="176"/>
      <c r="BA165" s="176"/>
      <c r="BB165" s="176"/>
      <c r="BC165" s="176"/>
      <c r="BD165" s="176"/>
      <c r="BE165" s="176"/>
      <c r="BF165" s="176"/>
      <c r="BG165" s="176"/>
      <c r="BH165" s="176"/>
      <c r="BI165" s="176"/>
      <c r="BJ165" s="176"/>
      <c r="BK165" s="176"/>
      <c r="BL165" s="176"/>
      <c r="BM165" s="176"/>
      <c r="BN165" s="176"/>
      <c r="BO165" s="176"/>
    </row>
    <row r="166" spans="1:67" s="36" customFormat="1" ht="10.5" customHeight="1" x14ac:dyDescent="0.2">
      <c r="A166" s="1043" t="s">
        <v>312</v>
      </c>
      <c r="B166" s="2594"/>
      <c r="C166" s="2595"/>
      <c r="D166" s="2596"/>
      <c r="E166" s="2395"/>
      <c r="F166" s="2396"/>
      <c r="G166" s="1058">
        <v>40</v>
      </c>
      <c r="H166" s="1059"/>
      <c r="I166" s="1081">
        <f t="shared" si="36"/>
        <v>3.8177378061076156E-2</v>
      </c>
      <c r="J166" s="1082">
        <f t="shared" si="37"/>
        <v>0</v>
      </c>
      <c r="K166" s="1061">
        <v>1</v>
      </c>
      <c r="L166" s="1305"/>
      <c r="M166" s="1086">
        <f t="shared" si="38"/>
        <v>0</v>
      </c>
      <c r="N166" s="505"/>
      <c r="O166" s="365">
        <f t="shared" si="39"/>
        <v>40</v>
      </c>
      <c r="P166" s="366"/>
      <c r="Q166" s="135"/>
      <c r="R166" s="136"/>
      <c r="S166" s="129"/>
      <c r="T166" s="129"/>
      <c r="U166" s="129"/>
      <c r="V166" s="129"/>
      <c r="W166" s="129"/>
      <c r="X166" s="129"/>
      <c r="Y166" s="129"/>
      <c r="Z166" s="133"/>
      <c r="AA166" s="133"/>
      <c r="AB166" s="133"/>
      <c r="AC166" s="133"/>
      <c r="AD166" s="133"/>
      <c r="AE166" s="133"/>
      <c r="AF166" s="222"/>
      <c r="AG166" s="222"/>
      <c r="AH166" s="222"/>
      <c r="AI166" s="176"/>
      <c r="AJ166" s="176"/>
      <c r="AK166" s="176"/>
      <c r="AL166" s="176"/>
      <c r="AM166" s="176"/>
      <c r="AN166" s="176"/>
      <c r="AO166" s="176"/>
      <c r="AP166" s="176"/>
      <c r="AQ166" s="176"/>
      <c r="AR166" s="176"/>
      <c r="AS166" s="176"/>
      <c r="AT166" s="176"/>
      <c r="AU166" s="176"/>
      <c r="AV166" s="176"/>
      <c r="AW166" s="176"/>
      <c r="AX166" s="176"/>
      <c r="AY166" s="176"/>
      <c r="AZ166" s="176"/>
      <c r="BA166" s="176"/>
      <c r="BB166" s="176"/>
      <c r="BC166" s="176"/>
      <c r="BD166" s="176"/>
      <c r="BE166" s="176"/>
      <c r="BF166" s="176"/>
      <c r="BG166" s="176"/>
      <c r="BH166" s="176"/>
      <c r="BI166" s="176"/>
      <c r="BJ166" s="176"/>
      <c r="BK166" s="176"/>
      <c r="BL166" s="176"/>
      <c r="BM166" s="176"/>
      <c r="BN166" s="176"/>
      <c r="BO166" s="176"/>
    </row>
    <row r="167" spans="1:67" s="36" customFormat="1" ht="10.5" customHeight="1" x14ac:dyDescent="0.2">
      <c r="A167" s="1043" t="s">
        <v>313</v>
      </c>
      <c r="B167" s="2594"/>
      <c r="C167" s="2595"/>
      <c r="D167" s="2596"/>
      <c r="E167" s="2395"/>
      <c r="F167" s="2396"/>
      <c r="G167" s="1058">
        <v>40</v>
      </c>
      <c r="H167" s="1059"/>
      <c r="I167" s="1081">
        <f t="shared" si="36"/>
        <v>3.8177378061076156E-2</v>
      </c>
      <c r="J167" s="1082">
        <f t="shared" si="37"/>
        <v>0</v>
      </c>
      <c r="K167" s="1061">
        <v>1.5</v>
      </c>
      <c r="L167" s="1305"/>
      <c r="M167" s="1086">
        <f t="shared" si="38"/>
        <v>0</v>
      </c>
      <c r="N167" s="505"/>
      <c r="O167" s="365">
        <f t="shared" si="39"/>
        <v>40</v>
      </c>
      <c r="P167" s="366"/>
      <c r="Q167" s="135"/>
      <c r="R167" s="136"/>
      <c r="S167" s="129"/>
      <c r="T167" s="129"/>
      <c r="U167" s="129"/>
      <c r="V167" s="129"/>
      <c r="W167" s="129"/>
      <c r="X167" s="129"/>
      <c r="Y167" s="129"/>
      <c r="Z167" s="133"/>
      <c r="AA167" s="133"/>
      <c r="AB167" s="133"/>
      <c r="AC167" s="133"/>
      <c r="AD167" s="133"/>
      <c r="AE167" s="133"/>
      <c r="AF167" s="222"/>
      <c r="AG167" s="222"/>
      <c r="AH167" s="222"/>
      <c r="AI167" s="176"/>
      <c r="AJ167" s="176"/>
      <c r="AK167" s="176"/>
      <c r="AL167" s="176"/>
      <c r="AM167" s="176"/>
      <c r="AN167" s="176"/>
      <c r="AO167" s="176"/>
      <c r="AP167" s="176"/>
      <c r="AQ167" s="176"/>
      <c r="AR167" s="176"/>
      <c r="AS167" s="176"/>
      <c r="AT167" s="176"/>
      <c r="AU167" s="176"/>
      <c r="AV167" s="176"/>
      <c r="AW167" s="176"/>
      <c r="AX167" s="176"/>
      <c r="AY167" s="176"/>
      <c r="AZ167" s="176"/>
      <c r="BA167" s="176"/>
      <c r="BB167" s="176"/>
      <c r="BC167" s="176"/>
      <c r="BD167" s="176"/>
      <c r="BE167" s="176"/>
      <c r="BF167" s="176"/>
      <c r="BG167" s="176"/>
      <c r="BH167" s="176"/>
      <c r="BI167" s="176"/>
      <c r="BJ167" s="176"/>
      <c r="BK167" s="176"/>
      <c r="BL167" s="176"/>
      <c r="BM167" s="176"/>
      <c r="BN167" s="176"/>
      <c r="BO167" s="176"/>
    </row>
    <row r="168" spans="1:67" s="36" customFormat="1" ht="10.5" customHeight="1" x14ac:dyDescent="0.2">
      <c r="A168" s="1043" t="s">
        <v>314</v>
      </c>
      <c r="B168" s="2594"/>
      <c r="C168" s="2595"/>
      <c r="D168" s="2596"/>
      <c r="E168" s="2395"/>
      <c r="F168" s="2396"/>
      <c r="G168" s="1058">
        <v>20</v>
      </c>
      <c r="H168" s="1059"/>
      <c r="I168" s="1081">
        <f t="shared" si="36"/>
        <v>6.2642070767998229E-2</v>
      </c>
      <c r="J168" s="1082">
        <f t="shared" si="37"/>
        <v>0</v>
      </c>
      <c r="K168" s="1061">
        <v>1.5</v>
      </c>
      <c r="L168" s="1305"/>
      <c r="M168" s="1086">
        <f t="shared" si="38"/>
        <v>0</v>
      </c>
      <c r="N168" s="505"/>
      <c r="O168" s="365">
        <f t="shared" si="39"/>
        <v>20</v>
      </c>
      <c r="P168" s="366"/>
      <c r="Q168" s="135"/>
      <c r="R168" s="136"/>
      <c r="S168" s="129"/>
      <c r="T168" s="129"/>
      <c r="U168" s="129"/>
      <c r="V168" s="129"/>
      <c r="W168" s="129"/>
      <c r="X168" s="129"/>
      <c r="Y168" s="129"/>
      <c r="Z168" s="133"/>
      <c r="AA168" s="133"/>
      <c r="AB168" s="133"/>
      <c r="AC168" s="133"/>
      <c r="AD168" s="133"/>
      <c r="AE168" s="133"/>
      <c r="AF168" s="222"/>
      <c r="AG168" s="222"/>
      <c r="AH168" s="222"/>
      <c r="AI168" s="176"/>
      <c r="AJ168" s="176"/>
      <c r="AK168" s="176"/>
      <c r="AL168" s="176"/>
      <c r="AM168" s="176"/>
      <c r="AN168" s="176"/>
      <c r="AO168" s="176"/>
      <c r="AP168" s="176"/>
      <c r="AQ168" s="176"/>
      <c r="AR168" s="176"/>
      <c r="AS168" s="176"/>
      <c r="AT168" s="176"/>
      <c r="AU168" s="176"/>
      <c r="AV168" s="176"/>
      <c r="AW168" s="176"/>
      <c r="AX168" s="176"/>
      <c r="AY168" s="176"/>
      <c r="AZ168" s="176"/>
      <c r="BA168" s="176"/>
      <c r="BB168" s="176"/>
      <c r="BC168" s="176"/>
      <c r="BD168" s="176"/>
      <c r="BE168" s="176"/>
      <c r="BF168" s="176"/>
      <c r="BG168" s="176"/>
      <c r="BH168" s="176"/>
      <c r="BI168" s="176"/>
      <c r="BJ168" s="176"/>
      <c r="BK168" s="176"/>
      <c r="BL168" s="176"/>
      <c r="BM168" s="176"/>
      <c r="BN168" s="176"/>
      <c r="BO168" s="176"/>
    </row>
    <row r="169" spans="1:67" s="36" customFormat="1" ht="10.5" customHeight="1" x14ac:dyDescent="0.2">
      <c r="A169" s="1043" t="s">
        <v>315</v>
      </c>
      <c r="B169" s="2594"/>
      <c r="C169" s="2595"/>
      <c r="D169" s="2596"/>
      <c r="E169" s="2395"/>
      <c r="F169" s="2396"/>
      <c r="G169" s="1058">
        <v>40</v>
      </c>
      <c r="H169" s="1059"/>
      <c r="I169" s="1081">
        <f t="shared" si="36"/>
        <v>3.8177378061076156E-2</v>
      </c>
      <c r="J169" s="1082">
        <f t="shared" si="37"/>
        <v>0</v>
      </c>
      <c r="K169" s="1061">
        <v>1</v>
      </c>
      <c r="L169" s="1305"/>
      <c r="M169" s="1086">
        <f t="shared" si="38"/>
        <v>0</v>
      </c>
      <c r="N169" s="505"/>
      <c r="O169" s="365">
        <f t="shared" si="39"/>
        <v>40</v>
      </c>
      <c r="P169" s="366"/>
      <c r="Q169" s="135"/>
      <c r="R169" s="136"/>
      <c r="S169" s="129"/>
      <c r="T169" s="129"/>
      <c r="U169" s="129"/>
      <c r="V169" s="129"/>
      <c r="W169" s="129"/>
      <c r="X169" s="129"/>
      <c r="Y169" s="129"/>
      <c r="Z169" s="133"/>
      <c r="AA169" s="133"/>
      <c r="AB169" s="133"/>
      <c r="AC169" s="133"/>
      <c r="AD169" s="133"/>
      <c r="AE169" s="133"/>
      <c r="AF169" s="222"/>
      <c r="AG169" s="222"/>
      <c r="AH169" s="222"/>
      <c r="AI169" s="176"/>
      <c r="AJ169" s="176"/>
      <c r="AK169" s="176"/>
      <c r="AL169" s="176"/>
      <c r="AM169" s="176"/>
      <c r="AN169" s="176"/>
      <c r="AO169" s="176"/>
      <c r="AP169" s="176"/>
      <c r="AQ169" s="176"/>
      <c r="AR169" s="176"/>
      <c r="AS169" s="176"/>
      <c r="AT169" s="176"/>
      <c r="AU169" s="176"/>
      <c r="AV169" s="176"/>
      <c r="AW169" s="176"/>
      <c r="AX169" s="176"/>
      <c r="AY169" s="176"/>
      <c r="AZ169" s="176"/>
      <c r="BA169" s="176"/>
      <c r="BB169" s="176"/>
      <c r="BC169" s="176"/>
      <c r="BD169" s="176"/>
      <c r="BE169" s="176"/>
      <c r="BF169" s="176"/>
      <c r="BG169" s="176"/>
      <c r="BH169" s="176"/>
      <c r="BI169" s="176"/>
      <c r="BJ169" s="176"/>
      <c r="BK169" s="176"/>
      <c r="BL169" s="176"/>
      <c r="BM169" s="176"/>
      <c r="BN169" s="176"/>
      <c r="BO169" s="176"/>
    </row>
    <row r="170" spans="1:67" s="36" customFormat="1" ht="10.5" customHeight="1" x14ac:dyDescent="0.2">
      <c r="A170" s="1043" t="s">
        <v>273</v>
      </c>
      <c r="B170" s="2594"/>
      <c r="C170" s="2595"/>
      <c r="D170" s="2596"/>
      <c r="E170" s="2395"/>
      <c r="F170" s="2396"/>
      <c r="G170" s="1058">
        <v>20</v>
      </c>
      <c r="H170" s="1059"/>
      <c r="I170" s="1081">
        <f t="shared" si="36"/>
        <v>6.2642070767998229E-2</v>
      </c>
      <c r="J170" s="1082">
        <f t="shared" si="37"/>
        <v>0</v>
      </c>
      <c r="K170" s="1061">
        <v>8</v>
      </c>
      <c r="L170" s="1305"/>
      <c r="M170" s="1086">
        <f t="shared" si="38"/>
        <v>0</v>
      </c>
      <c r="N170" s="505"/>
      <c r="O170" s="365">
        <f t="shared" si="39"/>
        <v>20</v>
      </c>
      <c r="P170" s="366"/>
      <c r="Q170" s="135"/>
      <c r="R170" s="136"/>
      <c r="S170" s="129"/>
      <c r="T170" s="129"/>
      <c r="U170" s="129"/>
      <c r="V170" s="129"/>
      <c r="W170" s="129"/>
      <c r="X170" s="129"/>
      <c r="Y170" s="129"/>
      <c r="Z170" s="133"/>
      <c r="AA170" s="133"/>
      <c r="AB170" s="133"/>
      <c r="AC170" s="133"/>
      <c r="AD170" s="133"/>
      <c r="AE170" s="133"/>
      <c r="AF170" s="222"/>
      <c r="AG170" s="222"/>
      <c r="AH170" s="222"/>
      <c r="AI170" s="176"/>
      <c r="AJ170" s="176"/>
      <c r="AK170" s="176"/>
      <c r="AL170" s="176"/>
      <c r="AM170" s="176"/>
      <c r="AN170" s="176"/>
      <c r="AO170" s="176"/>
      <c r="AP170" s="176"/>
      <c r="AQ170" s="176"/>
      <c r="AR170" s="176"/>
      <c r="AS170" s="176"/>
      <c r="AT170" s="176"/>
      <c r="AU170" s="176"/>
      <c r="AV170" s="176"/>
      <c r="AW170" s="176"/>
      <c r="AX170" s="176"/>
      <c r="AY170" s="176"/>
      <c r="AZ170" s="176"/>
      <c r="BA170" s="176"/>
      <c r="BB170" s="176"/>
      <c r="BC170" s="176"/>
      <c r="BD170" s="176"/>
      <c r="BE170" s="176"/>
      <c r="BF170" s="176"/>
      <c r="BG170" s="176"/>
      <c r="BH170" s="176"/>
      <c r="BI170" s="176"/>
      <c r="BJ170" s="176"/>
      <c r="BK170" s="176"/>
      <c r="BL170" s="176"/>
      <c r="BM170" s="176"/>
      <c r="BN170" s="176"/>
      <c r="BO170" s="176"/>
    </row>
    <row r="171" spans="1:67" s="36" customFormat="1" ht="10.5" customHeight="1" x14ac:dyDescent="0.2">
      <c r="A171" s="1043" t="s">
        <v>274</v>
      </c>
      <c r="B171" s="2594"/>
      <c r="C171" s="2595"/>
      <c r="D171" s="2596"/>
      <c r="E171" s="2395"/>
      <c r="F171" s="2396"/>
      <c r="G171" s="1058">
        <v>30</v>
      </c>
      <c r="H171" s="1059"/>
      <c r="I171" s="1081">
        <f t="shared" si="36"/>
        <v>4.6199342169092869E-2</v>
      </c>
      <c r="J171" s="1082">
        <f t="shared" si="37"/>
        <v>0</v>
      </c>
      <c r="K171" s="1061"/>
      <c r="L171" s="1305"/>
      <c r="M171" s="1086">
        <f t="shared" si="38"/>
        <v>0</v>
      </c>
      <c r="N171" s="505"/>
      <c r="O171" s="365">
        <f t="shared" si="39"/>
        <v>30</v>
      </c>
      <c r="P171" s="366"/>
      <c r="Q171" s="135"/>
      <c r="R171" s="136"/>
      <c r="S171" s="129"/>
      <c r="T171" s="129"/>
      <c r="U171" s="129"/>
      <c r="V171" s="129"/>
      <c r="W171" s="129"/>
      <c r="X171" s="129"/>
      <c r="Y171" s="129"/>
      <c r="Z171" s="133"/>
      <c r="AA171" s="133"/>
      <c r="AB171" s="133"/>
      <c r="AC171" s="133"/>
      <c r="AD171" s="133"/>
      <c r="AE171" s="133"/>
      <c r="AF171" s="222"/>
      <c r="AG171" s="222"/>
      <c r="AH171" s="222"/>
      <c r="AI171" s="176"/>
      <c r="AJ171" s="176"/>
      <c r="AK171" s="176"/>
      <c r="AL171" s="176"/>
      <c r="AM171" s="176"/>
      <c r="AN171" s="176"/>
      <c r="AO171" s="176"/>
      <c r="AP171" s="176"/>
      <c r="AQ171" s="176"/>
      <c r="AR171" s="176"/>
      <c r="AS171" s="176"/>
      <c r="AT171" s="176"/>
      <c r="AU171" s="176"/>
      <c r="AV171" s="176"/>
      <c r="AW171" s="176"/>
      <c r="AX171" s="176"/>
      <c r="AY171" s="176"/>
      <c r="AZ171" s="176"/>
      <c r="BA171" s="176"/>
      <c r="BB171" s="176"/>
      <c r="BC171" s="176"/>
      <c r="BD171" s="176"/>
      <c r="BE171" s="176"/>
      <c r="BF171" s="176"/>
      <c r="BG171" s="176"/>
      <c r="BH171" s="176"/>
      <c r="BI171" s="176"/>
      <c r="BJ171" s="176"/>
      <c r="BK171" s="176"/>
      <c r="BL171" s="176"/>
      <c r="BM171" s="176"/>
      <c r="BN171" s="176"/>
      <c r="BO171" s="176"/>
    </row>
    <row r="172" spans="1:67" s="36" customFormat="1" ht="10.5" customHeight="1" x14ac:dyDescent="0.2">
      <c r="A172" s="1055"/>
      <c r="B172" s="2594"/>
      <c r="C172" s="2595"/>
      <c r="D172" s="2596"/>
      <c r="E172" s="2395"/>
      <c r="F172" s="2396"/>
      <c r="G172" s="2590"/>
      <c r="H172" s="2591"/>
      <c r="I172" s="1081">
        <f t="shared" si="36"/>
        <v>0</v>
      </c>
      <c r="J172" s="1082">
        <f t="shared" si="37"/>
        <v>0</v>
      </c>
      <c r="K172" s="2588"/>
      <c r="L172" s="2589"/>
      <c r="M172" s="1086">
        <f t="shared" si="38"/>
        <v>0</v>
      </c>
      <c r="N172" s="505"/>
      <c r="O172" s="365">
        <f t="shared" si="39"/>
        <v>0</v>
      </c>
      <c r="P172" s="366"/>
      <c r="Q172" s="135"/>
      <c r="R172" s="136"/>
      <c r="S172" s="129"/>
      <c r="T172" s="129"/>
      <c r="U172" s="129"/>
      <c r="V172" s="129"/>
      <c r="W172" s="129"/>
      <c r="X172" s="129"/>
      <c r="Y172" s="129"/>
      <c r="Z172" s="133"/>
      <c r="AA172" s="133"/>
      <c r="AB172" s="133"/>
      <c r="AC172" s="133"/>
      <c r="AD172" s="133"/>
      <c r="AE172" s="133"/>
      <c r="AF172" s="222"/>
      <c r="AG172" s="222"/>
      <c r="AH172" s="222"/>
      <c r="AI172" s="176"/>
      <c r="AJ172" s="176"/>
      <c r="AK172" s="176"/>
      <c r="AL172" s="176"/>
      <c r="AM172" s="176"/>
      <c r="AN172" s="176"/>
      <c r="AO172" s="176"/>
      <c r="AP172" s="176"/>
      <c r="AQ172" s="176"/>
      <c r="AR172" s="176"/>
      <c r="AS172" s="176"/>
      <c r="AT172" s="176"/>
      <c r="AU172" s="176"/>
      <c r="AV172" s="176"/>
      <c r="AW172" s="176"/>
      <c r="AX172" s="176"/>
      <c r="AY172" s="176"/>
      <c r="AZ172" s="176"/>
      <c r="BA172" s="176"/>
      <c r="BB172" s="176"/>
      <c r="BC172" s="176"/>
      <c r="BD172" s="176"/>
      <c r="BE172" s="176"/>
      <c r="BF172" s="176"/>
      <c r="BG172" s="176"/>
      <c r="BH172" s="176"/>
      <c r="BI172" s="176"/>
      <c r="BJ172" s="176"/>
      <c r="BK172" s="176"/>
      <c r="BL172" s="176"/>
      <c r="BM172" s="176"/>
      <c r="BN172" s="176"/>
      <c r="BO172" s="176"/>
    </row>
    <row r="173" spans="1:67" s="36" customFormat="1" ht="10.5" customHeight="1" x14ac:dyDescent="0.2">
      <c r="A173" s="1055"/>
      <c r="B173" s="2594"/>
      <c r="C173" s="2595"/>
      <c r="D173" s="2596"/>
      <c r="E173" s="2395"/>
      <c r="F173" s="2396"/>
      <c r="G173" s="2590"/>
      <c r="H173" s="2591"/>
      <c r="I173" s="1081">
        <f t="shared" si="36"/>
        <v>0</v>
      </c>
      <c r="J173" s="1082">
        <f t="shared" si="37"/>
        <v>0</v>
      </c>
      <c r="K173" s="2588"/>
      <c r="L173" s="2589"/>
      <c r="M173" s="1086">
        <f t="shared" si="38"/>
        <v>0</v>
      </c>
      <c r="N173" s="505"/>
      <c r="O173" s="365">
        <f t="shared" si="39"/>
        <v>0</v>
      </c>
      <c r="P173" s="366"/>
      <c r="Q173" s="135"/>
      <c r="R173" s="136"/>
      <c r="S173" s="129"/>
      <c r="T173" s="129"/>
      <c r="U173" s="129"/>
      <c r="V173" s="129"/>
      <c r="W173" s="129"/>
      <c r="X173" s="129"/>
      <c r="Y173" s="129"/>
      <c r="Z173" s="133"/>
      <c r="AA173" s="133"/>
      <c r="AB173" s="133"/>
      <c r="AC173" s="133"/>
      <c r="AD173" s="133"/>
      <c r="AE173" s="133"/>
      <c r="AF173" s="222"/>
      <c r="AG173" s="222"/>
      <c r="AH173" s="222"/>
      <c r="AI173" s="176"/>
      <c r="AJ173" s="176"/>
      <c r="AK173" s="176"/>
      <c r="AL173" s="176"/>
      <c r="AM173" s="176"/>
      <c r="AN173" s="176"/>
      <c r="AO173" s="176"/>
      <c r="AP173" s="176"/>
      <c r="AQ173" s="176"/>
      <c r="AR173" s="176"/>
      <c r="AS173" s="176"/>
      <c r="AT173" s="176"/>
      <c r="AU173" s="176"/>
      <c r="AV173" s="176"/>
      <c r="AW173" s="176"/>
      <c r="AX173" s="176"/>
      <c r="AY173" s="176"/>
      <c r="AZ173" s="176"/>
      <c r="BA173" s="176"/>
      <c r="BB173" s="176"/>
      <c r="BC173" s="176"/>
      <c r="BD173" s="176"/>
      <c r="BE173" s="176"/>
      <c r="BF173" s="176"/>
      <c r="BG173" s="176"/>
      <c r="BH173" s="176"/>
      <c r="BI173" s="176"/>
      <c r="BJ173" s="176"/>
      <c r="BK173" s="176"/>
      <c r="BL173" s="176"/>
      <c r="BM173" s="176"/>
      <c r="BN173" s="176"/>
      <c r="BO173" s="176"/>
    </row>
    <row r="174" spans="1:67" s="36" customFormat="1" ht="10.5" customHeight="1" x14ac:dyDescent="0.2">
      <c r="A174" s="1055"/>
      <c r="B174" s="2594"/>
      <c r="C174" s="2595"/>
      <c r="D174" s="2596"/>
      <c r="E174" s="2395"/>
      <c r="F174" s="2396"/>
      <c r="G174" s="2590"/>
      <c r="H174" s="2591"/>
      <c r="I174" s="1081">
        <f t="shared" si="36"/>
        <v>0</v>
      </c>
      <c r="J174" s="1082">
        <f t="shared" si="37"/>
        <v>0</v>
      </c>
      <c r="K174" s="2588"/>
      <c r="L174" s="2589"/>
      <c r="M174" s="1086">
        <f t="shared" si="38"/>
        <v>0</v>
      </c>
      <c r="N174" s="505"/>
      <c r="O174" s="365">
        <f t="shared" si="39"/>
        <v>0</v>
      </c>
      <c r="P174" s="366"/>
      <c r="Q174" s="135"/>
      <c r="R174" s="136"/>
      <c r="S174" s="129"/>
      <c r="T174" s="129"/>
      <c r="U174" s="129"/>
      <c r="V174" s="129"/>
      <c r="W174" s="129"/>
      <c r="X174" s="129"/>
      <c r="Y174" s="129"/>
      <c r="Z174" s="133"/>
      <c r="AA174" s="133"/>
      <c r="AB174" s="133"/>
      <c r="AC174" s="133"/>
      <c r="AD174" s="133"/>
      <c r="AE174" s="133"/>
      <c r="AF174" s="222"/>
      <c r="AG174" s="222"/>
      <c r="AH174" s="222"/>
      <c r="AI174" s="176"/>
      <c r="AJ174" s="176"/>
      <c r="AK174" s="176"/>
      <c r="AL174" s="176"/>
      <c r="AM174" s="176"/>
      <c r="AN174" s="176"/>
      <c r="AO174" s="176"/>
      <c r="AP174" s="176"/>
      <c r="AQ174" s="176"/>
      <c r="AR174" s="176"/>
      <c r="AS174" s="176"/>
      <c r="AT174" s="176"/>
      <c r="AU174" s="176"/>
      <c r="AV174" s="176"/>
      <c r="AW174" s="176"/>
      <c r="AX174" s="176"/>
      <c r="AY174" s="176"/>
      <c r="AZ174" s="176"/>
      <c r="BA174" s="176"/>
      <c r="BB174" s="176"/>
      <c r="BC174" s="176"/>
      <c r="BD174" s="176"/>
      <c r="BE174" s="176"/>
      <c r="BF174" s="176"/>
      <c r="BG174" s="176"/>
      <c r="BH174" s="176"/>
      <c r="BI174" s="176"/>
      <c r="BJ174" s="176"/>
      <c r="BK174" s="176"/>
      <c r="BL174" s="176"/>
      <c r="BM174" s="176"/>
      <c r="BN174" s="176"/>
      <c r="BO174" s="176"/>
    </row>
    <row r="175" spans="1:67" s="36" customFormat="1" ht="10.5" customHeight="1" x14ac:dyDescent="0.2">
      <c r="A175" s="1055"/>
      <c r="B175" s="2594"/>
      <c r="C175" s="2595"/>
      <c r="D175" s="2596"/>
      <c r="E175" s="2395"/>
      <c r="F175" s="2396"/>
      <c r="G175" s="2590"/>
      <c r="H175" s="2591"/>
      <c r="I175" s="1081">
        <f t="shared" si="36"/>
        <v>0</v>
      </c>
      <c r="J175" s="1082">
        <f t="shared" si="37"/>
        <v>0</v>
      </c>
      <c r="K175" s="2588"/>
      <c r="L175" s="2589"/>
      <c r="M175" s="1086">
        <f t="shared" si="38"/>
        <v>0</v>
      </c>
      <c r="N175" s="505"/>
      <c r="O175" s="365">
        <f t="shared" si="39"/>
        <v>0</v>
      </c>
      <c r="P175" s="366"/>
      <c r="Q175" s="135"/>
      <c r="R175" s="136"/>
      <c r="S175" s="129"/>
      <c r="T175" s="129"/>
      <c r="U175" s="129"/>
      <c r="V175" s="129"/>
      <c r="W175" s="129"/>
      <c r="X175" s="129"/>
      <c r="Y175" s="129"/>
      <c r="Z175" s="133"/>
      <c r="AA175" s="133"/>
      <c r="AB175" s="133"/>
      <c r="AC175" s="133"/>
      <c r="AD175" s="133"/>
      <c r="AE175" s="133"/>
      <c r="AF175" s="222"/>
      <c r="AG175" s="222"/>
      <c r="AH175" s="222"/>
      <c r="AI175" s="176"/>
      <c r="AJ175" s="176"/>
      <c r="AK175" s="176"/>
      <c r="AL175" s="176"/>
      <c r="AM175" s="176"/>
      <c r="AN175" s="176"/>
      <c r="AO175" s="176"/>
      <c r="AP175" s="176"/>
      <c r="AQ175" s="176"/>
      <c r="AR175" s="176"/>
      <c r="AS175" s="176"/>
      <c r="AT175" s="176"/>
      <c r="AU175" s="176"/>
      <c r="AV175" s="176"/>
      <c r="AW175" s="176"/>
      <c r="AX175" s="176"/>
      <c r="AY175" s="176"/>
      <c r="AZ175" s="176"/>
      <c r="BA175" s="176"/>
      <c r="BB175" s="176"/>
      <c r="BC175" s="176"/>
      <c r="BD175" s="176"/>
      <c r="BE175" s="176"/>
      <c r="BF175" s="176"/>
      <c r="BG175" s="176"/>
      <c r="BH175" s="176"/>
      <c r="BI175" s="176"/>
      <c r="BJ175" s="176"/>
      <c r="BK175" s="176"/>
      <c r="BL175" s="176"/>
      <c r="BM175" s="176"/>
      <c r="BN175" s="176"/>
      <c r="BO175" s="176"/>
    </row>
    <row r="176" spans="1:67" s="36" customFormat="1" ht="10.5" customHeight="1" x14ac:dyDescent="0.2">
      <c r="A176" s="1348"/>
      <c r="B176" s="2690"/>
      <c r="C176" s="2691"/>
      <c r="D176" s="2692"/>
      <c r="E176" s="2601"/>
      <c r="F176" s="2602"/>
      <c r="G176" s="1088"/>
      <c r="H176" s="1089"/>
      <c r="I176" s="1083">
        <f t="shared" si="36"/>
        <v>0</v>
      </c>
      <c r="J176" s="1084"/>
      <c r="K176" s="1087"/>
      <c r="L176" s="1307"/>
      <c r="M176" s="1317">
        <f t="shared" si="38"/>
        <v>0</v>
      </c>
      <c r="N176" s="505"/>
      <c r="O176" s="365">
        <f t="shared" si="39"/>
        <v>0</v>
      </c>
      <c r="P176" s="366"/>
      <c r="Q176" s="135"/>
      <c r="R176" s="136"/>
      <c r="S176" s="129"/>
      <c r="T176" s="129"/>
      <c r="U176" s="129"/>
      <c r="V176" s="129"/>
      <c r="W176" s="129"/>
      <c r="X176" s="129"/>
      <c r="Y176" s="129"/>
      <c r="Z176" s="133"/>
      <c r="AA176" s="133"/>
      <c r="AB176" s="133"/>
      <c r="AC176" s="133"/>
      <c r="AD176" s="133"/>
      <c r="AE176" s="133"/>
      <c r="AF176" s="222"/>
      <c r="AG176" s="222"/>
      <c r="AH176" s="222"/>
      <c r="AI176" s="176"/>
      <c r="AJ176" s="176"/>
      <c r="AK176" s="176"/>
      <c r="AL176" s="176"/>
      <c r="AM176" s="176"/>
      <c r="AN176" s="176"/>
      <c r="AO176" s="176"/>
      <c r="AP176" s="176"/>
      <c r="AQ176" s="176"/>
      <c r="AR176" s="176"/>
      <c r="AS176" s="176"/>
      <c r="AT176" s="176"/>
      <c r="AU176" s="176"/>
      <c r="AV176" s="176"/>
      <c r="AW176" s="176"/>
      <c r="AX176" s="176"/>
      <c r="AY176" s="176"/>
      <c r="AZ176" s="176"/>
      <c r="BA176" s="176"/>
      <c r="BB176" s="176"/>
      <c r="BC176" s="176"/>
      <c r="BD176" s="176"/>
      <c r="BE176" s="176"/>
      <c r="BF176" s="176"/>
      <c r="BG176" s="176"/>
      <c r="BH176" s="176"/>
      <c r="BI176" s="176"/>
      <c r="BJ176" s="176"/>
      <c r="BK176" s="176"/>
      <c r="BL176" s="176"/>
      <c r="BM176" s="176"/>
      <c r="BN176" s="176"/>
      <c r="BO176" s="176"/>
    </row>
    <row r="177" spans="1:67" s="36" customFormat="1" ht="10.5" customHeight="1" x14ac:dyDescent="0.2">
      <c r="A177" s="1345" t="s">
        <v>316</v>
      </c>
      <c r="B177" s="2603"/>
      <c r="C177" s="2604"/>
      <c r="D177" s="2605"/>
      <c r="E177" s="2730">
        <f>SUM(E178:E190)</f>
        <v>0</v>
      </c>
      <c r="F177" s="2731"/>
      <c r="G177" s="2732"/>
      <c r="H177" s="2733"/>
      <c r="I177" s="1121">
        <f>IF(E177=0,0,J177/E177)</f>
        <v>0</v>
      </c>
      <c r="J177" s="1346">
        <f>SUM(J178:J190)</f>
        <v>0</v>
      </c>
      <c r="K177" s="2734">
        <f>IF(E177=0,0,M177/E177*100)</f>
        <v>0</v>
      </c>
      <c r="L177" s="2736"/>
      <c r="M177" s="1347">
        <f>SUM(M178:M190)</f>
        <v>0</v>
      </c>
      <c r="N177" s="505"/>
      <c r="O177" s="178">
        <f>IF(H177="",G177,H177)</f>
        <v>0</v>
      </c>
      <c r="P177" s="366"/>
      <c r="Q177" s="135"/>
      <c r="R177" s="136"/>
      <c r="S177" s="129"/>
      <c r="T177" s="129"/>
      <c r="U177" s="129"/>
      <c r="V177" s="129"/>
      <c r="W177" s="129"/>
      <c r="X177" s="129"/>
      <c r="Y177" s="129"/>
      <c r="Z177" s="133"/>
      <c r="AA177" s="133"/>
      <c r="AB177" s="133"/>
      <c r="AC177" s="133"/>
      <c r="AD177" s="133"/>
      <c r="AE177" s="133"/>
      <c r="AF177" s="222"/>
      <c r="AG177" s="222"/>
      <c r="AH177" s="222"/>
      <c r="AI177" s="176"/>
      <c r="AJ177" s="176"/>
      <c r="AK177" s="176"/>
      <c r="AL177" s="176"/>
      <c r="AM177" s="176"/>
      <c r="AN177" s="176"/>
      <c r="AO177" s="176"/>
      <c r="AP177" s="176"/>
      <c r="AQ177" s="176"/>
      <c r="AR177" s="176"/>
      <c r="AS177" s="176"/>
      <c r="AT177" s="176"/>
      <c r="AU177" s="176"/>
      <c r="AV177" s="176"/>
      <c r="AW177" s="176"/>
      <c r="AX177" s="176"/>
      <c r="AY177" s="176"/>
      <c r="AZ177" s="176"/>
      <c r="BA177" s="176"/>
      <c r="BB177" s="176"/>
      <c r="BC177" s="176"/>
      <c r="BD177" s="176"/>
      <c r="BE177" s="176"/>
      <c r="BF177" s="176"/>
      <c r="BG177" s="176"/>
      <c r="BH177" s="176"/>
      <c r="BI177" s="176"/>
      <c r="BJ177" s="176"/>
      <c r="BK177" s="176"/>
      <c r="BL177" s="176"/>
      <c r="BM177" s="176"/>
      <c r="BN177" s="176"/>
      <c r="BO177" s="176"/>
    </row>
    <row r="178" spans="1:67" s="36" customFormat="1" ht="10.5" customHeight="1" x14ac:dyDescent="0.2">
      <c r="A178" s="1042" t="s">
        <v>680</v>
      </c>
      <c r="B178" s="2624"/>
      <c r="C178" s="2625"/>
      <c r="D178" s="2626"/>
      <c r="E178" s="2386"/>
      <c r="F178" s="2387"/>
      <c r="G178" s="1056">
        <v>25</v>
      </c>
      <c r="H178" s="1057"/>
      <c r="I178" s="1079">
        <f t="shared" ref="I178:I191" si="40">IF($O178&gt;0,-PMT(($I$9),$O178,1),0)</f>
        <v>5.2735988908240251E-2</v>
      </c>
      <c r="J178" s="1080">
        <f t="shared" ref="J178:J190" si="41">ROUND(E178*I178,0)</f>
        <v>0</v>
      </c>
      <c r="K178" s="1060">
        <v>4</v>
      </c>
      <c r="L178" s="1304"/>
      <c r="M178" s="1085">
        <f t="shared" ref="M178:M191" si="42">ROUND(E178/100*IF(ISBLANK(L178),K178,L178),0)</f>
        <v>0</v>
      </c>
      <c r="N178" s="505"/>
      <c r="O178" s="365">
        <f t="shared" ref="O178:O191" si="43">IF(ISBLANK(H178),G178,H178)</f>
        <v>25</v>
      </c>
      <c r="P178" s="366"/>
      <c r="Q178" s="135"/>
      <c r="R178" s="136"/>
      <c r="S178" s="129"/>
      <c r="T178" s="129"/>
      <c r="U178" s="129"/>
      <c r="V178" s="129"/>
      <c r="W178" s="129"/>
      <c r="X178" s="129"/>
      <c r="Y178" s="129"/>
      <c r="Z178" s="133"/>
      <c r="AA178" s="133"/>
      <c r="AB178" s="133"/>
      <c r="AC178" s="133"/>
      <c r="AD178" s="133"/>
      <c r="AE178" s="133"/>
      <c r="AF178" s="222"/>
      <c r="AG178" s="222"/>
      <c r="AH178" s="222"/>
      <c r="AI178" s="176"/>
      <c r="AJ178" s="176"/>
      <c r="AK178" s="176"/>
      <c r="AL178" s="176"/>
      <c r="AM178" s="176"/>
      <c r="AN178" s="176"/>
      <c r="AO178" s="176"/>
      <c r="AP178" s="176"/>
      <c r="AQ178" s="176"/>
      <c r="AR178" s="176"/>
      <c r="AS178" s="176"/>
      <c r="AT178" s="176"/>
      <c r="AU178" s="176"/>
      <c r="AV178" s="176"/>
      <c r="AW178" s="176"/>
      <c r="AX178" s="176"/>
      <c r="AY178" s="176"/>
      <c r="AZ178" s="176"/>
      <c r="BA178" s="176"/>
      <c r="BB178" s="176"/>
      <c r="BC178" s="176"/>
      <c r="BD178" s="176"/>
      <c r="BE178" s="176"/>
      <c r="BF178" s="176"/>
      <c r="BG178" s="176"/>
      <c r="BH178" s="176"/>
      <c r="BI178" s="176"/>
      <c r="BJ178" s="176"/>
      <c r="BK178" s="176"/>
      <c r="BL178" s="176"/>
      <c r="BM178" s="176"/>
      <c r="BN178" s="176"/>
      <c r="BO178" s="176"/>
    </row>
    <row r="179" spans="1:67" s="36" customFormat="1" ht="10.5" customHeight="1" x14ac:dyDescent="0.2">
      <c r="A179" s="1043" t="s">
        <v>317</v>
      </c>
      <c r="B179" s="2594"/>
      <c r="C179" s="2595"/>
      <c r="D179" s="2596"/>
      <c r="E179" s="2395"/>
      <c r="F179" s="2396"/>
      <c r="G179" s="1058">
        <v>25</v>
      </c>
      <c r="H179" s="1059"/>
      <c r="I179" s="1081">
        <f t="shared" si="40"/>
        <v>5.2735988908240251E-2</v>
      </c>
      <c r="J179" s="1082">
        <f t="shared" si="41"/>
        <v>0</v>
      </c>
      <c r="K179" s="1061">
        <v>2</v>
      </c>
      <c r="L179" s="1305"/>
      <c r="M179" s="1086">
        <f t="shared" si="42"/>
        <v>0</v>
      </c>
      <c r="N179" s="505"/>
      <c r="O179" s="365">
        <f t="shared" si="43"/>
        <v>25</v>
      </c>
      <c r="P179" s="366"/>
      <c r="Q179" s="135"/>
      <c r="R179" s="136"/>
      <c r="S179" s="129"/>
      <c r="T179" s="129"/>
      <c r="U179" s="129"/>
      <c r="V179" s="129"/>
      <c r="W179" s="129"/>
      <c r="X179" s="129"/>
      <c r="Y179" s="129"/>
      <c r="Z179" s="133"/>
      <c r="AA179" s="133"/>
      <c r="AB179" s="133"/>
      <c r="AC179" s="133"/>
      <c r="AD179" s="133"/>
      <c r="AE179" s="133"/>
      <c r="AF179" s="222"/>
      <c r="AG179" s="222"/>
      <c r="AH179" s="222"/>
      <c r="AI179" s="176"/>
      <c r="AJ179" s="176"/>
      <c r="AK179" s="176"/>
      <c r="AL179" s="176"/>
      <c r="AM179" s="176"/>
      <c r="AN179" s="176"/>
      <c r="AO179" s="176"/>
      <c r="AP179" s="176"/>
      <c r="AQ179" s="176"/>
      <c r="AR179" s="176"/>
      <c r="AS179" s="176"/>
      <c r="AT179" s="176"/>
      <c r="AU179" s="176"/>
      <c r="AV179" s="176"/>
      <c r="AW179" s="176"/>
      <c r="AX179" s="176"/>
      <c r="AY179" s="176"/>
      <c r="AZ179" s="176"/>
      <c r="BA179" s="176"/>
      <c r="BB179" s="176"/>
      <c r="BC179" s="176"/>
      <c r="BD179" s="176"/>
      <c r="BE179" s="176"/>
      <c r="BF179" s="176"/>
      <c r="BG179" s="176"/>
      <c r="BH179" s="176"/>
      <c r="BI179" s="176"/>
      <c r="BJ179" s="176"/>
      <c r="BK179" s="176"/>
      <c r="BL179" s="176"/>
      <c r="BM179" s="176"/>
      <c r="BN179" s="176"/>
      <c r="BO179" s="176"/>
    </row>
    <row r="180" spans="1:67" s="36" customFormat="1" ht="10.5" customHeight="1" x14ac:dyDescent="0.2">
      <c r="A180" s="1043" t="s">
        <v>318</v>
      </c>
      <c r="B180" s="2594"/>
      <c r="C180" s="2595"/>
      <c r="D180" s="2596"/>
      <c r="E180" s="2395"/>
      <c r="F180" s="2396"/>
      <c r="G180" s="1058">
        <v>15</v>
      </c>
      <c r="H180" s="1059"/>
      <c r="I180" s="1081">
        <f t="shared" si="40"/>
        <v>7.9288524964265278E-2</v>
      </c>
      <c r="J180" s="1082">
        <f t="shared" si="41"/>
        <v>0</v>
      </c>
      <c r="K180" s="1061">
        <v>1</v>
      </c>
      <c r="L180" s="1305"/>
      <c r="M180" s="1086">
        <f t="shared" si="42"/>
        <v>0</v>
      </c>
      <c r="N180" s="505"/>
      <c r="O180" s="365">
        <f t="shared" si="43"/>
        <v>15</v>
      </c>
      <c r="P180" s="366"/>
      <c r="Q180" s="135"/>
      <c r="R180" s="136"/>
      <c r="S180" s="129"/>
      <c r="T180" s="129"/>
      <c r="U180" s="129"/>
      <c r="V180" s="129"/>
      <c r="W180" s="129"/>
      <c r="X180" s="129"/>
      <c r="Y180" s="129"/>
      <c r="Z180" s="133"/>
      <c r="AA180" s="133"/>
      <c r="AB180" s="133"/>
      <c r="AC180" s="133"/>
      <c r="AD180" s="133"/>
      <c r="AE180" s="133"/>
      <c r="AF180" s="222"/>
      <c r="AG180" s="222"/>
      <c r="AH180" s="222"/>
      <c r="AI180" s="176"/>
      <c r="AJ180" s="176"/>
      <c r="AK180" s="176"/>
      <c r="AL180" s="176"/>
      <c r="AM180" s="176"/>
      <c r="AN180" s="176"/>
      <c r="AO180" s="176"/>
      <c r="AP180" s="176"/>
      <c r="AQ180" s="176"/>
      <c r="AR180" s="176"/>
      <c r="AS180" s="176"/>
      <c r="AT180" s="176"/>
      <c r="AU180" s="176"/>
      <c r="AV180" s="176"/>
      <c r="AW180" s="176"/>
      <c r="AX180" s="176"/>
      <c r="AY180" s="176"/>
      <c r="AZ180" s="176"/>
      <c r="BA180" s="176"/>
      <c r="BB180" s="176"/>
      <c r="BC180" s="176"/>
      <c r="BD180" s="176"/>
      <c r="BE180" s="176"/>
      <c r="BF180" s="176"/>
      <c r="BG180" s="176"/>
      <c r="BH180" s="176"/>
      <c r="BI180" s="176"/>
      <c r="BJ180" s="176"/>
      <c r="BK180" s="176"/>
      <c r="BL180" s="176"/>
      <c r="BM180" s="176"/>
      <c r="BN180" s="176"/>
      <c r="BO180" s="176"/>
    </row>
    <row r="181" spans="1:67" s="36" customFormat="1" ht="10.5" customHeight="1" x14ac:dyDescent="0.2">
      <c r="A181" s="1043" t="s">
        <v>319</v>
      </c>
      <c r="B181" s="2594"/>
      <c r="C181" s="2595"/>
      <c r="D181" s="2596"/>
      <c r="E181" s="2395"/>
      <c r="F181" s="2396"/>
      <c r="G181" s="1058">
        <v>40</v>
      </c>
      <c r="H181" s="1059"/>
      <c r="I181" s="1081">
        <f t="shared" si="40"/>
        <v>3.8177378061076156E-2</v>
      </c>
      <c r="J181" s="1082">
        <f t="shared" si="41"/>
        <v>0</v>
      </c>
      <c r="K181" s="1061">
        <v>1</v>
      </c>
      <c r="L181" s="1305"/>
      <c r="M181" s="1086">
        <f t="shared" si="42"/>
        <v>0</v>
      </c>
      <c r="N181" s="505"/>
      <c r="O181" s="365">
        <f t="shared" si="43"/>
        <v>40</v>
      </c>
      <c r="P181" s="366"/>
      <c r="Q181" s="135"/>
      <c r="R181" s="136"/>
      <c r="S181" s="129"/>
      <c r="T181" s="129"/>
      <c r="U181" s="129"/>
      <c r="V181" s="129"/>
      <c r="W181" s="129"/>
      <c r="X181" s="129"/>
      <c r="Y181" s="129"/>
      <c r="Z181" s="133"/>
      <c r="AA181" s="133"/>
      <c r="AB181" s="133"/>
      <c r="AC181" s="133"/>
      <c r="AD181" s="133"/>
      <c r="AE181" s="133"/>
      <c r="AF181" s="222"/>
      <c r="AG181" s="222"/>
      <c r="AH181" s="222"/>
      <c r="AI181" s="176"/>
      <c r="AJ181" s="176"/>
      <c r="AK181" s="176"/>
      <c r="AL181" s="176"/>
      <c r="AM181" s="176"/>
      <c r="AN181" s="176"/>
      <c r="AO181" s="176"/>
      <c r="AP181" s="176"/>
      <c r="AQ181" s="176"/>
      <c r="AR181" s="176"/>
      <c r="AS181" s="176"/>
      <c r="AT181" s="176"/>
      <c r="AU181" s="176"/>
      <c r="AV181" s="176"/>
      <c r="AW181" s="176"/>
      <c r="AX181" s="176"/>
      <c r="AY181" s="176"/>
      <c r="AZ181" s="176"/>
      <c r="BA181" s="176"/>
      <c r="BB181" s="176"/>
      <c r="BC181" s="176"/>
      <c r="BD181" s="176"/>
      <c r="BE181" s="176"/>
      <c r="BF181" s="176"/>
      <c r="BG181" s="176"/>
      <c r="BH181" s="176"/>
      <c r="BI181" s="176"/>
      <c r="BJ181" s="176"/>
      <c r="BK181" s="176"/>
      <c r="BL181" s="176"/>
      <c r="BM181" s="176"/>
      <c r="BN181" s="176"/>
      <c r="BO181" s="176"/>
    </row>
    <row r="182" spans="1:67" s="36" customFormat="1" ht="10.5" customHeight="1" x14ac:dyDescent="0.2">
      <c r="A182" s="1043" t="s">
        <v>274</v>
      </c>
      <c r="B182" s="2594"/>
      <c r="C182" s="2595"/>
      <c r="D182" s="2596"/>
      <c r="E182" s="2395"/>
      <c r="F182" s="2396"/>
      <c r="G182" s="1058">
        <v>30</v>
      </c>
      <c r="H182" s="1059"/>
      <c r="I182" s="1081">
        <f t="shared" si="40"/>
        <v>4.6199342169092869E-2</v>
      </c>
      <c r="J182" s="1082">
        <f t="shared" si="41"/>
        <v>0</v>
      </c>
      <c r="K182" s="1061"/>
      <c r="L182" s="1305"/>
      <c r="M182" s="1086">
        <f t="shared" si="42"/>
        <v>0</v>
      </c>
      <c r="N182" s="505"/>
      <c r="O182" s="365">
        <f t="shared" si="43"/>
        <v>30</v>
      </c>
      <c r="P182" s="366"/>
      <c r="Q182" s="135"/>
      <c r="R182" s="136"/>
      <c r="S182" s="129"/>
      <c r="T182" s="129"/>
      <c r="U182" s="129"/>
      <c r="V182" s="129"/>
      <c r="W182" s="129"/>
      <c r="X182" s="129"/>
      <c r="Y182" s="129"/>
      <c r="Z182" s="133"/>
      <c r="AA182" s="133"/>
      <c r="AB182" s="133"/>
      <c r="AC182" s="133"/>
      <c r="AD182" s="133"/>
      <c r="AE182" s="133"/>
      <c r="AF182" s="222"/>
      <c r="AG182" s="222"/>
      <c r="AH182" s="222"/>
      <c r="AI182" s="176"/>
      <c r="AJ182" s="176"/>
      <c r="AK182" s="176"/>
      <c r="AL182" s="176"/>
      <c r="AM182" s="176"/>
      <c r="AN182" s="176"/>
      <c r="AO182" s="176"/>
      <c r="AP182" s="176"/>
      <c r="AQ182" s="176"/>
      <c r="AR182" s="176"/>
      <c r="AS182" s="176"/>
      <c r="AT182" s="176"/>
      <c r="AU182" s="176"/>
      <c r="AV182" s="176"/>
      <c r="AW182" s="176"/>
      <c r="AX182" s="176"/>
      <c r="AY182" s="176"/>
      <c r="AZ182" s="176"/>
      <c r="BA182" s="176"/>
      <c r="BB182" s="176"/>
      <c r="BC182" s="176"/>
      <c r="BD182" s="176"/>
      <c r="BE182" s="176"/>
      <c r="BF182" s="176"/>
      <c r="BG182" s="176"/>
      <c r="BH182" s="176"/>
      <c r="BI182" s="176"/>
      <c r="BJ182" s="176"/>
      <c r="BK182" s="176"/>
      <c r="BL182" s="176"/>
      <c r="BM182" s="176"/>
      <c r="BN182" s="176"/>
      <c r="BO182" s="176"/>
    </row>
    <row r="183" spans="1:67" s="36" customFormat="1" ht="10.5" customHeight="1" x14ac:dyDescent="0.2">
      <c r="A183" s="1055"/>
      <c r="B183" s="2594"/>
      <c r="C183" s="2595"/>
      <c r="D183" s="2596"/>
      <c r="E183" s="2395"/>
      <c r="F183" s="2396"/>
      <c r="G183" s="2590"/>
      <c r="H183" s="2591"/>
      <c r="I183" s="1081">
        <f t="shared" si="40"/>
        <v>0</v>
      </c>
      <c r="J183" s="1082">
        <f t="shared" si="41"/>
        <v>0</v>
      </c>
      <c r="K183" s="2588"/>
      <c r="L183" s="2589"/>
      <c r="M183" s="1086">
        <f t="shared" si="42"/>
        <v>0</v>
      </c>
      <c r="N183" s="505"/>
      <c r="O183" s="365">
        <f t="shared" si="43"/>
        <v>0</v>
      </c>
      <c r="P183" s="366"/>
      <c r="Q183" s="135"/>
      <c r="R183" s="136"/>
      <c r="S183" s="129"/>
      <c r="T183" s="129"/>
      <c r="U183" s="129"/>
      <c r="V183" s="129"/>
      <c r="W183" s="129"/>
      <c r="X183" s="129"/>
      <c r="Y183" s="129"/>
      <c r="Z183" s="133"/>
      <c r="AA183" s="133"/>
      <c r="AB183" s="133"/>
      <c r="AC183" s="133"/>
      <c r="AD183" s="133"/>
      <c r="AE183" s="133"/>
      <c r="AF183" s="222"/>
      <c r="AG183" s="222"/>
      <c r="AH183" s="222"/>
      <c r="AI183" s="176"/>
      <c r="AJ183" s="176"/>
      <c r="AK183" s="176"/>
      <c r="AL183" s="176"/>
      <c r="AM183" s="176"/>
      <c r="AN183" s="176"/>
      <c r="AO183" s="176"/>
      <c r="AP183" s="176"/>
      <c r="AQ183" s="176"/>
      <c r="AR183" s="176"/>
      <c r="AS183" s="176"/>
      <c r="AT183" s="176"/>
      <c r="AU183" s="176"/>
      <c r="AV183" s="176"/>
      <c r="AW183" s="176"/>
      <c r="AX183" s="176"/>
      <c r="AY183" s="176"/>
      <c r="AZ183" s="176"/>
      <c r="BA183" s="176"/>
      <c r="BB183" s="176"/>
      <c r="BC183" s="176"/>
      <c r="BD183" s="176"/>
      <c r="BE183" s="176"/>
      <c r="BF183" s="176"/>
      <c r="BG183" s="176"/>
      <c r="BH183" s="176"/>
      <c r="BI183" s="176"/>
      <c r="BJ183" s="176"/>
      <c r="BK183" s="176"/>
      <c r="BL183" s="176"/>
      <c r="BM183" s="176"/>
      <c r="BN183" s="176"/>
      <c r="BO183" s="176"/>
    </row>
    <row r="184" spans="1:67" s="36" customFormat="1" ht="10.5" customHeight="1" x14ac:dyDescent="0.2">
      <c r="A184" s="1055"/>
      <c r="B184" s="2594"/>
      <c r="C184" s="2595"/>
      <c r="D184" s="2596"/>
      <c r="E184" s="2395"/>
      <c r="F184" s="2396"/>
      <c r="G184" s="2590"/>
      <c r="H184" s="2591"/>
      <c r="I184" s="1081">
        <f t="shared" si="40"/>
        <v>0</v>
      </c>
      <c r="J184" s="1082">
        <f t="shared" si="41"/>
        <v>0</v>
      </c>
      <c r="K184" s="2588"/>
      <c r="L184" s="2589"/>
      <c r="M184" s="1086">
        <f t="shared" si="42"/>
        <v>0</v>
      </c>
      <c r="N184" s="505"/>
      <c r="O184" s="365">
        <f t="shared" si="43"/>
        <v>0</v>
      </c>
      <c r="P184" s="366"/>
      <c r="Q184" s="135"/>
      <c r="R184" s="136"/>
      <c r="S184" s="129"/>
      <c r="T184" s="129"/>
      <c r="U184" s="129"/>
      <c r="V184" s="129"/>
      <c r="W184" s="129"/>
      <c r="X184" s="129"/>
      <c r="Y184" s="129"/>
      <c r="Z184" s="133"/>
      <c r="AA184" s="133"/>
      <c r="AB184" s="133"/>
      <c r="AC184" s="133"/>
      <c r="AD184" s="133"/>
      <c r="AE184" s="133"/>
      <c r="AF184" s="222"/>
      <c r="AG184" s="222"/>
      <c r="AH184" s="222"/>
      <c r="AI184" s="176"/>
      <c r="AJ184" s="176"/>
      <c r="AK184" s="176"/>
      <c r="AL184" s="176"/>
      <c r="AM184" s="176"/>
      <c r="AN184" s="176"/>
      <c r="AO184" s="176"/>
      <c r="AP184" s="176"/>
      <c r="AQ184" s="176"/>
      <c r="AR184" s="176"/>
      <c r="AS184" s="176"/>
      <c r="AT184" s="176"/>
      <c r="AU184" s="176"/>
      <c r="AV184" s="176"/>
      <c r="AW184" s="176"/>
      <c r="AX184" s="176"/>
      <c r="AY184" s="176"/>
      <c r="AZ184" s="176"/>
      <c r="BA184" s="176"/>
      <c r="BB184" s="176"/>
      <c r="BC184" s="176"/>
      <c r="BD184" s="176"/>
      <c r="BE184" s="176"/>
      <c r="BF184" s="176"/>
      <c r="BG184" s="176"/>
      <c r="BH184" s="176"/>
      <c r="BI184" s="176"/>
      <c r="BJ184" s="176"/>
      <c r="BK184" s="176"/>
      <c r="BL184" s="176"/>
      <c r="BM184" s="176"/>
      <c r="BN184" s="176"/>
      <c r="BO184" s="176"/>
    </row>
    <row r="185" spans="1:67" s="36" customFormat="1" ht="10.5" customHeight="1" x14ac:dyDescent="0.2">
      <c r="A185" s="1055"/>
      <c r="B185" s="2594"/>
      <c r="C185" s="2595"/>
      <c r="D185" s="2596"/>
      <c r="E185" s="2395"/>
      <c r="F185" s="2396"/>
      <c r="G185" s="2590"/>
      <c r="H185" s="2591"/>
      <c r="I185" s="1081">
        <f t="shared" si="40"/>
        <v>0</v>
      </c>
      <c r="J185" s="1082">
        <f t="shared" si="41"/>
        <v>0</v>
      </c>
      <c r="K185" s="2588"/>
      <c r="L185" s="2589"/>
      <c r="M185" s="1086">
        <f t="shared" si="42"/>
        <v>0</v>
      </c>
      <c r="N185" s="505"/>
      <c r="O185" s="365">
        <f t="shared" si="43"/>
        <v>0</v>
      </c>
      <c r="P185" s="366"/>
      <c r="Q185" s="135"/>
      <c r="R185" s="136"/>
      <c r="S185" s="129"/>
      <c r="T185" s="129"/>
      <c r="U185" s="129"/>
      <c r="V185" s="129"/>
      <c r="W185" s="129"/>
      <c r="X185" s="129"/>
      <c r="Y185" s="129"/>
      <c r="Z185" s="133"/>
      <c r="AA185" s="133"/>
      <c r="AB185" s="133"/>
      <c r="AC185" s="133"/>
      <c r="AD185" s="133"/>
      <c r="AE185" s="133"/>
      <c r="AF185" s="222"/>
      <c r="AG185" s="222"/>
      <c r="AH185" s="222"/>
      <c r="AI185" s="176"/>
      <c r="AJ185" s="176"/>
      <c r="AK185" s="176"/>
      <c r="AL185" s="176"/>
      <c r="AM185" s="176"/>
      <c r="AN185" s="176"/>
      <c r="AO185" s="176"/>
      <c r="AP185" s="176"/>
      <c r="AQ185" s="176"/>
      <c r="AR185" s="176"/>
      <c r="AS185" s="176"/>
      <c r="AT185" s="176"/>
      <c r="AU185" s="176"/>
      <c r="AV185" s="176"/>
      <c r="AW185" s="176"/>
      <c r="AX185" s="176"/>
      <c r="AY185" s="176"/>
      <c r="AZ185" s="176"/>
      <c r="BA185" s="176"/>
      <c r="BB185" s="176"/>
      <c r="BC185" s="176"/>
      <c r="BD185" s="176"/>
      <c r="BE185" s="176"/>
      <c r="BF185" s="176"/>
      <c r="BG185" s="176"/>
      <c r="BH185" s="176"/>
      <c r="BI185" s="176"/>
      <c r="BJ185" s="176"/>
      <c r="BK185" s="176"/>
      <c r="BL185" s="176"/>
      <c r="BM185" s="176"/>
      <c r="BN185" s="176"/>
      <c r="BO185" s="176"/>
    </row>
    <row r="186" spans="1:67" s="36" customFormat="1" ht="10.5" customHeight="1" x14ac:dyDescent="0.2">
      <c r="A186" s="1055"/>
      <c r="B186" s="2594"/>
      <c r="C186" s="2595"/>
      <c r="D186" s="2596"/>
      <c r="E186" s="2395"/>
      <c r="F186" s="2396"/>
      <c r="G186" s="2590"/>
      <c r="H186" s="2591"/>
      <c r="I186" s="1081">
        <f t="shared" si="40"/>
        <v>0</v>
      </c>
      <c r="J186" s="1082">
        <f t="shared" si="41"/>
        <v>0</v>
      </c>
      <c r="K186" s="2588"/>
      <c r="L186" s="2589"/>
      <c r="M186" s="1086">
        <f t="shared" si="42"/>
        <v>0</v>
      </c>
      <c r="N186" s="505"/>
      <c r="O186" s="365">
        <f t="shared" si="43"/>
        <v>0</v>
      </c>
      <c r="P186" s="366"/>
      <c r="Q186" s="135"/>
      <c r="R186" s="136"/>
      <c r="S186" s="129"/>
      <c r="T186" s="129"/>
      <c r="U186" s="129"/>
      <c r="V186" s="129"/>
      <c r="W186" s="129"/>
      <c r="X186" s="129"/>
      <c r="Y186" s="129"/>
      <c r="Z186" s="133"/>
      <c r="AA186" s="133"/>
      <c r="AB186" s="133"/>
      <c r="AC186" s="133"/>
      <c r="AD186" s="133"/>
      <c r="AE186" s="133"/>
      <c r="AF186" s="222"/>
      <c r="AG186" s="222"/>
      <c r="AH186" s="222"/>
      <c r="AI186" s="176"/>
      <c r="AJ186" s="176"/>
      <c r="AK186" s="176"/>
      <c r="AL186" s="176"/>
      <c r="AM186" s="176"/>
      <c r="AN186" s="176"/>
      <c r="AO186" s="176"/>
      <c r="AP186" s="176"/>
      <c r="AQ186" s="176"/>
      <c r="AR186" s="176"/>
      <c r="AS186" s="176"/>
      <c r="AT186" s="176"/>
      <c r="AU186" s="176"/>
      <c r="AV186" s="176"/>
      <c r="AW186" s="176"/>
      <c r="AX186" s="176"/>
      <c r="AY186" s="176"/>
      <c r="AZ186" s="176"/>
      <c r="BA186" s="176"/>
      <c r="BB186" s="176"/>
      <c r="BC186" s="176"/>
      <c r="BD186" s="176"/>
      <c r="BE186" s="176"/>
      <c r="BF186" s="176"/>
      <c r="BG186" s="176"/>
      <c r="BH186" s="176"/>
      <c r="BI186" s="176"/>
      <c r="BJ186" s="176"/>
      <c r="BK186" s="176"/>
      <c r="BL186" s="176"/>
      <c r="BM186" s="176"/>
      <c r="BN186" s="176"/>
      <c r="BO186" s="176"/>
    </row>
    <row r="187" spans="1:67" s="36" customFormat="1" ht="10.5" customHeight="1" x14ac:dyDescent="0.2">
      <c r="A187" s="1055"/>
      <c r="B187" s="2594"/>
      <c r="C187" s="2595"/>
      <c r="D187" s="2596"/>
      <c r="E187" s="2395"/>
      <c r="F187" s="2396"/>
      <c r="G187" s="2590"/>
      <c r="H187" s="2591"/>
      <c r="I187" s="1081">
        <f t="shared" si="40"/>
        <v>0</v>
      </c>
      <c r="J187" s="1082">
        <f t="shared" si="41"/>
        <v>0</v>
      </c>
      <c r="K187" s="2588"/>
      <c r="L187" s="2589"/>
      <c r="M187" s="1086">
        <f t="shared" si="42"/>
        <v>0</v>
      </c>
      <c r="N187" s="505"/>
      <c r="O187" s="365">
        <f t="shared" si="43"/>
        <v>0</v>
      </c>
      <c r="P187" s="366"/>
      <c r="Q187" s="135"/>
      <c r="R187" s="136"/>
      <c r="S187" s="129"/>
      <c r="T187" s="129"/>
      <c r="U187" s="129"/>
      <c r="V187" s="129"/>
      <c r="W187" s="129"/>
      <c r="X187" s="129"/>
      <c r="Y187" s="129"/>
      <c r="Z187" s="133"/>
      <c r="AA187" s="133"/>
      <c r="AB187" s="133"/>
      <c r="AC187" s="133"/>
      <c r="AD187" s="133"/>
      <c r="AE187" s="133"/>
      <c r="AF187" s="222"/>
      <c r="AG187" s="222"/>
      <c r="AH187" s="222"/>
      <c r="AI187" s="176"/>
      <c r="AJ187" s="176"/>
      <c r="AK187" s="176"/>
      <c r="AL187" s="176"/>
      <c r="AM187" s="176"/>
      <c r="AN187" s="176"/>
      <c r="AO187" s="176"/>
      <c r="AP187" s="176"/>
      <c r="AQ187" s="176"/>
      <c r="AR187" s="176"/>
      <c r="AS187" s="176"/>
      <c r="AT187" s="176"/>
      <c r="AU187" s="176"/>
      <c r="AV187" s="176"/>
      <c r="AW187" s="176"/>
      <c r="AX187" s="176"/>
      <c r="AY187" s="176"/>
      <c r="AZ187" s="176"/>
      <c r="BA187" s="176"/>
      <c r="BB187" s="176"/>
      <c r="BC187" s="176"/>
      <c r="BD187" s="176"/>
      <c r="BE187" s="176"/>
      <c r="BF187" s="176"/>
      <c r="BG187" s="176"/>
      <c r="BH187" s="176"/>
      <c r="BI187" s="176"/>
      <c r="BJ187" s="176"/>
      <c r="BK187" s="176"/>
      <c r="BL187" s="176"/>
      <c r="BM187" s="176"/>
      <c r="BN187" s="176"/>
      <c r="BO187" s="176"/>
    </row>
    <row r="188" spans="1:67" s="36" customFormat="1" ht="10.5" customHeight="1" x14ac:dyDescent="0.2">
      <c r="A188" s="1055"/>
      <c r="B188" s="2594"/>
      <c r="C188" s="2595"/>
      <c r="D188" s="2596"/>
      <c r="E188" s="2395"/>
      <c r="F188" s="2396"/>
      <c r="G188" s="2590"/>
      <c r="H188" s="2591"/>
      <c r="I188" s="1081">
        <f t="shared" si="40"/>
        <v>0</v>
      </c>
      <c r="J188" s="1082">
        <f t="shared" si="41"/>
        <v>0</v>
      </c>
      <c r="K188" s="2588"/>
      <c r="L188" s="2589"/>
      <c r="M188" s="1086">
        <f t="shared" si="42"/>
        <v>0</v>
      </c>
      <c r="N188" s="505"/>
      <c r="O188" s="365">
        <f t="shared" si="43"/>
        <v>0</v>
      </c>
      <c r="P188" s="366"/>
      <c r="Q188" s="135"/>
      <c r="R188" s="136"/>
      <c r="S188" s="129"/>
      <c r="T188" s="129"/>
      <c r="U188" s="129"/>
      <c r="V188" s="129"/>
      <c r="W188" s="129"/>
      <c r="X188" s="129"/>
      <c r="Y188" s="129"/>
      <c r="Z188" s="133"/>
      <c r="AA188" s="133"/>
      <c r="AB188" s="133"/>
      <c r="AC188" s="133"/>
      <c r="AD188" s="133"/>
      <c r="AE188" s="133"/>
      <c r="AF188" s="222"/>
      <c r="AG188" s="222"/>
      <c r="AH188" s="222"/>
      <c r="AI188" s="176"/>
      <c r="AJ188" s="176"/>
      <c r="AK188" s="176"/>
      <c r="AL188" s="176"/>
      <c r="AM188" s="176"/>
      <c r="AN188" s="176"/>
      <c r="AO188" s="176"/>
      <c r="AP188" s="176"/>
      <c r="AQ188" s="176"/>
      <c r="AR188" s="176"/>
      <c r="AS188" s="176"/>
      <c r="AT188" s="176"/>
      <c r="AU188" s="176"/>
      <c r="AV188" s="176"/>
      <c r="AW188" s="176"/>
      <c r="AX188" s="176"/>
      <c r="AY188" s="176"/>
      <c r="AZ188" s="176"/>
      <c r="BA188" s="176"/>
      <c r="BB188" s="176"/>
      <c r="BC188" s="176"/>
      <c r="BD188" s="176"/>
      <c r="BE188" s="176"/>
      <c r="BF188" s="176"/>
      <c r="BG188" s="176"/>
      <c r="BH188" s="176"/>
      <c r="BI188" s="176"/>
      <c r="BJ188" s="176"/>
      <c r="BK188" s="176"/>
      <c r="BL188" s="176"/>
      <c r="BM188" s="176"/>
      <c r="BN188" s="176"/>
      <c r="BO188" s="176"/>
    </row>
    <row r="189" spans="1:67" s="36" customFormat="1" ht="10.5" customHeight="1" x14ac:dyDescent="0.2">
      <c r="A189" s="1055"/>
      <c r="B189" s="2594"/>
      <c r="C189" s="2595"/>
      <c r="D189" s="2596"/>
      <c r="E189" s="2395"/>
      <c r="F189" s="2396"/>
      <c r="G189" s="2590"/>
      <c r="H189" s="2591"/>
      <c r="I189" s="1081">
        <f t="shared" si="40"/>
        <v>0</v>
      </c>
      <c r="J189" s="1082">
        <f t="shared" si="41"/>
        <v>0</v>
      </c>
      <c r="K189" s="2588"/>
      <c r="L189" s="2589"/>
      <c r="M189" s="1086">
        <f t="shared" si="42"/>
        <v>0</v>
      </c>
      <c r="N189" s="505"/>
      <c r="O189" s="365">
        <f t="shared" si="43"/>
        <v>0</v>
      </c>
      <c r="P189" s="366"/>
      <c r="Q189" s="135"/>
      <c r="R189" s="136"/>
      <c r="S189" s="129"/>
      <c r="T189" s="129"/>
      <c r="U189" s="129"/>
      <c r="V189" s="129"/>
      <c r="W189" s="129"/>
      <c r="X189" s="129"/>
      <c r="Y189" s="129"/>
      <c r="Z189" s="133"/>
      <c r="AA189" s="133"/>
      <c r="AB189" s="133"/>
      <c r="AC189" s="133"/>
      <c r="AD189" s="133"/>
      <c r="AE189" s="133"/>
      <c r="AF189" s="222"/>
      <c r="AG189" s="222"/>
      <c r="AH189" s="222"/>
      <c r="AI189" s="176"/>
      <c r="AJ189" s="176"/>
      <c r="AK189" s="176"/>
      <c r="AL189" s="176"/>
      <c r="AM189" s="176"/>
      <c r="AN189" s="176"/>
      <c r="AO189" s="176"/>
      <c r="AP189" s="176"/>
      <c r="AQ189" s="176"/>
      <c r="AR189" s="176"/>
      <c r="AS189" s="176"/>
      <c r="AT189" s="176"/>
      <c r="AU189" s="176"/>
      <c r="AV189" s="176"/>
      <c r="AW189" s="176"/>
      <c r="AX189" s="176"/>
      <c r="AY189" s="176"/>
      <c r="AZ189" s="176"/>
      <c r="BA189" s="176"/>
      <c r="BB189" s="176"/>
      <c r="BC189" s="176"/>
      <c r="BD189" s="176"/>
      <c r="BE189" s="176"/>
      <c r="BF189" s="176"/>
      <c r="BG189" s="176"/>
      <c r="BH189" s="176"/>
      <c r="BI189" s="176"/>
      <c r="BJ189" s="176"/>
      <c r="BK189" s="176"/>
      <c r="BL189" s="176"/>
      <c r="BM189" s="176"/>
      <c r="BN189" s="176"/>
      <c r="BO189" s="176"/>
    </row>
    <row r="190" spans="1:67" s="36" customFormat="1" ht="10.5" customHeight="1" x14ac:dyDescent="0.2">
      <c r="A190" s="1055"/>
      <c r="B190" s="2594"/>
      <c r="C190" s="2595"/>
      <c r="D190" s="2596"/>
      <c r="E190" s="2395"/>
      <c r="F190" s="2396"/>
      <c r="G190" s="2590"/>
      <c r="H190" s="2591"/>
      <c r="I190" s="1081">
        <f t="shared" si="40"/>
        <v>0</v>
      </c>
      <c r="J190" s="1082">
        <f t="shared" si="41"/>
        <v>0</v>
      </c>
      <c r="K190" s="2588"/>
      <c r="L190" s="2589"/>
      <c r="M190" s="1086">
        <f t="shared" si="42"/>
        <v>0</v>
      </c>
      <c r="N190" s="505"/>
      <c r="O190" s="365">
        <f t="shared" si="43"/>
        <v>0</v>
      </c>
      <c r="P190" s="366"/>
      <c r="Q190" s="135"/>
      <c r="R190" s="136"/>
      <c r="S190" s="129"/>
      <c r="T190" s="129"/>
      <c r="U190" s="129"/>
      <c r="V190" s="129"/>
      <c r="W190" s="129"/>
      <c r="X190" s="129"/>
      <c r="Y190" s="129"/>
      <c r="Z190" s="133"/>
      <c r="AA190" s="133"/>
      <c r="AB190" s="133"/>
      <c r="AC190" s="133"/>
      <c r="AD190" s="133"/>
      <c r="AE190" s="133"/>
      <c r="AF190" s="222"/>
      <c r="AG190" s="222"/>
      <c r="AH190" s="222"/>
      <c r="AI190" s="176"/>
      <c r="AJ190" s="176"/>
      <c r="AK190" s="176"/>
      <c r="AL190" s="176"/>
      <c r="AM190" s="176"/>
      <c r="AN190" s="176"/>
      <c r="AO190" s="176"/>
      <c r="AP190" s="176"/>
      <c r="AQ190" s="176"/>
      <c r="AR190" s="176"/>
      <c r="AS190" s="176"/>
      <c r="AT190" s="176"/>
      <c r="AU190" s="176"/>
      <c r="AV190" s="176"/>
      <c r="AW190" s="176"/>
      <c r="AX190" s="176"/>
      <c r="AY190" s="176"/>
      <c r="AZ190" s="176"/>
      <c r="BA190" s="176"/>
      <c r="BB190" s="176"/>
      <c r="BC190" s="176"/>
      <c r="BD190" s="176"/>
      <c r="BE190" s="176"/>
      <c r="BF190" s="176"/>
      <c r="BG190" s="176"/>
      <c r="BH190" s="176"/>
      <c r="BI190" s="176"/>
      <c r="BJ190" s="176"/>
      <c r="BK190" s="176"/>
      <c r="BL190" s="176"/>
      <c r="BM190" s="176"/>
      <c r="BN190" s="176"/>
      <c r="BO190" s="176"/>
    </row>
    <row r="191" spans="1:67" s="36" customFormat="1" ht="10.5" customHeight="1" x14ac:dyDescent="0.2">
      <c r="A191" s="1348"/>
      <c r="B191" s="2690"/>
      <c r="C191" s="2691"/>
      <c r="D191" s="2692"/>
      <c r="E191" s="2601"/>
      <c r="F191" s="2602"/>
      <c r="G191" s="1088"/>
      <c r="H191" s="1089"/>
      <c r="I191" s="1083">
        <f t="shared" si="40"/>
        <v>0</v>
      </c>
      <c r="J191" s="1084"/>
      <c r="K191" s="1087"/>
      <c r="L191" s="1307"/>
      <c r="M191" s="1317">
        <f t="shared" si="42"/>
        <v>0</v>
      </c>
      <c r="N191" s="505"/>
      <c r="O191" s="365">
        <f t="shared" si="43"/>
        <v>0</v>
      </c>
      <c r="P191" s="366"/>
      <c r="Q191" s="135"/>
      <c r="R191" s="136"/>
      <c r="S191" s="129"/>
      <c r="T191" s="129"/>
      <c r="U191" s="129"/>
      <c r="V191" s="129"/>
      <c r="W191" s="129"/>
      <c r="X191" s="129"/>
      <c r="Y191" s="129"/>
      <c r="Z191" s="133"/>
      <c r="AA191" s="133"/>
      <c r="AB191" s="133"/>
      <c r="AC191" s="133"/>
      <c r="AD191" s="133"/>
      <c r="AE191" s="133"/>
      <c r="AF191" s="222"/>
      <c r="AG191" s="222"/>
      <c r="AH191" s="222"/>
      <c r="AI191" s="176"/>
      <c r="AJ191" s="176"/>
      <c r="AK191" s="176"/>
      <c r="AL191" s="176"/>
      <c r="AM191" s="176"/>
      <c r="AN191" s="176"/>
      <c r="AO191" s="176"/>
      <c r="AP191" s="176"/>
      <c r="AQ191" s="176"/>
      <c r="AR191" s="176"/>
      <c r="AS191" s="176"/>
      <c r="AT191" s="176"/>
      <c r="AU191" s="176"/>
      <c r="AV191" s="176"/>
      <c r="AW191" s="176"/>
      <c r="AX191" s="176"/>
      <c r="AY191" s="176"/>
      <c r="AZ191" s="176"/>
      <c r="BA191" s="176"/>
      <c r="BB191" s="176"/>
      <c r="BC191" s="176"/>
      <c r="BD191" s="176"/>
      <c r="BE191" s="176"/>
      <c r="BF191" s="176"/>
      <c r="BG191" s="176"/>
      <c r="BH191" s="176"/>
      <c r="BI191" s="176"/>
      <c r="BJ191" s="176"/>
      <c r="BK191" s="176"/>
      <c r="BL191" s="176"/>
      <c r="BM191" s="176"/>
      <c r="BN191" s="176"/>
      <c r="BO191" s="176"/>
    </row>
    <row r="192" spans="1:67" s="36" customFormat="1" ht="10.5" customHeight="1" x14ac:dyDescent="0.2">
      <c r="A192" s="1345" t="s">
        <v>320</v>
      </c>
      <c r="B192" s="2603"/>
      <c r="C192" s="2604"/>
      <c r="D192" s="2605"/>
      <c r="E192" s="2730">
        <f>SUM(E193:E205)</f>
        <v>0</v>
      </c>
      <c r="F192" s="2731"/>
      <c r="G192" s="2732"/>
      <c r="H192" s="2733"/>
      <c r="I192" s="1121">
        <f>IF(E192=0,0,J192/E192)</f>
        <v>0</v>
      </c>
      <c r="J192" s="1346">
        <f>SUM(J193:J205)</f>
        <v>0</v>
      </c>
      <c r="K192" s="2734">
        <f>IF(E192=0,0,M192/E192*100)</f>
        <v>0</v>
      </c>
      <c r="L192" s="2736"/>
      <c r="M192" s="1347">
        <f>SUM(M193:M205)</f>
        <v>0</v>
      </c>
      <c r="N192" s="505"/>
      <c r="O192" s="178">
        <f>IF(H192="",G192,H192)</f>
        <v>0</v>
      </c>
      <c r="P192" s="366"/>
      <c r="Q192" s="135"/>
      <c r="R192" s="136"/>
      <c r="S192" s="129"/>
      <c r="T192" s="129"/>
      <c r="U192" s="129"/>
      <c r="V192" s="129"/>
      <c r="W192" s="129"/>
      <c r="X192" s="129"/>
      <c r="Y192" s="129"/>
      <c r="Z192" s="133"/>
      <c r="AA192" s="133"/>
      <c r="AB192" s="133"/>
      <c r="AC192" s="133"/>
      <c r="AD192" s="133"/>
      <c r="AE192" s="133"/>
      <c r="AF192" s="222"/>
      <c r="AG192" s="222"/>
      <c r="AH192" s="222"/>
      <c r="AI192" s="176"/>
      <c r="AJ192" s="176"/>
      <c r="AK192" s="176"/>
      <c r="AL192" s="176"/>
      <c r="AM192" s="176"/>
      <c r="AN192" s="176"/>
      <c r="AO192" s="176"/>
      <c r="AP192" s="176"/>
      <c r="AQ192" s="176"/>
      <c r="AR192" s="176"/>
      <c r="AS192" s="176"/>
      <c r="AT192" s="176"/>
      <c r="AU192" s="176"/>
      <c r="AV192" s="176"/>
      <c r="AW192" s="176"/>
      <c r="AX192" s="176"/>
      <c r="AY192" s="176"/>
      <c r="AZ192" s="176"/>
      <c r="BA192" s="176"/>
      <c r="BB192" s="176"/>
      <c r="BC192" s="176"/>
      <c r="BD192" s="176"/>
      <c r="BE192" s="176"/>
      <c r="BF192" s="176"/>
      <c r="BG192" s="176"/>
      <c r="BH192" s="176"/>
      <c r="BI192" s="176"/>
      <c r="BJ192" s="176"/>
      <c r="BK192" s="176"/>
      <c r="BL192" s="176"/>
      <c r="BM192" s="176"/>
      <c r="BN192" s="176"/>
      <c r="BO192" s="176"/>
    </row>
    <row r="193" spans="1:67" s="36" customFormat="1" ht="10.5" customHeight="1" x14ac:dyDescent="0.2">
      <c r="A193" s="1042" t="s">
        <v>321</v>
      </c>
      <c r="B193" s="2624"/>
      <c r="C193" s="2625"/>
      <c r="D193" s="2626"/>
      <c r="E193" s="2386"/>
      <c r="F193" s="2387"/>
      <c r="G193" s="1056">
        <v>30</v>
      </c>
      <c r="H193" s="1057"/>
      <c r="I193" s="1079">
        <f t="shared" ref="I193:I206" si="44">IF($O193&gt;0,-PMT(($I$9),$O193,1),0)</f>
        <v>4.6199342169092869E-2</v>
      </c>
      <c r="J193" s="1080">
        <f t="shared" ref="J193:J205" si="45">ROUND(E193*I193,0)</f>
        <v>0</v>
      </c>
      <c r="K193" s="1060">
        <v>1.5</v>
      </c>
      <c r="L193" s="1304"/>
      <c r="M193" s="1085">
        <f t="shared" ref="M193:M206" si="46">ROUND(E193/100*IF(ISBLANK(L193),K193,L193),0)</f>
        <v>0</v>
      </c>
      <c r="N193" s="505"/>
      <c r="O193" s="365">
        <f t="shared" ref="O193:O206" si="47">IF(ISBLANK(H193),G193,H193)</f>
        <v>30</v>
      </c>
      <c r="P193" s="366"/>
      <c r="Q193" s="135"/>
      <c r="R193" s="136"/>
      <c r="S193" s="129"/>
      <c r="T193" s="129"/>
      <c r="U193" s="129"/>
      <c r="V193" s="129"/>
      <c r="W193" s="129"/>
      <c r="X193" s="129"/>
      <c r="Y193" s="129"/>
      <c r="Z193" s="133"/>
      <c r="AA193" s="133"/>
      <c r="AB193" s="133"/>
      <c r="AC193" s="133"/>
      <c r="AD193" s="133"/>
      <c r="AE193" s="133"/>
      <c r="AF193" s="222"/>
      <c r="AG193" s="222"/>
      <c r="AH193" s="222"/>
      <c r="AI193" s="176"/>
      <c r="AJ193" s="176"/>
      <c r="AK193" s="176"/>
      <c r="AL193" s="176"/>
      <c r="AM193" s="176"/>
      <c r="AN193" s="176"/>
      <c r="AO193" s="176"/>
      <c r="AP193" s="176"/>
      <c r="AQ193" s="176"/>
      <c r="AR193" s="176"/>
      <c r="AS193" s="176"/>
      <c r="AT193" s="176"/>
      <c r="AU193" s="176"/>
      <c r="AV193" s="176"/>
      <c r="AW193" s="176"/>
      <c r="AX193" s="176"/>
      <c r="AY193" s="176"/>
      <c r="AZ193" s="176"/>
      <c r="BA193" s="176"/>
      <c r="BB193" s="176"/>
      <c r="BC193" s="176"/>
      <c r="BD193" s="176"/>
      <c r="BE193" s="176"/>
      <c r="BF193" s="176"/>
      <c r="BG193" s="176"/>
      <c r="BH193" s="176"/>
      <c r="BI193" s="176"/>
      <c r="BJ193" s="176"/>
      <c r="BK193" s="176"/>
      <c r="BL193" s="176"/>
      <c r="BM193" s="176"/>
      <c r="BN193" s="176"/>
      <c r="BO193" s="176"/>
    </row>
    <row r="194" spans="1:67" s="36" customFormat="1" ht="10.5" customHeight="1" x14ac:dyDescent="0.2">
      <c r="A194" s="1043" t="s">
        <v>322</v>
      </c>
      <c r="B194" s="2594"/>
      <c r="C194" s="2595"/>
      <c r="D194" s="2596"/>
      <c r="E194" s="2395"/>
      <c r="F194" s="2396"/>
      <c r="G194" s="1058">
        <v>30</v>
      </c>
      <c r="H194" s="1059"/>
      <c r="I194" s="1081">
        <f t="shared" si="44"/>
        <v>4.6199342169092869E-2</v>
      </c>
      <c r="J194" s="1082">
        <f t="shared" si="45"/>
        <v>0</v>
      </c>
      <c r="K194" s="1061">
        <v>1</v>
      </c>
      <c r="L194" s="1305"/>
      <c r="M194" s="1086">
        <f t="shared" si="46"/>
        <v>0</v>
      </c>
      <c r="N194" s="505"/>
      <c r="O194" s="365">
        <f t="shared" si="47"/>
        <v>30</v>
      </c>
      <c r="P194" s="366"/>
      <c r="Q194" s="135"/>
      <c r="R194" s="136"/>
      <c r="S194" s="129"/>
      <c r="T194" s="129"/>
      <c r="U194" s="129"/>
      <c r="V194" s="129"/>
      <c r="W194" s="129"/>
      <c r="X194" s="129"/>
      <c r="Y194" s="129"/>
      <c r="Z194" s="133"/>
      <c r="AA194" s="133"/>
      <c r="AB194" s="133"/>
      <c r="AC194" s="133"/>
      <c r="AD194" s="133"/>
      <c r="AE194" s="133"/>
      <c r="AF194" s="222"/>
      <c r="AG194" s="222"/>
      <c r="AH194" s="222"/>
      <c r="AI194" s="176"/>
      <c r="AJ194" s="176"/>
      <c r="AK194" s="176"/>
      <c r="AL194" s="176"/>
      <c r="AM194" s="176"/>
      <c r="AN194" s="176"/>
      <c r="AO194" s="176"/>
      <c r="AP194" s="176"/>
      <c r="AQ194" s="176"/>
      <c r="AR194" s="176"/>
      <c r="AS194" s="176"/>
      <c r="AT194" s="176"/>
      <c r="AU194" s="176"/>
      <c r="AV194" s="176"/>
      <c r="AW194" s="176"/>
      <c r="AX194" s="176"/>
      <c r="AY194" s="176"/>
      <c r="AZ194" s="176"/>
      <c r="BA194" s="176"/>
      <c r="BB194" s="176"/>
      <c r="BC194" s="176"/>
      <c r="BD194" s="176"/>
      <c r="BE194" s="176"/>
      <c r="BF194" s="176"/>
      <c r="BG194" s="176"/>
      <c r="BH194" s="176"/>
      <c r="BI194" s="176"/>
      <c r="BJ194" s="176"/>
      <c r="BK194" s="176"/>
      <c r="BL194" s="176"/>
      <c r="BM194" s="176"/>
      <c r="BN194" s="176"/>
      <c r="BO194" s="176"/>
    </row>
    <row r="195" spans="1:67" s="36" customFormat="1" ht="10.5" customHeight="1" x14ac:dyDescent="0.2">
      <c r="A195" s="1043" t="s">
        <v>323</v>
      </c>
      <c r="B195" s="2594"/>
      <c r="C195" s="2595"/>
      <c r="D195" s="2596"/>
      <c r="E195" s="2395"/>
      <c r="F195" s="2396"/>
      <c r="G195" s="1058">
        <v>30</v>
      </c>
      <c r="H195" s="1059"/>
      <c r="I195" s="1081">
        <f t="shared" si="44"/>
        <v>4.6199342169092869E-2</v>
      </c>
      <c r="J195" s="1082">
        <f t="shared" si="45"/>
        <v>0</v>
      </c>
      <c r="K195" s="1061">
        <v>0.5</v>
      </c>
      <c r="L195" s="1305"/>
      <c r="M195" s="1086">
        <f t="shared" si="46"/>
        <v>0</v>
      </c>
      <c r="N195" s="505"/>
      <c r="O195" s="365">
        <f t="shared" si="47"/>
        <v>30</v>
      </c>
      <c r="P195" s="366"/>
      <c r="Q195" s="135"/>
      <c r="R195" s="136"/>
      <c r="S195" s="129"/>
      <c r="T195" s="129"/>
      <c r="U195" s="129"/>
      <c r="V195" s="129"/>
      <c r="W195" s="129"/>
      <c r="X195" s="129"/>
      <c r="Y195" s="129"/>
      <c r="Z195" s="133"/>
      <c r="AA195" s="133"/>
      <c r="AB195" s="133"/>
      <c r="AC195" s="133"/>
      <c r="AD195" s="133"/>
      <c r="AE195" s="133"/>
      <c r="AF195" s="222"/>
      <c r="AG195" s="222"/>
      <c r="AH195" s="222"/>
      <c r="AI195" s="176"/>
      <c r="AJ195" s="176"/>
      <c r="AK195" s="176"/>
      <c r="AL195" s="176"/>
      <c r="AM195" s="176"/>
      <c r="AN195" s="176"/>
      <c r="AO195" s="176"/>
      <c r="AP195" s="176"/>
      <c r="AQ195" s="176"/>
      <c r="AR195" s="176"/>
      <c r="AS195" s="176"/>
      <c r="AT195" s="176"/>
      <c r="AU195" s="176"/>
      <c r="AV195" s="176"/>
      <c r="AW195" s="176"/>
      <c r="AX195" s="176"/>
      <c r="AY195" s="176"/>
      <c r="AZ195" s="176"/>
      <c r="BA195" s="176"/>
      <c r="BB195" s="176"/>
      <c r="BC195" s="176"/>
      <c r="BD195" s="176"/>
      <c r="BE195" s="176"/>
      <c r="BF195" s="176"/>
      <c r="BG195" s="176"/>
      <c r="BH195" s="176"/>
      <c r="BI195" s="176"/>
      <c r="BJ195" s="176"/>
      <c r="BK195" s="176"/>
      <c r="BL195" s="176"/>
      <c r="BM195" s="176"/>
      <c r="BN195" s="176"/>
      <c r="BO195" s="176"/>
    </row>
    <row r="196" spans="1:67" s="36" customFormat="1" ht="10.5" customHeight="1" x14ac:dyDescent="0.2">
      <c r="A196" s="1043" t="s">
        <v>324</v>
      </c>
      <c r="B196" s="2594"/>
      <c r="C196" s="2595"/>
      <c r="D196" s="2596"/>
      <c r="E196" s="2395"/>
      <c r="F196" s="2396"/>
      <c r="G196" s="1058">
        <v>30</v>
      </c>
      <c r="H196" s="1059"/>
      <c r="I196" s="1081">
        <f t="shared" si="44"/>
        <v>4.6199342169092869E-2</v>
      </c>
      <c r="J196" s="1082">
        <f t="shared" si="45"/>
        <v>0</v>
      </c>
      <c r="K196" s="1061">
        <v>0.5</v>
      </c>
      <c r="L196" s="1305"/>
      <c r="M196" s="1086">
        <f t="shared" si="46"/>
        <v>0</v>
      </c>
      <c r="N196" s="505"/>
      <c r="O196" s="365">
        <f t="shared" si="47"/>
        <v>30</v>
      </c>
      <c r="P196" s="366"/>
      <c r="Q196" s="135"/>
      <c r="R196" s="136"/>
      <c r="S196" s="129"/>
      <c r="T196" s="129"/>
      <c r="U196" s="129"/>
      <c r="V196" s="129"/>
      <c r="W196" s="129"/>
      <c r="X196" s="129"/>
      <c r="Y196" s="129"/>
      <c r="Z196" s="133"/>
      <c r="AA196" s="133"/>
      <c r="AB196" s="133"/>
      <c r="AC196" s="133"/>
      <c r="AD196" s="133"/>
      <c r="AE196" s="133"/>
      <c r="AF196" s="222"/>
      <c r="AG196" s="222"/>
      <c r="AH196" s="222"/>
      <c r="AI196" s="176"/>
      <c r="AJ196" s="176"/>
      <c r="AK196" s="176"/>
      <c r="AL196" s="176"/>
      <c r="AM196" s="176"/>
      <c r="AN196" s="176"/>
      <c r="AO196" s="176"/>
      <c r="AP196" s="176"/>
      <c r="AQ196" s="176"/>
      <c r="AR196" s="176"/>
      <c r="AS196" s="176"/>
      <c r="AT196" s="176"/>
      <c r="AU196" s="176"/>
      <c r="AV196" s="176"/>
      <c r="AW196" s="176"/>
      <c r="AX196" s="176"/>
      <c r="AY196" s="176"/>
      <c r="AZ196" s="176"/>
      <c r="BA196" s="176"/>
      <c r="BB196" s="176"/>
      <c r="BC196" s="176"/>
      <c r="BD196" s="176"/>
      <c r="BE196" s="176"/>
      <c r="BF196" s="176"/>
      <c r="BG196" s="176"/>
      <c r="BH196" s="176"/>
      <c r="BI196" s="176"/>
      <c r="BJ196" s="176"/>
      <c r="BK196" s="176"/>
      <c r="BL196" s="176"/>
      <c r="BM196" s="176"/>
      <c r="BN196" s="176"/>
      <c r="BO196" s="176"/>
    </row>
    <row r="197" spans="1:67" s="36" customFormat="1" ht="10.5" customHeight="1" x14ac:dyDescent="0.2">
      <c r="A197" s="1043" t="s">
        <v>325</v>
      </c>
      <c r="B197" s="2594"/>
      <c r="C197" s="2595"/>
      <c r="D197" s="2596"/>
      <c r="E197" s="2395"/>
      <c r="F197" s="2396"/>
      <c r="G197" s="1058">
        <v>15</v>
      </c>
      <c r="H197" s="1059"/>
      <c r="I197" s="1081">
        <f t="shared" si="44"/>
        <v>7.9288524964265278E-2</v>
      </c>
      <c r="J197" s="1082">
        <f t="shared" si="45"/>
        <v>0</v>
      </c>
      <c r="K197" s="1061">
        <v>2</v>
      </c>
      <c r="L197" s="1305"/>
      <c r="M197" s="1086">
        <f t="shared" si="46"/>
        <v>0</v>
      </c>
      <c r="N197" s="505"/>
      <c r="O197" s="365">
        <f t="shared" si="47"/>
        <v>15</v>
      </c>
      <c r="P197" s="366"/>
      <c r="Q197" s="135"/>
      <c r="R197" s="136"/>
      <c r="S197" s="129"/>
      <c r="T197" s="129"/>
      <c r="U197" s="129"/>
      <c r="V197" s="129"/>
      <c r="W197" s="129"/>
      <c r="X197" s="129"/>
      <c r="Y197" s="129"/>
      <c r="Z197" s="133"/>
      <c r="AA197" s="133"/>
      <c r="AB197" s="133"/>
      <c r="AC197" s="133"/>
      <c r="AD197" s="133"/>
      <c r="AE197" s="133"/>
      <c r="AF197" s="222"/>
      <c r="AG197" s="222"/>
      <c r="AH197" s="222"/>
      <c r="AI197" s="176"/>
      <c r="AJ197" s="176"/>
      <c r="AK197" s="176"/>
      <c r="AL197" s="176"/>
      <c r="AM197" s="176"/>
      <c r="AN197" s="176"/>
      <c r="AO197" s="176"/>
      <c r="AP197" s="176"/>
      <c r="AQ197" s="176"/>
      <c r="AR197" s="176"/>
      <c r="AS197" s="176"/>
      <c r="AT197" s="176"/>
      <c r="AU197" s="176"/>
      <c r="AV197" s="176"/>
      <c r="AW197" s="176"/>
      <c r="AX197" s="176"/>
      <c r="AY197" s="176"/>
      <c r="AZ197" s="176"/>
      <c r="BA197" s="176"/>
      <c r="BB197" s="176"/>
      <c r="BC197" s="176"/>
      <c r="BD197" s="176"/>
      <c r="BE197" s="176"/>
      <c r="BF197" s="176"/>
      <c r="BG197" s="176"/>
      <c r="BH197" s="176"/>
      <c r="BI197" s="176"/>
      <c r="BJ197" s="176"/>
      <c r="BK197" s="176"/>
      <c r="BL197" s="176"/>
      <c r="BM197" s="176"/>
      <c r="BN197" s="176"/>
      <c r="BO197" s="176"/>
    </row>
    <row r="198" spans="1:67" s="36" customFormat="1" ht="10.5" customHeight="1" x14ac:dyDescent="0.2">
      <c r="A198" s="1043" t="s">
        <v>399</v>
      </c>
      <c r="B198" s="2594"/>
      <c r="C198" s="2595"/>
      <c r="D198" s="2596"/>
      <c r="E198" s="2395"/>
      <c r="F198" s="2396"/>
      <c r="G198" s="1058">
        <v>15</v>
      </c>
      <c r="H198" s="1059"/>
      <c r="I198" s="1081">
        <f t="shared" si="44"/>
        <v>7.9288524964265278E-2</v>
      </c>
      <c r="J198" s="1082">
        <f t="shared" si="45"/>
        <v>0</v>
      </c>
      <c r="K198" s="1061">
        <v>1.5</v>
      </c>
      <c r="L198" s="1305"/>
      <c r="M198" s="1086">
        <f t="shared" si="46"/>
        <v>0</v>
      </c>
      <c r="N198" s="505"/>
      <c r="O198" s="365">
        <f t="shared" si="47"/>
        <v>15</v>
      </c>
      <c r="P198" s="366"/>
      <c r="Q198" s="135"/>
      <c r="R198" s="136"/>
      <c r="S198" s="129"/>
      <c r="T198" s="129"/>
      <c r="U198" s="129"/>
      <c r="V198" s="129"/>
      <c r="W198" s="129"/>
      <c r="X198" s="129"/>
      <c r="Y198" s="129"/>
      <c r="Z198" s="133"/>
      <c r="AA198" s="133"/>
      <c r="AB198" s="133"/>
      <c r="AC198" s="133"/>
      <c r="AD198" s="133"/>
      <c r="AE198" s="133"/>
      <c r="AF198" s="222"/>
      <c r="AG198" s="222"/>
      <c r="AH198" s="222"/>
      <c r="AI198" s="176"/>
      <c r="AJ198" s="176"/>
      <c r="AK198" s="176"/>
      <c r="AL198" s="176"/>
      <c r="AM198" s="176"/>
      <c r="AN198" s="176"/>
      <c r="AO198" s="176"/>
      <c r="AP198" s="176"/>
      <c r="AQ198" s="176"/>
      <c r="AR198" s="176"/>
      <c r="AS198" s="176"/>
      <c r="AT198" s="176"/>
      <c r="AU198" s="176"/>
      <c r="AV198" s="176"/>
      <c r="AW198" s="176"/>
      <c r="AX198" s="176"/>
      <c r="AY198" s="176"/>
      <c r="AZ198" s="176"/>
      <c r="BA198" s="176"/>
      <c r="BB198" s="176"/>
      <c r="BC198" s="176"/>
      <c r="BD198" s="176"/>
      <c r="BE198" s="176"/>
      <c r="BF198" s="176"/>
      <c r="BG198" s="176"/>
      <c r="BH198" s="176"/>
      <c r="BI198" s="176"/>
      <c r="BJ198" s="176"/>
      <c r="BK198" s="176"/>
      <c r="BL198" s="176"/>
      <c r="BM198" s="176"/>
      <c r="BN198" s="176"/>
      <c r="BO198" s="176"/>
    </row>
    <row r="199" spans="1:67" s="36" customFormat="1" ht="10.5" customHeight="1" x14ac:dyDescent="0.2">
      <c r="A199" s="1055"/>
      <c r="B199" s="2594"/>
      <c r="C199" s="2595"/>
      <c r="D199" s="2596"/>
      <c r="E199" s="2395"/>
      <c r="F199" s="2396"/>
      <c r="G199" s="2590"/>
      <c r="H199" s="2591"/>
      <c r="I199" s="1081">
        <f t="shared" si="44"/>
        <v>0</v>
      </c>
      <c r="J199" s="1082">
        <f t="shared" si="45"/>
        <v>0</v>
      </c>
      <c r="K199" s="2588"/>
      <c r="L199" s="2589"/>
      <c r="M199" s="1086">
        <f t="shared" si="46"/>
        <v>0</v>
      </c>
      <c r="N199" s="505"/>
      <c r="O199" s="365">
        <f t="shared" si="47"/>
        <v>0</v>
      </c>
      <c r="P199" s="366"/>
      <c r="Q199" s="135"/>
      <c r="R199" s="136"/>
      <c r="S199" s="129"/>
      <c r="T199" s="129"/>
      <c r="U199" s="129"/>
      <c r="V199" s="129"/>
      <c r="W199" s="129"/>
      <c r="X199" s="129"/>
      <c r="Y199" s="129"/>
      <c r="Z199" s="133"/>
      <c r="AA199" s="133"/>
      <c r="AB199" s="133"/>
      <c r="AC199" s="133"/>
      <c r="AD199" s="133"/>
      <c r="AE199" s="133"/>
      <c r="AF199" s="222"/>
      <c r="AG199" s="222"/>
      <c r="AH199" s="222"/>
      <c r="AI199" s="176"/>
      <c r="AJ199" s="176"/>
      <c r="AK199" s="176"/>
      <c r="AL199" s="176"/>
      <c r="AM199" s="176"/>
      <c r="AN199" s="176"/>
      <c r="AO199" s="176"/>
      <c r="AP199" s="176"/>
      <c r="AQ199" s="176"/>
      <c r="AR199" s="176"/>
      <c r="AS199" s="176"/>
      <c r="AT199" s="176"/>
      <c r="AU199" s="176"/>
      <c r="AV199" s="176"/>
      <c r="AW199" s="176"/>
      <c r="AX199" s="176"/>
      <c r="AY199" s="176"/>
      <c r="AZ199" s="176"/>
      <c r="BA199" s="176"/>
      <c r="BB199" s="176"/>
      <c r="BC199" s="176"/>
      <c r="BD199" s="176"/>
      <c r="BE199" s="176"/>
      <c r="BF199" s="176"/>
      <c r="BG199" s="176"/>
      <c r="BH199" s="176"/>
      <c r="BI199" s="176"/>
      <c r="BJ199" s="176"/>
      <c r="BK199" s="176"/>
      <c r="BL199" s="176"/>
      <c r="BM199" s="176"/>
      <c r="BN199" s="176"/>
      <c r="BO199" s="176"/>
    </row>
    <row r="200" spans="1:67" s="36" customFormat="1" ht="10.5" customHeight="1" x14ac:dyDescent="0.2">
      <c r="A200" s="1055"/>
      <c r="B200" s="2594"/>
      <c r="C200" s="2595"/>
      <c r="D200" s="2596"/>
      <c r="E200" s="2395"/>
      <c r="F200" s="2396"/>
      <c r="G200" s="2590"/>
      <c r="H200" s="2591"/>
      <c r="I200" s="1081">
        <f t="shared" si="44"/>
        <v>0</v>
      </c>
      <c r="J200" s="1082">
        <f t="shared" si="45"/>
        <v>0</v>
      </c>
      <c r="K200" s="2588"/>
      <c r="L200" s="2589"/>
      <c r="M200" s="1086">
        <f t="shared" si="46"/>
        <v>0</v>
      </c>
      <c r="N200" s="505"/>
      <c r="O200" s="365">
        <f t="shared" si="47"/>
        <v>0</v>
      </c>
      <c r="P200" s="366"/>
      <c r="Q200" s="135"/>
      <c r="R200" s="136"/>
      <c r="S200" s="129"/>
      <c r="T200" s="129"/>
      <c r="U200" s="129"/>
      <c r="V200" s="129"/>
      <c r="W200" s="129"/>
      <c r="X200" s="129"/>
      <c r="Y200" s="129"/>
      <c r="Z200" s="133"/>
      <c r="AA200" s="133"/>
      <c r="AB200" s="133"/>
      <c r="AC200" s="133"/>
      <c r="AD200" s="133"/>
      <c r="AE200" s="133"/>
      <c r="AF200" s="222"/>
      <c r="AG200" s="222"/>
      <c r="AH200" s="222"/>
      <c r="AI200" s="176"/>
      <c r="AJ200" s="176"/>
      <c r="AK200" s="176"/>
      <c r="AL200" s="176"/>
      <c r="AM200" s="176"/>
      <c r="AN200" s="176"/>
      <c r="AO200" s="176"/>
      <c r="AP200" s="176"/>
      <c r="AQ200" s="176"/>
      <c r="AR200" s="176"/>
      <c r="AS200" s="176"/>
      <c r="AT200" s="176"/>
      <c r="AU200" s="176"/>
      <c r="AV200" s="176"/>
      <c r="AW200" s="176"/>
      <c r="AX200" s="176"/>
      <c r="AY200" s="176"/>
      <c r="AZ200" s="176"/>
      <c r="BA200" s="176"/>
      <c r="BB200" s="176"/>
      <c r="BC200" s="176"/>
      <c r="BD200" s="176"/>
      <c r="BE200" s="176"/>
      <c r="BF200" s="176"/>
      <c r="BG200" s="176"/>
      <c r="BH200" s="176"/>
      <c r="BI200" s="176"/>
      <c r="BJ200" s="176"/>
      <c r="BK200" s="176"/>
      <c r="BL200" s="176"/>
      <c r="BM200" s="176"/>
      <c r="BN200" s="176"/>
      <c r="BO200" s="176"/>
    </row>
    <row r="201" spans="1:67" s="36" customFormat="1" ht="10.5" customHeight="1" x14ac:dyDescent="0.2">
      <c r="A201" s="1055"/>
      <c r="B201" s="2594"/>
      <c r="C201" s="2595"/>
      <c r="D201" s="2596"/>
      <c r="E201" s="2395"/>
      <c r="F201" s="2396"/>
      <c r="G201" s="2590"/>
      <c r="H201" s="2591"/>
      <c r="I201" s="1081">
        <f t="shared" si="44"/>
        <v>0</v>
      </c>
      <c r="J201" s="1082">
        <f t="shared" si="45"/>
        <v>0</v>
      </c>
      <c r="K201" s="2588"/>
      <c r="L201" s="2589"/>
      <c r="M201" s="1086">
        <f t="shared" si="46"/>
        <v>0</v>
      </c>
      <c r="N201" s="505"/>
      <c r="O201" s="365">
        <f t="shared" si="47"/>
        <v>0</v>
      </c>
      <c r="P201" s="366"/>
      <c r="Q201" s="135"/>
      <c r="R201" s="136"/>
      <c r="S201" s="129"/>
      <c r="T201" s="129"/>
      <c r="U201" s="129"/>
      <c r="V201" s="129"/>
      <c r="W201" s="129"/>
      <c r="X201" s="129"/>
      <c r="Y201" s="129"/>
      <c r="Z201" s="133"/>
      <c r="AA201" s="133"/>
      <c r="AB201" s="133"/>
      <c r="AC201" s="133"/>
      <c r="AD201" s="133"/>
      <c r="AE201" s="133"/>
      <c r="AF201" s="222"/>
      <c r="AG201" s="222"/>
      <c r="AH201" s="222"/>
      <c r="AI201" s="176"/>
      <c r="AJ201" s="176"/>
      <c r="AK201" s="176"/>
      <c r="AL201" s="176"/>
      <c r="AM201" s="176"/>
      <c r="AN201" s="176"/>
      <c r="AO201" s="176"/>
      <c r="AP201" s="176"/>
      <c r="AQ201" s="176"/>
      <c r="AR201" s="176"/>
      <c r="AS201" s="176"/>
      <c r="AT201" s="176"/>
      <c r="AU201" s="176"/>
      <c r="AV201" s="176"/>
      <c r="AW201" s="176"/>
      <c r="AX201" s="176"/>
      <c r="AY201" s="176"/>
      <c r="AZ201" s="176"/>
      <c r="BA201" s="176"/>
      <c r="BB201" s="176"/>
      <c r="BC201" s="176"/>
      <c r="BD201" s="176"/>
      <c r="BE201" s="176"/>
      <c r="BF201" s="176"/>
      <c r="BG201" s="176"/>
      <c r="BH201" s="176"/>
      <c r="BI201" s="176"/>
      <c r="BJ201" s="176"/>
      <c r="BK201" s="176"/>
      <c r="BL201" s="176"/>
      <c r="BM201" s="176"/>
      <c r="BN201" s="176"/>
      <c r="BO201" s="176"/>
    </row>
    <row r="202" spans="1:67" s="36" customFormat="1" ht="10.5" customHeight="1" x14ac:dyDescent="0.2">
      <c r="A202" s="1055"/>
      <c r="B202" s="2594"/>
      <c r="C202" s="2595"/>
      <c r="D202" s="2596"/>
      <c r="E202" s="2395"/>
      <c r="F202" s="2396"/>
      <c r="G202" s="2590"/>
      <c r="H202" s="2591"/>
      <c r="I202" s="1081">
        <f t="shared" si="44"/>
        <v>0</v>
      </c>
      <c r="J202" s="1082">
        <f t="shared" si="45"/>
        <v>0</v>
      </c>
      <c r="K202" s="2588"/>
      <c r="L202" s="2589"/>
      <c r="M202" s="1086">
        <f t="shared" si="46"/>
        <v>0</v>
      </c>
      <c r="N202" s="505"/>
      <c r="O202" s="365">
        <f t="shared" si="47"/>
        <v>0</v>
      </c>
      <c r="P202" s="366"/>
      <c r="Q202" s="135"/>
      <c r="R202" s="136"/>
      <c r="S202" s="129"/>
      <c r="T202" s="129"/>
      <c r="U202" s="129"/>
      <c r="V202" s="129"/>
      <c r="W202" s="129"/>
      <c r="X202" s="129"/>
      <c r="Y202" s="129"/>
      <c r="Z202" s="133"/>
      <c r="AA202" s="133"/>
      <c r="AB202" s="133"/>
      <c r="AC202" s="133"/>
      <c r="AD202" s="133"/>
      <c r="AE202" s="133"/>
      <c r="AF202" s="222"/>
      <c r="AG202" s="222"/>
      <c r="AH202" s="222"/>
      <c r="AI202" s="176"/>
      <c r="AJ202" s="176"/>
      <c r="AK202" s="176"/>
      <c r="AL202" s="176"/>
      <c r="AM202" s="176"/>
      <c r="AN202" s="176"/>
      <c r="AO202" s="176"/>
      <c r="AP202" s="176"/>
      <c r="AQ202" s="176"/>
      <c r="AR202" s="176"/>
      <c r="AS202" s="176"/>
      <c r="AT202" s="176"/>
      <c r="AU202" s="176"/>
      <c r="AV202" s="176"/>
      <c r="AW202" s="176"/>
      <c r="AX202" s="176"/>
      <c r="AY202" s="176"/>
      <c r="AZ202" s="176"/>
      <c r="BA202" s="176"/>
      <c r="BB202" s="176"/>
      <c r="BC202" s="176"/>
      <c r="BD202" s="176"/>
      <c r="BE202" s="176"/>
      <c r="BF202" s="176"/>
      <c r="BG202" s="176"/>
      <c r="BH202" s="176"/>
      <c r="BI202" s="176"/>
      <c r="BJ202" s="176"/>
      <c r="BK202" s="176"/>
      <c r="BL202" s="176"/>
      <c r="BM202" s="176"/>
      <c r="BN202" s="176"/>
      <c r="BO202" s="176"/>
    </row>
    <row r="203" spans="1:67" s="36" customFormat="1" ht="10.5" customHeight="1" x14ac:dyDescent="0.2">
      <c r="A203" s="1055"/>
      <c r="B203" s="2594"/>
      <c r="C203" s="2595"/>
      <c r="D203" s="2596"/>
      <c r="E203" s="2395"/>
      <c r="F203" s="2396"/>
      <c r="G203" s="2590"/>
      <c r="H203" s="2591"/>
      <c r="I203" s="1081">
        <f t="shared" si="44"/>
        <v>0</v>
      </c>
      <c r="J203" s="1082">
        <f t="shared" si="45"/>
        <v>0</v>
      </c>
      <c r="K203" s="2588"/>
      <c r="L203" s="2589"/>
      <c r="M203" s="1086">
        <f t="shared" si="46"/>
        <v>0</v>
      </c>
      <c r="N203" s="505"/>
      <c r="O203" s="365">
        <f t="shared" si="47"/>
        <v>0</v>
      </c>
      <c r="P203" s="366"/>
      <c r="Q203" s="135"/>
      <c r="R203" s="136"/>
      <c r="S203" s="129"/>
      <c r="T203" s="129"/>
      <c r="U203" s="129"/>
      <c r="V203" s="129"/>
      <c r="W203" s="129"/>
      <c r="X203" s="129"/>
      <c r="Y203" s="129"/>
      <c r="Z203" s="133"/>
      <c r="AA203" s="133"/>
      <c r="AB203" s="133"/>
      <c r="AC203" s="133"/>
      <c r="AD203" s="133"/>
      <c r="AE203" s="133"/>
      <c r="AF203" s="222"/>
      <c r="AG203" s="222"/>
      <c r="AH203" s="222"/>
      <c r="AI203" s="176"/>
      <c r="AJ203" s="176"/>
      <c r="AK203" s="176"/>
      <c r="AL203" s="176"/>
      <c r="AM203" s="176"/>
      <c r="AN203" s="176"/>
      <c r="AO203" s="176"/>
      <c r="AP203" s="176"/>
      <c r="AQ203" s="176"/>
      <c r="AR203" s="176"/>
      <c r="AS203" s="176"/>
      <c r="AT203" s="176"/>
      <c r="AU203" s="176"/>
      <c r="AV203" s="176"/>
      <c r="AW203" s="176"/>
      <c r="AX203" s="176"/>
      <c r="AY203" s="176"/>
      <c r="AZ203" s="176"/>
      <c r="BA203" s="176"/>
      <c r="BB203" s="176"/>
      <c r="BC203" s="176"/>
      <c r="BD203" s="176"/>
      <c r="BE203" s="176"/>
      <c r="BF203" s="176"/>
      <c r="BG203" s="176"/>
      <c r="BH203" s="176"/>
      <c r="BI203" s="176"/>
      <c r="BJ203" s="176"/>
      <c r="BK203" s="176"/>
      <c r="BL203" s="176"/>
      <c r="BM203" s="176"/>
      <c r="BN203" s="176"/>
      <c r="BO203" s="176"/>
    </row>
    <row r="204" spans="1:67" s="36" customFormat="1" ht="10.5" customHeight="1" x14ac:dyDescent="0.2">
      <c r="A204" s="1055"/>
      <c r="B204" s="2594"/>
      <c r="C204" s="2595"/>
      <c r="D204" s="2596"/>
      <c r="E204" s="2395"/>
      <c r="F204" s="2396"/>
      <c r="G204" s="2590"/>
      <c r="H204" s="2591"/>
      <c r="I204" s="1081">
        <f t="shared" si="44"/>
        <v>0</v>
      </c>
      <c r="J204" s="1082">
        <f t="shared" si="45"/>
        <v>0</v>
      </c>
      <c r="K204" s="2588"/>
      <c r="L204" s="2589"/>
      <c r="M204" s="1086">
        <f t="shared" si="46"/>
        <v>0</v>
      </c>
      <c r="N204" s="505"/>
      <c r="O204" s="365">
        <f t="shared" si="47"/>
        <v>0</v>
      </c>
      <c r="P204" s="366"/>
      <c r="Q204" s="135"/>
      <c r="R204" s="136"/>
      <c r="S204" s="129"/>
      <c r="T204" s="129"/>
      <c r="U204" s="129"/>
      <c r="V204" s="129"/>
      <c r="W204" s="129"/>
      <c r="X204" s="129"/>
      <c r="Y204" s="129"/>
      <c r="Z204" s="133"/>
      <c r="AA204" s="133"/>
      <c r="AB204" s="133"/>
      <c r="AC204" s="133"/>
      <c r="AD204" s="133"/>
      <c r="AE204" s="133"/>
      <c r="AF204" s="222"/>
      <c r="AG204" s="222"/>
      <c r="AH204" s="222"/>
      <c r="AI204" s="176"/>
      <c r="AJ204" s="176"/>
      <c r="AK204" s="176"/>
      <c r="AL204" s="176"/>
      <c r="AM204" s="176"/>
      <c r="AN204" s="176"/>
      <c r="AO204" s="176"/>
      <c r="AP204" s="176"/>
      <c r="AQ204" s="176"/>
      <c r="AR204" s="176"/>
      <c r="AS204" s="176"/>
      <c r="AT204" s="176"/>
      <c r="AU204" s="176"/>
      <c r="AV204" s="176"/>
      <c r="AW204" s="176"/>
      <c r="AX204" s="176"/>
      <c r="AY204" s="176"/>
      <c r="AZ204" s="176"/>
      <c r="BA204" s="176"/>
      <c r="BB204" s="176"/>
      <c r="BC204" s="176"/>
      <c r="BD204" s="176"/>
      <c r="BE204" s="176"/>
      <c r="BF204" s="176"/>
      <c r="BG204" s="176"/>
      <c r="BH204" s="176"/>
      <c r="BI204" s="176"/>
      <c r="BJ204" s="176"/>
      <c r="BK204" s="176"/>
      <c r="BL204" s="176"/>
      <c r="BM204" s="176"/>
      <c r="BN204" s="176"/>
      <c r="BO204" s="176"/>
    </row>
    <row r="205" spans="1:67" s="36" customFormat="1" ht="10.5" customHeight="1" x14ac:dyDescent="0.2">
      <c r="A205" s="1055"/>
      <c r="B205" s="2594"/>
      <c r="C205" s="2595"/>
      <c r="D205" s="2596"/>
      <c r="E205" s="2395"/>
      <c r="F205" s="2396"/>
      <c r="G205" s="2590"/>
      <c r="H205" s="2591"/>
      <c r="I205" s="1081">
        <f t="shared" si="44"/>
        <v>0</v>
      </c>
      <c r="J205" s="1082">
        <f t="shared" si="45"/>
        <v>0</v>
      </c>
      <c r="K205" s="2588"/>
      <c r="L205" s="2589"/>
      <c r="M205" s="1086">
        <f t="shared" si="46"/>
        <v>0</v>
      </c>
      <c r="N205" s="505"/>
      <c r="O205" s="365">
        <f t="shared" si="47"/>
        <v>0</v>
      </c>
      <c r="P205" s="366"/>
      <c r="Q205" s="135"/>
      <c r="R205" s="136"/>
      <c r="S205" s="129"/>
      <c r="T205" s="129"/>
      <c r="U205" s="129"/>
      <c r="V205" s="129"/>
      <c r="W205" s="129"/>
      <c r="X205" s="129"/>
      <c r="Y205" s="129"/>
      <c r="Z205" s="133"/>
      <c r="AA205" s="133"/>
      <c r="AB205" s="133"/>
      <c r="AC205" s="133"/>
      <c r="AD205" s="133"/>
      <c r="AE205" s="133"/>
      <c r="AF205" s="222"/>
      <c r="AG205" s="222"/>
      <c r="AH205" s="222"/>
      <c r="AI205" s="176"/>
      <c r="AJ205" s="176"/>
      <c r="AK205" s="176"/>
      <c r="AL205" s="176"/>
      <c r="AM205" s="176"/>
      <c r="AN205" s="176"/>
      <c r="AO205" s="176"/>
      <c r="AP205" s="176"/>
      <c r="AQ205" s="176"/>
      <c r="AR205" s="176"/>
      <c r="AS205" s="176"/>
      <c r="AT205" s="176"/>
      <c r="AU205" s="176"/>
      <c r="AV205" s="176"/>
      <c r="AW205" s="176"/>
      <c r="AX205" s="176"/>
      <c r="AY205" s="176"/>
      <c r="AZ205" s="176"/>
      <c r="BA205" s="176"/>
      <c r="BB205" s="176"/>
      <c r="BC205" s="176"/>
      <c r="BD205" s="176"/>
      <c r="BE205" s="176"/>
      <c r="BF205" s="176"/>
      <c r="BG205" s="176"/>
      <c r="BH205" s="176"/>
      <c r="BI205" s="176"/>
      <c r="BJ205" s="176"/>
      <c r="BK205" s="176"/>
      <c r="BL205" s="176"/>
      <c r="BM205" s="176"/>
      <c r="BN205" s="176"/>
      <c r="BO205" s="176"/>
    </row>
    <row r="206" spans="1:67" s="36" customFormat="1" ht="10.5" customHeight="1" x14ac:dyDescent="0.2">
      <c r="A206" s="1348"/>
      <c r="B206" s="2690"/>
      <c r="C206" s="2691"/>
      <c r="D206" s="2692"/>
      <c r="E206" s="2601"/>
      <c r="F206" s="2602"/>
      <c r="G206" s="1088"/>
      <c r="H206" s="1089"/>
      <c r="I206" s="1083">
        <f t="shared" si="44"/>
        <v>0</v>
      </c>
      <c r="J206" s="1084"/>
      <c r="K206" s="1087"/>
      <c r="L206" s="1307"/>
      <c r="M206" s="1317">
        <f t="shared" si="46"/>
        <v>0</v>
      </c>
      <c r="N206" s="505"/>
      <c r="O206" s="365">
        <f t="shared" si="47"/>
        <v>0</v>
      </c>
      <c r="P206" s="366"/>
      <c r="Q206" s="135"/>
      <c r="R206" s="136"/>
      <c r="S206" s="129"/>
      <c r="T206" s="129"/>
      <c r="U206" s="129"/>
      <c r="V206" s="129"/>
      <c r="W206" s="129"/>
      <c r="X206" s="129"/>
      <c r="Y206" s="129"/>
      <c r="Z206" s="133"/>
      <c r="AA206" s="133"/>
      <c r="AB206" s="133"/>
      <c r="AC206" s="133"/>
      <c r="AD206" s="133"/>
      <c r="AE206" s="133"/>
      <c r="AF206" s="222"/>
      <c r="AG206" s="222"/>
      <c r="AH206" s="222"/>
      <c r="AI206" s="176"/>
      <c r="AJ206" s="176"/>
      <c r="AK206" s="176"/>
      <c r="AL206" s="176"/>
      <c r="AM206" s="176"/>
      <c r="AN206" s="176"/>
      <c r="AO206" s="176"/>
      <c r="AP206" s="176"/>
      <c r="AQ206" s="176"/>
      <c r="AR206" s="176"/>
      <c r="AS206" s="176"/>
      <c r="AT206" s="176"/>
      <c r="AU206" s="176"/>
      <c r="AV206" s="176"/>
      <c r="AW206" s="176"/>
      <c r="AX206" s="176"/>
      <c r="AY206" s="176"/>
      <c r="AZ206" s="176"/>
      <c r="BA206" s="176"/>
      <c r="BB206" s="176"/>
      <c r="BC206" s="176"/>
      <c r="BD206" s="176"/>
      <c r="BE206" s="176"/>
      <c r="BF206" s="176"/>
      <c r="BG206" s="176"/>
      <c r="BH206" s="176"/>
      <c r="BI206" s="176"/>
      <c r="BJ206" s="176"/>
      <c r="BK206" s="176"/>
      <c r="BL206" s="176"/>
      <c r="BM206" s="176"/>
      <c r="BN206" s="176"/>
      <c r="BO206" s="176"/>
    </row>
    <row r="207" spans="1:67" s="36" customFormat="1" ht="10.5" customHeight="1" x14ac:dyDescent="0.2">
      <c r="A207" s="1345" t="s">
        <v>326</v>
      </c>
      <c r="B207" s="2603"/>
      <c r="C207" s="2604"/>
      <c r="D207" s="2605"/>
      <c r="E207" s="2730">
        <f>SUM(E208:E220)</f>
        <v>0</v>
      </c>
      <c r="F207" s="2731"/>
      <c r="G207" s="2732"/>
      <c r="H207" s="2733"/>
      <c r="I207" s="1121">
        <f>IF(E207=0,0,J207/E207)</f>
        <v>0</v>
      </c>
      <c r="J207" s="1346">
        <f>SUM(J208:J220)</f>
        <v>0</v>
      </c>
      <c r="K207" s="2734">
        <f>IF(E207=0,0,M207/E207*100)</f>
        <v>0</v>
      </c>
      <c r="L207" s="2736"/>
      <c r="M207" s="1347">
        <f>SUM(M208:M220)</f>
        <v>0</v>
      </c>
      <c r="N207" s="505"/>
      <c r="O207" s="178">
        <f>IF(H207="",G207,H207)</f>
        <v>0</v>
      </c>
      <c r="P207" s="366"/>
      <c r="Q207" s="135"/>
      <c r="R207" s="136"/>
      <c r="S207" s="129"/>
      <c r="T207" s="129"/>
      <c r="U207" s="129"/>
      <c r="V207" s="129"/>
      <c r="W207" s="129"/>
      <c r="X207" s="129"/>
      <c r="Y207" s="129"/>
      <c r="Z207" s="133"/>
      <c r="AA207" s="133"/>
      <c r="AB207" s="133"/>
      <c r="AC207" s="133"/>
      <c r="AD207" s="133"/>
      <c r="AE207" s="133"/>
      <c r="AF207" s="222"/>
      <c r="AG207" s="222"/>
      <c r="AH207" s="222"/>
      <c r="AI207" s="176"/>
      <c r="AJ207" s="176"/>
      <c r="AK207" s="176"/>
      <c r="AL207" s="176"/>
      <c r="AM207" s="176"/>
      <c r="AN207" s="176"/>
      <c r="AO207" s="176"/>
      <c r="AP207" s="176"/>
      <c r="AQ207" s="176"/>
      <c r="AR207" s="176"/>
      <c r="AS207" s="176"/>
      <c r="AT207" s="176"/>
      <c r="AU207" s="176"/>
      <c r="AV207" s="176"/>
      <c r="AW207" s="176"/>
      <c r="AX207" s="176"/>
      <c r="AY207" s="176"/>
      <c r="AZ207" s="176"/>
      <c r="BA207" s="176"/>
      <c r="BB207" s="176"/>
      <c r="BC207" s="176"/>
      <c r="BD207" s="176"/>
      <c r="BE207" s="176"/>
      <c r="BF207" s="176"/>
      <c r="BG207" s="176"/>
      <c r="BH207" s="176"/>
      <c r="BI207" s="176"/>
      <c r="BJ207" s="176"/>
      <c r="BK207" s="176"/>
      <c r="BL207" s="176"/>
      <c r="BM207" s="176"/>
      <c r="BN207" s="176"/>
      <c r="BO207" s="176"/>
    </row>
    <row r="208" spans="1:67" s="36" customFormat="1" ht="10.5" customHeight="1" x14ac:dyDescent="0.2">
      <c r="A208" s="1042" t="s">
        <v>327</v>
      </c>
      <c r="B208" s="2624"/>
      <c r="C208" s="2625"/>
      <c r="D208" s="2626"/>
      <c r="E208" s="2386"/>
      <c r="F208" s="2387"/>
      <c r="G208" s="1056">
        <v>30</v>
      </c>
      <c r="H208" s="1057"/>
      <c r="I208" s="1079">
        <f t="shared" ref="I208:I221" si="48">IF($O208&gt;0,-PMT(($I$9),$O208,1),0)</f>
        <v>4.6199342169092869E-2</v>
      </c>
      <c r="J208" s="1080">
        <f t="shared" ref="J208:J220" si="49">ROUND(E208*I208,0)</f>
        <v>0</v>
      </c>
      <c r="K208" s="1060">
        <v>0.5</v>
      </c>
      <c r="L208" s="1304"/>
      <c r="M208" s="1085">
        <f t="shared" ref="M208:M221" si="50">ROUND(E208/100*IF(ISBLANK(L208),K208,L208),0)</f>
        <v>0</v>
      </c>
      <c r="N208" s="505"/>
      <c r="O208" s="365">
        <f t="shared" ref="O208:O221" si="51">IF(ISBLANK(H208),G208,H208)</f>
        <v>30</v>
      </c>
      <c r="P208" s="366"/>
      <c r="Q208" s="135"/>
      <c r="R208" s="136"/>
      <c r="S208" s="129"/>
      <c r="T208" s="129"/>
      <c r="U208" s="129"/>
      <c r="V208" s="129"/>
      <c r="W208" s="129"/>
      <c r="X208" s="129"/>
      <c r="Y208" s="129"/>
      <c r="Z208" s="133"/>
      <c r="AA208" s="133"/>
      <c r="AB208" s="133"/>
      <c r="AC208" s="133"/>
      <c r="AD208" s="133"/>
      <c r="AE208" s="133"/>
      <c r="AF208" s="222"/>
      <c r="AG208" s="222"/>
      <c r="AH208" s="222"/>
      <c r="AI208" s="176"/>
      <c r="AJ208" s="176"/>
      <c r="AK208" s="176"/>
      <c r="AL208" s="176"/>
      <c r="AM208" s="176"/>
      <c r="AN208" s="176"/>
      <c r="AO208" s="176"/>
      <c r="AP208" s="176"/>
      <c r="AQ208" s="176"/>
      <c r="AR208" s="176"/>
      <c r="AS208" s="176"/>
      <c r="AT208" s="176"/>
      <c r="AU208" s="176"/>
      <c r="AV208" s="176"/>
      <c r="AW208" s="176"/>
      <c r="AX208" s="176"/>
      <c r="AY208" s="176"/>
      <c r="AZ208" s="176"/>
      <c r="BA208" s="176"/>
      <c r="BB208" s="176"/>
      <c r="BC208" s="176"/>
      <c r="BD208" s="176"/>
      <c r="BE208" s="176"/>
      <c r="BF208" s="176"/>
      <c r="BG208" s="176"/>
      <c r="BH208" s="176"/>
      <c r="BI208" s="176"/>
      <c r="BJ208" s="176"/>
      <c r="BK208" s="176"/>
      <c r="BL208" s="176"/>
      <c r="BM208" s="176"/>
      <c r="BN208" s="176"/>
      <c r="BO208" s="176"/>
    </row>
    <row r="209" spans="1:67" s="36" customFormat="1" ht="10.5" customHeight="1" x14ac:dyDescent="0.2">
      <c r="A209" s="1043" t="s">
        <v>328</v>
      </c>
      <c r="B209" s="2594"/>
      <c r="C209" s="2595"/>
      <c r="D209" s="2596"/>
      <c r="E209" s="2395"/>
      <c r="F209" s="2396"/>
      <c r="G209" s="1058">
        <v>30</v>
      </c>
      <c r="H209" s="1059"/>
      <c r="I209" s="1081">
        <f t="shared" si="48"/>
        <v>4.6199342169092869E-2</v>
      </c>
      <c r="J209" s="1082">
        <f t="shared" si="49"/>
        <v>0</v>
      </c>
      <c r="K209" s="1061">
        <v>1.5</v>
      </c>
      <c r="L209" s="1305"/>
      <c r="M209" s="1086">
        <f t="shared" si="50"/>
        <v>0</v>
      </c>
      <c r="N209" s="505"/>
      <c r="O209" s="365">
        <f t="shared" si="51"/>
        <v>30</v>
      </c>
      <c r="P209" s="366"/>
      <c r="Q209" s="135"/>
      <c r="R209" s="136"/>
      <c r="S209" s="129"/>
      <c r="T209" s="129"/>
      <c r="U209" s="129"/>
      <c r="V209" s="129"/>
      <c r="W209" s="129"/>
      <c r="X209" s="129"/>
      <c r="Y209" s="129"/>
      <c r="Z209" s="133"/>
      <c r="AA209" s="133"/>
      <c r="AB209" s="133"/>
      <c r="AC209" s="133"/>
      <c r="AD209" s="133"/>
      <c r="AE209" s="133"/>
      <c r="AF209" s="222"/>
      <c r="AG209" s="222"/>
      <c r="AH209" s="222"/>
      <c r="AI209" s="176"/>
      <c r="AJ209" s="176"/>
      <c r="AK209" s="176"/>
      <c r="AL209" s="176"/>
      <c r="AM209" s="176"/>
      <c r="AN209" s="176"/>
      <c r="AO209" s="176"/>
      <c r="AP209" s="176"/>
      <c r="AQ209" s="176"/>
      <c r="AR209" s="176"/>
      <c r="AS209" s="176"/>
      <c r="AT209" s="176"/>
      <c r="AU209" s="176"/>
      <c r="AV209" s="176"/>
      <c r="AW209" s="176"/>
      <c r="AX209" s="176"/>
      <c r="AY209" s="176"/>
      <c r="AZ209" s="176"/>
      <c r="BA209" s="176"/>
      <c r="BB209" s="176"/>
      <c r="BC209" s="176"/>
      <c r="BD209" s="176"/>
      <c r="BE209" s="176"/>
      <c r="BF209" s="176"/>
      <c r="BG209" s="176"/>
      <c r="BH209" s="176"/>
      <c r="BI209" s="176"/>
      <c r="BJ209" s="176"/>
      <c r="BK209" s="176"/>
      <c r="BL209" s="176"/>
      <c r="BM209" s="176"/>
      <c r="BN209" s="176"/>
      <c r="BO209" s="176"/>
    </row>
    <row r="210" spans="1:67" s="36" customFormat="1" ht="10.5" customHeight="1" x14ac:dyDescent="0.2">
      <c r="A210" s="1043" t="s">
        <v>329</v>
      </c>
      <c r="B210" s="2594"/>
      <c r="C210" s="2595"/>
      <c r="D210" s="2596"/>
      <c r="E210" s="2395"/>
      <c r="F210" s="2396"/>
      <c r="G210" s="1058">
        <v>30</v>
      </c>
      <c r="H210" s="1059"/>
      <c r="I210" s="1081">
        <f t="shared" si="48"/>
        <v>4.6199342169092869E-2</v>
      </c>
      <c r="J210" s="1082">
        <f t="shared" si="49"/>
        <v>0</v>
      </c>
      <c r="K210" s="1061">
        <v>1.5</v>
      </c>
      <c r="L210" s="1305"/>
      <c r="M210" s="1086">
        <f t="shared" si="50"/>
        <v>0</v>
      </c>
      <c r="N210" s="505"/>
      <c r="O210" s="365">
        <f t="shared" si="51"/>
        <v>30</v>
      </c>
      <c r="P210" s="366"/>
      <c r="Q210" s="135"/>
      <c r="R210" s="136"/>
      <c r="S210" s="129"/>
      <c r="T210" s="129"/>
      <c r="U210" s="129"/>
      <c r="V210" s="129"/>
      <c r="W210" s="129"/>
      <c r="X210" s="129"/>
      <c r="Y210" s="129"/>
      <c r="Z210" s="133"/>
      <c r="AA210" s="133"/>
      <c r="AB210" s="133"/>
      <c r="AC210" s="133"/>
      <c r="AD210" s="133"/>
      <c r="AE210" s="133"/>
      <c r="AF210" s="222"/>
      <c r="AG210" s="222"/>
      <c r="AH210" s="222"/>
      <c r="AI210" s="176"/>
      <c r="AJ210" s="176"/>
      <c r="AK210" s="176"/>
      <c r="AL210" s="176"/>
      <c r="AM210" s="176"/>
      <c r="AN210" s="176"/>
      <c r="AO210" s="176"/>
      <c r="AP210" s="176"/>
      <c r="AQ210" s="176"/>
      <c r="AR210" s="176"/>
      <c r="AS210" s="176"/>
      <c r="AT210" s="176"/>
      <c r="AU210" s="176"/>
      <c r="AV210" s="176"/>
      <c r="AW210" s="176"/>
      <c r="AX210" s="176"/>
      <c r="AY210" s="176"/>
      <c r="AZ210" s="176"/>
      <c r="BA210" s="176"/>
      <c r="BB210" s="176"/>
      <c r="BC210" s="176"/>
      <c r="BD210" s="176"/>
      <c r="BE210" s="176"/>
      <c r="BF210" s="176"/>
      <c r="BG210" s="176"/>
      <c r="BH210" s="176"/>
      <c r="BI210" s="176"/>
      <c r="BJ210" s="176"/>
      <c r="BK210" s="176"/>
      <c r="BL210" s="176"/>
      <c r="BM210" s="176"/>
      <c r="BN210" s="176"/>
      <c r="BO210" s="176"/>
    </row>
    <row r="211" spans="1:67" s="36" customFormat="1" ht="10.5" customHeight="1" x14ac:dyDescent="0.2">
      <c r="A211" s="1043" t="s">
        <v>400</v>
      </c>
      <c r="B211" s="2594"/>
      <c r="C211" s="2595"/>
      <c r="D211" s="2596"/>
      <c r="E211" s="2395"/>
      <c r="F211" s="2396"/>
      <c r="G211" s="1058">
        <v>30</v>
      </c>
      <c r="H211" s="1059"/>
      <c r="I211" s="1081">
        <f t="shared" si="48"/>
        <v>4.6199342169092869E-2</v>
      </c>
      <c r="J211" s="1082">
        <f t="shared" si="49"/>
        <v>0</v>
      </c>
      <c r="K211" s="1061">
        <v>1.5</v>
      </c>
      <c r="L211" s="1305"/>
      <c r="M211" s="1086">
        <f t="shared" si="50"/>
        <v>0</v>
      </c>
      <c r="N211" s="505"/>
      <c r="O211" s="365">
        <f t="shared" si="51"/>
        <v>30</v>
      </c>
      <c r="P211" s="366"/>
      <c r="Q211" s="135"/>
      <c r="R211" s="136"/>
      <c r="S211" s="129"/>
      <c r="T211" s="129"/>
      <c r="U211" s="129"/>
      <c r="V211" s="129"/>
      <c r="W211" s="129"/>
      <c r="X211" s="129"/>
      <c r="Y211" s="129"/>
      <c r="Z211" s="133"/>
      <c r="AA211" s="133"/>
      <c r="AB211" s="133"/>
      <c r="AC211" s="133"/>
      <c r="AD211" s="133"/>
      <c r="AE211" s="133"/>
      <c r="AF211" s="222"/>
      <c r="AG211" s="222"/>
      <c r="AH211" s="222"/>
      <c r="AI211" s="176"/>
      <c r="AJ211" s="176"/>
      <c r="AK211" s="176"/>
      <c r="AL211" s="176"/>
      <c r="AM211" s="176"/>
      <c r="AN211" s="176"/>
      <c r="AO211" s="176"/>
      <c r="AP211" s="176"/>
      <c r="AQ211" s="176"/>
      <c r="AR211" s="176"/>
      <c r="AS211" s="176"/>
      <c r="AT211" s="176"/>
      <c r="AU211" s="176"/>
      <c r="AV211" s="176"/>
      <c r="AW211" s="176"/>
      <c r="AX211" s="176"/>
      <c r="AY211" s="176"/>
      <c r="AZ211" s="176"/>
      <c r="BA211" s="176"/>
      <c r="BB211" s="176"/>
      <c r="BC211" s="176"/>
      <c r="BD211" s="176"/>
      <c r="BE211" s="176"/>
      <c r="BF211" s="176"/>
      <c r="BG211" s="176"/>
      <c r="BH211" s="176"/>
      <c r="BI211" s="176"/>
      <c r="BJ211" s="176"/>
      <c r="BK211" s="176"/>
      <c r="BL211" s="176"/>
      <c r="BM211" s="176"/>
      <c r="BN211" s="176"/>
      <c r="BO211" s="176"/>
    </row>
    <row r="212" spans="1:67" s="36" customFormat="1" ht="10.5" customHeight="1" x14ac:dyDescent="0.2">
      <c r="A212" s="1043" t="s">
        <v>401</v>
      </c>
      <c r="B212" s="2594"/>
      <c r="C212" s="2595"/>
      <c r="D212" s="2596"/>
      <c r="E212" s="2395"/>
      <c r="F212" s="2396"/>
      <c r="G212" s="1058">
        <v>30</v>
      </c>
      <c r="H212" s="1059"/>
      <c r="I212" s="1081">
        <f t="shared" si="48"/>
        <v>4.6199342169092869E-2</v>
      </c>
      <c r="J212" s="1082">
        <f t="shared" si="49"/>
        <v>0</v>
      </c>
      <c r="K212" s="1061">
        <v>1.5</v>
      </c>
      <c r="L212" s="1305"/>
      <c r="M212" s="1086">
        <f t="shared" si="50"/>
        <v>0</v>
      </c>
      <c r="N212" s="505"/>
      <c r="O212" s="365">
        <f t="shared" si="51"/>
        <v>30</v>
      </c>
      <c r="P212" s="366"/>
      <c r="Q212" s="135"/>
      <c r="R212" s="136"/>
      <c r="S212" s="129"/>
      <c r="T212" s="129"/>
      <c r="U212" s="129"/>
      <c r="V212" s="129"/>
      <c r="W212" s="129"/>
      <c r="X212" s="129"/>
      <c r="Y212" s="129"/>
      <c r="Z212" s="133"/>
      <c r="AA212" s="133"/>
      <c r="AB212" s="133"/>
      <c r="AC212" s="133"/>
      <c r="AD212" s="133"/>
      <c r="AE212" s="133"/>
      <c r="AF212" s="222"/>
      <c r="AG212" s="222"/>
      <c r="AH212" s="222"/>
      <c r="AI212" s="176"/>
      <c r="AJ212" s="176"/>
      <c r="AK212" s="176"/>
      <c r="AL212" s="176"/>
      <c r="AM212" s="176"/>
      <c r="AN212" s="176"/>
      <c r="AO212" s="176"/>
      <c r="AP212" s="176"/>
      <c r="AQ212" s="176"/>
      <c r="AR212" s="176"/>
      <c r="AS212" s="176"/>
      <c r="AT212" s="176"/>
      <c r="AU212" s="176"/>
      <c r="AV212" s="176"/>
      <c r="AW212" s="176"/>
      <c r="AX212" s="176"/>
      <c r="AY212" s="176"/>
      <c r="AZ212" s="176"/>
      <c r="BA212" s="176"/>
      <c r="BB212" s="176"/>
      <c r="BC212" s="176"/>
      <c r="BD212" s="176"/>
      <c r="BE212" s="176"/>
      <c r="BF212" s="176"/>
      <c r="BG212" s="176"/>
      <c r="BH212" s="176"/>
      <c r="BI212" s="176"/>
      <c r="BJ212" s="176"/>
      <c r="BK212" s="176"/>
      <c r="BL212" s="176"/>
      <c r="BM212" s="176"/>
      <c r="BN212" s="176"/>
      <c r="BO212" s="176"/>
    </row>
    <row r="213" spans="1:67" s="36" customFormat="1" ht="10.5" customHeight="1" x14ac:dyDescent="0.2">
      <c r="A213" s="1055"/>
      <c r="B213" s="2594"/>
      <c r="C213" s="2595"/>
      <c r="D213" s="2596"/>
      <c r="E213" s="2395"/>
      <c r="F213" s="2396"/>
      <c r="G213" s="2590"/>
      <c r="H213" s="2591"/>
      <c r="I213" s="1081">
        <f t="shared" si="48"/>
        <v>0</v>
      </c>
      <c r="J213" s="1082">
        <f t="shared" si="49"/>
        <v>0</v>
      </c>
      <c r="K213" s="2588"/>
      <c r="L213" s="2589"/>
      <c r="M213" s="1086">
        <f t="shared" si="50"/>
        <v>0</v>
      </c>
      <c r="N213" s="505"/>
      <c r="O213" s="365">
        <f t="shared" si="51"/>
        <v>0</v>
      </c>
      <c r="P213" s="366"/>
      <c r="Q213" s="135"/>
      <c r="R213" s="136"/>
      <c r="S213" s="129"/>
      <c r="T213" s="129"/>
      <c r="U213" s="129"/>
      <c r="V213" s="129"/>
      <c r="W213" s="129"/>
      <c r="X213" s="129"/>
      <c r="Y213" s="129"/>
      <c r="Z213" s="133"/>
      <c r="AA213" s="133"/>
      <c r="AB213" s="133"/>
      <c r="AC213" s="133"/>
      <c r="AD213" s="133"/>
      <c r="AE213" s="133"/>
      <c r="AF213" s="222"/>
      <c r="AG213" s="222"/>
      <c r="AH213" s="222"/>
      <c r="AI213" s="176"/>
      <c r="AJ213" s="176"/>
      <c r="AK213" s="176"/>
      <c r="AL213" s="176"/>
      <c r="AM213" s="176"/>
      <c r="AN213" s="176"/>
      <c r="AO213" s="176"/>
      <c r="AP213" s="176"/>
      <c r="AQ213" s="176"/>
      <c r="AR213" s="176"/>
      <c r="AS213" s="176"/>
      <c r="AT213" s="176"/>
      <c r="AU213" s="176"/>
      <c r="AV213" s="176"/>
      <c r="AW213" s="176"/>
      <c r="AX213" s="176"/>
      <c r="AY213" s="176"/>
      <c r="AZ213" s="176"/>
      <c r="BA213" s="176"/>
      <c r="BB213" s="176"/>
      <c r="BC213" s="176"/>
      <c r="BD213" s="176"/>
      <c r="BE213" s="176"/>
      <c r="BF213" s="176"/>
      <c r="BG213" s="176"/>
      <c r="BH213" s="176"/>
      <c r="BI213" s="176"/>
      <c r="BJ213" s="176"/>
      <c r="BK213" s="176"/>
      <c r="BL213" s="176"/>
      <c r="BM213" s="176"/>
      <c r="BN213" s="176"/>
      <c r="BO213" s="176"/>
    </row>
    <row r="214" spans="1:67" s="36" customFormat="1" ht="10.5" customHeight="1" x14ac:dyDescent="0.2">
      <c r="A214" s="1055"/>
      <c r="B214" s="2594"/>
      <c r="C214" s="2595"/>
      <c r="D214" s="2596"/>
      <c r="E214" s="2395"/>
      <c r="F214" s="2396"/>
      <c r="G214" s="2590"/>
      <c r="H214" s="2591"/>
      <c r="I214" s="1081">
        <f t="shared" si="48"/>
        <v>0</v>
      </c>
      <c r="J214" s="1082">
        <f t="shared" si="49"/>
        <v>0</v>
      </c>
      <c r="K214" s="2588"/>
      <c r="L214" s="2589"/>
      <c r="M214" s="1086">
        <f t="shared" si="50"/>
        <v>0</v>
      </c>
      <c r="N214" s="505"/>
      <c r="O214" s="365">
        <f t="shared" si="51"/>
        <v>0</v>
      </c>
      <c r="P214" s="366"/>
      <c r="Q214" s="135"/>
      <c r="R214" s="136"/>
      <c r="S214" s="129"/>
      <c r="T214" s="129"/>
      <c r="U214" s="129"/>
      <c r="V214" s="129"/>
      <c r="W214" s="129"/>
      <c r="X214" s="129"/>
      <c r="Y214" s="129"/>
      <c r="Z214" s="133"/>
      <c r="AA214" s="133"/>
      <c r="AB214" s="133"/>
      <c r="AC214" s="133"/>
      <c r="AD214" s="133"/>
      <c r="AE214" s="133"/>
      <c r="AF214" s="222"/>
      <c r="AG214" s="222"/>
      <c r="AH214" s="222"/>
      <c r="AI214" s="176"/>
      <c r="AJ214" s="176"/>
      <c r="AK214" s="176"/>
      <c r="AL214" s="176"/>
      <c r="AM214" s="176"/>
      <c r="AN214" s="176"/>
      <c r="AO214" s="176"/>
      <c r="AP214" s="176"/>
      <c r="AQ214" s="176"/>
      <c r="AR214" s="176"/>
      <c r="AS214" s="176"/>
      <c r="AT214" s="176"/>
      <c r="AU214" s="176"/>
      <c r="AV214" s="176"/>
      <c r="AW214" s="176"/>
      <c r="AX214" s="176"/>
      <c r="AY214" s="176"/>
      <c r="AZ214" s="176"/>
      <c r="BA214" s="176"/>
      <c r="BB214" s="176"/>
      <c r="BC214" s="176"/>
      <c r="BD214" s="176"/>
      <c r="BE214" s="176"/>
      <c r="BF214" s="176"/>
      <c r="BG214" s="176"/>
      <c r="BH214" s="176"/>
      <c r="BI214" s="176"/>
      <c r="BJ214" s="176"/>
      <c r="BK214" s="176"/>
      <c r="BL214" s="176"/>
      <c r="BM214" s="176"/>
      <c r="BN214" s="176"/>
      <c r="BO214" s="176"/>
    </row>
    <row r="215" spans="1:67" s="36" customFormat="1" ht="10.5" customHeight="1" x14ac:dyDescent="0.2">
      <c r="A215" s="1055"/>
      <c r="B215" s="2594"/>
      <c r="C215" s="2595"/>
      <c r="D215" s="2596"/>
      <c r="E215" s="2395"/>
      <c r="F215" s="2396"/>
      <c r="G215" s="2590"/>
      <c r="H215" s="2591"/>
      <c r="I215" s="1081">
        <f t="shared" si="48"/>
        <v>0</v>
      </c>
      <c r="J215" s="1082">
        <f t="shared" si="49"/>
        <v>0</v>
      </c>
      <c r="K215" s="2588"/>
      <c r="L215" s="2589"/>
      <c r="M215" s="1086">
        <f t="shared" si="50"/>
        <v>0</v>
      </c>
      <c r="N215" s="505"/>
      <c r="O215" s="365">
        <f t="shared" si="51"/>
        <v>0</v>
      </c>
      <c r="P215" s="366"/>
      <c r="Q215" s="135"/>
      <c r="R215" s="136"/>
      <c r="S215" s="129"/>
      <c r="T215" s="129"/>
      <c r="U215" s="129"/>
      <c r="V215" s="129"/>
      <c r="W215" s="129"/>
      <c r="X215" s="129"/>
      <c r="Y215" s="129"/>
      <c r="Z215" s="133"/>
      <c r="AA215" s="133"/>
      <c r="AB215" s="133"/>
      <c r="AC215" s="133"/>
      <c r="AD215" s="133"/>
      <c r="AE215" s="133"/>
      <c r="AF215" s="222"/>
      <c r="AG215" s="222"/>
      <c r="AH215" s="222"/>
      <c r="AI215" s="176"/>
      <c r="AJ215" s="176"/>
      <c r="AK215" s="176"/>
      <c r="AL215" s="176"/>
      <c r="AM215" s="176"/>
      <c r="AN215" s="176"/>
      <c r="AO215" s="176"/>
      <c r="AP215" s="176"/>
      <c r="AQ215" s="176"/>
      <c r="AR215" s="176"/>
      <c r="AS215" s="176"/>
      <c r="AT215" s="176"/>
      <c r="AU215" s="176"/>
      <c r="AV215" s="176"/>
      <c r="AW215" s="176"/>
      <c r="AX215" s="176"/>
      <c r="AY215" s="176"/>
      <c r="AZ215" s="176"/>
      <c r="BA215" s="176"/>
      <c r="BB215" s="176"/>
      <c r="BC215" s="176"/>
      <c r="BD215" s="176"/>
      <c r="BE215" s="176"/>
      <c r="BF215" s="176"/>
      <c r="BG215" s="176"/>
      <c r="BH215" s="176"/>
      <c r="BI215" s="176"/>
      <c r="BJ215" s="176"/>
      <c r="BK215" s="176"/>
      <c r="BL215" s="176"/>
      <c r="BM215" s="176"/>
      <c r="BN215" s="176"/>
      <c r="BO215" s="176"/>
    </row>
    <row r="216" spans="1:67" s="36" customFormat="1" ht="10.5" customHeight="1" x14ac:dyDescent="0.2">
      <c r="A216" s="1055"/>
      <c r="B216" s="2594"/>
      <c r="C216" s="2595"/>
      <c r="D216" s="2596"/>
      <c r="E216" s="2395"/>
      <c r="F216" s="2396"/>
      <c r="G216" s="2590"/>
      <c r="H216" s="2591"/>
      <c r="I216" s="1081">
        <f t="shared" si="48"/>
        <v>0</v>
      </c>
      <c r="J216" s="1082">
        <f t="shared" si="49"/>
        <v>0</v>
      </c>
      <c r="K216" s="2588"/>
      <c r="L216" s="2589"/>
      <c r="M216" s="1086">
        <f t="shared" si="50"/>
        <v>0</v>
      </c>
      <c r="N216" s="505"/>
      <c r="O216" s="365">
        <f t="shared" si="51"/>
        <v>0</v>
      </c>
      <c r="P216" s="366"/>
      <c r="Q216" s="135"/>
      <c r="R216" s="136"/>
      <c r="S216" s="129"/>
      <c r="T216" s="129"/>
      <c r="U216" s="129"/>
      <c r="V216" s="129"/>
      <c r="W216" s="129"/>
      <c r="X216" s="129"/>
      <c r="Y216" s="129"/>
      <c r="Z216" s="133"/>
      <c r="AA216" s="133"/>
      <c r="AB216" s="133"/>
      <c r="AC216" s="133"/>
      <c r="AD216" s="133"/>
      <c r="AE216" s="133"/>
      <c r="AF216" s="222"/>
      <c r="AG216" s="222"/>
      <c r="AH216" s="222"/>
      <c r="AI216" s="176"/>
      <c r="AJ216" s="176"/>
      <c r="AK216" s="176"/>
      <c r="AL216" s="176"/>
      <c r="AM216" s="176"/>
      <c r="AN216" s="176"/>
      <c r="AO216" s="176"/>
      <c r="AP216" s="176"/>
      <c r="AQ216" s="176"/>
      <c r="AR216" s="176"/>
      <c r="AS216" s="176"/>
      <c r="AT216" s="176"/>
      <c r="AU216" s="176"/>
      <c r="AV216" s="176"/>
      <c r="AW216" s="176"/>
      <c r="AX216" s="176"/>
      <c r="AY216" s="176"/>
      <c r="AZ216" s="176"/>
      <c r="BA216" s="176"/>
      <c r="BB216" s="176"/>
      <c r="BC216" s="176"/>
      <c r="BD216" s="176"/>
      <c r="BE216" s="176"/>
      <c r="BF216" s="176"/>
      <c r="BG216" s="176"/>
      <c r="BH216" s="176"/>
      <c r="BI216" s="176"/>
      <c r="BJ216" s="176"/>
      <c r="BK216" s="176"/>
      <c r="BL216" s="176"/>
      <c r="BM216" s="176"/>
      <c r="BN216" s="176"/>
      <c r="BO216" s="176"/>
    </row>
    <row r="217" spans="1:67" s="36" customFormat="1" ht="10.5" customHeight="1" x14ac:dyDescent="0.2">
      <c r="A217" s="1055"/>
      <c r="B217" s="2594"/>
      <c r="C217" s="2595"/>
      <c r="D217" s="2596"/>
      <c r="E217" s="2395"/>
      <c r="F217" s="2396"/>
      <c r="G217" s="2590"/>
      <c r="H217" s="2591"/>
      <c r="I217" s="1081">
        <f t="shared" si="48"/>
        <v>0</v>
      </c>
      <c r="J217" s="1082">
        <f t="shared" si="49"/>
        <v>0</v>
      </c>
      <c r="K217" s="2588"/>
      <c r="L217" s="2589"/>
      <c r="M217" s="1086">
        <f t="shared" si="50"/>
        <v>0</v>
      </c>
      <c r="N217" s="505"/>
      <c r="O217" s="365">
        <f t="shared" si="51"/>
        <v>0</v>
      </c>
      <c r="P217" s="366"/>
      <c r="Q217" s="135"/>
      <c r="R217" s="136"/>
      <c r="S217" s="129"/>
      <c r="T217" s="129"/>
      <c r="U217" s="129"/>
      <c r="V217" s="129"/>
      <c r="W217" s="129"/>
      <c r="X217" s="129"/>
      <c r="Y217" s="129"/>
      <c r="Z217" s="133"/>
      <c r="AA217" s="133"/>
      <c r="AB217" s="133"/>
      <c r="AC217" s="133"/>
      <c r="AD217" s="133"/>
      <c r="AE217" s="133"/>
      <c r="AF217" s="222"/>
      <c r="AG217" s="222"/>
      <c r="AH217" s="222"/>
      <c r="AI217" s="176"/>
      <c r="AJ217" s="176"/>
      <c r="AK217" s="176"/>
      <c r="AL217" s="176"/>
      <c r="AM217" s="176"/>
      <c r="AN217" s="176"/>
      <c r="AO217" s="176"/>
      <c r="AP217" s="176"/>
      <c r="AQ217" s="176"/>
      <c r="AR217" s="176"/>
      <c r="AS217" s="176"/>
      <c r="AT217" s="176"/>
      <c r="AU217" s="176"/>
      <c r="AV217" s="176"/>
      <c r="AW217" s="176"/>
      <c r="AX217" s="176"/>
      <c r="AY217" s="176"/>
      <c r="AZ217" s="176"/>
      <c r="BA217" s="176"/>
      <c r="BB217" s="176"/>
      <c r="BC217" s="176"/>
      <c r="BD217" s="176"/>
      <c r="BE217" s="176"/>
      <c r="BF217" s="176"/>
      <c r="BG217" s="176"/>
      <c r="BH217" s="176"/>
      <c r="BI217" s="176"/>
      <c r="BJ217" s="176"/>
      <c r="BK217" s="176"/>
      <c r="BL217" s="176"/>
      <c r="BM217" s="176"/>
      <c r="BN217" s="176"/>
      <c r="BO217" s="176"/>
    </row>
    <row r="218" spans="1:67" s="36" customFormat="1" ht="10.5" customHeight="1" x14ac:dyDescent="0.2">
      <c r="A218" s="1055"/>
      <c r="B218" s="2594"/>
      <c r="C218" s="2595"/>
      <c r="D218" s="2596"/>
      <c r="E218" s="2395"/>
      <c r="F218" s="2396"/>
      <c r="G218" s="2590"/>
      <c r="H218" s="2591"/>
      <c r="I218" s="1081">
        <f t="shared" si="48"/>
        <v>0</v>
      </c>
      <c r="J218" s="1082">
        <f t="shared" si="49"/>
        <v>0</v>
      </c>
      <c r="K218" s="2588"/>
      <c r="L218" s="2589"/>
      <c r="M218" s="1086">
        <f t="shared" si="50"/>
        <v>0</v>
      </c>
      <c r="N218" s="505"/>
      <c r="O218" s="365">
        <f t="shared" si="51"/>
        <v>0</v>
      </c>
      <c r="P218" s="366"/>
      <c r="Q218" s="135"/>
      <c r="R218" s="136"/>
      <c r="S218" s="129"/>
      <c r="T218" s="129"/>
      <c r="U218" s="129"/>
      <c r="V218" s="129"/>
      <c r="W218" s="129"/>
      <c r="X218" s="129"/>
      <c r="Y218" s="129"/>
      <c r="Z218" s="133"/>
      <c r="AA218" s="133"/>
      <c r="AB218" s="133"/>
      <c r="AC218" s="133"/>
      <c r="AD218" s="133"/>
      <c r="AE218" s="133"/>
      <c r="AF218" s="222"/>
      <c r="AG218" s="222"/>
      <c r="AH218" s="222"/>
      <c r="AI218" s="176"/>
      <c r="AJ218" s="176"/>
      <c r="AK218" s="176"/>
      <c r="AL218" s="176"/>
      <c r="AM218" s="176"/>
      <c r="AN218" s="176"/>
      <c r="AO218" s="176"/>
      <c r="AP218" s="176"/>
      <c r="AQ218" s="176"/>
      <c r="AR218" s="176"/>
      <c r="AS218" s="176"/>
      <c r="AT218" s="176"/>
      <c r="AU218" s="176"/>
      <c r="AV218" s="176"/>
      <c r="AW218" s="176"/>
      <c r="AX218" s="176"/>
      <c r="AY218" s="176"/>
      <c r="AZ218" s="176"/>
      <c r="BA218" s="176"/>
      <c r="BB218" s="176"/>
      <c r="BC218" s="176"/>
      <c r="BD218" s="176"/>
      <c r="BE218" s="176"/>
      <c r="BF218" s="176"/>
      <c r="BG218" s="176"/>
      <c r="BH218" s="176"/>
      <c r="BI218" s="176"/>
      <c r="BJ218" s="176"/>
      <c r="BK218" s="176"/>
      <c r="BL218" s="176"/>
      <c r="BM218" s="176"/>
      <c r="BN218" s="176"/>
      <c r="BO218" s="176"/>
    </row>
    <row r="219" spans="1:67" s="36" customFormat="1" ht="10.5" customHeight="1" x14ac:dyDescent="0.2">
      <c r="A219" s="1055"/>
      <c r="B219" s="2594"/>
      <c r="C219" s="2595"/>
      <c r="D219" s="2596"/>
      <c r="E219" s="2395"/>
      <c r="F219" s="2396"/>
      <c r="G219" s="2590"/>
      <c r="H219" s="2591"/>
      <c r="I219" s="1081">
        <f t="shared" si="48"/>
        <v>0</v>
      </c>
      <c r="J219" s="1082">
        <f t="shared" si="49"/>
        <v>0</v>
      </c>
      <c r="K219" s="2588"/>
      <c r="L219" s="2589"/>
      <c r="M219" s="1086">
        <f t="shared" si="50"/>
        <v>0</v>
      </c>
      <c r="N219" s="505"/>
      <c r="O219" s="365">
        <f t="shared" si="51"/>
        <v>0</v>
      </c>
      <c r="P219" s="366"/>
      <c r="Q219" s="135"/>
      <c r="R219" s="136"/>
      <c r="S219" s="129"/>
      <c r="T219" s="129"/>
      <c r="U219" s="129"/>
      <c r="V219" s="129"/>
      <c r="W219" s="129"/>
      <c r="X219" s="129"/>
      <c r="Y219" s="129"/>
      <c r="Z219" s="133"/>
      <c r="AA219" s="133"/>
      <c r="AB219" s="133"/>
      <c r="AC219" s="133"/>
      <c r="AD219" s="133"/>
      <c r="AE219" s="133"/>
      <c r="AF219" s="222"/>
      <c r="AG219" s="222"/>
      <c r="AH219" s="222"/>
      <c r="AI219" s="176"/>
      <c r="AJ219" s="176"/>
      <c r="AK219" s="176"/>
      <c r="AL219" s="176"/>
      <c r="AM219" s="176"/>
      <c r="AN219" s="176"/>
      <c r="AO219" s="176"/>
      <c r="AP219" s="176"/>
      <c r="AQ219" s="176"/>
      <c r="AR219" s="176"/>
      <c r="AS219" s="176"/>
      <c r="AT219" s="176"/>
      <c r="AU219" s="176"/>
      <c r="AV219" s="176"/>
      <c r="AW219" s="176"/>
      <c r="AX219" s="176"/>
      <c r="AY219" s="176"/>
      <c r="AZ219" s="176"/>
      <c r="BA219" s="176"/>
      <c r="BB219" s="176"/>
      <c r="BC219" s="176"/>
      <c r="BD219" s="176"/>
      <c r="BE219" s="176"/>
      <c r="BF219" s="176"/>
      <c r="BG219" s="176"/>
      <c r="BH219" s="176"/>
      <c r="BI219" s="176"/>
      <c r="BJ219" s="176"/>
      <c r="BK219" s="176"/>
      <c r="BL219" s="176"/>
      <c r="BM219" s="176"/>
      <c r="BN219" s="176"/>
      <c r="BO219" s="176"/>
    </row>
    <row r="220" spans="1:67" s="36" customFormat="1" ht="10.5" customHeight="1" x14ac:dyDescent="0.2">
      <c r="A220" s="1055"/>
      <c r="B220" s="2594"/>
      <c r="C220" s="2595"/>
      <c r="D220" s="2596"/>
      <c r="E220" s="2395"/>
      <c r="F220" s="2396"/>
      <c r="G220" s="2590"/>
      <c r="H220" s="2591"/>
      <c r="I220" s="1081">
        <f t="shared" si="48"/>
        <v>0</v>
      </c>
      <c r="J220" s="1082">
        <f t="shared" si="49"/>
        <v>0</v>
      </c>
      <c r="K220" s="2588"/>
      <c r="L220" s="2589"/>
      <c r="M220" s="1086">
        <f t="shared" si="50"/>
        <v>0</v>
      </c>
      <c r="N220" s="505"/>
      <c r="O220" s="365">
        <f t="shared" si="51"/>
        <v>0</v>
      </c>
      <c r="P220" s="366"/>
      <c r="Q220" s="135"/>
      <c r="R220" s="136"/>
      <c r="S220" s="129"/>
      <c r="T220" s="129"/>
      <c r="U220" s="129"/>
      <c r="V220" s="129"/>
      <c r="W220" s="129"/>
      <c r="X220" s="129"/>
      <c r="Y220" s="129"/>
      <c r="Z220" s="133"/>
      <c r="AA220" s="133"/>
      <c r="AB220" s="133"/>
      <c r="AC220" s="133"/>
      <c r="AD220" s="133"/>
      <c r="AE220" s="133"/>
      <c r="AF220" s="222"/>
      <c r="AG220" s="222"/>
      <c r="AH220" s="222"/>
      <c r="AI220" s="176"/>
      <c r="AJ220" s="176"/>
      <c r="AK220" s="176"/>
      <c r="AL220" s="176"/>
      <c r="AM220" s="176"/>
      <c r="AN220" s="176"/>
      <c r="AO220" s="176"/>
      <c r="AP220" s="176"/>
      <c r="AQ220" s="176"/>
      <c r="AR220" s="176"/>
      <c r="AS220" s="176"/>
      <c r="AT220" s="176"/>
      <c r="AU220" s="176"/>
      <c r="AV220" s="176"/>
      <c r="AW220" s="176"/>
      <c r="AX220" s="176"/>
      <c r="AY220" s="176"/>
      <c r="AZ220" s="176"/>
      <c r="BA220" s="176"/>
      <c r="BB220" s="176"/>
      <c r="BC220" s="176"/>
      <c r="BD220" s="176"/>
      <c r="BE220" s="176"/>
      <c r="BF220" s="176"/>
      <c r="BG220" s="176"/>
      <c r="BH220" s="176"/>
      <c r="BI220" s="176"/>
      <c r="BJ220" s="176"/>
      <c r="BK220" s="176"/>
      <c r="BL220" s="176"/>
      <c r="BM220" s="176"/>
      <c r="BN220" s="176"/>
      <c r="BO220" s="176"/>
    </row>
    <row r="221" spans="1:67" s="36" customFormat="1" ht="10.5" customHeight="1" x14ac:dyDescent="0.2">
      <c r="A221" s="1348"/>
      <c r="B221" s="2690"/>
      <c r="C221" s="2691"/>
      <c r="D221" s="2692"/>
      <c r="E221" s="2601"/>
      <c r="F221" s="2602"/>
      <c r="G221" s="1088"/>
      <c r="H221" s="1089"/>
      <c r="I221" s="1083">
        <f t="shared" si="48"/>
        <v>0</v>
      </c>
      <c r="J221" s="1084"/>
      <c r="K221" s="1087"/>
      <c r="L221" s="1307"/>
      <c r="M221" s="1317">
        <f t="shared" si="50"/>
        <v>0</v>
      </c>
      <c r="N221" s="505"/>
      <c r="O221" s="365">
        <f t="shared" si="51"/>
        <v>0</v>
      </c>
      <c r="P221" s="366"/>
      <c r="Q221" s="135"/>
      <c r="R221" s="136"/>
      <c r="S221" s="129"/>
      <c r="T221" s="129"/>
      <c r="U221" s="129"/>
      <c r="V221" s="129"/>
      <c r="W221" s="129"/>
      <c r="X221" s="129"/>
      <c r="Y221" s="129"/>
      <c r="Z221" s="133"/>
      <c r="AA221" s="133"/>
      <c r="AB221" s="133"/>
      <c r="AC221" s="133"/>
      <c r="AD221" s="133"/>
      <c r="AE221" s="133"/>
      <c r="AF221" s="222"/>
      <c r="AG221" s="222"/>
      <c r="AH221" s="222"/>
      <c r="AI221" s="176"/>
      <c r="AJ221" s="176"/>
      <c r="AK221" s="176"/>
      <c r="AL221" s="176"/>
      <c r="AM221" s="176"/>
      <c r="AN221" s="176"/>
      <c r="AO221" s="176"/>
      <c r="AP221" s="176"/>
      <c r="AQ221" s="176"/>
      <c r="AR221" s="176"/>
      <c r="AS221" s="176"/>
      <c r="AT221" s="176"/>
      <c r="AU221" s="176"/>
      <c r="AV221" s="176"/>
      <c r="AW221" s="176"/>
      <c r="AX221" s="176"/>
      <c r="AY221" s="176"/>
      <c r="AZ221" s="176"/>
      <c r="BA221" s="176"/>
      <c r="BB221" s="176"/>
      <c r="BC221" s="176"/>
      <c r="BD221" s="176"/>
      <c r="BE221" s="176"/>
      <c r="BF221" s="176"/>
      <c r="BG221" s="176"/>
      <c r="BH221" s="176"/>
      <c r="BI221" s="176"/>
      <c r="BJ221" s="176"/>
      <c r="BK221" s="176"/>
      <c r="BL221" s="176"/>
      <c r="BM221" s="176"/>
      <c r="BN221" s="176"/>
      <c r="BO221" s="176"/>
    </row>
    <row r="222" spans="1:67" s="36" customFormat="1" ht="10.5" customHeight="1" x14ac:dyDescent="0.2">
      <c r="A222" s="1345" t="s">
        <v>330</v>
      </c>
      <c r="B222" s="2603"/>
      <c r="C222" s="2604"/>
      <c r="D222" s="2605"/>
      <c r="E222" s="2730">
        <f>SUM(E223:E235)</f>
        <v>0</v>
      </c>
      <c r="F222" s="2731"/>
      <c r="G222" s="2732"/>
      <c r="H222" s="2733"/>
      <c r="I222" s="1121">
        <f>IF(E222=0,0,J222/E222)</f>
        <v>0</v>
      </c>
      <c r="J222" s="1346">
        <f>SUM(J223:J235)</f>
        <v>0</v>
      </c>
      <c r="K222" s="2734">
        <f>IF(E222=0,0,M222/E222*100)</f>
        <v>0</v>
      </c>
      <c r="L222" s="2736"/>
      <c r="M222" s="1347">
        <f>SUM(M223:M235)</f>
        <v>0</v>
      </c>
      <c r="N222" s="505"/>
      <c r="O222" s="178">
        <f>IF(H222="",G222,H222)</f>
        <v>0</v>
      </c>
      <c r="P222" s="366"/>
      <c r="Q222" s="135"/>
      <c r="R222" s="136"/>
      <c r="S222" s="129"/>
      <c r="T222" s="129"/>
      <c r="U222" s="129"/>
      <c r="V222" s="129"/>
      <c r="W222" s="129"/>
      <c r="X222" s="129"/>
      <c r="Y222" s="129"/>
      <c r="Z222" s="133"/>
      <c r="AA222" s="133"/>
      <c r="AB222" s="133"/>
      <c r="AC222" s="133"/>
      <c r="AD222" s="133"/>
      <c r="AE222" s="133"/>
      <c r="AF222" s="222"/>
      <c r="AG222" s="222"/>
      <c r="AH222" s="222"/>
      <c r="AI222" s="176"/>
      <c r="AJ222" s="176"/>
      <c r="AK222" s="176"/>
      <c r="AL222" s="176"/>
      <c r="AM222" s="176"/>
      <c r="AN222" s="176"/>
      <c r="AO222" s="176"/>
      <c r="AP222" s="176"/>
      <c r="AQ222" s="176"/>
      <c r="AR222" s="176"/>
      <c r="AS222" s="176"/>
      <c r="AT222" s="176"/>
      <c r="AU222" s="176"/>
      <c r="AV222" s="176"/>
      <c r="AW222" s="176"/>
      <c r="AX222" s="176"/>
      <c r="AY222" s="176"/>
      <c r="AZ222" s="176"/>
      <c r="BA222" s="176"/>
      <c r="BB222" s="176"/>
      <c r="BC222" s="176"/>
      <c r="BD222" s="176"/>
      <c r="BE222" s="176"/>
      <c r="BF222" s="176"/>
      <c r="BG222" s="176"/>
      <c r="BH222" s="176"/>
      <c r="BI222" s="176"/>
      <c r="BJ222" s="176"/>
      <c r="BK222" s="176"/>
      <c r="BL222" s="176"/>
      <c r="BM222" s="176"/>
      <c r="BN222" s="176"/>
      <c r="BO222" s="176"/>
    </row>
    <row r="223" spans="1:67" s="36" customFormat="1" ht="10.5" customHeight="1" x14ac:dyDescent="0.2">
      <c r="A223" s="1042" t="s">
        <v>331</v>
      </c>
      <c r="B223" s="2624"/>
      <c r="C223" s="2625"/>
      <c r="D223" s="2626"/>
      <c r="E223" s="2386"/>
      <c r="F223" s="2387"/>
      <c r="G223" s="1056">
        <v>30</v>
      </c>
      <c r="H223" s="1057"/>
      <c r="I223" s="1079">
        <f t="shared" ref="I223:I236" si="52">IF($O223&gt;0,-PMT(($I$9),$O223,1),0)</f>
        <v>4.6199342169092869E-2</v>
      </c>
      <c r="J223" s="1080">
        <f t="shared" ref="J223:J235" si="53">ROUND(E223*I223,0)</f>
        <v>0</v>
      </c>
      <c r="K223" s="1060">
        <v>1.5</v>
      </c>
      <c r="L223" s="1304"/>
      <c r="M223" s="1085">
        <f t="shared" ref="M223:M236" si="54">ROUND(E223/100*IF(ISBLANK(L223),K223,L223),0)</f>
        <v>0</v>
      </c>
      <c r="N223" s="505"/>
      <c r="O223" s="365">
        <f t="shared" ref="O223:O236" si="55">IF(ISBLANK(H223),G223,H223)</f>
        <v>30</v>
      </c>
      <c r="P223" s="366"/>
      <c r="Q223" s="135"/>
      <c r="R223" s="136"/>
      <c r="S223" s="129"/>
      <c r="T223" s="129"/>
      <c r="U223" s="129"/>
      <c r="V223" s="129"/>
      <c r="W223" s="129"/>
      <c r="X223" s="129"/>
      <c r="Y223" s="129"/>
      <c r="Z223" s="133"/>
      <c r="AA223" s="133"/>
      <c r="AB223" s="133"/>
      <c r="AC223" s="133"/>
      <c r="AD223" s="133"/>
      <c r="AE223" s="133"/>
      <c r="AF223" s="222"/>
      <c r="AG223" s="222"/>
      <c r="AH223" s="222"/>
      <c r="AI223" s="176"/>
      <c r="AJ223" s="176"/>
      <c r="AK223" s="176"/>
      <c r="AL223" s="176"/>
      <c r="AM223" s="176"/>
      <c r="AN223" s="176"/>
      <c r="AO223" s="176"/>
      <c r="AP223" s="176"/>
      <c r="AQ223" s="176"/>
      <c r="AR223" s="176"/>
      <c r="AS223" s="176"/>
      <c r="AT223" s="176"/>
      <c r="AU223" s="176"/>
      <c r="AV223" s="176"/>
      <c r="AW223" s="176"/>
      <c r="AX223" s="176"/>
      <c r="AY223" s="176"/>
      <c r="AZ223" s="176"/>
      <c r="BA223" s="176"/>
      <c r="BB223" s="176"/>
      <c r="BC223" s="176"/>
      <c r="BD223" s="176"/>
      <c r="BE223" s="176"/>
      <c r="BF223" s="176"/>
      <c r="BG223" s="176"/>
      <c r="BH223" s="176"/>
      <c r="BI223" s="176"/>
      <c r="BJ223" s="176"/>
      <c r="BK223" s="176"/>
      <c r="BL223" s="176"/>
      <c r="BM223" s="176"/>
      <c r="BN223" s="176"/>
      <c r="BO223" s="176"/>
    </row>
    <row r="224" spans="1:67" s="36" customFormat="1" ht="10.5" customHeight="1" x14ac:dyDescent="0.2">
      <c r="A224" s="1043" t="s">
        <v>332</v>
      </c>
      <c r="B224" s="2594"/>
      <c r="C224" s="2595"/>
      <c r="D224" s="2596"/>
      <c r="E224" s="2395"/>
      <c r="F224" s="2396"/>
      <c r="G224" s="1058">
        <v>30</v>
      </c>
      <c r="H224" s="1059"/>
      <c r="I224" s="1081">
        <f t="shared" si="52"/>
        <v>4.6199342169092869E-2</v>
      </c>
      <c r="J224" s="1082">
        <f t="shared" si="53"/>
        <v>0</v>
      </c>
      <c r="K224" s="1061">
        <v>2</v>
      </c>
      <c r="L224" s="1305"/>
      <c r="M224" s="1086">
        <f t="shared" si="54"/>
        <v>0</v>
      </c>
      <c r="N224" s="505"/>
      <c r="O224" s="365">
        <f t="shared" si="55"/>
        <v>30</v>
      </c>
      <c r="P224" s="366"/>
      <c r="Q224" s="135"/>
      <c r="R224" s="136"/>
      <c r="S224" s="129"/>
      <c r="T224" s="129"/>
      <c r="U224" s="129"/>
      <c r="V224" s="129"/>
      <c r="W224" s="129"/>
      <c r="X224" s="129"/>
      <c r="Y224" s="129"/>
      <c r="Z224" s="133"/>
      <c r="AA224" s="133"/>
      <c r="AB224" s="133"/>
      <c r="AC224" s="133"/>
      <c r="AD224" s="133"/>
      <c r="AE224" s="133"/>
      <c r="AF224" s="222"/>
      <c r="AG224" s="222"/>
      <c r="AH224" s="222"/>
      <c r="AI224" s="176"/>
      <c r="AJ224" s="176"/>
      <c r="AK224" s="176"/>
      <c r="AL224" s="176"/>
      <c r="AM224" s="176"/>
      <c r="AN224" s="176"/>
      <c r="AO224" s="176"/>
      <c r="AP224" s="176"/>
      <c r="AQ224" s="176"/>
      <c r="AR224" s="176"/>
      <c r="AS224" s="176"/>
      <c r="AT224" s="176"/>
      <c r="AU224" s="176"/>
      <c r="AV224" s="176"/>
      <c r="AW224" s="176"/>
      <c r="AX224" s="176"/>
      <c r="AY224" s="176"/>
      <c r="AZ224" s="176"/>
      <c r="BA224" s="176"/>
      <c r="BB224" s="176"/>
      <c r="BC224" s="176"/>
      <c r="BD224" s="176"/>
      <c r="BE224" s="176"/>
      <c r="BF224" s="176"/>
      <c r="BG224" s="176"/>
      <c r="BH224" s="176"/>
      <c r="BI224" s="176"/>
      <c r="BJ224" s="176"/>
      <c r="BK224" s="176"/>
      <c r="BL224" s="176"/>
      <c r="BM224" s="176"/>
      <c r="BN224" s="176"/>
      <c r="BO224" s="176"/>
    </row>
    <row r="225" spans="1:67" s="36" customFormat="1" ht="10.5" customHeight="1" x14ac:dyDescent="0.2">
      <c r="A225" s="1043" t="s">
        <v>333</v>
      </c>
      <c r="B225" s="2594"/>
      <c r="C225" s="2595"/>
      <c r="D225" s="2596"/>
      <c r="E225" s="2395"/>
      <c r="F225" s="2396"/>
      <c r="G225" s="1058">
        <v>30</v>
      </c>
      <c r="H225" s="1059"/>
      <c r="I225" s="1081">
        <f t="shared" si="52"/>
        <v>4.6199342169092869E-2</v>
      </c>
      <c r="J225" s="1082">
        <f t="shared" si="53"/>
        <v>0</v>
      </c>
      <c r="K225" s="1061">
        <v>2</v>
      </c>
      <c r="L225" s="1305"/>
      <c r="M225" s="1086">
        <f t="shared" si="54"/>
        <v>0</v>
      </c>
      <c r="N225" s="505"/>
      <c r="O225" s="365">
        <f t="shared" si="55"/>
        <v>30</v>
      </c>
      <c r="P225" s="366"/>
      <c r="Q225" s="135"/>
      <c r="R225" s="136"/>
      <c r="S225" s="129"/>
      <c r="T225" s="129"/>
      <c r="U225" s="129"/>
      <c r="V225" s="129"/>
      <c r="W225" s="129"/>
      <c r="X225" s="129"/>
      <c r="Y225" s="129"/>
      <c r="Z225" s="133"/>
      <c r="AA225" s="133"/>
      <c r="AB225" s="133"/>
      <c r="AC225" s="133"/>
      <c r="AD225" s="133"/>
      <c r="AE225" s="133"/>
      <c r="AF225" s="222"/>
      <c r="AG225" s="222"/>
      <c r="AH225" s="222"/>
      <c r="AI225" s="176"/>
      <c r="AJ225" s="176"/>
      <c r="AK225" s="176"/>
      <c r="AL225" s="176"/>
      <c r="AM225" s="176"/>
      <c r="AN225" s="176"/>
      <c r="AO225" s="176"/>
      <c r="AP225" s="176"/>
      <c r="AQ225" s="176"/>
      <c r="AR225" s="176"/>
      <c r="AS225" s="176"/>
      <c r="AT225" s="176"/>
      <c r="AU225" s="176"/>
      <c r="AV225" s="176"/>
      <c r="AW225" s="176"/>
      <c r="AX225" s="176"/>
      <c r="AY225" s="176"/>
      <c r="AZ225" s="176"/>
      <c r="BA225" s="176"/>
      <c r="BB225" s="176"/>
      <c r="BC225" s="176"/>
      <c r="BD225" s="176"/>
      <c r="BE225" s="176"/>
      <c r="BF225" s="176"/>
      <c r="BG225" s="176"/>
      <c r="BH225" s="176"/>
      <c r="BI225" s="176"/>
      <c r="BJ225" s="176"/>
      <c r="BK225" s="176"/>
      <c r="BL225" s="176"/>
      <c r="BM225" s="176"/>
      <c r="BN225" s="176"/>
      <c r="BO225" s="176"/>
    </row>
    <row r="226" spans="1:67" s="36" customFormat="1" ht="10.5" customHeight="1" x14ac:dyDescent="0.2">
      <c r="A226" s="1043" t="s">
        <v>334</v>
      </c>
      <c r="B226" s="2594"/>
      <c r="C226" s="2595"/>
      <c r="D226" s="2596"/>
      <c r="E226" s="2395"/>
      <c r="F226" s="2396"/>
      <c r="G226" s="1058">
        <v>30</v>
      </c>
      <c r="H226" s="1059"/>
      <c r="I226" s="1081">
        <f t="shared" si="52"/>
        <v>4.6199342169092869E-2</v>
      </c>
      <c r="J226" s="1082">
        <f t="shared" si="53"/>
        <v>0</v>
      </c>
      <c r="K226" s="1061">
        <v>0.5</v>
      </c>
      <c r="L226" s="1305"/>
      <c r="M226" s="1086">
        <f t="shared" si="54"/>
        <v>0</v>
      </c>
      <c r="N226" s="505"/>
      <c r="O226" s="365">
        <f t="shared" si="55"/>
        <v>30</v>
      </c>
      <c r="P226" s="366"/>
      <c r="Q226" s="135"/>
      <c r="R226" s="136"/>
      <c r="S226" s="129"/>
      <c r="T226" s="129"/>
      <c r="U226" s="129"/>
      <c r="V226" s="129"/>
      <c r="W226" s="129"/>
      <c r="X226" s="129"/>
      <c r="Y226" s="129"/>
      <c r="Z226" s="133"/>
      <c r="AA226" s="133"/>
      <c r="AB226" s="133"/>
      <c r="AC226" s="133"/>
      <c r="AD226" s="133"/>
      <c r="AE226" s="133"/>
      <c r="AF226" s="222"/>
      <c r="AG226" s="222"/>
      <c r="AH226" s="222"/>
      <c r="AI226" s="176"/>
      <c r="AJ226" s="176"/>
      <c r="AK226" s="176"/>
      <c r="AL226" s="176"/>
      <c r="AM226" s="176"/>
      <c r="AN226" s="176"/>
      <c r="AO226" s="176"/>
      <c r="AP226" s="176"/>
      <c r="AQ226" s="176"/>
      <c r="AR226" s="176"/>
      <c r="AS226" s="176"/>
      <c r="AT226" s="176"/>
      <c r="AU226" s="176"/>
      <c r="AV226" s="176"/>
      <c r="AW226" s="176"/>
      <c r="AX226" s="176"/>
      <c r="AY226" s="176"/>
      <c r="AZ226" s="176"/>
      <c r="BA226" s="176"/>
      <c r="BB226" s="176"/>
      <c r="BC226" s="176"/>
      <c r="BD226" s="176"/>
      <c r="BE226" s="176"/>
      <c r="BF226" s="176"/>
      <c r="BG226" s="176"/>
      <c r="BH226" s="176"/>
      <c r="BI226" s="176"/>
      <c r="BJ226" s="176"/>
      <c r="BK226" s="176"/>
      <c r="BL226" s="176"/>
      <c r="BM226" s="176"/>
      <c r="BN226" s="176"/>
      <c r="BO226" s="176"/>
    </row>
    <row r="227" spans="1:67" s="36" customFormat="1" ht="10.5" customHeight="1" x14ac:dyDescent="0.2">
      <c r="A227" s="1055"/>
      <c r="B227" s="2594"/>
      <c r="C227" s="2595"/>
      <c r="D227" s="2596"/>
      <c r="E227" s="2395"/>
      <c r="F227" s="2396"/>
      <c r="G227" s="2590"/>
      <c r="H227" s="2591"/>
      <c r="I227" s="1081">
        <f t="shared" si="52"/>
        <v>0</v>
      </c>
      <c r="J227" s="1082">
        <f t="shared" si="53"/>
        <v>0</v>
      </c>
      <c r="K227" s="2588"/>
      <c r="L227" s="2589"/>
      <c r="M227" s="1086">
        <f t="shared" si="54"/>
        <v>0</v>
      </c>
      <c r="N227" s="505"/>
      <c r="O227" s="365">
        <f t="shared" si="55"/>
        <v>0</v>
      </c>
      <c r="P227" s="366"/>
      <c r="Q227" s="135"/>
      <c r="R227" s="136"/>
      <c r="S227" s="129"/>
      <c r="T227" s="129"/>
      <c r="U227" s="129"/>
      <c r="V227" s="129"/>
      <c r="W227" s="129"/>
      <c r="X227" s="129"/>
      <c r="Y227" s="129"/>
      <c r="Z227" s="133"/>
      <c r="AA227" s="133"/>
      <c r="AB227" s="133"/>
      <c r="AC227" s="133"/>
      <c r="AD227" s="133"/>
      <c r="AE227" s="133"/>
      <c r="AF227" s="222"/>
      <c r="AG227" s="222"/>
      <c r="AH227" s="222"/>
      <c r="AI227" s="176"/>
      <c r="AJ227" s="176"/>
      <c r="AK227" s="176"/>
      <c r="AL227" s="176"/>
      <c r="AM227" s="176"/>
      <c r="AN227" s="176"/>
      <c r="AO227" s="176"/>
      <c r="AP227" s="176"/>
      <c r="AQ227" s="176"/>
      <c r="AR227" s="176"/>
      <c r="AS227" s="176"/>
      <c r="AT227" s="176"/>
      <c r="AU227" s="176"/>
      <c r="AV227" s="176"/>
      <c r="AW227" s="176"/>
      <c r="AX227" s="176"/>
      <c r="AY227" s="176"/>
      <c r="AZ227" s="176"/>
      <c r="BA227" s="176"/>
      <c r="BB227" s="176"/>
      <c r="BC227" s="176"/>
      <c r="BD227" s="176"/>
      <c r="BE227" s="176"/>
      <c r="BF227" s="176"/>
      <c r="BG227" s="176"/>
      <c r="BH227" s="176"/>
      <c r="BI227" s="176"/>
      <c r="BJ227" s="176"/>
      <c r="BK227" s="176"/>
      <c r="BL227" s="176"/>
      <c r="BM227" s="176"/>
      <c r="BN227" s="176"/>
      <c r="BO227" s="176"/>
    </row>
    <row r="228" spans="1:67" s="36" customFormat="1" ht="10.5" customHeight="1" x14ac:dyDescent="0.2">
      <c r="A228" s="1055"/>
      <c r="B228" s="2594"/>
      <c r="C228" s="2595"/>
      <c r="D228" s="2596"/>
      <c r="E228" s="2395"/>
      <c r="F228" s="2396"/>
      <c r="G228" s="2590"/>
      <c r="H228" s="2591"/>
      <c r="I228" s="1081">
        <f t="shared" si="52"/>
        <v>0</v>
      </c>
      <c r="J228" s="1082">
        <f t="shared" si="53"/>
        <v>0</v>
      </c>
      <c r="K228" s="2588"/>
      <c r="L228" s="2589"/>
      <c r="M228" s="1086">
        <f t="shared" si="54"/>
        <v>0</v>
      </c>
      <c r="N228" s="505"/>
      <c r="O228" s="365">
        <f t="shared" si="55"/>
        <v>0</v>
      </c>
      <c r="P228" s="366"/>
      <c r="Q228" s="135"/>
      <c r="R228" s="136"/>
      <c r="S228" s="129"/>
      <c r="T228" s="129"/>
      <c r="U228" s="129"/>
      <c r="V228" s="129"/>
      <c r="W228" s="129"/>
      <c r="X228" s="129"/>
      <c r="Y228" s="129"/>
      <c r="Z228" s="133"/>
      <c r="AA228" s="133"/>
      <c r="AB228" s="133"/>
      <c r="AC228" s="133"/>
      <c r="AD228" s="133"/>
      <c r="AE228" s="133"/>
      <c r="AF228" s="222"/>
      <c r="AG228" s="222"/>
      <c r="AH228" s="222"/>
      <c r="AI228" s="176"/>
      <c r="AJ228" s="176"/>
      <c r="AK228" s="176"/>
      <c r="AL228" s="176"/>
      <c r="AM228" s="176"/>
      <c r="AN228" s="176"/>
      <c r="AO228" s="176"/>
      <c r="AP228" s="176"/>
      <c r="AQ228" s="176"/>
      <c r="AR228" s="176"/>
      <c r="AS228" s="176"/>
      <c r="AT228" s="176"/>
      <c r="AU228" s="176"/>
      <c r="AV228" s="176"/>
      <c r="AW228" s="176"/>
      <c r="AX228" s="176"/>
      <c r="AY228" s="176"/>
      <c r="AZ228" s="176"/>
      <c r="BA228" s="176"/>
      <c r="BB228" s="176"/>
      <c r="BC228" s="176"/>
      <c r="BD228" s="176"/>
      <c r="BE228" s="176"/>
      <c r="BF228" s="176"/>
      <c r="BG228" s="176"/>
      <c r="BH228" s="176"/>
      <c r="BI228" s="176"/>
      <c r="BJ228" s="176"/>
      <c r="BK228" s="176"/>
      <c r="BL228" s="176"/>
      <c r="BM228" s="176"/>
      <c r="BN228" s="176"/>
      <c r="BO228" s="176"/>
    </row>
    <row r="229" spans="1:67" s="36" customFormat="1" ht="10.5" customHeight="1" x14ac:dyDescent="0.2">
      <c r="A229" s="1055"/>
      <c r="B229" s="2594"/>
      <c r="C229" s="2595"/>
      <c r="D229" s="2596"/>
      <c r="E229" s="2395"/>
      <c r="F229" s="2396"/>
      <c r="G229" s="2590"/>
      <c r="H229" s="2591"/>
      <c r="I229" s="1081">
        <f t="shared" si="52"/>
        <v>0</v>
      </c>
      <c r="J229" s="1082">
        <f t="shared" si="53"/>
        <v>0</v>
      </c>
      <c r="K229" s="2588"/>
      <c r="L229" s="2589"/>
      <c r="M229" s="1086">
        <f t="shared" si="54"/>
        <v>0</v>
      </c>
      <c r="N229" s="505"/>
      <c r="O229" s="365">
        <f t="shared" si="55"/>
        <v>0</v>
      </c>
      <c r="P229" s="366"/>
      <c r="Q229" s="135"/>
      <c r="R229" s="136"/>
      <c r="S229" s="129"/>
      <c r="T229" s="129"/>
      <c r="U229" s="129"/>
      <c r="V229" s="129"/>
      <c r="W229" s="129"/>
      <c r="X229" s="129"/>
      <c r="Y229" s="129"/>
      <c r="Z229" s="133"/>
      <c r="AA229" s="133"/>
      <c r="AB229" s="133"/>
      <c r="AC229" s="133"/>
      <c r="AD229" s="133"/>
      <c r="AE229" s="133"/>
      <c r="AF229" s="222"/>
      <c r="AG229" s="222"/>
      <c r="AH229" s="222"/>
      <c r="AI229" s="176"/>
      <c r="AJ229" s="176"/>
      <c r="AK229" s="176"/>
      <c r="AL229" s="176"/>
      <c r="AM229" s="176"/>
      <c r="AN229" s="176"/>
      <c r="AO229" s="176"/>
      <c r="AP229" s="176"/>
      <c r="AQ229" s="176"/>
      <c r="AR229" s="176"/>
      <c r="AS229" s="176"/>
      <c r="AT229" s="176"/>
      <c r="AU229" s="176"/>
      <c r="AV229" s="176"/>
      <c r="AW229" s="176"/>
      <c r="AX229" s="176"/>
      <c r="AY229" s="176"/>
      <c r="AZ229" s="176"/>
      <c r="BA229" s="176"/>
      <c r="BB229" s="176"/>
      <c r="BC229" s="176"/>
      <c r="BD229" s="176"/>
      <c r="BE229" s="176"/>
      <c r="BF229" s="176"/>
      <c r="BG229" s="176"/>
      <c r="BH229" s="176"/>
      <c r="BI229" s="176"/>
      <c r="BJ229" s="176"/>
      <c r="BK229" s="176"/>
      <c r="BL229" s="176"/>
      <c r="BM229" s="176"/>
      <c r="BN229" s="176"/>
      <c r="BO229" s="176"/>
    </row>
    <row r="230" spans="1:67" s="36" customFormat="1" ht="10.5" customHeight="1" x14ac:dyDescent="0.2">
      <c r="A230" s="1055"/>
      <c r="B230" s="2594"/>
      <c r="C230" s="2595"/>
      <c r="D230" s="2596"/>
      <c r="E230" s="2395"/>
      <c r="F230" s="2396"/>
      <c r="G230" s="2590"/>
      <c r="H230" s="2591"/>
      <c r="I230" s="1081">
        <f t="shared" si="52"/>
        <v>0</v>
      </c>
      <c r="J230" s="1082">
        <f t="shared" si="53"/>
        <v>0</v>
      </c>
      <c r="K230" s="2588"/>
      <c r="L230" s="2589"/>
      <c r="M230" s="1086">
        <f t="shared" si="54"/>
        <v>0</v>
      </c>
      <c r="N230" s="505"/>
      <c r="O230" s="365">
        <f t="shared" si="55"/>
        <v>0</v>
      </c>
      <c r="P230" s="366"/>
      <c r="Q230" s="135"/>
      <c r="R230" s="136"/>
      <c r="S230" s="129"/>
      <c r="T230" s="129"/>
      <c r="U230" s="129"/>
      <c r="V230" s="129"/>
      <c r="W230" s="129"/>
      <c r="X230" s="129"/>
      <c r="Y230" s="129"/>
      <c r="Z230" s="133"/>
      <c r="AA230" s="133"/>
      <c r="AB230" s="133"/>
      <c r="AC230" s="133"/>
      <c r="AD230" s="133"/>
      <c r="AE230" s="133"/>
      <c r="AF230" s="222"/>
      <c r="AG230" s="222"/>
      <c r="AH230" s="222"/>
      <c r="AI230" s="176"/>
      <c r="AJ230" s="176"/>
      <c r="AK230" s="176"/>
      <c r="AL230" s="176"/>
      <c r="AM230" s="176"/>
      <c r="AN230" s="176"/>
      <c r="AO230" s="176"/>
      <c r="AP230" s="176"/>
      <c r="AQ230" s="176"/>
      <c r="AR230" s="176"/>
      <c r="AS230" s="176"/>
      <c r="AT230" s="176"/>
      <c r="AU230" s="176"/>
      <c r="AV230" s="176"/>
      <c r="AW230" s="176"/>
      <c r="AX230" s="176"/>
      <c r="AY230" s="176"/>
      <c r="AZ230" s="176"/>
      <c r="BA230" s="176"/>
      <c r="BB230" s="176"/>
      <c r="BC230" s="176"/>
      <c r="BD230" s="176"/>
      <c r="BE230" s="176"/>
      <c r="BF230" s="176"/>
      <c r="BG230" s="176"/>
      <c r="BH230" s="176"/>
      <c r="BI230" s="176"/>
      <c r="BJ230" s="176"/>
      <c r="BK230" s="176"/>
      <c r="BL230" s="176"/>
      <c r="BM230" s="176"/>
      <c r="BN230" s="176"/>
      <c r="BO230" s="176"/>
    </row>
    <row r="231" spans="1:67" s="36" customFormat="1" ht="10.5" customHeight="1" x14ac:dyDescent="0.2">
      <c r="A231" s="1055"/>
      <c r="B231" s="2594"/>
      <c r="C231" s="2595"/>
      <c r="D231" s="2596"/>
      <c r="E231" s="2395"/>
      <c r="F231" s="2396"/>
      <c r="G231" s="2590"/>
      <c r="H231" s="2591"/>
      <c r="I231" s="1081">
        <f t="shared" si="52"/>
        <v>0</v>
      </c>
      <c r="J231" s="1082">
        <f t="shared" si="53"/>
        <v>0</v>
      </c>
      <c r="K231" s="2588"/>
      <c r="L231" s="2589"/>
      <c r="M231" s="1086">
        <f t="shared" si="54"/>
        <v>0</v>
      </c>
      <c r="N231" s="505"/>
      <c r="O231" s="365">
        <f t="shared" si="55"/>
        <v>0</v>
      </c>
      <c r="P231" s="366"/>
      <c r="Q231" s="135"/>
      <c r="R231" s="136"/>
      <c r="S231" s="129"/>
      <c r="T231" s="129"/>
      <c r="U231" s="129"/>
      <c r="V231" s="129"/>
      <c r="W231" s="129"/>
      <c r="X231" s="129"/>
      <c r="Y231" s="129"/>
      <c r="Z231" s="133"/>
      <c r="AA231" s="133"/>
      <c r="AB231" s="133"/>
      <c r="AC231" s="133"/>
      <c r="AD231" s="133"/>
      <c r="AE231" s="133"/>
      <c r="AF231" s="222"/>
      <c r="AG231" s="222"/>
      <c r="AH231" s="222"/>
      <c r="AI231" s="176"/>
      <c r="AJ231" s="176"/>
      <c r="AK231" s="176"/>
      <c r="AL231" s="176"/>
      <c r="AM231" s="176"/>
      <c r="AN231" s="176"/>
      <c r="AO231" s="176"/>
      <c r="AP231" s="176"/>
      <c r="AQ231" s="176"/>
      <c r="AR231" s="176"/>
      <c r="AS231" s="176"/>
      <c r="AT231" s="176"/>
      <c r="AU231" s="176"/>
      <c r="AV231" s="176"/>
      <c r="AW231" s="176"/>
      <c r="AX231" s="176"/>
      <c r="AY231" s="176"/>
      <c r="AZ231" s="176"/>
      <c r="BA231" s="176"/>
      <c r="BB231" s="176"/>
      <c r="BC231" s="176"/>
      <c r="BD231" s="176"/>
      <c r="BE231" s="176"/>
      <c r="BF231" s="176"/>
      <c r="BG231" s="176"/>
      <c r="BH231" s="176"/>
      <c r="BI231" s="176"/>
      <c r="BJ231" s="176"/>
      <c r="BK231" s="176"/>
      <c r="BL231" s="176"/>
      <c r="BM231" s="176"/>
      <c r="BN231" s="176"/>
      <c r="BO231" s="176"/>
    </row>
    <row r="232" spans="1:67" s="36" customFormat="1" ht="10.5" customHeight="1" x14ac:dyDescent="0.2">
      <c r="A232" s="1055"/>
      <c r="B232" s="2594"/>
      <c r="C232" s="2595"/>
      <c r="D232" s="2596"/>
      <c r="E232" s="2395"/>
      <c r="F232" s="2396"/>
      <c r="G232" s="2590"/>
      <c r="H232" s="2591"/>
      <c r="I232" s="1081">
        <f t="shared" si="52"/>
        <v>0</v>
      </c>
      <c r="J232" s="1082">
        <f t="shared" si="53"/>
        <v>0</v>
      </c>
      <c r="K232" s="2588"/>
      <c r="L232" s="2589"/>
      <c r="M232" s="1086">
        <f t="shared" si="54"/>
        <v>0</v>
      </c>
      <c r="N232" s="505"/>
      <c r="O232" s="365">
        <f t="shared" si="55"/>
        <v>0</v>
      </c>
      <c r="P232" s="366"/>
      <c r="Q232" s="135"/>
      <c r="R232" s="136"/>
      <c r="S232" s="129"/>
      <c r="T232" s="129"/>
      <c r="U232" s="129"/>
      <c r="V232" s="129"/>
      <c r="W232" s="129"/>
      <c r="X232" s="129"/>
      <c r="Y232" s="129"/>
      <c r="Z232" s="133"/>
      <c r="AA232" s="133"/>
      <c r="AB232" s="133"/>
      <c r="AC232" s="133"/>
      <c r="AD232" s="133"/>
      <c r="AE232" s="133"/>
      <c r="AF232" s="222"/>
      <c r="AG232" s="222"/>
      <c r="AH232" s="222"/>
      <c r="AI232" s="176"/>
      <c r="AJ232" s="176"/>
      <c r="AK232" s="176"/>
      <c r="AL232" s="176"/>
      <c r="AM232" s="176"/>
      <c r="AN232" s="176"/>
      <c r="AO232" s="176"/>
      <c r="AP232" s="176"/>
      <c r="AQ232" s="176"/>
      <c r="AR232" s="176"/>
      <c r="AS232" s="176"/>
      <c r="AT232" s="176"/>
      <c r="AU232" s="176"/>
      <c r="AV232" s="176"/>
      <c r="AW232" s="176"/>
      <c r="AX232" s="176"/>
      <c r="AY232" s="176"/>
      <c r="AZ232" s="176"/>
      <c r="BA232" s="176"/>
      <c r="BB232" s="176"/>
      <c r="BC232" s="176"/>
      <c r="BD232" s="176"/>
      <c r="BE232" s="176"/>
      <c r="BF232" s="176"/>
      <c r="BG232" s="176"/>
      <c r="BH232" s="176"/>
      <c r="BI232" s="176"/>
      <c r="BJ232" s="176"/>
      <c r="BK232" s="176"/>
      <c r="BL232" s="176"/>
      <c r="BM232" s="176"/>
      <c r="BN232" s="176"/>
      <c r="BO232" s="176"/>
    </row>
    <row r="233" spans="1:67" s="36" customFormat="1" ht="10.5" customHeight="1" x14ac:dyDescent="0.2">
      <c r="A233" s="1055"/>
      <c r="B233" s="2594"/>
      <c r="C233" s="2595"/>
      <c r="D233" s="2596"/>
      <c r="E233" s="2395"/>
      <c r="F233" s="2396"/>
      <c r="G233" s="2590"/>
      <c r="H233" s="2591"/>
      <c r="I233" s="1081">
        <f t="shared" si="52"/>
        <v>0</v>
      </c>
      <c r="J233" s="1082">
        <f t="shared" si="53"/>
        <v>0</v>
      </c>
      <c r="K233" s="2588"/>
      <c r="L233" s="2589"/>
      <c r="M233" s="1086">
        <f t="shared" si="54"/>
        <v>0</v>
      </c>
      <c r="N233" s="505"/>
      <c r="O233" s="365">
        <f t="shared" si="55"/>
        <v>0</v>
      </c>
      <c r="P233" s="366"/>
      <c r="Q233" s="135"/>
      <c r="R233" s="136"/>
      <c r="S233" s="129"/>
      <c r="T233" s="129"/>
      <c r="U233" s="129"/>
      <c r="V233" s="129"/>
      <c r="W233" s="129"/>
      <c r="X233" s="129"/>
      <c r="Y233" s="129"/>
      <c r="Z233" s="133"/>
      <c r="AA233" s="133"/>
      <c r="AB233" s="133"/>
      <c r="AC233" s="133"/>
      <c r="AD233" s="133"/>
      <c r="AE233" s="133"/>
      <c r="AF233" s="222"/>
      <c r="AG233" s="222"/>
      <c r="AH233" s="222"/>
      <c r="AI233" s="176"/>
      <c r="AJ233" s="176"/>
      <c r="AK233" s="176"/>
      <c r="AL233" s="176"/>
      <c r="AM233" s="176"/>
      <c r="AN233" s="176"/>
      <c r="AO233" s="176"/>
      <c r="AP233" s="176"/>
      <c r="AQ233" s="176"/>
      <c r="AR233" s="176"/>
      <c r="AS233" s="176"/>
      <c r="AT233" s="176"/>
      <c r="AU233" s="176"/>
      <c r="AV233" s="176"/>
      <c r="AW233" s="176"/>
      <c r="AX233" s="176"/>
      <c r="AY233" s="176"/>
      <c r="AZ233" s="176"/>
      <c r="BA233" s="176"/>
      <c r="BB233" s="176"/>
      <c r="BC233" s="176"/>
      <c r="BD233" s="176"/>
      <c r="BE233" s="176"/>
      <c r="BF233" s="176"/>
      <c r="BG233" s="176"/>
      <c r="BH233" s="176"/>
      <c r="BI233" s="176"/>
      <c r="BJ233" s="176"/>
      <c r="BK233" s="176"/>
      <c r="BL233" s="176"/>
      <c r="BM233" s="176"/>
      <c r="BN233" s="176"/>
      <c r="BO233" s="176"/>
    </row>
    <row r="234" spans="1:67" s="36" customFormat="1" ht="10.5" customHeight="1" x14ac:dyDescent="0.2">
      <c r="A234" s="1055"/>
      <c r="B234" s="2594"/>
      <c r="C234" s="2595"/>
      <c r="D234" s="2596"/>
      <c r="E234" s="2395"/>
      <c r="F234" s="2396"/>
      <c r="G234" s="2590"/>
      <c r="H234" s="2591"/>
      <c r="I234" s="1081">
        <f t="shared" si="52"/>
        <v>0</v>
      </c>
      <c r="J234" s="1082">
        <f t="shared" si="53"/>
        <v>0</v>
      </c>
      <c r="K234" s="2588"/>
      <c r="L234" s="2589"/>
      <c r="M234" s="1086">
        <f t="shared" si="54"/>
        <v>0</v>
      </c>
      <c r="N234" s="505"/>
      <c r="O234" s="365">
        <f t="shared" si="55"/>
        <v>0</v>
      </c>
      <c r="P234" s="366"/>
      <c r="Q234" s="135"/>
      <c r="R234" s="136"/>
      <c r="S234" s="129"/>
      <c r="T234" s="129"/>
      <c r="U234" s="129"/>
      <c r="V234" s="129"/>
      <c r="W234" s="129"/>
      <c r="X234" s="129"/>
      <c r="Y234" s="129"/>
      <c r="Z234" s="133"/>
      <c r="AA234" s="133"/>
      <c r="AB234" s="133"/>
      <c r="AC234" s="133"/>
      <c r="AD234" s="133"/>
      <c r="AE234" s="133"/>
      <c r="AF234" s="222"/>
      <c r="AG234" s="222"/>
      <c r="AH234" s="222"/>
      <c r="AI234" s="176"/>
      <c r="AJ234" s="176"/>
      <c r="AK234" s="176"/>
      <c r="AL234" s="176"/>
      <c r="AM234" s="176"/>
      <c r="AN234" s="176"/>
      <c r="AO234" s="176"/>
      <c r="AP234" s="176"/>
      <c r="AQ234" s="176"/>
      <c r="AR234" s="176"/>
      <c r="AS234" s="176"/>
      <c r="AT234" s="176"/>
      <c r="AU234" s="176"/>
      <c r="AV234" s="176"/>
      <c r="AW234" s="176"/>
      <c r="AX234" s="176"/>
      <c r="AY234" s="176"/>
      <c r="AZ234" s="176"/>
      <c r="BA234" s="176"/>
      <c r="BB234" s="176"/>
      <c r="BC234" s="176"/>
      <c r="BD234" s="176"/>
      <c r="BE234" s="176"/>
      <c r="BF234" s="176"/>
      <c r="BG234" s="176"/>
      <c r="BH234" s="176"/>
      <c r="BI234" s="176"/>
      <c r="BJ234" s="176"/>
      <c r="BK234" s="176"/>
      <c r="BL234" s="176"/>
      <c r="BM234" s="176"/>
      <c r="BN234" s="176"/>
      <c r="BO234" s="176"/>
    </row>
    <row r="235" spans="1:67" s="36" customFormat="1" ht="10.5" customHeight="1" x14ac:dyDescent="0.2">
      <c r="A235" s="1055"/>
      <c r="B235" s="2594"/>
      <c r="C235" s="2595"/>
      <c r="D235" s="2596"/>
      <c r="E235" s="2395"/>
      <c r="F235" s="2396"/>
      <c r="G235" s="2590"/>
      <c r="H235" s="2591"/>
      <c r="I235" s="1081">
        <f t="shared" si="52"/>
        <v>0</v>
      </c>
      <c r="J235" s="1082">
        <f t="shared" si="53"/>
        <v>0</v>
      </c>
      <c r="K235" s="2588"/>
      <c r="L235" s="2589"/>
      <c r="M235" s="1086">
        <f t="shared" si="54"/>
        <v>0</v>
      </c>
      <c r="N235" s="505"/>
      <c r="O235" s="365">
        <f t="shared" si="55"/>
        <v>0</v>
      </c>
      <c r="P235" s="366"/>
      <c r="Q235" s="135"/>
      <c r="R235" s="136"/>
      <c r="S235" s="129"/>
      <c r="T235" s="129"/>
      <c r="U235" s="129"/>
      <c r="V235" s="129"/>
      <c r="W235" s="129"/>
      <c r="X235" s="129"/>
      <c r="Y235" s="129"/>
      <c r="Z235" s="133"/>
      <c r="AA235" s="133"/>
      <c r="AB235" s="133"/>
      <c r="AC235" s="133"/>
      <c r="AD235" s="133"/>
      <c r="AE235" s="133"/>
      <c r="AF235" s="222"/>
      <c r="AG235" s="222"/>
      <c r="AH235" s="222"/>
      <c r="AI235" s="176"/>
      <c r="AJ235" s="176"/>
      <c r="AK235" s="176"/>
      <c r="AL235" s="176"/>
      <c r="AM235" s="176"/>
      <c r="AN235" s="176"/>
      <c r="AO235" s="176"/>
      <c r="AP235" s="176"/>
      <c r="AQ235" s="176"/>
      <c r="AR235" s="176"/>
      <c r="AS235" s="176"/>
      <c r="AT235" s="176"/>
      <c r="AU235" s="176"/>
      <c r="AV235" s="176"/>
      <c r="AW235" s="176"/>
      <c r="AX235" s="176"/>
      <c r="AY235" s="176"/>
      <c r="AZ235" s="176"/>
      <c r="BA235" s="176"/>
      <c r="BB235" s="176"/>
      <c r="BC235" s="176"/>
      <c r="BD235" s="176"/>
      <c r="BE235" s="176"/>
      <c r="BF235" s="176"/>
      <c r="BG235" s="176"/>
      <c r="BH235" s="176"/>
      <c r="BI235" s="176"/>
      <c r="BJ235" s="176"/>
      <c r="BK235" s="176"/>
      <c r="BL235" s="176"/>
      <c r="BM235" s="176"/>
      <c r="BN235" s="176"/>
      <c r="BO235" s="176"/>
    </row>
    <row r="236" spans="1:67" s="36" customFormat="1" ht="10.5" customHeight="1" x14ac:dyDescent="0.2">
      <c r="A236" s="1348"/>
      <c r="B236" s="2690"/>
      <c r="C236" s="2691"/>
      <c r="D236" s="2692"/>
      <c r="E236" s="2601"/>
      <c r="F236" s="2602"/>
      <c r="G236" s="1088"/>
      <c r="H236" s="1089"/>
      <c r="I236" s="1083">
        <f t="shared" si="52"/>
        <v>0</v>
      </c>
      <c r="J236" s="1084"/>
      <c r="K236" s="1087"/>
      <c r="L236" s="1307"/>
      <c r="M236" s="1317">
        <f t="shared" si="54"/>
        <v>0</v>
      </c>
      <c r="N236" s="505"/>
      <c r="O236" s="365">
        <f t="shared" si="55"/>
        <v>0</v>
      </c>
      <c r="P236" s="366"/>
      <c r="Q236" s="135"/>
      <c r="R236" s="136"/>
      <c r="S236" s="129"/>
      <c r="T236" s="129"/>
      <c r="U236" s="129"/>
      <c r="V236" s="129"/>
      <c r="W236" s="129"/>
      <c r="X236" s="129"/>
      <c r="Y236" s="129"/>
      <c r="Z236" s="133"/>
      <c r="AA236" s="133"/>
      <c r="AB236" s="133"/>
      <c r="AC236" s="133"/>
      <c r="AD236" s="133"/>
      <c r="AE236" s="133"/>
      <c r="AF236" s="222"/>
      <c r="AG236" s="222"/>
      <c r="AH236" s="222"/>
      <c r="AI236" s="176"/>
      <c r="AJ236" s="176"/>
      <c r="AK236" s="176"/>
      <c r="AL236" s="176"/>
      <c r="AM236" s="176"/>
      <c r="AN236" s="176"/>
      <c r="AO236" s="176"/>
      <c r="AP236" s="176"/>
      <c r="AQ236" s="176"/>
      <c r="AR236" s="176"/>
      <c r="AS236" s="176"/>
      <c r="AT236" s="176"/>
      <c r="AU236" s="176"/>
      <c r="AV236" s="176"/>
      <c r="AW236" s="176"/>
      <c r="AX236" s="176"/>
      <c r="AY236" s="176"/>
      <c r="AZ236" s="176"/>
      <c r="BA236" s="176"/>
      <c r="BB236" s="176"/>
      <c r="BC236" s="176"/>
      <c r="BD236" s="176"/>
      <c r="BE236" s="176"/>
      <c r="BF236" s="176"/>
      <c r="BG236" s="176"/>
      <c r="BH236" s="176"/>
      <c r="BI236" s="176"/>
      <c r="BJ236" s="176"/>
      <c r="BK236" s="176"/>
      <c r="BL236" s="176"/>
      <c r="BM236" s="176"/>
      <c r="BN236" s="176"/>
      <c r="BO236" s="176"/>
    </row>
    <row r="237" spans="1:67" s="36" customFormat="1" ht="10.5" customHeight="1" x14ac:dyDescent="0.2">
      <c r="A237" s="1345" t="s">
        <v>335</v>
      </c>
      <c r="B237" s="2603"/>
      <c r="C237" s="2604"/>
      <c r="D237" s="2605"/>
      <c r="E237" s="2730">
        <f>SUM(E238:E250)</f>
        <v>0</v>
      </c>
      <c r="F237" s="2731"/>
      <c r="G237" s="2732"/>
      <c r="H237" s="2733"/>
      <c r="I237" s="1121">
        <f>IF(E237=0,0,J237/E237)</f>
        <v>0</v>
      </c>
      <c r="J237" s="1346">
        <f>SUM(J238:J250)</f>
        <v>0</v>
      </c>
      <c r="K237" s="2734">
        <f>IF(E237=0,0,M237/E237*100)</f>
        <v>0</v>
      </c>
      <c r="L237" s="2736"/>
      <c r="M237" s="1347">
        <f>SUM(M238:M250)</f>
        <v>0</v>
      </c>
      <c r="N237" s="505"/>
      <c r="O237" s="178">
        <f>IF(H237="",G237,H237)</f>
        <v>0</v>
      </c>
      <c r="P237" s="366"/>
      <c r="Q237" s="135"/>
      <c r="R237" s="136"/>
      <c r="S237" s="129"/>
      <c r="T237" s="129"/>
      <c r="U237" s="129"/>
      <c r="V237" s="129"/>
      <c r="W237" s="129"/>
      <c r="X237" s="129"/>
      <c r="Y237" s="129"/>
      <c r="Z237" s="133"/>
      <c r="AA237" s="133"/>
      <c r="AB237" s="133"/>
      <c r="AC237" s="133"/>
      <c r="AD237" s="133"/>
      <c r="AE237" s="133"/>
      <c r="AF237" s="222"/>
      <c r="AG237" s="222"/>
      <c r="AH237" s="222"/>
      <c r="AI237" s="176"/>
      <c r="AJ237" s="176"/>
      <c r="AK237" s="176"/>
      <c r="AL237" s="176"/>
      <c r="AM237" s="176"/>
      <c r="AN237" s="176"/>
      <c r="AO237" s="176"/>
      <c r="AP237" s="176"/>
      <c r="AQ237" s="176"/>
      <c r="AR237" s="176"/>
      <c r="AS237" s="176"/>
      <c r="AT237" s="176"/>
      <c r="AU237" s="176"/>
      <c r="AV237" s="176"/>
      <c r="AW237" s="176"/>
      <c r="AX237" s="176"/>
      <c r="AY237" s="176"/>
      <c r="AZ237" s="176"/>
      <c r="BA237" s="176"/>
      <c r="BB237" s="176"/>
      <c r="BC237" s="176"/>
      <c r="BD237" s="176"/>
      <c r="BE237" s="176"/>
      <c r="BF237" s="176"/>
      <c r="BG237" s="176"/>
      <c r="BH237" s="176"/>
      <c r="BI237" s="176"/>
      <c r="BJ237" s="176"/>
      <c r="BK237" s="176"/>
      <c r="BL237" s="176"/>
      <c r="BM237" s="176"/>
      <c r="BN237" s="176"/>
      <c r="BO237" s="176"/>
    </row>
    <row r="238" spans="1:67" s="36" customFormat="1" ht="10.5" customHeight="1" x14ac:dyDescent="0.2">
      <c r="A238" s="1042" t="s">
        <v>336</v>
      </c>
      <c r="B238" s="2624"/>
      <c r="C238" s="2625"/>
      <c r="D238" s="2626"/>
      <c r="E238" s="2386"/>
      <c r="F238" s="2387"/>
      <c r="G238" s="1056">
        <v>30</v>
      </c>
      <c r="H238" s="1057"/>
      <c r="I238" s="1079">
        <f t="shared" ref="I238:I251" si="56">IF($O238&gt;0,-PMT(($I$9),$O238,1),0)</f>
        <v>4.6199342169092869E-2</v>
      </c>
      <c r="J238" s="1080">
        <f t="shared" ref="J238:J250" si="57">ROUND(E238*I238,0)</f>
        <v>0</v>
      </c>
      <c r="K238" s="1060">
        <v>1</v>
      </c>
      <c r="L238" s="1304"/>
      <c r="M238" s="1085">
        <f t="shared" ref="M238:M251" si="58">ROUND(E238/100*IF(ISBLANK(L238),K238,L238),0)</f>
        <v>0</v>
      </c>
      <c r="N238" s="505"/>
      <c r="O238" s="365">
        <f t="shared" ref="O238:O251" si="59">IF(ISBLANK(H238),G238,H238)</f>
        <v>30</v>
      </c>
      <c r="P238" s="366"/>
      <c r="Q238" s="135"/>
      <c r="R238" s="136"/>
      <c r="S238" s="129"/>
      <c r="T238" s="129"/>
      <c r="U238" s="129"/>
      <c r="V238" s="129"/>
      <c r="W238" s="129"/>
      <c r="X238" s="129"/>
      <c r="Y238" s="129"/>
      <c r="Z238" s="133"/>
      <c r="AA238" s="133"/>
      <c r="AB238" s="133"/>
      <c r="AC238" s="133"/>
      <c r="AD238" s="133"/>
      <c r="AE238" s="133"/>
      <c r="AF238" s="222"/>
      <c r="AG238" s="222"/>
      <c r="AH238" s="222"/>
      <c r="AI238" s="176"/>
      <c r="AJ238" s="176"/>
      <c r="AK238" s="176"/>
      <c r="AL238" s="176"/>
      <c r="AM238" s="176"/>
      <c r="AN238" s="176"/>
      <c r="AO238" s="176"/>
      <c r="AP238" s="176"/>
      <c r="AQ238" s="176"/>
      <c r="AR238" s="176"/>
      <c r="AS238" s="176"/>
      <c r="AT238" s="176"/>
      <c r="AU238" s="176"/>
      <c r="AV238" s="176"/>
      <c r="AW238" s="176"/>
      <c r="AX238" s="176"/>
      <c r="AY238" s="176"/>
      <c r="AZ238" s="176"/>
      <c r="BA238" s="176"/>
      <c r="BB238" s="176"/>
      <c r="BC238" s="176"/>
      <c r="BD238" s="176"/>
      <c r="BE238" s="176"/>
      <c r="BF238" s="176"/>
      <c r="BG238" s="176"/>
      <c r="BH238" s="176"/>
      <c r="BI238" s="176"/>
      <c r="BJ238" s="176"/>
      <c r="BK238" s="176"/>
      <c r="BL238" s="176"/>
      <c r="BM238" s="176"/>
      <c r="BN238" s="176"/>
      <c r="BO238" s="176"/>
    </row>
    <row r="239" spans="1:67" s="36" customFormat="1" ht="10.5" customHeight="1" x14ac:dyDescent="0.2">
      <c r="A239" s="1043" t="s">
        <v>337</v>
      </c>
      <c r="B239" s="2594"/>
      <c r="C239" s="2595"/>
      <c r="D239" s="2596"/>
      <c r="E239" s="2395"/>
      <c r="F239" s="2396"/>
      <c r="G239" s="1058">
        <v>30</v>
      </c>
      <c r="H239" s="1059"/>
      <c r="I239" s="1081">
        <f t="shared" si="56"/>
        <v>4.6199342169092869E-2</v>
      </c>
      <c r="J239" s="1082">
        <f t="shared" si="57"/>
        <v>0</v>
      </c>
      <c r="K239" s="1061">
        <v>1</v>
      </c>
      <c r="L239" s="1305"/>
      <c r="M239" s="1086">
        <f t="shared" si="58"/>
        <v>0</v>
      </c>
      <c r="N239" s="505"/>
      <c r="O239" s="365">
        <f t="shared" si="59"/>
        <v>30</v>
      </c>
      <c r="P239" s="366"/>
      <c r="Q239" s="135"/>
      <c r="R239" s="136"/>
      <c r="S239" s="129"/>
      <c r="T239" s="129"/>
      <c r="U239" s="129"/>
      <c r="V239" s="129"/>
      <c r="W239" s="129"/>
      <c r="X239" s="129"/>
      <c r="Y239" s="129"/>
      <c r="Z239" s="133"/>
      <c r="AA239" s="133"/>
      <c r="AB239" s="133"/>
      <c r="AC239" s="133"/>
      <c r="AD239" s="133"/>
      <c r="AE239" s="133"/>
      <c r="AF239" s="222"/>
      <c r="AG239" s="222"/>
      <c r="AH239" s="222"/>
      <c r="AI239" s="176"/>
      <c r="AJ239" s="176"/>
      <c r="AK239" s="176"/>
      <c r="AL239" s="176"/>
      <c r="AM239" s="176"/>
      <c r="AN239" s="176"/>
      <c r="AO239" s="176"/>
      <c r="AP239" s="176"/>
      <c r="AQ239" s="176"/>
      <c r="AR239" s="176"/>
      <c r="AS239" s="176"/>
      <c r="AT239" s="176"/>
      <c r="AU239" s="176"/>
      <c r="AV239" s="176"/>
      <c r="AW239" s="176"/>
      <c r="AX239" s="176"/>
      <c r="AY239" s="176"/>
      <c r="AZ239" s="176"/>
      <c r="BA239" s="176"/>
      <c r="BB239" s="176"/>
      <c r="BC239" s="176"/>
      <c r="BD239" s="176"/>
      <c r="BE239" s="176"/>
      <c r="BF239" s="176"/>
      <c r="BG239" s="176"/>
      <c r="BH239" s="176"/>
      <c r="BI239" s="176"/>
      <c r="BJ239" s="176"/>
      <c r="BK239" s="176"/>
      <c r="BL239" s="176"/>
      <c r="BM239" s="176"/>
      <c r="BN239" s="176"/>
      <c r="BO239" s="176"/>
    </row>
    <row r="240" spans="1:67" s="36" customFormat="1" ht="10.5" customHeight="1" x14ac:dyDescent="0.2">
      <c r="A240" s="1043" t="s">
        <v>338</v>
      </c>
      <c r="B240" s="2594"/>
      <c r="C240" s="2595"/>
      <c r="D240" s="2596"/>
      <c r="E240" s="2395"/>
      <c r="F240" s="2396"/>
      <c r="G240" s="1058">
        <v>30</v>
      </c>
      <c r="H240" s="1059"/>
      <c r="I240" s="1081">
        <f t="shared" si="56"/>
        <v>4.6199342169092869E-2</v>
      </c>
      <c r="J240" s="1082">
        <f t="shared" si="57"/>
        <v>0</v>
      </c>
      <c r="K240" s="1061">
        <v>1</v>
      </c>
      <c r="L240" s="1305"/>
      <c r="M240" s="1086">
        <f t="shared" si="58"/>
        <v>0</v>
      </c>
      <c r="N240" s="505"/>
      <c r="O240" s="365">
        <f t="shared" si="59"/>
        <v>30</v>
      </c>
      <c r="P240" s="366"/>
      <c r="Q240" s="135"/>
      <c r="R240" s="136"/>
      <c r="S240" s="129"/>
      <c r="T240" s="129"/>
      <c r="U240" s="129"/>
      <c r="V240" s="129"/>
      <c r="W240" s="129"/>
      <c r="X240" s="129"/>
      <c r="Y240" s="129"/>
      <c r="Z240" s="133"/>
      <c r="AA240" s="133"/>
      <c r="AB240" s="133"/>
      <c r="AC240" s="133"/>
      <c r="AD240" s="133"/>
      <c r="AE240" s="133"/>
      <c r="AF240" s="222"/>
      <c r="AG240" s="222"/>
      <c r="AH240" s="222"/>
      <c r="AI240" s="176"/>
      <c r="AJ240" s="176"/>
      <c r="AK240" s="176"/>
      <c r="AL240" s="176"/>
      <c r="AM240" s="176"/>
      <c r="AN240" s="176"/>
      <c r="AO240" s="176"/>
      <c r="AP240" s="176"/>
      <c r="AQ240" s="176"/>
      <c r="AR240" s="176"/>
      <c r="AS240" s="176"/>
      <c r="AT240" s="176"/>
      <c r="AU240" s="176"/>
      <c r="AV240" s="176"/>
      <c r="AW240" s="176"/>
      <c r="AX240" s="176"/>
      <c r="AY240" s="176"/>
      <c r="AZ240" s="176"/>
      <c r="BA240" s="176"/>
      <c r="BB240" s="176"/>
      <c r="BC240" s="176"/>
      <c r="BD240" s="176"/>
      <c r="BE240" s="176"/>
      <c r="BF240" s="176"/>
      <c r="BG240" s="176"/>
      <c r="BH240" s="176"/>
      <c r="BI240" s="176"/>
      <c r="BJ240" s="176"/>
      <c r="BK240" s="176"/>
      <c r="BL240" s="176"/>
      <c r="BM240" s="176"/>
      <c r="BN240" s="176"/>
      <c r="BO240" s="176"/>
    </row>
    <row r="241" spans="1:67" s="36" customFormat="1" ht="10.5" customHeight="1" x14ac:dyDescent="0.2">
      <c r="A241" s="1043" t="s">
        <v>339</v>
      </c>
      <c r="B241" s="2594"/>
      <c r="C241" s="2595"/>
      <c r="D241" s="2596"/>
      <c r="E241" s="2395"/>
      <c r="F241" s="2396"/>
      <c r="G241" s="1058">
        <v>30</v>
      </c>
      <c r="H241" s="1059"/>
      <c r="I241" s="1081">
        <f t="shared" si="56"/>
        <v>4.6199342169092869E-2</v>
      </c>
      <c r="J241" s="1082">
        <f t="shared" si="57"/>
        <v>0</v>
      </c>
      <c r="K241" s="1061">
        <v>1.5</v>
      </c>
      <c r="L241" s="1305"/>
      <c r="M241" s="1086">
        <f t="shared" si="58"/>
        <v>0</v>
      </c>
      <c r="N241" s="505"/>
      <c r="O241" s="365">
        <f t="shared" si="59"/>
        <v>30</v>
      </c>
      <c r="P241" s="366"/>
      <c r="Q241" s="135"/>
      <c r="R241" s="136"/>
      <c r="S241" s="129"/>
      <c r="T241" s="129"/>
      <c r="U241" s="129"/>
      <c r="V241" s="129"/>
      <c r="W241" s="129"/>
      <c r="X241" s="129"/>
      <c r="Y241" s="129"/>
      <c r="Z241" s="133"/>
      <c r="AA241" s="133"/>
      <c r="AB241" s="133"/>
      <c r="AC241" s="133"/>
      <c r="AD241" s="133"/>
      <c r="AE241" s="133"/>
      <c r="AF241" s="222"/>
      <c r="AG241" s="222"/>
      <c r="AH241" s="222"/>
      <c r="AI241" s="176"/>
      <c r="AJ241" s="176"/>
      <c r="AK241" s="176"/>
      <c r="AL241" s="176"/>
      <c r="AM241" s="176"/>
      <c r="AN241" s="176"/>
      <c r="AO241" s="176"/>
      <c r="AP241" s="176"/>
      <c r="AQ241" s="176"/>
      <c r="AR241" s="176"/>
      <c r="AS241" s="176"/>
      <c r="AT241" s="176"/>
      <c r="AU241" s="176"/>
      <c r="AV241" s="176"/>
      <c r="AW241" s="176"/>
      <c r="AX241" s="176"/>
      <c r="AY241" s="176"/>
      <c r="AZ241" s="176"/>
      <c r="BA241" s="176"/>
      <c r="BB241" s="176"/>
      <c r="BC241" s="176"/>
      <c r="BD241" s="176"/>
      <c r="BE241" s="176"/>
      <c r="BF241" s="176"/>
      <c r="BG241" s="176"/>
      <c r="BH241" s="176"/>
      <c r="BI241" s="176"/>
      <c r="BJ241" s="176"/>
      <c r="BK241" s="176"/>
      <c r="BL241" s="176"/>
      <c r="BM241" s="176"/>
      <c r="BN241" s="176"/>
      <c r="BO241" s="176"/>
    </row>
    <row r="242" spans="1:67" s="36" customFormat="1" ht="10.5" customHeight="1" x14ac:dyDescent="0.2">
      <c r="A242" s="1043" t="s">
        <v>340</v>
      </c>
      <c r="B242" s="2594"/>
      <c r="C242" s="2595"/>
      <c r="D242" s="2596"/>
      <c r="E242" s="2395"/>
      <c r="F242" s="2396"/>
      <c r="G242" s="1058">
        <v>30</v>
      </c>
      <c r="H242" s="1059"/>
      <c r="I242" s="1081">
        <f t="shared" si="56"/>
        <v>4.6199342169092869E-2</v>
      </c>
      <c r="J242" s="1082">
        <f t="shared" si="57"/>
        <v>0</v>
      </c>
      <c r="K242" s="1061">
        <v>1.5</v>
      </c>
      <c r="L242" s="1305"/>
      <c r="M242" s="1086">
        <f t="shared" si="58"/>
        <v>0</v>
      </c>
      <c r="N242" s="505"/>
      <c r="O242" s="365">
        <f t="shared" si="59"/>
        <v>30</v>
      </c>
      <c r="P242" s="366"/>
      <c r="Q242" s="135"/>
      <c r="R242" s="136"/>
      <c r="S242" s="129"/>
      <c r="T242" s="129"/>
      <c r="U242" s="129"/>
      <c r="V242" s="129"/>
      <c r="W242" s="129"/>
      <c r="X242" s="129"/>
      <c r="Y242" s="129"/>
      <c r="Z242" s="133"/>
      <c r="AA242" s="133"/>
      <c r="AB242" s="133"/>
      <c r="AC242" s="133"/>
      <c r="AD242" s="133"/>
      <c r="AE242" s="133"/>
      <c r="AF242" s="222"/>
      <c r="AG242" s="222"/>
      <c r="AH242" s="222"/>
      <c r="AI242" s="176"/>
      <c r="AJ242" s="176"/>
      <c r="AK242" s="176"/>
      <c r="AL242" s="176"/>
      <c r="AM242" s="176"/>
      <c r="AN242" s="176"/>
      <c r="AO242" s="176"/>
      <c r="AP242" s="176"/>
      <c r="AQ242" s="176"/>
      <c r="AR242" s="176"/>
      <c r="AS242" s="176"/>
      <c r="AT242" s="176"/>
      <c r="AU242" s="176"/>
      <c r="AV242" s="176"/>
      <c r="AW242" s="176"/>
      <c r="AX242" s="176"/>
      <c r="AY242" s="176"/>
      <c r="AZ242" s="176"/>
      <c r="BA242" s="176"/>
      <c r="BB242" s="176"/>
      <c r="BC242" s="176"/>
      <c r="BD242" s="176"/>
      <c r="BE242" s="176"/>
      <c r="BF242" s="176"/>
      <c r="BG242" s="176"/>
      <c r="BH242" s="176"/>
      <c r="BI242" s="176"/>
      <c r="BJ242" s="176"/>
      <c r="BK242" s="176"/>
      <c r="BL242" s="176"/>
      <c r="BM242" s="176"/>
      <c r="BN242" s="176"/>
      <c r="BO242" s="176"/>
    </row>
    <row r="243" spans="1:67" s="36" customFormat="1" ht="10.5" customHeight="1" x14ac:dyDescent="0.2">
      <c r="A243" s="1043" t="s">
        <v>292</v>
      </c>
      <c r="B243" s="2594"/>
      <c r="C243" s="2595"/>
      <c r="D243" s="2596"/>
      <c r="E243" s="2395"/>
      <c r="F243" s="2396"/>
      <c r="G243" s="1058">
        <v>20</v>
      </c>
      <c r="H243" s="1059"/>
      <c r="I243" s="1081">
        <f t="shared" si="56"/>
        <v>6.2642070767998229E-2</v>
      </c>
      <c r="J243" s="1082">
        <f t="shared" si="57"/>
        <v>0</v>
      </c>
      <c r="K243" s="1061">
        <v>2</v>
      </c>
      <c r="L243" s="1305"/>
      <c r="M243" s="1086">
        <f t="shared" si="58"/>
        <v>0</v>
      </c>
      <c r="N243" s="505"/>
      <c r="O243" s="365">
        <f t="shared" si="59"/>
        <v>20</v>
      </c>
      <c r="P243" s="366"/>
      <c r="Q243" s="135"/>
      <c r="R243" s="136"/>
      <c r="S243" s="129"/>
      <c r="T243" s="129"/>
      <c r="U243" s="129"/>
      <c r="V243" s="129"/>
      <c r="W243" s="129"/>
      <c r="X243" s="129"/>
      <c r="Y243" s="129"/>
      <c r="Z243" s="133"/>
      <c r="AA243" s="133"/>
      <c r="AB243" s="133"/>
      <c r="AC243" s="133"/>
      <c r="AD243" s="133"/>
      <c r="AE243" s="133"/>
      <c r="AF243" s="222"/>
      <c r="AG243" s="222"/>
      <c r="AH243" s="222"/>
      <c r="AI243" s="176"/>
      <c r="AJ243" s="176"/>
      <c r="AK243" s="176"/>
      <c r="AL243" s="176"/>
      <c r="AM243" s="176"/>
      <c r="AN243" s="176"/>
      <c r="AO243" s="176"/>
      <c r="AP243" s="176"/>
      <c r="AQ243" s="176"/>
      <c r="AR243" s="176"/>
      <c r="AS243" s="176"/>
      <c r="AT243" s="176"/>
      <c r="AU243" s="176"/>
      <c r="AV243" s="176"/>
      <c r="AW243" s="176"/>
      <c r="AX243" s="176"/>
      <c r="AY243" s="176"/>
      <c r="AZ243" s="176"/>
      <c r="BA243" s="176"/>
      <c r="BB243" s="176"/>
      <c r="BC243" s="176"/>
      <c r="BD243" s="176"/>
      <c r="BE243" s="176"/>
      <c r="BF243" s="176"/>
      <c r="BG243" s="176"/>
      <c r="BH243" s="176"/>
      <c r="BI243" s="176"/>
      <c r="BJ243" s="176"/>
      <c r="BK243" s="176"/>
      <c r="BL243" s="176"/>
      <c r="BM243" s="176"/>
      <c r="BN243" s="176"/>
      <c r="BO243" s="176"/>
    </row>
    <row r="244" spans="1:67" s="36" customFormat="1" ht="10.5" customHeight="1" x14ac:dyDescent="0.2">
      <c r="A244" s="1043" t="s">
        <v>273</v>
      </c>
      <c r="B244" s="2594"/>
      <c r="C244" s="2595"/>
      <c r="D244" s="2596"/>
      <c r="E244" s="2395"/>
      <c r="F244" s="2396"/>
      <c r="G244" s="1058">
        <v>20</v>
      </c>
      <c r="H244" s="1059"/>
      <c r="I244" s="1081">
        <f t="shared" si="56"/>
        <v>6.2642070767998229E-2</v>
      </c>
      <c r="J244" s="1082">
        <f t="shared" si="57"/>
        <v>0</v>
      </c>
      <c r="K244" s="1061">
        <v>8</v>
      </c>
      <c r="L244" s="1305"/>
      <c r="M244" s="1086">
        <f t="shared" si="58"/>
        <v>0</v>
      </c>
      <c r="N244" s="505"/>
      <c r="O244" s="365">
        <f t="shared" si="59"/>
        <v>20</v>
      </c>
      <c r="P244" s="366"/>
      <c r="Q244" s="135"/>
      <c r="R244" s="136"/>
      <c r="S244" s="129"/>
      <c r="T244" s="129"/>
      <c r="U244" s="129"/>
      <c r="V244" s="129"/>
      <c r="W244" s="129"/>
      <c r="X244" s="129"/>
      <c r="Y244" s="129"/>
      <c r="Z244" s="133"/>
      <c r="AA244" s="133"/>
      <c r="AB244" s="133"/>
      <c r="AC244" s="133"/>
      <c r="AD244" s="133"/>
      <c r="AE244" s="133"/>
      <c r="AF244" s="222"/>
      <c r="AG244" s="222"/>
      <c r="AH244" s="222"/>
      <c r="AI244" s="176"/>
      <c r="AJ244" s="176"/>
      <c r="AK244" s="176"/>
      <c r="AL244" s="176"/>
      <c r="AM244" s="176"/>
      <c r="AN244" s="176"/>
      <c r="AO244" s="176"/>
      <c r="AP244" s="176"/>
      <c r="AQ244" s="176"/>
      <c r="AR244" s="176"/>
      <c r="AS244" s="176"/>
      <c r="AT244" s="176"/>
      <c r="AU244" s="176"/>
      <c r="AV244" s="176"/>
      <c r="AW244" s="176"/>
      <c r="AX244" s="176"/>
      <c r="AY244" s="176"/>
      <c r="AZ244" s="176"/>
      <c r="BA244" s="176"/>
      <c r="BB244" s="176"/>
      <c r="BC244" s="176"/>
      <c r="BD244" s="176"/>
      <c r="BE244" s="176"/>
      <c r="BF244" s="176"/>
      <c r="BG244" s="176"/>
      <c r="BH244" s="176"/>
      <c r="BI244" s="176"/>
      <c r="BJ244" s="176"/>
      <c r="BK244" s="176"/>
      <c r="BL244" s="176"/>
      <c r="BM244" s="176"/>
      <c r="BN244" s="176"/>
      <c r="BO244" s="176"/>
    </row>
    <row r="245" spans="1:67" s="36" customFormat="1" ht="10.5" customHeight="1" x14ac:dyDescent="0.2">
      <c r="A245" s="1043" t="s">
        <v>274</v>
      </c>
      <c r="B245" s="2594"/>
      <c r="C245" s="2595"/>
      <c r="D245" s="2596"/>
      <c r="E245" s="2395"/>
      <c r="F245" s="2396"/>
      <c r="G245" s="1058">
        <v>30</v>
      </c>
      <c r="H245" s="1059"/>
      <c r="I245" s="1081">
        <f t="shared" si="56"/>
        <v>4.6199342169092869E-2</v>
      </c>
      <c r="J245" s="1082">
        <f t="shared" si="57"/>
        <v>0</v>
      </c>
      <c r="K245" s="1061"/>
      <c r="L245" s="1305"/>
      <c r="M245" s="1086">
        <f t="shared" si="58"/>
        <v>0</v>
      </c>
      <c r="N245" s="505"/>
      <c r="O245" s="365">
        <f t="shared" si="59"/>
        <v>30</v>
      </c>
      <c r="P245" s="366"/>
      <c r="Q245" s="135"/>
      <c r="R245" s="136"/>
      <c r="S245" s="129"/>
      <c r="T245" s="129"/>
      <c r="U245" s="129"/>
      <c r="V245" s="129"/>
      <c r="W245" s="129"/>
      <c r="X245" s="129"/>
      <c r="Y245" s="129"/>
      <c r="Z245" s="133"/>
      <c r="AA245" s="133"/>
      <c r="AB245" s="133"/>
      <c r="AC245" s="133"/>
      <c r="AD245" s="133"/>
      <c r="AE245" s="133"/>
      <c r="AF245" s="222"/>
      <c r="AG245" s="222"/>
      <c r="AH245" s="222"/>
      <c r="AI245" s="176"/>
      <c r="AJ245" s="176"/>
      <c r="AK245" s="176"/>
      <c r="AL245" s="176"/>
      <c r="AM245" s="176"/>
      <c r="AN245" s="176"/>
      <c r="AO245" s="176"/>
      <c r="AP245" s="176"/>
      <c r="AQ245" s="176"/>
      <c r="AR245" s="176"/>
      <c r="AS245" s="176"/>
      <c r="AT245" s="176"/>
      <c r="AU245" s="176"/>
      <c r="AV245" s="176"/>
      <c r="AW245" s="176"/>
      <c r="AX245" s="176"/>
      <c r="AY245" s="176"/>
      <c r="AZ245" s="176"/>
      <c r="BA245" s="176"/>
      <c r="BB245" s="176"/>
      <c r="BC245" s="176"/>
      <c r="BD245" s="176"/>
      <c r="BE245" s="176"/>
      <c r="BF245" s="176"/>
      <c r="BG245" s="176"/>
      <c r="BH245" s="176"/>
      <c r="BI245" s="176"/>
      <c r="BJ245" s="176"/>
      <c r="BK245" s="176"/>
      <c r="BL245" s="176"/>
      <c r="BM245" s="176"/>
      <c r="BN245" s="176"/>
      <c r="BO245" s="176"/>
    </row>
    <row r="246" spans="1:67" s="36" customFormat="1" ht="10.5" customHeight="1" x14ac:dyDescent="0.2">
      <c r="A246" s="1055"/>
      <c r="B246" s="2594"/>
      <c r="C246" s="2595"/>
      <c r="D246" s="2596"/>
      <c r="E246" s="2395"/>
      <c r="F246" s="2396"/>
      <c r="G246" s="2590"/>
      <c r="H246" s="2591"/>
      <c r="I246" s="1081">
        <f t="shared" si="56"/>
        <v>0</v>
      </c>
      <c r="J246" s="1082">
        <f t="shared" si="57"/>
        <v>0</v>
      </c>
      <c r="K246" s="2588"/>
      <c r="L246" s="2589"/>
      <c r="M246" s="1086">
        <f t="shared" si="58"/>
        <v>0</v>
      </c>
      <c r="N246" s="505"/>
      <c r="O246" s="365">
        <f t="shared" si="59"/>
        <v>0</v>
      </c>
      <c r="P246" s="366"/>
      <c r="Q246" s="135"/>
      <c r="R246" s="136"/>
      <c r="S246" s="129"/>
      <c r="T246" s="129"/>
      <c r="U246" s="129"/>
      <c r="V246" s="129"/>
      <c r="W246" s="129"/>
      <c r="X246" s="129"/>
      <c r="Y246" s="129"/>
      <c r="Z246" s="133"/>
      <c r="AA246" s="133"/>
      <c r="AB246" s="133"/>
      <c r="AC246" s="133"/>
      <c r="AD246" s="133"/>
      <c r="AE246" s="133"/>
      <c r="AF246" s="222"/>
      <c r="AG246" s="222"/>
      <c r="AH246" s="222"/>
      <c r="AI246" s="176"/>
      <c r="AJ246" s="176"/>
      <c r="AK246" s="176"/>
      <c r="AL246" s="176"/>
      <c r="AM246" s="176"/>
      <c r="AN246" s="176"/>
      <c r="AO246" s="176"/>
      <c r="AP246" s="176"/>
      <c r="AQ246" s="176"/>
      <c r="AR246" s="176"/>
      <c r="AS246" s="176"/>
      <c r="AT246" s="176"/>
      <c r="AU246" s="176"/>
      <c r="AV246" s="176"/>
      <c r="AW246" s="176"/>
      <c r="AX246" s="176"/>
      <c r="AY246" s="176"/>
      <c r="AZ246" s="176"/>
      <c r="BA246" s="176"/>
      <c r="BB246" s="176"/>
      <c r="BC246" s="176"/>
      <c r="BD246" s="176"/>
      <c r="BE246" s="176"/>
      <c r="BF246" s="176"/>
      <c r="BG246" s="176"/>
      <c r="BH246" s="176"/>
      <c r="BI246" s="176"/>
      <c r="BJ246" s="176"/>
      <c r="BK246" s="176"/>
      <c r="BL246" s="176"/>
      <c r="BM246" s="176"/>
      <c r="BN246" s="176"/>
      <c r="BO246" s="176"/>
    </row>
    <row r="247" spans="1:67" s="36" customFormat="1" ht="10.5" customHeight="1" x14ac:dyDescent="0.2">
      <c r="A247" s="1055"/>
      <c r="B247" s="2594"/>
      <c r="C247" s="2595"/>
      <c r="D247" s="2596"/>
      <c r="E247" s="2395"/>
      <c r="F247" s="2396"/>
      <c r="G247" s="2590"/>
      <c r="H247" s="2591"/>
      <c r="I247" s="1081">
        <f t="shared" si="56"/>
        <v>0</v>
      </c>
      <c r="J247" s="1082">
        <f t="shared" si="57"/>
        <v>0</v>
      </c>
      <c r="K247" s="2588"/>
      <c r="L247" s="2589"/>
      <c r="M247" s="1086">
        <f t="shared" si="58"/>
        <v>0</v>
      </c>
      <c r="N247" s="505"/>
      <c r="O247" s="365">
        <f t="shared" si="59"/>
        <v>0</v>
      </c>
      <c r="P247" s="366"/>
      <c r="Q247" s="135"/>
      <c r="R247" s="136"/>
      <c r="S247" s="129"/>
      <c r="T247" s="129"/>
      <c r="U247" s="129"/>
      <c r="V247" s="129"/>
      <c r="W247" s="129"/>
      <c r="X247" s="129"/>
      <c r="Y247" s="129"/>
      <c r="Z247" s="133"/>
      <c r="AA247" s="133"/>
      <c r="AB247" s="133"/>
      <c r="AC247" s="133"/>
      <c r="AD247" s="133"/>
      <c r="AE247" s="133"/>
      <c r="AF247" s="222"/>
      <c r="AG247" s="222"/>
      <c r="AH247" s="222"/>
      <c r="AI247" s="176"/>
      <c r="AJ247" s="176"/>
      <c r="AK247" s="176"/>
      <c r="AL247" s="176"/>
      <c r="AM247" s="176"/>
      <c r="AN247" s="176"/>
      <c r="AO247" s="176"/>
      <c r="AP247" s="176"/>
      <c r="AQ247" s="176"/>
      <c r="AR247" s="176"/>
      <c r="AS247" s="176"/>
      <c r="AT247" s="176"/>
      <c r="AU247" s="176"/>
      <c r="AV247" s="176"/>
      <c r="AW247" s="176"/>
      <c r="AX247" s="176"/>
      <c r="AY247" s="176"/>
      <c r="AZ247" s="176"/>
      <c r="BA247" s="176"/>
      <c r="BB247" s="176"/>
      <c r="BC247" s="176"/>
      <c r="BD247" s="176"/>
      <c r="BE247" s="176"/>
      <c r="BF247" s="176"/>
      <c r="BG247" s="176"/>
      <c r="BH247" s="176"/>
      <c r="BI247" s="176"/>
      <c r="BJ247" s="176"/>
      <c r="BK247" s="176"/>
      <c r="BL247" s="176"/>
      <c r="BM247" s="176"/>
      <c r="BN247" s="176"/>
      <c r="BO247" s="176"/>
    </row>
    <row r="248" spans="1:67" s="36" customFormat="1" ht="10.5" customHeight="1" x14ac:dyDescent="0.2">
      <c r="A248" s="1055"/>
      <c r="B248" s="2594"/>
      <c r="C248" s="2595"/>
      <c r="D248" s="2596"/>
      <c r="E248" s="2395"/>
      <c r="F248" s="2396"/>
      <c r="G248" s="2590"/>
      <c r="H248" s="2591"/>
      <c r="I248" s="1081">
        <f t="shared" si="56"/>
        <v>0</v>
      </c>
      <c r="J248" s="1082">
        <f t="shared" si="57"/>
        <v>0</v>
      </c>
      <c r="K248" s="2588"/>
      <c r="L248" s="2589"/>
      <c r="M248" s="1086">
        <f t="shared" si="58"/>
        <v>0</v>
      </c>
      <c r="N248" s="505"/>
      <c r="O248" s="365">
        <f t="shared" si="59"/>
        <v>0</v>
      </c>
      <c r="P248" s="366"/>
      <c r="Q248" s="135"/>
      <c r="R248" s="136"/>
      <c r="S248" s="129"/>
      <c r="T248" s="129"/>
      <c r="U248" s="129"/>
      <c r="V248" s="129"/>
      <c r="W248" s="129"/>
      <c r="X248" s="129"/>
      <c r="Y248" s="129"/>
      <c r="Z248" s="133"/>
      <c r="AA248" s="133"/>
      <c r="AB248" s="133"/>
      <c r="AC248" s="133"/>
      <c r="AD248" s="133"/>
      <c r="AE248" s="133"/>
      <c r="AF248" s="222"/>
      <c r="AG248" s="222"/>
      <c r="AH248" s="222"/>
      <c r="AI248" s="176"/>
      <c r="AJ248" s="176"/>
      <c r="AK248" s="176"/>
      <c r="AL248" s="176"/>
      <c r="AM248" s="176"/>
      <c r="AN248" s="176"/>
      <c r="AO248" s="176"/>
      <c r="AP248" s="176"/>
      <c r="AQ248" s="176"/>
      <c r="AR248" s="176"/>
      <c r="AS248" s="176"/>
      <c r="AT248" s="176"/>
      <c r="AU248" s="176"/>
      <c r="AV248" s="176"/>
      <c r="AW248" s="176"/>
      <c r="AX248" s="176"/>
      <c r="AY248" s="176"/>
      <c r="AZ248" s="176"/>
      <c r="BA248" s="176"/>
      <c r="BB248" s="176"/>
      <c r="BC248" s="176"/>
      <c r="BD248" s="176"/>
      <c r="BE248" s="176"/>
      <c r="BF248" s="176"/>
      <c r="BG248" s="176"/>
      <c r="BH248" s="176"/>
      <c r="BI248" s="176"/>
      <c r="BJ248" s="176"/>
      <c r="BK248" s="176"/>
      <c r="BL248" s="176"/>
      <c r="BM248" s="176"/>
      <c r="BN248" s="176"/>
      <c r="BO248" s="176"/>
    </row>
    <row r="249" spans="1:67" s="36" customFormat="1" ht="10.5" customHeight="1" x14ac:dyDescent="0.2">
      <c r="A249" s="1055"/>
      <c r="B249" s="2594"/>
      <c r="C249" s="2595"/>
      <c r="D249" s="2596"/>
      <c r="E249" s="2395"/>
      <c r="F249" s="2396"/>
      <c r="G249" s="2590"/>
      <c r="H249" s="2591"/>
      <c r="I249" s="1081">
        <f t="shared" si="56"/>
        <v>0</v>
      </c>
      <c r="J249" s="1082">
        <f t="shared" si="57"/>
        <v>0</v>
      </c>
      <c r="K249" s="2588"/>
      <c r="L249" s="2589"/>
      <c r="M249" s="1086">
        <f t="shared" si="58"/>
        <v>0</v>
      </c>
      <c r="N249" s="505"/>
      <c r="O249" s="365">
        <f t="shared" si="59"/>
        <v>0</v>
      </c>
      <c r="P249" s="366"/>
      <c r="Q249" s="135"/>
      <c r="R249" s="136"/>
      <c r="S249" s="129"/>
      <c r="T249" s="129"/>
      <c r="U249" s="129"/>
      <c r="V249" s="129"/>
      <c r="W249" s="129"/>
      <c r="X249" s="129"/>
      <c r="Y249" s="129"/>
      <c r="Z249" s="133"/>
      <c r="AA249" s="133"/>
      <c r="AB249" s="133"/>
      <c r="AC249" s="133"/>
      <c r="AD249" s="133"/>
      <c r="AE249" s="133"/>
      <c r="AF249" s="222"/>
      <c r="AG249" s="222"/>
      <c r="AH249" s="222"/>
      <c r="AI249" s="176"/>
      <c r="AJ249" s="176"/>
      <c r="AK249" s="176"/>
      <c r="AL249" s="176"/>
      <c r="AM249" s="176"/>
      <c r="AN249" s="176"/>
      <c r="AO249" s="176"/>
      <c r="AP249" s="176"/>
      <c r="AQ249" s="176"/>
      <c r="AR249" s="176"/>
      <c r="AS249" s="176"/>
      <c r="AT249" s="176"/>
      <c r="AU249" s="176"/>
      <c r="AV249" s="176"/>
      <c r="AW249" s="176"/>
      <c r="AX249" s="176"/>
      <c r="AY249" s="176"/>
      <c r="AZ249" s="176"/>
      <c r="BA249" s="176"/>
      <c r="BB249" s="176"/>
      <c r="BC249" s="176"/>
      <c r="BD249" s="176"/>
      <c r="BE249" s="176"/>
      <c r="BF249" s="176"/>
      <c r="BG249" s="176"/>
      <c r="BH249" s="176"/>
      <c r="BI249" s="176"/>
      <c r="BJ249" s="176"/>
      <c r="BK249" s="176"/>
      <c r="BL249" s="176"/>
      <c r="BM249" s="176"/>
      <c r="BN249" s="176"/>
      <c r="BO249" s="176"/>
    </row>
    <row r="250" spans="1:67" s="36" customFormat="1" ht="10.5" customHeight="1" x14ac:dyDescent="0.2">
      <c r="A250" s="1055"/>
      <c r="B250" s="2594"/>
      <c r="C250" s="2595"/>
      <c r="D250" s="2596"/>
      <c r="E250" s="2395"/>
      <c r="F250" s="2396"/>
      <c r="G250" s="2590"/>
      <c r="H250" s="2591"/>
      <c r="I250" s="1081">
        <f t="shared" si="56"/>
        <v>0</v>
      </c>
      <c r="J250" s="1082">
        <f t="shared" si="57"/>
        <v>0</v>
      </c>
      <c r="K250" s="2588"/>
      <c r="L250" s="2589"/>
      <c r="M250" s="1086">
        <f t="shared" si="58"/>
        <v>0</v>
      </c>
      <c r="N250" s="505"/>
      <c r="O250" s="365">
        <f t="shared" si="59"/>
        <v>0</v>
      </c>
      <c r="P250" s="366"/>
      <c r="Q250" s="135"/>
      <c r="R250" s="136"/>
      <c r="S250" s="129"/>
      <c r="T250" s="129"/>
      <c r="U250" s="129"/>
      <c r="V250" s="129"/>
      <c r="W250" s="129"/>
      <c r="X250" s="129"/>
      <c r="Y250" s="129"/>
      <c r="Z250" s="133"/>
      <c r="AA250" s="133"/>
      <c r="AB250" s="133"/>
      <c r="AC250" s="133"/>
      <c r="AD250" s="133"/>
      <c r="AE250" s="133"/>
      <c r="AF250" s="222"/>
      <c r="AG250" s="222"/>
      <c r="AH250" s="222"/>
      <c r="AI250" s="176"/>
      <c r="AJ250" s="176"/>
      <c r="AK250" s="176"/>
      <c r="AL250" s="176"/>
      <c r="AM250" s="176"/>
      <c r="AN250" s="176"/>
      <c r="AO250" s="176"/>
      <c r="AP250" s="176"/>
      <c r="AQ250" s="176"/>
      <c r="AR250" s="176"/>
      <c r="AS250" s="176"/>
      <c r="AT250" s="176"/>
      <c r="AU250" s="176"/>
      <c r="AV250" s="176"/>
      <c r="AW250" s="176"/>
      <c r="AX250" s="176"/>
      <c r="AY250" s="176"/>
      <c r="AZ250" s="176"/>
      <c r="BA250" s="176"/>
      <c r="BB250" s="176"/>
      <c r="BC250" s="176"/>
      <c r="BD250" s="176"/>
      <c r="BE250" s="176"/>
      <c r="BF250" s="176"/>
      <c r="BG250" s="176"/>
      <c r="BH250" s="176"/>
      <c r="BI250" s="176"/>
      <c r="BJ250" s="176"/>
      <c r="BK250" s="176"/>
      <c r="BL250" s="176"/>
      <c r="BM250" s="176"/>
      <c r="BN250" s="176"/>
      <c r="BO250" s="176"/>
    </row>
    <row r="251" spans="1:67" s="36" customFormat="1" ht="10.5" customHeight="1" x14ac:dyDescent="0.2">
      <c r="A251" s="1348"/>
      <c r="B251" s="2690"/>
      <c r="C251" s="2691"/>
      <c r="D251" s="2692"/>
      <c r="E251" s="2601"/>
      <c r="F251" s="2602"/>
      <c r="G251" s="1088"/>
      <c r="H251" s="1089"/>
      <c r="I251" s="1083">
        <f t="shared" si="56"/>
        <v>0</v>
      </c>
      <c r="J251" s="1084"/>
      <c r="K251" s="1087"/>
      <c r="L251" s="1307"/>
      <c r="M251" s="1317">
        <f t="shared" si="58"/>
        <v>0</v>
      </c>
      <c r="N251" s="505"/>
      <c r="O251" s="365">
        <f t="shared" si="59"/>
        <v>0</v>
      </c>
      <c r="P251" s="366"/>
      <c r="Q251" s="135"/>
      <c r="R251" s="136"/>
      <c r="S251" s="129"/>
      <c r="T251" s="129"/>
      <c r="U251" s="129"/>
      <c r="V251" s="129"/>
      <c r="W251" s="129"/>
      <c r="X251" s="129"/>
      <c r="Y251" s="129"/>
      <c r="Z251" s="133"/>
      <c r="AA251" s="133"/>
      <c r="AB251" s="133"/>
      <c r="AC251" s="133"/>
      <c r="AD251" s="133"/>
      <c r="AE251" s="133"/>
      <c r="AF251" s="222"/>
      <c r="AG251" s="222"/>
      <c r="AH251" s="222"/>
      <c r="AI251" s="176"/>
      <c r="AJ251" s="176"/>
      <c r="AK251" s="176"/>
      <c r="AL251" s="176"/>
      <c r="AM251" s="176"/>
      <c r="AN251" s="176"/>
      <c r="AO251" s="176"/>
      <c r="AP251" s="176"/>
      <c r="AQ251" s="176"/>
      <c r="AR251" s="176"/>
      <c r="AS251" s="176"/>
      <c r="AT251" s="176"/>
      <c r="AU251" s="176"/>
      <c r="AV251" s="176"/>
      <c r="AW251" s="176"/>
      <c r="AX251" s="176"/>
      <c r="AY251" s="176"/>
      <c r="AZ251" s="176"/>
      <c r="BA251" s="176"/>
      <c r="BB251" s="176"/>
      <c r="BC251" s="176"/>
      <c r="BD251" s="176"/>
      <c r="BE251" s="176"/>
      <c r="BF251" s="176"/>
      <c r="BG251" s="176"/>
      <c r="BH251" s="176"/>
      <c r="BI251" s="176"/>
      <c r="BJ251" s="176"/>
      <c r="BK251" s="176"/>
      <c r="BL251" s="176"/>
      <c r="BM251" s="176"/>
      <c r="BN251" s="176"/>
      <c r="BO251" s="176"/>
    </row>
    <row r="252" spans="1:67" s="36" customFormat="1" ht="10.5" customHeight="1" x14ac:dyDescent="0.2">
      <c r="A252" s="1345" t="s">
        <v>341</v>
      </c>
      <c r="B252" s="2603"/>
      <c r="C252" s="2604"/>
      <c r="D252" s="2605"/>
      <c r="E252" s="2730">
        <f>SUM(E253:E265)</f>
        <v>0</v>
      </c>
      <c r="F252" s="2731"/>
      <c r="G252" s="2732"/>
      <c r="H252" s="2733"/>
      <c r="I252" s="1121">
        <f>IF(E252=0,0,J252/E252)</f>
        <v>0</v>
      </c>
      <c r="J252" s="1346">
        <f>SUM(J253:J265)</f>
        <v>0</v>
      </c>
      <c r="K252" s="2734">
        <f>IF(E252=0,0,M252/E252*100)</f>
        <v>0</v>
      </c>
      <c r="L252" s="2736"/>
      <c r="M252" s="1347">
        <f>SUM(M253:M265)</f>
        <v>0</v>
      </c>
      <c r="N252" s="505"/>
      <c r="O252" s="178">
        <f>IF(H252="",G252,H252)</f>
        <v>0</v>
      </c>
      <c r="P252" s="366"/>
      <c r="Q252" s="135"/>
      <c r="R252" s="136"/>
      <c r="S252" s="129"/>
      <c r="T252" s="129"/>
      <c r="U252" s="129"/>
      <c r="V252" s="129"/>
      <c r="W252" s="129"/>
      <c r="X252" s="129"/>
      <c r="Y252" s="129"/>
      <c r="Z252" s="133"/>
      <c r="AA252" s="133"/>
      <c r="AB252" s="133"/>
      <c r="AC252" s="133"/>
      <c r="AD252" s="133"/>
      <c r="AE252" s="133"/>
      <c r="AF252" s="222"/>
      <c r="AG252" s="222"/>
      <c r="AH252" s="222"/>
      <c r="AI252" s="176"/>
      <c r="AJ252" s="176"/>
      <c r="AK252" s="176"/>
      <c r="AL252" s="176"/>
      <c r="AM252" s="176"/>
      <c r="AN252" s="176"/>
      <c r="AO252" s="176"/>
      <c r="AP252" s="176"/>
      <c r="AQ252" s="176"/>
      <c r="AR252" s="176"/>
      <c r="AS252" s="176"/>
      <c r="AT252" s="176"/>
      <c r="AU252" s="176"/>
      <c r="AV252" s="176"/>
      <c r="AW252" s="176"/>
      <c r="AX252" s="176"/>
      <c r="AY252" s="176"/>
      <c r="AZ252" s="176"/>
      <c r="BA252" s="176"/>
      <c r="BB252" s="176"/>
      <c r="BC252" s="176"/>
      <c r="BD252" s="176"/>
      <c r="BE252" s="176"/>
      <c r="BF252" s="176"/>
      <c r="BG252" s="176"/>
      <c r="BH252" s="176"/>
      <c r="BI252" s="176"/>
      <c r="BJ252" s="176"/>
      <c r="BK252" s="176"/>
      <c r="BL252" s="176"/>
      <c r="BM252" s="176"/>
      <c r="BN252" s="176"/>
      <c r="BO252" s="176"/>
    </row>
    <row r="253" spans="1:67" s="36" customFormat="1" ht="10.5" customHeight="1" x14ac:dyDescent="0.2">
      <c r="A253" s="1042" t="s">
        <v>342</v>
      </c>
      <c r="B253" s="2624"/>
      <c r="C253" s="2625"/>
      <c r="D253" s="2626"/>
      <c r="E253" s="2386"/>
      <c r="F253" s="2387"/>
      <c r="G253" s="1056">
        <v>15</v>
      </c>
      <c r="H253" s="1057"/>
      <c r="I253" s="1079">
        <f t="shared" ref="I253:I266" si="60">IF($O253&gt;0,-PMT(($I$9),$O253,1),0)</f>
        <v>7.9288524964265278E-2</v>
      </c>
      <c r="J253" s="1080">
        <f t="shared" ref="J253:J265" si="61">ROUND(E253*I253,0)</f>
        <v>0</v>
      </c>
      <c r="K253" s="1060">
        <v>1.5</v>
      </c>
      <c r="L253" s="1304"/>
      <c r="M253" s="1085">
        <f t="shared" ref="M253:M266" si="62">ROUND(E253/100*IF(ISBLANK(L253),K253,L253),0)</f>
        <v>0</v>
      </c>
      <c r="N253" s="505"/>
      <c r="O253" s="365">
        <f t="shared" ref="O253:O266" si="63">IF(ISBLANK(H253),G253,H253)</f>
        <v>15</v>
      </c>
      <c r="P253" s="366"/>
      <c r="Q253" s="135"/>
      <c r="R253" s="136"/>
      <c r="S253" s="129"/>
      <c r="T253" s="129"/>
      <c r="U253" s="129"/>
      <c r="V253" s="129"/>
      <c r="W253" s="129"/>
      <c r="X253" s="129"/>
      <c r="Y253" s="129"/>
      <c r="Z253" s="133"/>
      <c r="AA253" s="133"/>
      <c r="AB253" s="133"/>
      <c r="AC253" s="133"/>
      <c r="AD253" s="133"/>
      <c r="AE253" s="133"/>
      <c r="AF253" s="222"/>
      <c r="AG253" s="222"/>
      <c r="AH253" s="222"/>
      <c r="AI253" s="176"/>
      <c r="AJ253" s="176"/>
      <c r="AK253" s="176"/>
      <c r="AL253" s="176"/>
      <c r="AM253" s="176"/>
      <c r="AN253" s="176"/>
      <c r="AO253" s="176"/>
      <c r="AP253" s="176"/>
      <c r="AQ253" s="176"/>
      <c r="AR253" s="176"/>
      <c r="AS253" s="176"/>
      <c r="AT253" s="176"/>
      <c r="AU253" s="176"/>
      <c r="AV253" s="176"/>
      <c r="AW253" s="176"/>
      <c r="AX253" s="176"/>
      <c r="AY253" s="176"/>
      <c r="AZ253" s="176"/>
      <c r="BA253" s="176"/>
      <c r="BB253" s="176"/>
      <c r="BC253" s="176"/>
      <c r="BD253" s="176"/>
      <c r="BE253" s="176"/>
      <c r="BF253" s="176"/>
      <c r="BG253" s="176"/>
      <c r="BH253" s="176"/>
      <c r="BI253" s="176"/>
      <c r="BJ253" s="176"/>
      <c r="BK253" s="176"/>
      <c r="BL253" s="176"/>
      <c r="BM253" s="176"/>
      <c r="BN253" s="176"/>
      <c r="BO253" s="176"/>
    </row>
    <row r="254" spans="1:67" s="36" customFormat="1" ht="10.5" customHeight="1" x14ac:dyDescent="0.2">
      <c r="A254" s="1043" t="s">
        <v>343</v>
      </c>
      <c r="B254" s="2594"/>
      <c r="C254" s="2595"/>
      <c r="D254" s="2596"/>
      <c r="E254" s="2395"/>
      <c r="F254" s="2396"/>
      <c r="G254" s="1058">
        <v>15</v>
      </c>
      <c r="H254" s="1059"/>
      <c r="I254" s="1081">
        <f t="shared" si="60"/>
        <v>7.9288524964265278E-2</v>
      </c>
      <c r="J254" s="1082">
        <f t="shared" si="61"/>
        <v>0</v>
      </c>
      <c r="K254" s="1061">
        <v>1</v>
      </c>
      <c r="L254" s="1305"/>
      <c r="M254" s="1086">
        <f t="shared" si="62"/>
        <v>0</v>
      </c>
      <c r="N254" s="505"/>
      <c r="O254" s="365">
        <f t="shared" si="63"/>
        <v>15</v>
      </c>
      <c r="P254" s="366"/>
      <c r="Q254" s="135"/>
      <c r="R254" s="136"/>
      <c r="S254" s="129"/>
      <c r="T254" s="129"/>
      <c r="U254" s="129"/>
      <c r="V254" s="129"/>
      <c r="W254" s="129"/>
      <c r="X254" s="129"/>
      <c r="Y254" s="129"/>
      <c r="Z254" s="133"/>
      <c r="AA254" s="133"/>
      <c r="AB254" s="133"/>
      <c r="AC254" s="133"/>
      <c r="AD254" s="133"/>
      <c r="AE254" s="133"/>
      <c r="AF254" s="222"/>
      <c r="AG254" s="222"/>
      <c r="AH254" s="222"/>
      <c r="AI254" s="176"/>
      <c r="AJ254" s="176"/>
      <c r="AK254" s="176"/>
      <c r="AL254" s="176"/>
      <c r="AM254" s="176"/>
      <c r="AN254" s="176"/>
      <c r="AO254" s="176"/>
      <c r="AP254" s="176"/>
      <c r="AQ254" s="176"/>
      <c r="AR254" s="176"/>
      <c r="AS254" s="176"/>
      <c r="AT254" s="176"/>
      <c r="AU254" s="176"/>
      <c r="AV254" s="176"/>
      <c r="AW254" s="176"/>
      <c r="AX254" s="176"/>
      <c r="AY254" s="176"/>
      <c r="AZ254" s="176"/>
      <c r="BA254" s="176"/>
      <c r="BB254" s="176"/>
      <c r="BC254" s="176"/>
      <c r="BD254" s="176"/>
      <c r="BE254" s="176"/>
      <c r="BF254" s="176"/>
      <c r="BG254" s="176"/>
      <c r="BH254" s="176"/>
      <c r="BI254" s="176"/>
      <c r="BJ254" s="176"/>
      <c r="BK254" s="176"/>
      <c r="BL254" s="176"/>
      <c r="BM254" s="176"/>
      <c r="BN254" s="176"/>
      <c r="BO254" s="176"/>
    </row>
    <row r="255" spans="1:67" s="36" customFormat="1" ht="10.5" customHeight="1" x14ac:dyDescent="0.2">
      <c r="A255" s="1043" t="s">
        <v>344</v>
      </c>
      <c r="B255" s="2594"/>
      <c r="C255" s="2595"/>
      <c r="D255" s="2596"/>
      <c r="E255" s="2395"/>
      <c r="F255" s="2396"/>
      <c r="G255" s="1058">
        <v>15</v>
      </c>
      <c r="H255" s="1059"/>
      <c r="I255" s="1081">
        <f t="shared" si="60"/>
        <v>7.9288524964265278E-2</v>
      </c>
      <c r="J255" s="1082">
        <f t="shared" si="61"/>
        <v>0</v>
      </c>
      <c r="K255" s="1061">
        <v>1.5</v>
      </c>
      <c r="L255" s="1305"/>
      <c r="M255" s="1086">
        <f t="shared" si="62"/>
        <v>0</v>
      </c>
      <c r="N255" s="505"/>
      <c r="O255" s="365">
        <f t="shared" si="63"/>
        <v>15</v>
      </c>
      <c r="P255" s="366"/>
      <c r="Q255" s="135"/>
      <c r="R255" s="136"/>
      <c r="S255" s="129"/>
      <c r="T255" s="129"/>
      <c r="U255" s="129"/>
      <c r="V255" s="129"/>
      <c r="W255" s="129"/>
      <c r="X255" s="129"/>
      <c r="Y255" s="129"/>
      <c r="Z255" s="133"/>
      <c r="AA255" s="133"/>
      <c r="AB255" s="133"/>
      <c r="AC255" s="133"/>
      <c r="AD255" s="133"/>
      <c r="AE255" s="133"/>
      <c r="AF255" s="222"/>
      <c r="AG255" s="222"/>
      <c r="AH255" s="222"/>
      <c r="AI255" s="176"/>
      <c r="AJ255" s="176"/>
      <c r="AK255" s="176"/>
      <c r="AL255" s="176"/>
      <c r="AM255" s="176"/>
      <c r="AN255" s="176"/>
      <c r="AO255" s="176"/>
      <c r="AP255" s="176"/>
      <c r="AQ255" s="176"/>
      <c r="AR255" s="176"/>
      <c r="AS255" s="176"/>
      <c r="AT255" s="176"/>
      <c r="AU255" s="176"/>
      <c r="AV255" s="176"/>
      <c r="AW255" s="176"/>
      <c r="AX255" s="176"/>
      <c r="AY255" s="176"/>
      <c r="AZ255" s="176"/>
      <c r="BA255" s="176"/>
      <c r="BB255" s="176"/>
      <c r="BC255" s="176"/>
      <c r="BD255" s="176"/>
      <c r="BE255" s="176"/>
      <c r="BF255" s="176"/>
      <c r="BG255" s="176"/>
      <c r="BH255" s="176"/>
      <c r="BI255" s="176"/>
      <c r="BJ255" s="176"/>
      <c r="BK255" s="176"/>
      <c r="BL255" s="176"/>
      <c r="BM255" s="176"/>
      <c r="BN255" s="176"/>
      <c r="BO255" s="176"/>
    </row>
    <row r="256" spans="1:67" s="36" customFormat="1" ht="10.5" customHeight="1" x14ac:dyDescent="0.2">
      <c r="A256" s="1043" t="s">
        <v>345</v>
      </c>
      <c r="B256" s="2594"/>
      <c r="C256" s="2595"/>
      <c r="D256" s="2596"/>
      <c r="E256" s="2395"/>
      <c r="F256" s="2396"/>
      <c r="G256" s="1058">
        <v>15</v>
      </c>
      <c r="H256" s="1059"/>
      <c r="I256" s="1081">
        <f t="shared" si="60"/>
        <v>7.9288524964265278E-2</v>
      </c>
      <c r="J256" s="1082">
        <f t="shared" si="61"/>
        <v>0</v>
      </c>
      <c r="K256" s="1061">
        <v>0</v>
      </c>
      <c r="L256" s="1305"/>
      <c r="M256" s="1086">
        <f t="shared" si="62"/>
        <v>0</v>
      </c>
      <c r="N256" s="505"/>
      <c r="O256" s="365">
        <f t="shared" si="63"/>
        <v>15</v>
      </c>
      <c r="P256" s="366"/>
      <c r="Q256" s="135"/>
      <c r="R256" s="136"/>
      <c r="S256" s="129"/>
      <c r="T256" s="129"/>
      <c r="U256" s="129"/>
      <c r="V256" s="129"/>
      <c r="W256" s="129"/>
      <c r="X256" s="129"/>
      <c r="Y256" s="129"/>
      <c r="Z256" s="133"/>
      <c r="AA256" s="133"/>
      <c r="AB256" s="133"/>
      <c r="AC256" s="133"/>
      <c r="AD256" s="133"/>
      <c r="AE256" s="133"/>
      <c r="AF256" s="222"/>
      <c r="AG256" s="222"/>
      <c r="AH256" s="222"/>
      <c r="AI256" s="176"/>
      <c r="AJ256" s="176"/>
      <c r="AK256" s="176"/>
      <c r="AL256" s="176"/>
      <c r="AM256" s="176"/>
      <c r="AN256" s="176"/>
      <c r="AO256" s="176"/>
      <c r="AP256" s="176"/>
      <c r="AQ256" s="176"/>
      <c r="AR256" s="176"/>
      <c r="AS256" s="176"/>
      <c r="AT256" s="176"/>
      <c r="AU256" s="176"/>
      <c r="AV256" s="176"/>
      <c r="AW256" s="176"/>
      <c r="AX256" s="176"/>
      <c r="AY256" s="176"/>
      <c r="AZ256" s="176"/>
      <c r="BA256" s="176"/>
      <c r="BB256" s="176"/>
      <c r="BC256" s="176"/>
      <c r="BD256" s="176"/>
      <c r="BE256" s="176"/>
      <c r="BF256" s="176"/>
      <c r="BG256" s="176"/>
      <c r="BH256" s="176"/>
      <c r="BI256" s="176"/>
      <c r="BJ256" s="176"/>
      <c r="BK256" s="176"/>
      <c r="BL256" s="176"/>
      <c r="BM256" s="176"/>
      <c r="BN256" s="176"/>
      <c r="BO256" s="176"/>
    </row>
    <row r="257" spans="1:67" s="36" customFormat="1" ht="10.5" customHeight="1" x14ac:dyDescent="0.2">
      <c r="A257" s="1055"/>
      <c r="B257" s="2594"/>
      <c r="C257" s="2595"/>
      <c r="D257" s="2596"/>
      <c r="E257" s="2395"/>
      <c r="F257" s="2396"/>
      <c r="G257" s="2590"/>
      <c r="H257" s="2591"/>
      <c r="I257" s="1081">
        <f t="shared" si="60"/>
        <v>0</v>
      </c>
      <c r="J257" s="1082">
        <f t="shared" si="61"/>
        <v>0</v>
      </c>
      <c r="K257" s="2588"/>
      <c r="L257" s="2589"/>
      <c r="M257" s="1086">
        <f t="shared" si="62"/>
        <v>0</v>
      </c>
      <c r="N257" s="505"/>
      <c r="O257" s="365">
        <f t="shared" si="63"/>
        <v>0</v>
      </c>
      <c r="P257" s="366"/>
      <c r="Q257" s="135"/>
      <c r="R257" s="136"/>
      <c r="S257" s="129"/>
      <c r="T257" s="129"/>
      <c r="U257" s="129"/>
      <c r="V257" s="129"/>
      <c r="W257" s="129"/>
      <c r="X257" s="129"/>
      <c r="Y257" s="129"/>
      <c r="Z257" s="133"/>
      <c r="AA257" s="133"/>
      <c r="AB257" s="133"/>
      <c r="AC257" s="133"/>
      <c r="AD257" s="133"/>
      <c r="AE257" s="133"/>
      <c r="AF257" s="222"/>
      <c r="AG257" s="222"/>
      <c r="AH257" s="222"/>
      <c r="AI257" s="176"/>
      <c r="AJ257" s="176"/>
      <c r="AK257" s="176"/>
      <c r="AL257" s="176"/>
      <c r="AM257" s="176"/>
      <c r="AN257" s="176"/>
      <c r="AO257" s="176"/>
      <c r="AP257" s="176"/>
      <c r="AQ257" s="176"/>
      <c r="AR257" s="176"/>
      <c r="AS257" s="176"/>
      <c r="AT257" s="176"/>
      <c r="AU257" s="176"/>
      <c r="AV257" s="176"/>
      <c r="AW257" s="176"/>
      <c r="AX257" s="176"/>
      <c r="AY257" s="176"/>
      <c r="AZ257" s="176"/>
      <c r="BA257" s="176"/>
      <c r="BB257" s="176"/>
      <c r="BC257" s="176"/>
      <c r="BD257" s="176"/>
      <c r="BE257" s="176"/>
      <c r="BF257" s="176"/>
      <c r="BG257" s="176"/>
      <c r="BH257" s="176"/>
      <c r="BI257" s="176"/>
      <c r="BJ257" s="176"/>
      <c r="BK257" s="176"/>
      <c r="BL257" s="176"/>
      <c r="BM257" s="176"/>
      <c r="BN257" s="176"/>
      <c r="BO257" s="176"/>
    </row>
    <row r="258" spans="1:67" s="36" customFormat="1" ht="10.5" customHeight="1" x14ac:dyDescent="0.2">
      <c r="A258" s="1055"/>
      <c r="B258" s="2594"/>
      <c r="C258" s="2595"/>
      <c r="D258" s="2596"/>
      <c r="E258" s="2395"/>
      <c r="F258" s="2396"/>
      <c r="G258" s="2590"/>
      <c r="H258" s="2591"/>
      <c r="I258" s="1081">
        <f t="shared" si="60"/>
        <v>0</v>
      </c>
      <c r="J258" s="1082">
        <f t="shared" si="61"/>
        <v>0</v>
      </c>
      <c r="K258" s="2588"/>
      <c r="L258" s="2589"/>
      <c r="M258" s="1086">
        <f t="shared" si="62"/>
        <v>0</v>
      </c>
      <c r="N258" s="505"/>
      <c r="O258" s="365">
        <f t="shared" si="63"/>
        <v>0</v>
      </c>
      <c r="P258" s="366"/>
      <c r="Q258" s="135"/>
      <c r="R258" s="136"/>
      <c r="S258" s="129"/>
      <c r="T258" s="129"/>
      <c r="U258" s="129"/>
      <c r="V258" s="129"/>
      <c r="W258" s="129"/>
      <c r="X258" s="129"/>
      <c r="Y258" s="129"/>
      <c r="Z258" s="133"/>
      <c r="AA258" s="133"/>
      <c r="AB258" s="133"/>
      <c r="AC258" s="133"/>
      <c r="AD258" s="133"/>
      <c r="AE258" s="133"/>
      <c r="AF258" s="222"/>
      <c r="AG258" s="222"/>
      <c r="AH258" s="222"/>
      <c r="AI258" s="176"/>
      <c r="AJ258" s="176"/>
      <c r="AK258" s="176"/>
      <c r="AL258" s="176"/>
      <c r="AM258" s="176"/>
      <c r="AN258" s="176"/>
      <c r="AO258" s="176"/>
      <c r="AP258" s="176"/>
      <c r="AQ258" s="176"/>
      <c r="AR258" s="176"/>
      <c r="AS258" s="176"/>
      <c r="AT258" s="176"/>
      <c r="AU258" s="176"/>
      <c r="AV258" s="176"/>
      <c r="AW258" s="176"/>
      <c r="AX258" s="176"/>
      <c r="AY258" s="176"/>
      <c r="AZ258" s="176"/>
      <c r="BA258" s="176"/>
      <c r="BB258" s="176"/>
      <c r="BC258" s="176"/>
      <c r="BD258" s="176"/>
      <c r="BE258" s="176"/>
      <c r="BF258" s="176"/>
      <c r="BG258" s="176"/>
      <c r="BH258" s="176"/>
      <c r="BI258" s="176"/>
      <c r="BJ258" s="176"/>
      <c r="BK258" s="176"/>
      <c r="BL258" s="176"/>
      <c r="BM258" s="176"/>
      <c r="BN258" s="176"/>
      <c r="BO258" s="176"/>
    </row>
    <row r="259" spans="1:67" s="36" customFormat="1" ht="10.5" customHeight="1" x14ac:dyDescent="0.2">
      <c r="A259" s="1055"/>
      <c r="B259" s="2594"/>
      <c r="C259" s="2595"/>
      <c r="D259" s="2596"/>
      <c r="E259" s="2395"/>
      <c r="F259" s="2396"/>
      <c r="G259" s="2590"/>
      <c r="H259" s="2591"/>
      <c r="I259" s="1081">
        <f t="shared" si="60"/>
        <v>0</v>
      </c>
      <c r="J259" s="1082">
        <f t="shared" si="61"/>
        <v>0</v>
      </c>
      <c r="K259" s="2588"/>
      <c r="L259" s="2589"/>
      <c r="M259" s="1086">
        <f t="shared" si="62"/>
        <v>0</v>
      </c>
      <c r="N259" s="505"/>
      <c r="O259" s="365">
        <f t="shared" si="63"/>
        <v>0</v>
      </c>
      <c r="P259" s="366"/>
      <c r="Q259" s="135"/>
      <c r="R259" s="136"/>
      <c r="S259" s="129"/>
      <c r="T259" s="129"/>
      <c r="U259" s="129"/>
      <c r="V259" s="129"/>
      <c r="W259" s="129"/>
      <c r="X259" s="129"/>
      <c r="Y259" s="129"/>
      <c r="Z259" s="133"/>
      <c r="AA259" s="133"/>
      <c r="AB259" s="133"/>
      <c r="AC259" s="133"/>
      <c r="AD259" s="133"/>
      <c r="AE259" s="133"/>
      <c r="AF259" s="222"/>
      <c r="AG259" s="222"/>
      <c r="AH259" s="222"/>
      <c r="AI259" s="176"/>
      <c r="AJ259" s="176"/>
      <c r="AK259" s="176"/>
      <c r="AL259" s="176"/>
      <c r="AM259" s="176"/>
      <c r="AN259" s="176"/>
      <c r="AO259" s="176"/>
      <c r="AP259" s="176"/>
      <c r="AQ259" s="176"/>
      <c r="AR259" s="176"/>
      <c r="AS259" s="176"/>
      <c r="AT259" s="176"/>
      <c r="AU259" s="176"/>
      <c r="AV259" s="176"/>
      <c r="AW259" s="176"/>
      <c r="AX259" s="176"/>
      <c r="AY259" s="176"/>
      <c r="AZ259" s="176"/>
      <c r="BA259" s="176"/>
      <c r="BB259" s="176"/>
      <c r="BC259" s="176"/>
      <c r="BD259" s="176"/>
      <c r="BE259" s="176"/>
      <c r="BF259" s="176"/>
      <c r="BG259" s="176"/>
      <c r="BH259" s="176"/>
      <c r="BI259" s="176"/>
      <c r="BJ259" s="176"/>
      <c r="BK259" s="176"/>
      <c r="BL259" s="176"/>
      <c r="BM259" s="176"/>
      <c r="BN259" s="176"/>
      <c r="BO259" s="176"/>
    </row>
    <row r="260" spans="1:67" s="36" customFormat="1" ht="10.5" customHeight="1" x14ac:dyDescent="0.2">
      <c r="A260" s="1055"/>
      <c r="B260" s="2594"/>
      <c r="C260" s="2595"/>
      <c r="D260" s="2596"/>
      <c r="E260" s="2395"/>
      <c r="F260" s="2396"/>
      <c r="G260" s="2590"/>
      <c r="H260" s="2591"/>
      <c r="I260" s="1081">
        <f t="shared" si="60"/>
        <v>0</v>
      </c>
      <c r="J260" s="1082">
        <f t="shared" si="61"/>
        <v>0</v>
      </c>
      <c r="K260" s="2588"/>
      <c r="L260" s="2589"/>
      <c r="M260" s="1086">
        <f t="shared" si="62"/>
        <v>0</v>
      </c>
      <c r="N260" s="505"/>
      <c r="O260" s="365">
        <f t="shared" si="63"/>
        <v>0</v>
      </c>
      <c r="P260" s="366"/>
      <c r="Q260" s="135"/>
      <c r="R260" s="136"/>
      <c r="S260" s="129"/>
      <c r="T260" s="129"/>
      <c r="U260" s="129"/>
      <c r="V260" s="129"/>
      <c r="W260" s="129"/>
      <c r="X260" s="129"/>
      <c r="Y260" s="129"/>
      <c r="Z260" s="133"/>
      <c r="AA260" s="133"/>
      <c r="AB260" s="133"/>
      <c r="AC260" s="133"/>
      <c r="AD260" s="133"/>
      <c r="AE260" s="133"/>
      <c r="AF260" s="222"/>
      <c r="AG260" s="222"/>
      <c r="AH260" s="222"/>
      <c r="AI260" s="176"/>
      <c r="AJ260" s="176"/>
      <c r="AK260" s="176"/>
      <c r="AL260" s="176"/>
      <c r="AM260" s="176"/>
      <c r="AN260" s="176"/>
      <c r="AO260" s="176"/>
      <c r="AP260" s="176"/>
      <c r="AQ260" s="176"/>
      <c r="AR260" s="176"/>
      <c r="AS260" s="176"/>
      <c r="AT260" s="176"/>
      <c r="AU260" s="176"/>
      <c r="AV260" s="176"/>
      <c r="AW260" s="176"/>
      <c r="AX260" s="176"/>
      <c r="AY260" s="176"/>
      <c r="AZ260" s="176"/>
      <c r="BA260" s="176"/>
      <c r="BB260" s="176"/>
      <c r="BC260" s="176"/>
      <c r="BD260" s="176"/>
      <c r="BE260" s="176"/>
      <c r="BF260" s="176"/>
      <c r="BG260" s="176"/>
      <c r="BH260" s="176"/>
      <c r="BI260" s="176"/>
      <c r="BJ260" s="176"/>
      <c r="BK260" s="176"/>
      <c r="BL260" s="176"/>
      <c r="BM260" s="176"/>
      <c r="BN260" s="176"/>
      <c r="BO260" s="176"/>
    </row>
    <row r="261" spans="1:67" s="36" customFormat="1" ht="10.5" customHeight="1" x14ac:dyDescent="0.2">
      <c r="A261" s="1055"/>
      <c r="B261" s="2594"/>
      <c r="C261" s="2595"/>
      <c r="D261" s="2596"/>
      <c r="E261" s="2395"/>
      <c r="F261" s="2396"/>
      <c r="G261" s="2590"/>
      <c r="H261" s="2591"/>
      <c r="I261" s="1081">
        <f t="shared" si="60"/>
        <v>0</v>
      </c>
      <c r="J261" s="1082">
        <f t="shared" si="61"/>
        <v>0</v>
      </c>
      <c r="K261" s="2588"/>
      <c r="L261" s="2589"/>
      <c r="M261" s="1086">
        <f t="shared" si="62"/>
        <v>0</v>
      </c>
      <c r="N261" s="505"/>
      <c r="O261" s="365">
        <f t="shared" si="63"/>
        <v>0</v>
      </c>
      <c r="P261" s="366"/>
      <c r="Q261" s="135"/>
      <c r="R261" s="136"/>
      <c r="S261" s="129"/>
      <c r="T261" s="129"/>
      <c r="U261" s="129"/>
      <c r="V261" s="129"/>
      <c r="W261" s="129"/>
      <c r="X261" s="129"/>
      <c r="Y261" s="129"/>
      <c r="Z261" s="133"/>
      <c r="AA261" s="133"/>
      <c r="AB261" s="133"/>
      <c r="AC261" s="133"/>
      <c r="AD261" s="133"/>
      <c r="AE261" s="133"/>
      <c r="AF261" s="222"/>
      <c r="AG261" s="222"/>
      <c r="AH261" s="222"/>
      <c r="AI261" s="176"/>
      <c r="AJ261" s="176"/>
      <c r="AK261" s="176"/>
      <c r="AL261" s="176"/>
      <c r="AM261" s="176"/>
      <c r="AN261" s="176"/>
      <c r="AO261" s="176"/>
      <c r="AP261" s="176"/>
      <c r="AQ261" s="176"/>
      <c r="AR261" s="176"/>
      <c r="AS261" s="176"/>
      <c r="AT261" s="176"/>
      <c r="AU261" s="176"/>
      <c r="AV261" s="176"/>
      <c r="AW261" s="176"/>
      <c r="AX261" s="176"/>
      <c r="AY261" s="176"/>
      <c r="AZ261" s="176"/>
      <c r="BA261" s="176"/>
      <c r="BB261" s="176"/>
      <c r="BC261" s="176"/>
      <c r="BD261" s="176"/>
      <c r="BE261" s="176"/>
      <c r="BF261" s="176"/>
      <c r="BG261" s="176"/>
      <c r="BH261" s="176"/>
      <c r="BI261" s="176"/>
      <c r="BJ261" s="176"/>
      <c r="BK261" s="176"/>
      <c r="BL261" s="176"/>
      <c r="BM261" s="176"/>
      <c r="BN261" s="176"/>
      <c r="BO261" s="176"/>
    </row>
    <row r="262" spans="1:67" s="36" customFormat="1" ht="10.5" customHeight="1" x14ac:dyDescent="0.2">
      <c r="A262" s="1055"/>
      <c r="B262" s="2594"/>
      <c r="C262" s="2595"/>
      <c r="D262" s="2596"/>
      <c r="E262" s="2395"/>
      <c r="F262" s="2396"/>
      <c r="G262" s="2590"/>
      <c r="H262" s="2591"/>
      <c r="I262" s="1081">
        <f t="shared" si="60"/>
        <v>0</v>
      </c>
      <c r="J262" s="1082">
        <f t="shared" si="61"/>
        <v>0</v>
      </c>
      <c r="K262" s="2588"/>
      <c r="L262" s="2589"/>
      <c r="M262" s="1086">
        <f t="shared" si="62"/>
        <v>0</v>
      </c>
      <c r="N262" s="505"/>
      <c r="O262" s="365">
        <f t="shared" si="63"/>
        <v>0</v>
      </c>
      <c r="P262" s="366"/>
      <c r="Q262" s="135"/>
      <c r="R262" s="136"/>
      <c r="S262" s="129"/>
      <c r="T262" s="129"/>
      <c r="U262" s="129"/>
      <c r="V262" s="129"/>
      <c r="W262" s="129"/>
      <c r="X262" s="129"/>
      <c r="Y262" s="129"/>
      <c r="Z262" s="133"/>
      <c r="AA262" s="133"/>
      <c r="AB262" s="133"/>
      <c r="AC262" s="133"/>
      <c r="AD262" s="133"/>
      <c r="AE262" s="133"/>
      <c r="AF262" s="222"/>
      <c r="AG262" s="222"/>
      <c r="AH262" s="222"/>
      <c r="AI262" s="176"/>
      <c r="AJ262" s="176"/>
      <c r="AK262" s="176"/>
      <c r="AL262" s="176"/>
      <c r="AM262" s="176"/>
      <c r="AN262" s="176"/>
      <c r="AO262" s="176"/>
      <c r="AP262" s="176"/>
      <c r="AQ262" s="176"/>
      <c r="AR262" s="176"/>
      <c r="AS262" s="176"/>
      <c r="AT262" s="176"/>
      <c r="AU262" s="176"/>
      <c r="AV262" s="176"/>
      <c r="AW262" s="176"/>
      <c r="AX262" s="176"/>
      <c r="AY262" s="176"/>
      <c r="AZ262" s="176"/>
      <c r="BA262" s="176"/>
      <c r="BB262" s="176"/>
      <c r="BC262" s="176"/>
      <c r="BD262" s="176"/>
      <c r="BE262" s="176"/>
      <c r="BF262" s="176"/>
      <c r="BG262" s="176"/>
      <c r="BH262" s="176"/>
      <c r="BI262" s="176"/>
      <c r="BJ262" s="176"/>
      <c r="BK262" s="176"/>
      <c r="BL262" s="176"/>
      <c r="BM262" s="176"/>
      <c r="BN262" s="176"/>
      <c r="BO262" s="176"/>
    </row>
    <row r="263" spans="1:67" s="36" customFormat="1" ht="10.5" customHeight="1" x14ac:dyDescent="0.2">
      <c r="A263" s="1055"/>
      <c r="B263" s="2594"/>
      <c r="C263" s="2595"/>
      <c r="D263" s="2596"/>
      <c r="E263" s="2395"/>
      <c r="F263" s="2396"/>
      <c r="G263" s="2590"/>
      <c r="H263" s="2591"/>
      <c r="I263" s="1081">
        <f t="shared" si="60"/>
        <v>0</v>
      </c>
      <c r="J263" s="1082">
        <f t="shared" si="61"/>
        <v>0</v>
      </c>
      <c r="K263" s="2588"/>
      <c r="L263" s="2589"/>
      <c r="M263" s="1086">
        <f t="shared" si="62"/>
        <v>0</v>
      </c>
      <c r="N263" s="505"/>
      <c r="O263" s="365">
        <f t="shared" si="63"/>
        <v>0</v>
      </c>
      <c r="P263" s="366"/>
      <c r="Q263" s="135"/>
      <c r="R263" s="136"/>
      <c r="S263" s="129"/>
      <c r="T263" s="129"/>
      <c r="U263" s="129"/>
      <c r="V263" s="129"/>
      <c r="W263" s="129"/>
      <c r="X263" s="129"/>
      <c r="Y263" s="129"/>
      <c r="Z263" s="133"/>
      <c r="AA263" s="133"/>
      <c r="AB263" s="133"/>
      <c r="AC263" s="133"/>
      <c r="AD263" s="133"/>
      <c r="AE263" s="133"/>
      <c r="AF263" s="222"/>
      <c r="AG263" s="222"/>
      <c r="AH263" s="222"/>
      <c r="AI263" s="176"/>
      <c r="AJ263" s="176"/>
      <c r="AK263" s="176"/>
      <c r="AL263" s="176"/>
      <c r="AM263" s="176"/>
      <c r="AN263" s="176"/>
      <c r="AO263" s="176"/>
      <c r="AP263" s="176"/>
      <c r="AQ263" s="176"/>
      <c r="AR263" s="176"/>
      <c r="AS263" s="176"/>
      <c r="AT263" s="176"/>
      <c r="AU263" s="176"/>
      <c r="AV263" s="176"/>
      <c r="AW263" s="176"/>
      <c r="AX263" s="176"/>
      <c r="AY263" s="176"/>
      <c r="AZ263" s="176"/>
      <c r="BA263" s="176"/>
      <c r="BB263" s="176"/>
      <c r="BC263" s="176"/>
      <c r="BD263" s="176"/>
      <c r="BE263" s="176"/>
      <c r="BF263" s="176"/>
      <c r="BG263" s="176"/>
      <c r="BH263" s="176"/>
      <c r="BI263" s="176"/>
      <c r="BJ263" s="176"/>
      <c r="BK263" s="176"/>
      <c r="BL263" s="176"/>
      <c r="BM263" s="176"/>
      <c r="BN263" s="176"/>
      <c r="BO263" s="176"/>
    </row>
    <row r="264" spans="1:67" s="36" customFormat="1" ht="10.5" customHeight="1" x14ac:dyDescent="0.2">
      <c r="A264" s="1055"/>
      <c r="B264" s="2594"/>
      <c r="C264" s="2595"/>
      <c r="D264" s="2596"/>
      <c r="E264" s="2395"/>
      <c r="F264" s="2396"/>
      <c r="G264" s="2590"/>
      <c r="H264" s="2591"/>
      <c r="I264" s="1081">
        <f t="shared" si="60"/>
        <v>0</v>
      </c>
      <c r="J264" s="1082">
        <f t="shared" si="61"/>
        <v>0</v>
      </c>
      <c r="K264" s="2588"/>
      <c r="L264" s="2589"/>
      <c r="M264" s="1086">
        <f t="shared" si="62"/>
        <v>0</v>
      </c>
      <c r="N264" s="505"/>
      <c r="O264" s="365">
        <f t="shared" si="63"/>
        <v>0</v>
      </c>
      <c r="P264" s="366"/>
      <c r="Q264" s="135"/>
      <c r="R264" s="136"/>
      <c r="S264" s="129"/>
      <c r="T264" s="129"/>
      <c r="U264" s="129"/>
      <c r="V264" s="129"/>
      <c r="W264" s="129"/>
      <c r="X264" s="129"/>
      <c r="Y264" s="129"/>
      <c r="Z264" s="133"/>
      <c r="AA264" s="133"/>
      <c r="AB264" s="133"/>
      <c r="AC264" s="133"/>
      <c r="AD264" s="133"/>
      <c r="AE264" s="133"/>
      <c r="AF264" s="222"/>
      <c r="AG264" s="222"/>
      <c r="AH264" s="222"/>
      <c r="AI264" s="176"/>
      <c r="AJ264" s="176"/>
      <c r="AK264" s="176"/>
      <c r="AL264" s="176"/>
      <c r="AM264" s="176"/>
      <c r="AN264" s="176"/>
      <c r="AO264" s="176"/>
      <c r="AP264" s="176"/>
      <c r="AQ264" s="176"/>
      <c r="AR264" s="176"/>
      <c r="AS264" s="176"/>
      <c r="AT264" s="176"/>
      <c r="AU264" s="176"/>
      <c r="AV264" s="176"/>
      <c r="AW264" s="176"/>
      <c r="AX264" s="176"/>
      <c r="AY264" s="176"/>
      <c r="AZ264" s="176"/>
      <c r="BA264" s="176"/>
      <c r="BB264" s="176"/>
      <c r="BC264" s="176"/>
      <c r="BD264" s="176"/>
      <c r="BE264" s="176"/>
      <c r="BF264" s="176"/>
      <c r="BG264" s="176"/>
      <c r="BH264" s="176"/>
      <c r="BI264" s="176"/>
      <c r="BJ264" s="176"/>
      <c r="BK264" s="176"/>
      <c r="BL264" s="176"/>
      <c r="BM264" s="176"/>
      <c r="BN264" s="176"/>
      <c r="BO264" s="176"/>
    </row>
    <row r="265" spans="1:67" s="36" customFormat="1" ht="10.5" customHeight="1" x14ac:dyDescent="0.2">
      <c r="A265" s="1055"/>
      <c r="B265" s="2594"/>
      <c r="C265" s="2595"/>
      <c r="D265" s="2596"/>
      <c r="E265" s="2395"/>
      <c r="F265" s="2396"/>
      <c r="G265" s="2590"/>
      <c r="H265" s="2591"/>
      <c r="I265" s="1081">
        <f t="shared" si="60"/>
        <v>0</v>
      </c>
      <c r="J265" s="1082">
        <f t="shared" si="61"/>
        <v>0</v>
      </c>
      <c r="K265" s="2588"/>
      <c r="L265" s="2589"/>
      <c r="M265" s="1086">
        <f t="shared" si="62"/>
        <v>0</v>
      </c>
      <c r="N265" s="505"/>
      <c r="O265" s="365">
        <f t="shared" si="63"/>
        <v>0</v>
      </c>
      <c r="P265" s="366"/>
      <c r="Q265" s="135"/>
      <c r="R265" s="136"/>
      <c r="S265" s="129"/>
      <c r="T265" s="129"/>
      <c r="U265" s="129"/>
      <c r="V265" s="129"/>
      <c r="W265" s="129"/>
      <c r="X265" s="129"/>
      <c r="Y265" s="129"/>
      <c r="Z265" s="133"/>
      <c r="AA265" s="133"/>
      <c r="AB265" s="133"/>
      <c r="AC265" s="133"/>
      <c r="AD265" s="133"/>
      <c r="AE265" s="133"/>
      <c r="AF265" s="222"/>
      <c r="AG265" s="222"/>
      <c r="AH265" s="222"/>
      <c r="AI265" s="176"/>
      <c r="AJ265" s="176"/>
      <c r="AK265" s="176"/>
      <c r="AL265" s="176"/>
      <c r="AM265" s="176"/>
      <c r="AN265" s="176"/>
      <c r="AO265" s="176"/>
      <c r="AP265" s="176"/>
      <c r="AQ265" s="176"/>
      <c r="AR265" s="176"/>
      <c r="AS265" s="176"/>
      <c r="AT265" s="176"/>
      <c r="AU265" s="176"/>
      <c r="AV265" s="176"/>
      <c r="AW265" s="176"/>
      <c r="AX265" s="176"/>
      <c r="AY265" s="176"/>
      <c r="AZ265" s="176"/>
      <c r="BA265" s="176"/>
      <c r="BB265" s="176"/>
      <c r="BC265" s="176"/>
      <c r="BD265" s="176"/>
      <c r="BE265" s="176"/>
      <c r="BF265" s="176"/>
      <c r="BG265" s="176"/>
      <c r="BH265" s="176"/>
      <c r="BI265" s="176"/>
      <c r="BJ265" s="176"/>
      <c r="BK265" s="176"/>
      <c r="BL265" s="176"/>
      <c r="BM265" s="176"/>
      <c r="BN265" s="176"/>
      <c r="BO265" s="176"/>
    </row>
    <row r="266" spans="1:67" s="36" customFormat="1" ht="10.5" customHeight="1" x14ac:dyDescent="0.2">
      <c r="A266" s="1348"/>
      <c r="B266" s="2690"/>
      <c r="C266" s="2691"/>
      <c r="D266" s="2692"/>
      <c r="E266" s="2601"/>
      <c r="F266" s="2602"/>
      <c r="G266" s="1088"/>
      <c r="H266" s="1089"/>
      <c r="I266" s="1083">
        <f t="shared" si="60"/>
        <v>0</v>
      </c>
      <c r="J266" s="1084"/>
      <c r="K266" s="1087"/>
      <c r="L266" s="1307"/>
      <c r="M266" s="1317">
        <f t="shared" si="62"/>
        <v>0</v>
      </c>
      <c r="N266" s="505"/>
      <c r="O266" s="365">
        <f t="shared" si="63"/>
        <v>0</v>
      </c>
      <c r="P266" s="366"/>
      <c r="Q266" s="135"/>
      <c r="R266" s="136"/>
      <c r="S266" s="129"/>
      <c r="T266" s="129"/>
      <c r="U266" s="129"/>
      <c r="V266" s="129"/>
      <c r="W266" s="129"/>
      <c r="X266" s="129"/>
      <c r="Y266" s="129"/>
      <c r="Z266" s="133"/>
      <c r="AA266" s="133"/>
      <c r="AB266" s="133"/>
      <c r="AC266" s="133"/>
      <c r="AD266" s="133"/>
      <c r="AE266" s="133"/>
      <c r="AF266" s="222"/>
      <c r="AG266" s="222"/>
      <c r="AH266" s="222"/>
      <c r="AI266" s="176"/>
      <c r="AJ266" s="176"/>
      <c r="AK266" s="176"/>
      <c r="AL266" s="176"/>
      <c r="AM266" s="176"/>
      <c r="AN266" s="176"/>
      <c r="AO266" s="176"/>
      <c r="AP266" s="176"/>
      <c r="AQ266" s="176"/>
      <c r="AR266" s="176"/>
      <c r="AS266" s="176"/>
      <c r="AT266" s="176"/>
      <c r="AU266" s="176"/>
      <c r="AV266" s="176"/>
      <c r="AW266" s="176"/>
      <c r="AX266" s="176"/>
      <c r="AY266" s="176"/>
      <c r="AZ266" s="176"/>
      <c r="BA266" s="176"/>
      <c r="BB266" s="176"/>
      <c r="BC266" s="176"/>
      <c r="BD266" s="176"/>
      <c r="BE266" s="176"/>
      <c r="BF266" s="176"/>
      <c r="BG266" s="176"/>
      <c r="BH266" s="176"/>
      <c r="BI266" s="176"/>
      <c r="BJ266" s="176"/>
      <c r="BK266" s="176"/>
      <c r="BL266" s="176"/>
      <c r="BM266" s="176"/>
      <c r="BN266" s="176"/>
      <c r="BO266" s="176"/>
    </row>
    <row r="267" spans="1:67" s="36" customFormat="1" ht="10.5" customHeight="1" x14ac:dyDescent="0.2">
      <c r="A267" s="1345" t="s">
        <v>346</v>
      </c>
      <c r="B267" s="2603"/>
      <c r="C267" s="2604"/>
      <c r="D267" s="2605"/>
      <c r="E267" s="2730">
        <f>SUM(E268:E280)</f>
        <v>0</v>
      </c>
      <c r="F267" s="2731"/>
      <c r="G267" s="2732"/>
      <c r="H267" s="2733"/>
      <c r="I267" s="1121">
        <f>IF(E267=0,0,J267/E267)</f>
        <v>0</v>
      </c>
      <c r="J267" s="1346">
        <f>SUM(J268:J280)</f>
        <v>0</v>
      </c>
      <c r="K267" s="2734">
        <f>IF(E267=0,0,M267/E267*100)</f>
        <v>0</v>
      </c>
      <c r="L267" s="2736"/>
      <c r="M267" s="1347">
        <f>SUM(M268:M280)</f>
        <v>0</v>
      </c>
      <c r="N267" s="505"/>
      <c r="O267" s="178">
        <f>IF(H267="",G267,H267)</f>
        <v>0</v>
      </c>
      <c r="P267" s="366"/>
      <c r="Q267" s="135"/>
      <c r="R267" s="136"/>
      <c r="S267" s="129"/>
      <c r="T267" s="129"/>
      <c r="U267" s="129"/>
      <c r="V267" s="129"/>
      <c r="W267" s="129"/>
      <c r="X267" s="129"/>
      <c r="Y267" s="129"/>
      <c r="Z267" s="133"/>
      <c r="AA267" s="133"/>
      <c r="AB267" s="133"/>
      <c r="AC267" s="133"/>
      <c r="AD267" s="133"/>
      <c r="AE267" s="133"/>
      <c r="AF267" s="222"/>
      <c r="AG267" s="222"/>
      <c r="AH267" s="222"/>
      <c r="AI267" s="176"/>
      <c r="AJ267" s="176"/>
      <c r="AK267" s="176"/>
      <c r="AL267" s="176"/>
      <c r="AM267" s="176"/>
      <c r="AN267" s="176"/>
      <c r="AO267" s="176"/>
      <c r="AP267" s="176"/>
      <c r="AQ267" s="176"/>
      <c r="AR267" s="176"/>
      <c r="AS267" s="176"/>
      <c r="AT267" s="176"/>
      <c r="AU267" s="176"/>
      <c r="AV267" s="176"/>
      <c r="AW267" s="176"/>
      <c r="AX267" s="176"/>
      <c r="AY267" s="176"/>
      <c r="AZ267" s="176"/>
      <c r="BA267" s="176"/>
      <c r="BB267" s="176"/>
      <c r="BC267" s="176"/>
      <c r="BD267" s="176"/>
      <c r="BE267" s="176"/>
      <c r="BF267" s="176"/>
      <c r="BG267" s="176"/>
      <c r="BH267" s="176"/>
      <c r="BI267" s="176"/>
      <c r="BJ267" s="176"/>
      <c r="BK267" s="176"/>
      <c r="BL267" s="176"/>
      <c r="BM267" s="176"/>
      <c r="BN267" s="176"/>
      <c r="BO267" s="176"/>
    </row>
    <row r="268" spans="1:67" s="36" customFormat="1" ht="10.5" customHeight="1" x14ac:dyDescent="0.2">
      <c r="A268" s="1042" t="s">
        <v>347</v>
      </c>
      <c r="B268" s="2624"/>
      <c r="C268" s="2625"/>
      <c r="D268" s="2626"/>
      <c r="E268" s="2386"/>
      <c r="F268" s="2387"/>
      <c r="G268" s="1056">
        <v>15</v>
      </c>
      <c r="H268" s="1057"/>
      <c r="I268" s="1079">
        <f t="shared" ref="I268:I281" si="64">IF($O268&gt;0,-PMT(($I$9),$O268,1),0)</f>
        <v>7.9288524964265278E-2</v>
      </c>
      <c r="J268" s="1080">
        <f t="shared" ref="J268:J280" si="65">ROUND(E268*I268,0)</f>
        <v>0</v>
      </c>
      <c r="K268" s="1060">
        <v>0</v>
      </c>
      <c r="L268" s="1304"/>
      <c r="M268" s="1085">
        <f t="shared" ref="M268:M281" si="66">ROUND(E268/100*IF(ISBLANK(L268),K268,L268),0)</f>
        <v>0</v>
      </c>
      <c r="N268" s="505"/>
      <c r="O268" s="365">
        <f t="shared" ref="O268:O281" si="67">IF(ISBLANK(H268),G268,H268)</f>
        <v>15</v>
      </c>
      <c r="P268" s="366"/>
      <c r="Q268" s="135"/>
      <c r="R268" s="136"/>
      <c r="S268" s="129"/>
      <c r="T268" s="129"/>
      <c r="U268" s="129"/>
      <c r="V268" s="129"/>
      <c r="W268" s="129"/>
      <c r="X268" s="129"/>
      <c r="Y268" s="129"/>
      <c r="Z268" s="133"/>
      <c r="AA268" s="133"/>
      <c r="AB268" s="133"/>
      <c r="AC268" s="133"/>
      <c r="AD268" s="133"/>
      <c r="AE268" s="133"/>
      <c r="AF268" s="222"/>
      <c r="AG268" s="222"/>
      <c r="AH268" s="222"/>
      <c r="AI268" s="176"/>
      <c r="AJ268" s="176"/>
      <c r="AK268" s="176"/>
      <c r="AL268" s="176"/>
      <c r="AM268" s="176"/>
      <c r="AN268" s="176"/>
      <c r="AO268" s="176"/>
      <c r="AP268" s="176"/>
      <c r="AQ268" s="176"/>
      <c r="AR268" s="176"/>
      <c r="AS268" s="176"/>
      <c r="AT268" s="176"/>
      <c r="AU268" s="176"/>
      <c r="AV268" s="176"/>
      <c r="AW268" s="176"/>
      <c r="AX268" s="176"/>
      <c r="AY268" s="176"/>
      <c r="AZ268" s="176"/>
      <c r="BA268" s="176"/>
      <c r="BB268" s="176"/>
      <c r="BC268" s="176"/>
      <c r="BD268" s="176"/>
      <c r="BE268" s="176"/>
      <c r="BF268" s="176"/>
      <c r="BG268" s="176"/>
      <c r="BH268" s="176"/>
      <c r="BI268" s="176"/>
      <c r="BJ268" s="176"/>
      <c r="BK268" s="176"/>
      <c r="BL268" s="176"/>
      <c r="BM268" s="176"/>
      <c r="BN268" s="176"/>
      <c r="BO268" s="176"/>
    </row>
    <row r="269" spans="1:67" s="36" customFormat="1" ht="10.5" customHeight="1" x14ac:dyDescent="0.2">
      <c r="A269" s="1043" t="s">
        <v>348</v>
      </c>
      <c r="B269" s="2594"/>
      <c r="C269" s="2595"/>
      <c r="D269" s="2596"/>
      <c r="E269" s="2395"/>
      <c r="F269" s="2396"/>
      <c r="G269" s="1058">
        <v>15</v>
      </c>
      <c r="H269" s="1059"/>
      <c r="I269" s="1081">
        <f t="shared" si="64"/>
        <v>7.9288524964265278E-2</v>
      </c>
      <c r="J269" s="1082">
        <f t="shared" si="65"/>
        <v>0</v>
      </c>
      <c r="K269" s="1061">
        <v>0</v>
      </c>
      <c r="L269" s="1305"/>
      <c r="M269" s="1086">
        <f t="shared" si="66"/>
        <v>0</v>
      </c>
      <c r="N269" s="505"/>
      <c r="O269" s="365">
        <f t="shared" si="67"/>
        <v>15</v>
      </c>
      <c r="P269" s="366"/>
      <c r="Q269" s="135"/>
      <c r="R269" s="136"/>
      <c r="S269" s="129"/>
      <c r="T269" s="129"/>
      <c r="U269" s="129"/>
      <c r="V269" s="129"/>
      <c r="W269" s="129"/>
      <c r="X269" s="129"/>
      <c r="Y269" s="129"/>
      <c r="Z269" s="133"/>
      <c r="AA269" s="133"/>
      <c r="AB269" s="133"/>
      <c r="AC269" s="133"/>
      <c r="AD269" s="133"/>
      <c r="AE269" s="133"/>
      <c r="AF269" s="222"/>
      <c r="AG269" s="222"/>
      <c r="AH269" s="222"/>
      <c r="AI269" s="176"/>
      <c r="AJ269" s="176"/>
      <c r="AK269" s="176"/>
      <c r="AL269" s="176"/>
      <c r="AM269" s="176"/>
      <c r="AN269" s="176"/>
      <c r="AO269" s="176"/>
      <c r="AP269" s="176"/>
      <c r="AQ269" s="176"/>
      <c r="AR269" s="176"/>
      <c r="AS269" s="176"/>
      <c r="AT269" s="176"/>
      <c r="AU269" s="176"/>
      <c r="AV269" s="176"/>
      <c r="AW269" s="176"/>
      <c r="AX269" s="176"/>
      <c r="AY269" s="176"/>
      <c r="AZ269" s="176"/>
      <c r="BA269" s="176"/>
      <c r="BB269" s="176"/>
      <c r="BC269" s="176"/>
      <c r="BD269" s="176"/>
      <c r="BE269" s="176"/>
      <c r="BF269" s="176"/>
      <c r="BG269" s="176"/>
      <c r="BH269" s="176"/>
      <c r="BI269" s="176"/>
      <c r="BJ269" s="176"/>
      <c r="BK269" s="176"/>
      <c r="BL269" s="176"/>
      <c r="BM269" s="176"/>
      <c r="BN269" s="176"/>
      <c r="BO269" s="176"/>
    </row>
    <row r="270" spans="1:67" s="36" customFormat="1" ht="10.5" customHeight="1" x14ac:dyDescent="0.2">
      <c r="A270" s="1043" t="s">
        <v>349</v>
      </c>
      <c r="B270" s="2594"/>
      <c r="C270" s="2595"/>
      <c r="D270" s="2596"/>
      <c r="E270" s="2395"/>
      <c r="F270" s="2396"/>
      <c r="G270" s="1058">
        <v>20</v>
      </c>
      <c r="H270" s="1059"/>
      <c r="I270" s="1081">
        <f t="shared" si="64"/>
        <v>6.2642070767998229E-2</v>
      </c>
      <c r="J270" s="1082">
        <f t="shared" si="65"/>
        <v>0</v>
      </c>
      <c r="K270" s="1061">
        <v>1</v>
      </c>
      <c r="L270" s="1305"/>
      <c r="M270" s="1086">
        <f t="shared" si="66"/>
        <v>0</v>
      </c>
      <c r="N270" s="505"/>
      <c r="O270" s="365">
        <f t="shared" si="67"/>
        <v>20</v>
      </c>
      <c r="P270" s="366"/>
      <c r="Q270" s="135"/>
      <c r="R270" s="136"/>
      <c r="S270" s="129"/>
      <c r="T270" s="129"/>
      <c r="U270" s="129"/>
      <c r="V270" s="129"/>
      <c r="W270" s="129"/>
      <c r="X270" s="129"/>
      <c r="Y270" s="129"/>
      <c r="Z270" s="133"/>
      <c r="AA270" s="133"/>
      <c r="AB270" s="133"/>
      <c r="AC270" s="133"/>
      <c r="AD270" s="133"/>
      <c r="AE270" s="133"/>
      <c r="AF270" s="222"/>
      <c r="AG270" s="222"/>
      <c r="AH270" s="222"/>
      <c r="AI270" s="176"/>
      <c r="AJ270" s="176"/>
      <c r="AK270" s="176"/>
      <c r="AL270" s="176"/>
      <c r="AM270" s="176"/>
      <c r="AN270" s="176"/>
      <c r="AO270" s="176"/>
      <c r="AP270" s="176"/>
      <c r="AQ270" s="176"/>
      <c r="AR270" s="176"/>
      <c r="AS270" s="176"/>
      <c r="AT270" s="176"/>
      <c r="AU270" s="176"/>
      <c r="AV270" s="176"/>
      <c r="AW270" s="176"/>
      <c r="AX270" s="176"/>
      <c r="AY270" s="176"/>
      <c r="AZ270" s="176"/>
      <c r="BA270" s="176"/>
      <c r="BB270" s="176"/>
      <c r="BC270" s="176"/>
      <c r="BD270" s="176"/>
      <c r="BE270" s="176"/>
      <c r="BF270" s="176"/>
      <c r="BG270" s="176"/>
      <c r="BH270" s="176"/>
      <c r="BI270" s="176"/>
      <c r="BJ270" s="176"/>
      <c r="BK270" s="176"/>
      <c r="BL270" s="176"/>
      <c r="BM270" s="176"/>
      <c r="BN270" s="176"/>
      <c r="BO270" s="176"/>
    </row>
    <row r="271" spans="1:67" s="36" customFormat="1" ht="10.5" customHeight="1" x14ac:dyDescent="0.2">
      <c r="A271" s="1043" t="s">
        <v>350</v>
      </c>
      <c r="B271" s="2594"/>
      <c r="C271" s="2595"/>
      <c r="D271" s="2596"/>
      <c r="E271" s="2395"/>
      <c r="F271" s="2396"/>
      <c r="G271" s="1058">
        <v>30</v>
      </c>
      <c r="H271" s="1059"/>
      <c r="I271" s="1081">
        <f t="shared" si="64"/>
        <v>4.6199342169092869E-2</v>
      </c>
      <c r="J271" s="1082">
        <f t="shared" si="65"/>
        <v>0</v>
      </c>
      <c r="K271" s="1061">
        <v>0.5</v>
      </c>
      <c r="L271" s="1305"/>
      <c r="M271" s="1086">
        <f t="shared" si="66"/>
        <v>0</v>
      </c>
      <c r="N271" s="505"/>
      <c r="O271" s="365">
        <f t="shared" si="67"/>
        <v>30</v>
      </c>
      <c r="P271" s="366"/>
      <c r="Q271" s="135"/>
      <c r="R271" s="136"/>
      <c r="S271" s="129"/>
      <c r="T271" s="129"/>
      <c r="U271" s="129"/>
      <c r="V271" s="129"/>
      <c r="W271" s="129"/>
      <c r="X271" s="129"/>
      <c r="Y271" s="129"/>
      <c r="Z271" s="133"/>
      <c r="AA271" s="133"/>
      <c r="AB271" s="133"/>
      <c r="AC271" s="133"/>
      <c r="AD271" s="133"/>
      <c r="AE271" s="133"/>
      <c r="AF271" s="222"/>
      <c r="AG271" s="222"/>
      <c r="AH271" s="222"/>
      <c r="AI271" s="176"/>
      <c r="AJ271" s="176"/>
      <c r="AK271" s="176"/>
      <c r="AL271" s="176"/>
      <c r="AM271" s="176"/>
      <c r="AN271" s="176"/>
      <c r="AO271" s="176"/>
      <c r="AP271" s="176"/>
      <c r="AQ271" s="176"/>
      <c r="AR271" s="176"/>
      <c r="AS271" s="176"/>
      <c r="AT271" s="176"/>
      <c r="AU271" s="176"/>
      <c r="AV271" s="176"/>
      <c r="AW271" s="176"/>
      <c r="AX271" s="176"/>
      <c r="AY271" s="176"/>
      <c r="AZ271" s="176"/>
      <c r="BA271" s="176"/>
      <c r="BB271" s="176"/>
      <c r="BC271" s="176"/>
      <c r="BD271" s="176"/>
      <c r="BE271" s="176"/>
      <c r="BF271" s="176"/>
      <c r="BG271" s="176"/>
      <c r="BH271" s="176"/>
      <c r="BI271" s="176"/>
      <c r="BJ271" s="176"/>
      <c r="BK271" s="176"/>
      <c r="BL271" s="176"/>
      <c r="BM271" s="176"/>
      <c r="BN271" s="176"/>
      <c r="BO271" s="176"/>
    </row>
    <row r="272" spans="1:67" s="36" customFormat="1" ht="10.5" customHeight="1" x14ac:dyDescent="0.2">
      <c r="A272" s="1043" t="s">
        <v>231</v>
      </c>
      <c r="B272" s="2594"/>
      <c r="C272" s="2595"/>
      <c r="D272" s="2596"/>
      <c r="E272" s="2395"/>
      <c r="F272" s="2396"/>
      <c r="G272" s="1058">
        <v>15</v>
      </c>
      <c r="H272" s="1059"/>
      <c r="I272" s="1081">
        <f t="shared" si="64"/>
        <v>7.9288524964265278E-2</v>
      </c>
      <c r="J272" s="1082">
        <f t="shared" si="65"/>
        <v>0</v>
      </c>
      <c r="K272" s="1061">
        <v>2</v>
      </c>
      <c r="L272" s="1305"/>
      <c r="M272" s="1086">
        <f t="shared" si="66"/>
        <v>0</v>
      </c>
      <c r="N272" s="505"/>
      <c r="O272" s="365">
        <f t="shared" si="67"/>
        <v>15</v>
      </c>
      <c r="P272" s="366"/>
      <c r="Q272" s="135"/>
      <c r="R272" s="136"/>
      <c r="S272" s="129"/>
      <c r="T272" s="129"/>
      <c r="U272" s="129"/>
      <c r="V272" s="129"/>
      <c r="W272" s="129"/>
      <c r="X272" s="129"/>
      <c r="Y272" s="129"/>
      <c r="Z272" s="133"/>
      <c r="AA272" s="133"/>
      <c r="AB272" s="133"/>
      <c r="AC272" s="133"/>
      <c r="AD272" s="133"/>
      <c r="AE272" s="133"/>
      <c r="AF272" s="222"/>
      <c r="AG272" s="222"/>
      <c r="AH272" s="222"/>
      <c r="AI272" s="176"/>
      <c r="AJ272" s="176"/>
      <c r="AK272" s="176"/>
      <c r="AL272" s="176"/>
      <c r="AM272" s="176"/>
      <c r="AN272" s="176"/>
      <c r="AO272" s="176"/>
      <c r="AP272" s="176"/>
      <c r="AQ272" s="176"/>
      <c r="AR272" s="176"/>
      <c r="AS272" s="176"/>
      <c r="AT272" s="176"/>
      <c r="AU272" s="176"/>
      <c r="AV272" s="176"/>
      <c r="AW272" s="176"/>
      <c r="AX272" s="176"/>
      <c r="AY272" s="176"/>
      <c r="AZ272" s="176"/>
      <c r="BA272" s="176"/>
      <c r="BB272" s="176"/>
      <c r="BC272" s="176"/>
      <c r="BD272" s="176"/>
      <c r="BE272" s="176"/>
      <c r="BF272" s="176"/>
      <c r="BG272" s="176"/>
      <c r="BH272" s="176"/>
      <c r="BI272" s="176"/>
      <c r="BJ272" s="176"/>
      <c r="BK272" s="176"/>
      <c r="BL272" s="176"/>
      <c r="BM272" s="176"/>
      <c r="BN272" s="176"/>
      <c r="BO272" s="176"/>
    </row>
    <row r="273" spans="1:67" s="36" customFormat="1" ht="10.5" customHeight="1" x14ac:dyDescent="0.2">
      <c r="A273" s="1043" t="s">
        <v>351</v>
      </c>
      <c r="B273" s="2594"/>
      <c r="C273" s="2595"/>
      <c r="D273" s="2596"/>
      <c r="E273" s="2395"/>
      <c r="F273" s="2396"/>
      <c r="G273" s="1058">
        <v>20</v>
      </c>
      <c r="H273" s="1059"/>
      <c r="I273" s="1081">
        <f t="shared" si="64"/>
        <v>6.2642070767998229E-2</v>
      </c>
      <c r="J273" s="1082">
        <f t="shared" si="65"/>
        <v>0</v>
      </c>
      <c r="K273" s="1061">
        <v>1</v>
      </c>
      <c r="L273" s="1305"/>
      <c r="M273" s="1086">
        <f t="shared" si="66"/>
        <v>0</v>
      </c>
      <c r="N273" s="505"/>
      <c r="O273" s="365">
        <f t="shared" si="67"/>
        <v>20</v>
      </c>
      <c r="P273" s="366"/>
      <c r="Q273" s="135"/>
      <c r="R273" s="136"/>
      <c r="S273" s="129"/>
      <c r="T273" s="129"/>
      <c r="U273" s="129"/>
      <c r="V273" s="129"/>
      <c r="W273" s="129"/>
      <c r="X273" s="129"/>
      <c r="Y273" s="129"/>
      <c r="Z273" s="133"/>
      <c r="AA273" s="133"/>
      <c r="AB273" s="133"/>
      <c r="AC273" s="133"/>
      <c r="AD273" s="133"/>
      <c r="AE273" s="133"/>
      <c r="AF273" s="222"/>
      <c r="AG273" s="222"/>
      <c r="AH273" s="222"/>
      <c r="AI273" s="176"/>
      <c r="AJ273" s="176"/>
      <c r="AK273" s="176"/>
      <c r="AL273" s="176"/>
      <c r="AM273" s="176"/>
      <c r="AN273" s="176"/>
      <c r="AO273" s="176"/>
      <c r="AP273" s="176"/>
      <c r="AQ273" s="176"/>
      <c r="AR273" s="176"/>
      <c r="AS273" s="176"/>
      <c r="AT273" s="176"/>
      <c r="AU273" s="176"/>
      <c r="AV273" s="176"/>
      <c r="AW273" s="176"/>
      <c r="AX273" s="176"/>
      <c r="AY273" s="176"/>
      <c r="AZ273" s="176"/>
      <c r="BA273" s="176"/>
      <c r="BB273" s="176"/>
      <c r="BC273" s="176"/>
      <c r="BD273" s="176"/>
      <c r="BE273" s="176"/>
      <c r="BF273" s="176"/>
      <c r="BG273" s="176"/>
      <c r="BH273" s="176"/>
      <c r="BI273" s="176"/>
      <c r="BJ273" s="176"/>
      <c r="BK273" s="176"/>
      <c r="BL273" s="176"/>
      <c r="BM273" s="176"/>
      <c r="BN273" s="176"/>
      <c r="BO273" s="176"/>
    </row>
    <row r="274" spans="1:67" s="36" customFormat="1" ht="10.5" customHeight="1" x14ac:dyDescent="0.2">
      <c r="A274" s="1043" t="s">
        <v>352</v>
      </c>
      <c r="B274" s="2594"/>
      <c r="C274" s="2595"/>
      <c r="D274" s="2596"/>
      <c r="E274" s="2395"/>
      <c r="F274" s="2396"/>
      <c r="G274" s="1058">
        <v>20</v>
      </c>
      <c r="H274" s="1059"/>
      <c r="I274" s="1081">
        <f t="shared" si="64"/>
        <v>6.2642070767998229E-2</v>
      </c>
      <c r="J274" s="1082">
        <f t="shared" si="65"/>
        <v>0</v>
      </c>
      <c r="K274" s="1061">
        <v>1</v>
      </c>
      <c r="L274" s="1305"/>
      <c r="M274" s="1086">
        <f t="shared" si="66"/>
        <v>0</v>
      </c>
      <c r="N274" s="505"/>
      <c r="O274" s="365">
        <f t="shared" si="67"/>
        <v>20</v>
      </c>
      <c r="P274" s="366"/>
      <c r="Q274" s="135"/>
      <c r="R274" s="136"/>
      <c r="S274" s="129"/>
      <c r="T274" s="129"/>
      <c r="U274" s="129"/>
      <c r="V274" s="129"/>
      <c r="W274" s="129"/>
      <c r="X274" s="129"/>
      <c r="Y274" s="129"/>
      <c r="Z274" s="133"/>
      <c r="AA274" s="133"/>
      <c r="AB274" s="133"/>
      <c r="AC274" s="133"/>
      <c r="AD274" s="133"/>
      <c r="AE274" s="133"/>
      <c r="AF274" s="222"/>
      <c r="AG274" s="222"/>
      <c r="AH274" s="222"/>
      <c r="AI274" s="176"/>
      <c r="AJ274" s="176"/>
      <c r="AK274" s="176"/>
      <c r="AL274" s="176"/>
      <c r="AM274" s="176"/>
      <c r="AN274" s="176"/>
      <c r="AO274" s="176"/>
      <c r="AP274" s="176"/>
      <c r="AQ274" s="176"/>
      <c r="AR274" s="176"/>
      <c r="AS274" s="176"/>
      <c r="AT274" s="176"/>
      <c r="AU274" s="176"/>
      <c r="AV274" s="176"/>
      <c r="AW274" s="176"/>
      <c r="AX274" s="176"/>
      <c r="AY274" s="176"/>
      <c r="AZ274" s="176"/>
      <c r="BA274" s="176"/>
      <c r="BB274" s="176"/>
      <c r="BC274" s="176"/>
      <c r="BD274" s="176"/>
      <c r="BE274" s="176"/>
      <c r="BF274" s="176"/>
      <c r="BG274" s="176"/>
      <c r="BH274" s="176"/>
      <c r="BI274" s="176"/>
      <c r="BJ274" s="176"/>
      <c r="BK274" s="176"/>
      <c r="BL274" s="176"/>
      <c r="BM274" s="176"/>
      <c r="BN274" s="176"/>
      <c r="BO274" s="176"/>
    </row>
    <row r="275" spans="1:67" s="36" customFormat="1" ht="10.5" customHeight="1" x14ac:dyDescent="0.2">
      <c r="A275" s="1043" t="s">
        <v>353</v>
      </c>
      <c r="B275" s="2594"/>
      <c r="C275" s="2595"/>
      <c r="D275" s="2596"/>
      <c r="E275" s="2395"/>
      <c r="F275" s="2396"/>
      <c r="G275" s="1058">
        <v>15</v>
      </c>
      <c r="H275" s="1059"/>
      <c r="I275" s="1081">
        <f t="shared" si="64"/>
        <v>7.9288524964265278E-2</v>
      </c>
      <c r="J275" s="1082">
        <f t="shared" si="65"/>
        <v>0</v>
      </c>
      <c r="K275" s="1061">
        <v>2.5</v>
      </c>
      <c r="L275" s="1305"/>
      <c r="M275" s="1086">
        <f t="shared" si="66"/>
        <v>0</v>
      </c>
      <c r="N275" s="505"/>
      <c r="O275" s="365">
        <f t="shared" si="67"/>
        <v>15</v>
      </c>
      <c r="P275" s="366"/>
      <c r="Q275" s="135"/>
      <c r="R275" s="136"/>
      <c r="S275" s="129"/>
      <c r="T275" s="129"/>
      <c r="U275" s="129"/>
      <c r="V275" s="129"/>
      <c r="W275" s="129"/>
      <c r="X275" s="129"/>
      <c r="Y275" s="129"/>
      <c r="Z275" s="133"/>
      <c r="AA275" s="133"/>
      <c r="AB275" s="133"/>
      <c r="AC275" s="133"/>
      <c r="AD275" s="133"/>
      <c r="AE275" s="133"/>
      <c r="AF275" s="222"/>
      <c r="AG275" s="222"/>
      <c r="AH275" s="222"/>
      <c r="AI275" s="176"/>
      <c r="AJ275" s="176"/>
      <c r="AK275" s="176"/>
      <c r="AL275" s="176"/>
      <c r="AM275" s="176"/>
      <c r="AN275" s="176"/>
      <c r="AO275" s="176"/>
      <c r="AP275" s="176"/>
      <c r="AQ275" s="176"/>
      <c r="AR275" s="176"/>
      <c r="AS275" s="176"/>
      <c r="AT275" s="176"/>
      <c r="AU275" s="176"/>
      <c r="AV275" s="176"/>
      <c r="AW275" s="176"/>
      <c r="AX275" s="176"/>
      <c r="AY275" s="176"/>
      <c r="AZ275" s="176"/>
      <c r="BA275" s="176"/>
      <c r="BB275" s="176"/>
      <c r="BC275" s="176"/>
      <c r="BD275" s="176"/>
      <c r="BE275" s="176"/>
      <c r="BF275" s="176"/>
      <c r="BG275" s="176"/>
      <c r="BH275" s="176"/>
      <c r="BI275" s="176"/>
      <c r="BJ275" s="176"/>
      <c r="BK275" s="176"/>
      <c r="BL275" s="176"/>
      <c r="BM275" s="176"/>
      <c r="BN275" s="176"/>
      <c r="BO275" s="176"/>
    </row>
    <row r="276" spans="1:67" s="36" customFormat="1" ht="10.5" customHeight="1" x14ac:dyDescent="0.2">
      <c r="A276" s="1043" t="s">
        <v>354</v>
      </c>
      <c r="B276" s="2594"/>
      <c r="C276" s="2595"/>
      <c r="D276" s="2596"/>
      <c r="E276" s="2395"/>
      <c r="F276" s="2396"/>
      <c r="G276" s="1058">
        <v>15</v>
      </c>
      <c r="H276" s="1059"/>
      <c r="I276" s="1081">
        <f t="shared" si="64"/>
        <v>7.9288524964265278E-2</v>
      </c>
      <c r="J276" s="1082">
        <f t="shared" si="65"/>
        <v>0</v>
      </c>
      <c r="K276" s="1061">
        <v>2.5</v>
      </c>
      <c r="L276" s="1305"/>
      <c r="M276" s="1086">
        <f t="shared" si="66"/>
        <v>0</v>
      </c>
      <c r="N276" s="505"/>
      <c r="O276" s="365">
        <f t="shared" si="67"/>
        <v>15</v>
      </c>
      <c r="P276" s="366"/>
      <c r="Q276" s="135"/>
      <c r="R276" s="136"/>
      <c r="S276" s="129"/>
      <c r="T276" s="129"/>
      <c r="U276" s="129"/>
      <c r="V276" s="129"/>
      <c r="W276" s="129"/>
      <c r="X276" s="129"/>
      <c r="Y276" s="129"/>
      <c r="Z276" s="133"/>
      <c r="AA276" s="133"/>
      <c r="AB276" s="133"/>
      <c r="AC276" s="133"/>
      <c r="AD276" s="133"/>
      <c r="AE276" s="133"/>
      <c r="AF276" s="222"/>
      <c r="AG276" s="222"/>
      <c r="AH276" s="222"/>
      <c r="AI276" s="176"/>
      <c r="AJ276" s="176"/>
      <c r="AK276" s="176"/>
      <c r="AL276" s="176"/>
      <c r="AM276" s="176"/>
      <c r="AN276" s="176"/>
      <c r="AO276" s="176"/>
      <c r="AP276" s="176"/>
      <c r="AQ276" s="176"/>
      <c r="AR276" s="176"/>
      <c r="AS276" s="176"/>
      <c r="AT276" s="176"/>
      <c r="AU276" s="176"/>
      <c r="AV276" s="176"/>
      <c r="AW276" s="176"/>
      <c r="AX276" s="176"/>
      <c r="AY276" s="176"/>
      <c r="AZ276" s="176"/>
      <c r="BA276" s="176"/>
      <c r="BB276" s="176"/>
      <c r="BC276" s="176"/>
      <c r="BD276" s="176"/>
      <c r="BE276" s="176"/>
      <c r="BF276" s="176"/>
      <c r="BG276" s="176"/>
      <c r="BH276" s="176"/>
      <c r="BI276" s="176"/>
      <c r="BJ276" s="176"/>
      <c r="BK276" s="176"/>
      <c r="BL276" s="176"/>
      <c r="BM276" s="176"/>
      <c r="BN276" s="176"/>
      <c r="BO276" s="176"/>
    </row>
    <row r="277" spans="1:67" s="36" customFormat="1" ht="10.5" customHeight="1" x14ac:dyDescent="0.2">
      <c r="A277" s="1055"/>
      <c r="B277" s="2594"/>
      <c r="C277" s="2595"/>
      <c r="D277" s="2596"/>
      <c r="E277" s="2395"/>
      <c r="F277" s="2396"/>
      <c r="G277" s="2590"/>
      <c r="H277" s="2591"/>
      <c r="I277" s="1081">
        <f t="shared" si="64"/>
        <v>0</v>
      </c>
      <c r="J277" s="1082">
        <f t="shared" si="65"/>
        <v>0</v>
      </c>
      <c r="K277" s="2588"/>
      <c r="L277" s="2589"/>
      <c r="M277" s="1086">
        <f t="shared" si="66"/>
        <v>0</v>
      </c>
      <c r="N277" s="505"/>
      <c r="O277" s="365">
        <f t="shared" si="67"/>
        <v>0</v>
      </c>
      <c r="P277" s="366"/>
      <c r="Q277" s="135"/>
      <c r="R277" s="136"/>
      <c r="S277" s="129"/>
      <c r="T277" s="129"/>
      <c r="U277" s="129"/>
      <c r="V277" s="129"/>
      <c r="W277" s="129"/>
      <c r="X277" s="129"/>
      <c r="Y277" s="129"/>
      <c r="Z277" s="133"/>
      <c r="AA277" s="133"/>
      <c r="AB277" s="133"/>
      <c r="AC277" s="133"/>
      <c r="AD277" s="133"/>
      <c r="AE277" s="133"/>
      <c r="AF277" s="222"/>
      <c r="AG277" s="222"/>
      <c r="AH277" s="222"/>
      <c r="AI277" s="176"/>
      <c r="AJ277" s="176"/>
      <c r="AK277" s="176"/>
      <c r="AL277" s="176"/>
      <c r="AM277" s="176"/>
      <c r="AN277" s="176"/>
      <c r="AO277" s="176"/>
      <c r="AP277" s="176"/>
      <c r="AQ277" s="176"/>
      <c r="AR277" s="176"/>
      <c r="AS277" s="176"/>
      <c r="AT277" s="176"/>
      <c r="AU277" s="176"/>
      <c r="AV277" s="176"/>
      <c r="AW277" s="176"/>
      <c r="AX277" s="176"/>
      <c r="AY277" s="176"/>
      <c r="AZ277" s="176"/>
      <c r="BA277" s="176"/>
      <c r="BB277" s="176"/>
      <c r="BC277" s="176"/>
      <c r="BD277" s="176"/>
      <c r="BE277" s="176"/>
      <c r="BF277" s="176"/>
      <c r="BG277" s="176"/>
      <c r="BH277" s="176"/>
      <c r="BI277" s="176"/>
      <c r="BJ277" s="176"/>
      <c r="BK277" s="176"/>
      <c r="BL277" s="176"/>
      <c r="BM277" s="176"/>
      <c r="BN277" s="176"/>
      <c r="BO277" s="176"/>
    </row>
    <row r="278" spans="1:67" s="36" customFormat="1" ht="10.5" customHeight="1" x14ac:dyDescent="0.2">
      <c r="A278" s="1055"/>
      <c r="B278" s="2594"/>
      <c r="C278" s="2595"/>
      <c r="D278" s="2596"/>
      <c r="E278" s="2395"/>
      <c r="F278" s="2396"/>
      <c r="G278" s="2590"/>
      <c r="H278" s="2591"/>
      <c r="I278" s="1081">
        <f t="shared" si="64"/>
        <v>0</v>
      </c>
      <c r="J278" s="1082">
        <f t="shared" si="65"/>
        <v>0</v>
      </c>
      <c r="K278" s="2588"/>
      <c r="L278" s="2589"/>
      <c r="M278" s="1086">
        <f t="shared" si="66"/>
        <v>0</v>
      </c>
      <c r="N278" s="505"/>
      <c r="O278" s="365">
        <f t="shared" si="67"/>
        <v>0</v>
      </c>
      <c r="P278" s="366"/>
      <c r="Q278" s="135"/>
      <c r="R278" s="136"/>
      <c r="S278" s="129"/>
      <c r="T278" s="129"/>
      <c r="U278" s="129"/>
      <c r="V278" s="129"/>
      <c r="W278" s="129"/>
      <c r="X278" s="129"/>
      <c r="Y278" s="129"/>
      <c r="Z278" s="133"/>
      <c r="AA278" s="133"/>
      <c r="AB278" s="133"/>
      <c r="AC278" s="133"/>
      <c r="AD278" s="133"/>
      <c r="AE278" s="133"/>
      <c r="AF278" s="222"/>
      <c r="AG278" s="222"/>
      <c r="AH278" s="222"/>
      <c r="AI278" s="176"/>
      <c r="AJ278" s="176"/>
      <c r="AK278" s="176"/>
      <c r="AL278" s="176"/>
      <c r="AM278" s="176"/>
      <c r="AN278" s="176"/>
      <c r="AO278" s="176"/>
      <c r="AP278" s="176"/>
      <c r="AQ278" s="176"/>
      <c r="AR278" s="176"/>
      <c r="AS278" s="176"/>
      <c r="AT278" s="176"/>
      <c r="AU278" s="176"/>
      <c r="AV278" s="176"/>
      <c r="AW278" s="176"/>
      <c r="AX278" s="176"/>
      <c r="AY278" s="176"/>
      <c r="AZ278" s="176"/>
      <c r="BA278" s="176"/>
      <c r="BB278" s="176"/>
      <c r="BC278" s="176"/>
      <c r="BD278" s="176"/>
      <c r="BE278" s="176"/>
      <c r="BF278" s="176"/>
      <c r="BG278" s="176"/>
      <c r="BH278" s="176"/>
      <c r="BI278" s="176"/>
      <c r="BJ278" s="176"/>
      <c r="BK278" s="176"/>
      <c r="BL278" s="176"/>
      <c r="BM278" s="176"/>
      <c r="BN278" s="176"/>
      <c r="BO278" s="176"/>
    </row>
    <row r="279" spans="1:67" s="36" customFormat="1" ht="10.5" customHeight="1" x14ac:dyDescent="0.2">
      <c r="A279" s="1055"/>
      <c r="B279" s="2594"/>
      <c r="C279" s="2595"/>
      <c r="D279" s="2596"/>
      <c r="E279" s="2395"/>
      <c r="F279" s="2396"/>
      <c r="G279" s="2590"/>
      <c r="H279" s="2591"/>
      <c r="I279" s="1081">
        <f t="shared" si="64"/>
        <v>0</v>
      </c>
      <c r="J279" s="1082">
        <f t="shared" si="65"/>
        <v>0</v>
      </c>
      <c r="K279" s="2588"/>
      <c r="L279" s="2589"/>
      <c r="M279" s="1086">
        <f t="shared" si="66"/>
        <v>0</v>
      </c>
      <c r="N279" s="505"/>
      <c r="O279" s="365">
        <f t="shared" si="67"/>
        <v>0</v>
      </c>
      <c r="P279" s="366"/>
      <c r="Q279" s="135"/>
      <c r="R279" s="136"/>
      <c r="S279" s="129"/>
      <c r="T279" s="129"/>
      <c r="U279" s="129"/>
      <c r="V279" s="129"/>
      <c r="W279" s="129"/>
      <c r="X279" s="129"/>
      <c r="Y279" s="129"/>
      <c r="Z279" s="133"/>
      <c r="AA279" s="133"/>
      <c r="AB279" s="133"/>
      <c r="AC279" s="133"/>
      <c r="AD279" s="133"/>
      <c r="AE279" s="133"/>
      <c r="AF279" s="222"/>
      <c r="AG279" s="222"/>
      <c r="AH279" s="222"/>
      <c r="AI279" s="176"/>
      <c r="AJ279" s="176"/>
      <c r="AK279" s="176"/>
      <c r="AL279" s="176"/>
      <c r="AM279" s="176"/>
      <c r="AN279" s="176"/>
      <c r="AO279" s="176"/>
      <c r="AP279" s="176"/>
      <c r="AQ279" s="176"/>
      <c r="AR279" s="176"/>
      <c r="AS279" s="176"/>
      <c r="AT279" s="176"/>
      <c r="AU279" s="176"/>
      <c r="AV279" s="176"/>
      <c r="AW279" s="176"/>
      <c r="AX279" s="176"/>
      <c r="AY279" s="176"/>
      <c r="AZ279" s="176"/>
      <c r="BA279" s="176"/>
      <c r="BB279" s="176"/>
      <c r="BC279" s="176"/>
      <c r="BD279" s="176"/>
      <c r="BE279" s="176"/>
      <c r="BF279" s="176"/>
      <c r="BG279" s="176"/>
      <c r="BH279" s="176"/>
      <c r="BI279" s="176"/>
      <c r="BJ279" s="176"/>
      <c r="BK279" s="176"/>
      <c r="BL279" s="176"/>
      <c r="BM279" s="176"/>
      <c r="BN279" s="176"/>
      <c r="BO279" s="176"/>
    </row>
    <row r="280" spans="1:67" s="36" customFormat="1" ht="10.5" customHeight="1" x14ac:dyDescent="0.2">
      <c r="A280" s="1055"/>
      <c r="B280" s="2594"/>
      <c r="C280" s="2595"/>
      <c r="D280" s="2596"/>
      <c r="E280" s="2395"/>
      <c r="F280" s="2396"/>
      <c r="G280" s="2590"/>
      <c r="H280" s="2591"/>
      <c r="I280" s="1081">
        <f t="shared" si="64"/>
        <v>0</v>
      </c>
      <c r="J280" s="1082">
        <f t="shared" si="65"/>
        <v>0</v>
      </c>
      <c r="K280" s="2588"/>
      <c r="L280" s="2589"/>
      <c r="M280" s="1086">
        <f t="shared" si="66"/>
        <v>0</v>
      </c>
      <c r="N280" s="505"/>
      <c r="O280" s="365">
        <f t="shared" si="67"/>
        <v>0</v>
      </c>
      <c r="P280" s="366"/>
      <c r="Q280" s="135"/>
      <c r="R280" s="136"/>
      <c r="S280" s="129"/>
      <c r="T280" s="129"/>
      <c r="U280" s="129"/>
      <c r="V280" s="129"/>
      <c r="W280" s="129"/>
      <c r="X280" s="129"/>
      <c r="Y280" s="129"/>
      <c r="Z280" s="133"/>
      <c r="AA280" s="133"/>
      <c r="AB280" s="133"/>
      <c r="AC280" s="133"/>
      <c r="AD280" s="133"/>
      <c r="AE280" s="133"/>
      <c r="AF280" s="222"/>
      <c r="AG280" s="222"/>
      <c r="AH280" s="222"/>
      <c r="AI280" s="176"/>
      <c r="AJ280" s="176"/>
      <c r="AK280" s="176"/>
      <c r="AL280" s="176"/>
      <c r="AM280" s="176"/>
      <c r="AN280" s="176"/>
      <c r="AO280" s="176"/>
      <c r="AP280" s="176"/>
      <c r="AQ280" s="176"/>
      <c r="AR280" s="176"/>
      <c r="AS280" s="176"/>
      <c r="AT280" s="176"/>
      <c r="AU280" s="176"/>
      <c r="AV280" s="176"/>
      <c r="AW280" s="176"/>
      <c r="AX280" s="176"/>
      <c r="AY280" s="176"/>
      <c r="AZ280" s="176"/>
      <c r="BA280" s="176"/>
      <c r="BB280" s="176"/>
      <c r="BC280" s="176"/>
      <c r="BD280" s="176"/>
      <c r="BE280" s="176"/>
      <c r="BF280" s="176"/>
      <c r="BG280" s="176"/>
      <c r="BH280" s="176"/>
      <c r="BI280" s="176"/>
      <c r="BJ280" s="176"/>
      <c r="BK280" s="176"/>
      <c r="BL280" s="176"/>
      <c r="BM280" s="176"/>
      <c r="BN280" s="176"/>
      <c r="BO280" s="176"/>
    </row>
    <row r="281" spans="1:67" s="36" customFormat="1" ht="10.5" customHeight="1" x14ac:dyDescent="0.2">
      <c r="A281" s="1348"/>
      <c r="B281" s="2690"/>
      <c r="C281" s="2691"/>
      <c r="D281" s="2692"/>
      <c r="E281" s="2601"/>
      <c r="F281" s="2602"/>
      <c r="G281" s="1088"/>
      <c r="H281" s="1089"/>
      <c r="I281" s="1083">
        <f t="shared" si="64"/>
        <v>0</v>
      </c>
      <c r="J281" s="1084"/>
      <c r="K281" s="1087"/>
      <c r="L281" s="1307"/>
      <c r="M281" s="1317">
        <f t="shared" si="66"/>
        <v>0</v>
      </c>
      <c r="N281" s="505"/>
      <c r="O281" s="365">
        <f t="shared" si="67"/>
        <v>0</v>
      </c>
      <c r="P281" s="366"/>
      <c r="Q281" s="135"/>
      <c r="R281" s="136"/>
      <c r="S281" s="129"/>
      <c r="T281" s="129"/>
      <c r="U281" s="129"/>
      <c r="V281" s="129"/>
      <c r="W281" s="129"/>
      <c r="X281" s="129"/>
      <c r="Y281" s="129"/>
      <c r="Z281" s="133"/>
      <c r="AA281" s="133"/>
      <c r="AB281" s="133"/>
      <c r="AC281" s="133"/>
      <c r="AD281" s="133"/>
      <c r="AE281" s="133"/>
      <c r="AF281" s="222"/>
      <c r="AG281" s="222"/>
      <c r="AH281" s="222"/>
      <c r="AI281" s="176"/>
      <c r="AJ281" s="176"/>
      <c r="AK281" s="176"/>
      <c r="AL281" s="176"/>
      <c r="AM281" s="176"/>
      <c r="AN281" s="176"/>
      <c r="AO281" s="176"/>
      <c r="AP281" s="176"/>
      <c r="AQ281" s="176"/>
      <c r="AR281" s="176"/>
      <c r="AS281" s="176"/>
      <c r="AT281" s="176"/>
      <c r="AU281" s="176"/>
      <c r="AV281" s="176"/>
      <c r="AW281" s="176"/>
      <c r="AX281" s="176"/>
      <c r="AY281" s="176"/>
      <c r="AZ281" s="176"/>
      <c r="BA281" s="176"/>
      <c r="BB281" s="176"/>
      <c r="BC281" s="176"/>
      <c r="BD281" s="176"/>
      <c r="BE281" s="176"/>
      <c r="BF281" s="176"/>
      <c r="BG281" s="176"/>
      <c r="BH281" s="176"/>
      <c r="BI281" s="176"/>
      <c r="BJ281" s="176"/>
      <c r="BK281" s="176"/>
      <c r="BL281" s="176"/>
      <c r="BM281" s="176"/>
      <c r="BN281" s="176"/>
      <c r="BO281" s="176"/>
    </row>
    <row r="282" spans="1:67" s="36" customFormat="1" ht="10.5" customHeight="1" x14ac:dyDescent="0.2">
      <c r="A282" s="1345" t="s">
        <v>355</v>
      </c>
      <c r="B282" s="2603"/>
      <c r="C282" s="2604"/>
      <c r="D282" s="2605"/>
      <c r="E282" s="2730">
        <f>SUM(E283:E295)</f>
        <v>0</v>
      </c>
      <c r="F282" s="2731"/>
      <c r="G282" s="2732"/>
      <c r="H282" s="2733"/>
      <c r="I282" s="1121">
        <f>IF(E282=0,0,J282/E282)</f>
        <v>0</v>
      </c>
      <c r="J282" s="1346">
        <f>SUM(J283:J295)</f>
        <v>0</v>
      </c>
      <c r="K282" s="2734">
        <f>IF(E282=0,0,M282/E282*100)</f>
        <v>0</v>
      </c>
      <c r="L282" s="2736"/>
      <c r="M282" s="1347">
        <f>SUM(M283:M295)</f>
        <v>0</v>
      </c>
      <c r="N282" s="505"/>
      <c r="O282" s="178">
        <f>IF(H282="",G282,H282)</f>
        <v>0</v>
      </c>
      <c r="P282" s="366"/>
      <c r="Q282" s="135"/>
      <c r="R282" s="136"/>
      <c r="S282" s="129"/>
      <c r="T282" s="129"/>
      <c r="U282" s="129"/>
      <c r="V282" s="129"/>
      <c r="W282" s="129"/>
      <c r="X282" s="129"/>
      <c r="Y282" s="129"/>
      <c r="Z282" s="133"/>
      <c r="AA282" s="133"/>
      <c r="AB282" s="133"/>
      <c r="AC282" s="133"/>
      <c r="AD282" s="133"/>
      <c r="AE282" s="133"/>
      <c r="AF282" s="222"/>
      <c r="AG282" s="222"/>
      <c r="AH282" s="222"/>
      <c r="AI282" s="176"/>
      <c r="AJ282" s="176"/>
      <c r="AK282" s="176"/>
      <c r="AL282" s="176"/>
      <c r="AM282" s="176"/>
      <c r="AN282" s="176"/>
      <c r="AO282" s="176"/>
      <c r="AP282" s="176"/>
      <c r="AQ282" s="176"/>
      <c r="AR282" s="176"/>
      <c r="AS282" s="176"/>
      <c r="AT282" s="176"/>
      <c r="AU282" s="176"/>
      <c r="AV282" s="176"/>
      <c r="AW282" s="176"/>
      <c r="AX282" s="176"/>
      <c r="AY282" s="176"/>
      <c r="AZ282" s="176"/>
      <c r="BA282" s="176"/>
      <c r="BB282" s="176"/>
      <c r="BC282" s="176"/>
      <c r="BD282" s="176"/>
      <c r="BE282" s="176"/>
      <c r="BF282" s="176"/>
      <c r="BG282" s="176"/>
      <c r="BH282" s="176"/>
      <c r="BI282" s="176"/>
      <c r="BJ282" s="176"/>
      <c r="BK282" s="176"/>
      <c r="BL282" s="176"/>
      <c r="BM282" s="176"/>
      <c r="BN282" s="176"/>
      <c r="BO282" s="176"/>
    </row>
    <row r="283" spans="1:67" s="36" customFormat="1" ht="10.5" customHeight="1" x14ac:dyDescent="0.2">
      <c r="A283" s="1042" t="s">
        <v>356</v>
      </c>
      <c r="B283" s="2624"/>
      <c r="C283" s="2625"/>
      <c r="D283" s="2626"/>
      <c r="E283" s="2386"/>
      <c r="F283" s="2387"/>
      <c r="G283" s="1056">
        <v>20</v>
      </c>
      <c r="H283" s="1057"/>
      <c r="I283" s="1079">
        <f t="shared" ref="I283:I296" si="68">IF($O283&gt;0,-PMT(($I$9),$O283,1),0)</f>
        <v>6.2642070767998229E-2</v>
      </c>
      <c r="J283" s="1080">
        <f t="shared" ref="J283:J295" si="69">ROUND(E283*I283,0)</f>
        <v>0</v>
      </c>
      <c r="K283" s="1060"/>
      <c r="L283" s="1304"/>
      <c r="M283" s="1085">
        <f t="shared" ref="M283:M296" si="70">ROUND(E283/100*IF(ISBLANK(L283),K283,L283),0)</f>
        <v>0</v>
      </c>
      <c r="N283" s="505"/>
      <c r="O283" s="365">
        <f t="shared" ref="O283:O296" si="71">IF(ISBLANK(H283),G283,H283)</f>
        <v>20</v>
      </c>
      <c r="P283" s="366"/>
      <c r="Q283" s="135"/>
      <c r="R283" s="136"/>
      <c r="S283" s="129"/>
      <c r="T283" s="129"/>
      <c r="U283" s="129"/>
      <c r="V283" s="129"/>
      <c r="W283" s="129"/>
      <c r="X283" s="129"/>
      <c r="Y283" s="129"/>
      <c r="Z283" s="133"/>
      <c r="AA283" s="133"/>
      <c r="AB283" s="133"/>
      <c r="AC283" s="133"/>
      <c r="AD283" s="133"/>
      <c r="AE283" s="133"/>
      <c r="AF283" s="222"/>
      <c r="AG283" s="222"/>
      <c r="AH283" s="222"/>
      <c r="AI283" s="176"/>
      <c r="AJ283" s="176"/>
      <c r="AK283" s="176"/>
      <c r="AL283" s="176"/>
      <c r="AM283" s="176"/>
      <c r="AN283" s="176"/>
      <c r="AO283" s="176"/>
      <c r="AP283" s="176"/>
      <c r="AQ283" s="176"/>
      <c r="AR283" s="176"/>
      <c r="AS283" s="176"/>
      <c r="AT283" s="176"/>
      <c r="AU283" s="176"/>
      <c r="AV283" s="176"/>
      <c r="AW283" s="176"/>
      <c r="AX283" s="176"/>
      <c r="AY283" s="176"/>
      <c r="AZ283" s="176"/>
      <c r="BA283" s="176"/>
      <c r="BB283" s="176"/>
      <c r="BC283" s="176"/>
      <c r="BD283" s="176"/>
      <c r="BE283" s="176"/>
      <c r="BF283" s="176"/>
      <c r="BG283" s="176"/>
      <c r="BH283" s="176"/>
      <c r="BI283" s="176"/>
      <c r="BJ283" s="176"/>
      <c r="BK283" s="176"/>
      <c r="BL283" s="176"/>
      <c r="BM283" s="176"/>
      <c r="BN283" s="176"/>
      <c r="BO283" s="176"/>
    </row>
    <row r="284" spans="1:67" s="36" customFormat="1" ht="10.5" customHeight="1" x14ac:dyDescent="0.2">
      <c r="A284" s="1043" t="s">
        <v>357</v>
      </c>
      <c r="B284" s="2594"/>
      <c r="C284" s="2595"/>
      <c r="D284" s="2596"/>
      <c r="E284" s="2395"/>
      <c r="F284" s="2396"/>
      <c r="G284" s="1058">
        <v>20</v>
      </c>
      <c r="H284" s="1059"/>
      <c r="I284" s="1081">
        <f t="shared" si="68"/>
        <v>6.2642070767998229E-2</v>
      </c>
      <c r="J284" s="1082">
        <f t="shared" si="69"/>
        <v>0</v>
      </c>
      <c r="K284" s="1061"/>
      <c r="L284" s="1305"/>
      <c r="M284" s="1086">
        <f t="shared" si="70"/>
        <v>0</v>
      </c>
      <c r="N284" s="505"/>
      <c r="O284" s="365">
        <f t="shared" si="71"/>
        <v>20</v>
      </c>
      <c r="P284" s="366"/>
      <c r="Q284" s="135"/>
      <c r="R284" s="136"/>
      <c r="S284" s="129"/>
      <c r="T284" s="129"/>
      <c r="U284" s="129"/>
      <c r="V284" s="129"/>
      <c r="W284" s="129"/>
      <c r="X284" s="129"/>
      <c r="Y284" s="129"/>
      <c r="Z284" s="133"/>
      <c r="AA284" s="133"/>
      <c r="AB284" s="133"/>
      <c r="AC284" s="133"/>
      <c r="AD284" s="133"/>
      <c r="AE284" s="133"/>
      <c r="AF284" s="222"/>
      <c r="AG284" s="222"/>
      <c r="AH284" s="222"/>
      <c r="AI284" s="176"/>
      <c r="AJ284" s="176"/>
      <c r="AK284" s="176"/>
      <c r="AL284" s="176"/>
      <c r="AM284" s="176"/>
      <c r="AN284" s="176"/>
      <c r="AO284" s="176"/>
      <c r="AP284" s="176"/>
      <c r="AQ284" s="176"/>
      <c r="AR284" s="176"/>
      <c r="AS284" s="176"/>
      <c r="AT284" s="176"/>
      <c r="AU284" s="176"/>
      <c r="AV284" s="176"/>
      <c r="AW284" s="176"/>
      <c r="AX284" s="176"/>
      <c r="AY284" s="176"/>
      <c r="AZ284" s="176"/>
      <c r="BA284" s="176"/>
      <c r="BB284" s="176"/>
      <c r="BC284" s="176"/>
      <c r="BD284" s="176"/>
      <c r="BE284" s="176"/>
      <c r="BF284" s="176"/>
      <c r="BG284" s="176"/>
      <c r="BH284" s="176"/>
      <c r="BI284" s="176"/>
      <c r="BJ284" s="176"/>
      <c r="BK284" s="176"/>
      <c r="BL284" s="176"/>
      <c r="BM284" s="176"/>
      <c r="BN284" s="176"/>
      <c r="BO284" s="176"/>
    </row>
    <row r="285" spans="1:67" s="36" customFormat="1" ht="10.5" customHeight="1" x14ac:dyDescent="0.2">
      <c r="A285" s="1043" t="s">
        <v>358</v>
      </c>
      <c r="B285" s="2594"/>
      <c r="C285" s="2595"/>
      <c r="D285" s="2596"/>
      <c r="E285" s="2395"/>
      <c r="F285" s="2396"/>
      <c r="G285" s="1058">
        <v>20</v>
      </c>
      <c r="H285" s="1059"/>
      <c r="I285" s="1081">
        <f t="shared" si="68"/>
        <v>6.2642070767998229E-2</v>
      </c>
      <c r="J285" s="1082">
        <f t="shared" si="69"/>
        <v>0</v>
      </c>
      <c r="K285" s="1061">
        <v>0.5</v>
      </c>
      <c r="L285" s="1305"/>
      <c r="M285" s="1086">
        <f t="shared" si="70"/>
        <v>0</v>
      </c>
      <c r="N285" s="505"/>
      <c r="O285" s="365">
        <f t="shared" si="71"/>
        <v>20</v>
      </c>
      <c r="P285" s="366"/>
      <c r="Q285" s="135"/>
      <c r="R285" s="136"/>
      <c r="S285" s="129"/>
      <c r="T285" s="129"/>
      <c r="U285" s="129"/>
      <c r="V285" s="129"/>
      <c r="W285" s="129"/>
      <c r="X285" s="129"/>
      <c r="Y285" s="129"/>
      <c r="Z285" s="133"/>
      <c r="AA285" s="133"/>
      <c r="AB285" s="133"/>
      <c r="AC285" s="133"/>
      <c r="AD285" s="133"/>
      <c r="AE285" s="133"/>
      <c r="AF285" s="222"/>
      <c r="AG285" s="222"/>
      <c r="AH285" s="222"/>
      <c r="AI285" s="176"/>
      <c r="AJ285" s="176"/>
      <c r="AK285" s="176"/>
      <c r="AL285" s="176"/>
      <c r="AM285" s="176"/>
      <c r="AN285" s="176"/>
      <c r="AO285" s="176"/>
      <c r="AP285" s="176"/>
      <c r="AQ285" s="176"/>
      <c r="AR285" s="176"/>
      <c r="AS285" s="176"/>
      <c r="AT285" s="176"/>
      <c r="AU285" s="176"/>
      <c r="AV285" s="176"/>
      <c r="AW285" s="176"/>
      <c r="AX285" s="176"/>
      <c r="AY285" s="176"/>
      <c r="AZ285" s="176"/>
      <c r="BA285" s="176"/>
      <c r="BB285" s="176"/>
      <c r="BC285" s="176"/>
      <c r="BD285" s="176"/>
      <c r="BE285" s="176"/>
      <c r="BF285" s="176"/>
      <c r="BG285" s="176"/>
      <c r="BH285" s="176"/>
      <c r="BI285" s="176"/>
      <c r="BJ285" s="176"/>
      <c r="BK285" s="176"/>
      <c r="BL285" s="176"/>
      <c r="BM285" s="176"/>
      <c r="BN285" s="176"/>
      <c r="BO285" s="176"/>
    </row>
    <row r="286" spans="1:67" s="36" customFormat="1" ht="10.5" customHeight="1" x14ac:dyDescent="0.2">
      <c r="A286" s="1043" t="s">
        <v>359</v>
      </c>
      <c r="B286" s="2594"/>
      <c r="C286" s="2595"/>
      <c r="D286" s="2596"/>
      <c r="E286" s="2395"/>
      <c r="F286" s="2396"/>
      <c r="G286" s="1058">
        <v>20</v>
      </c>
      <c r="H286" s="1059"/>
      <c r="I286" s="1081">
        <f t="shared" si="68"/>
        <v>6.2642070767998229E-2</v>
      </c>
      <c r="J286" s="1082">
        <f t="shared" si="69"/>
        <v>0</v>
      </c>
      <c r="K286" s="1061"/>
      <c r="L286" s="1305"/>
      <c r="M286" s="1086">
        <f t="shared" si="70"/>
        <v>0</v>
      </c>
      <c r="N286" s="505"/>
      <c r="O286" s="365">
        <f t="shared" si="71"/>
        <v>20</v>
      </c>
      <c r="P286" s="366"/>
      <c r="Q286" s="135"/>
      <c r="R286" s="136"/>
      <c r="S286" s="129"/>
      <c r="T286" s="129"/>
      <c r="U286" s="129"/>
      <c r="V286" s="129"/>
      <c r="W286" s="129"/>
      <c r="X286" s="129"/>
      <c r="Y286" s="129"/>
      <c r="Z286" s="133"/>
      <c r="AA286" s="133"/>
      <c r="AB286" s="133"/>
      <c r="AC286" s="133"/>
      <c r="AD286" s="133"/>
      <c r="AE286" s="133"/>
      <c r="AF286" s="222"/>
      <c r="AG286" s="222"/>
      <c r="AH286" s="222"/>
      <c r="AI286" s="176"/>
      <c r="AJ286" s="176"/>
      <c r="AK286" s="176"/>
      <c r="AL286" s="176"/>
      <c r="AM286" s="176"/>
      <c r="AN286" s="176"/>
      <c r="AO286" s="176"/>
      <c r="AP286" s="176"/>
      <c r="AQ286" s="176"/>
      <c r="AR286" s="176"/>
      <c r="AS286" s="176"/>
      <c r="AT286" s="176"/>
      <c r="AU286" s="176"/>
      <c r="AV286" s="176"/>
      <c r="AW286" s="176"/>
      <c r="AX286" s="176"/>
      <c r="AY286" s="176"/>
      <c r="AZ286" s="176"/>
      <c r="BA286" s="176"/>
      <c r="BB286" s="176"/>
      <c r="BC286" s="176"/>
      <c r="BD286" s="176"/>
      <c r="BE286" s="176"/>
      <c r="BF286" s="176"/>
      <c r="BG286" s="176"/>
      <c r="BH286" s="176"/>
      <c r="BI286" s="176"/>
      <c r="BJ286" s="176"/>
      <c r="BK286" s="176"/>
      <c r="BL286" s="176"/>
      <c r="BM286" s="176"/>
      <c r="BN286" s="176"/>
      <c r="BO286" s="176"/>
    </row>
    <row r="287" spans="1:67" s="36" customFormat="1" ht="10.5" customHeight="1" x14ac:dyDescent="0.2">
      <c r="A287" s="1043" t="s">
        <v>360</v>
      </c>
      <c r="B287" s="2594"/>
      <c r="C287" s="2595"/>
      <c r="D287" s="2596"/>
      <c r="E287" s="2395"/>
      <c r="F287" s="2396"/>
      <c r="G287" s="1058">
        <v>20</v>
      </c>
      <c r="H287" s="1059"/>
      <c r="I287" s="1081">
        <f t="shared" si="68"/>
        <v>6.2642070767998229E-2</v>
      </c>
      <c r="J287" s="1082">
        <f t="shared" si="69"/>
        <v>0</v>
      </c>
      <c r="K287" s="1061"/>
      <c r="L287" s="1305"/>
      <c r="M287" s="1086">
        <f t="shared" si="70"/>
        <v>0</v>
      </c>
      <c r="N287" s="505"/>
      <c r="O287" s="365">
        <f t="shared" si="71"/>
        <v>20</v>
      </c>
      <c r="P287" s="366"/>
      <c r="Q287" s="135"/>
      <c r="R287" s="136"/>
      <c r="S287" s="129"/>
      <c r="T287" s="129"/>
      <c r="U287" s="129"/>
      <c r="V287" s="129"/>
      <c r="W287" s="129"/>
      <c r="X287" s="129"/>
      <c r="Y287" s="129"/>
      <c r="Z287" s="133"/>
      <c r="AA287" s="133"/>
      <c r="AB287" s="133"/>
      <c r="AC287" s="133"/>
      <c r="AD287" s="133"/>
      <c r="AE287" s="133"/>
      <c r="AF287" s="222"/>
      <c r="AG287" s="222"/>
      <c r="AH287" s="222"/>
      <c r="AI287" s="176"/>
      <c r="AJ287" s="176"/>
      <c r="AK287" s="176"/>
      <c r="AL287" s="176"/>
      <c r="AM287" s="176"/>
      <c r="AN287" s="176"/>
      <c r="AO287" s="176"/>
      <c r="AP287" s="176"/>
      <c r="AQ287" s="176"/>
      <c r="AR287" s="176"/>
      <c r="AS287" s="176"/>
      <c r="AT287" s="176"/>
      <c r="AU287" s="176"/>
      <c r="AV287" s="176"/>
      <c r="AW287" s="176"/>
      <c r="AX287" s="176"/>
      <c r="AY287" s="176"/>
      <c r="AZ287" s="176"/>
      <c r="BA287" s="176"/>
      <c r="BB287" s="176"/>
      <c r="BC287" s="176"/>
      <c r="BD287" s="176"/>
      <c r="BE287" s="176"/>
      <c r="BF287" s="176"/>
      <c r="BG287" s="176"/>
      <c r="BH287" s="176"/>
      <c r="BI287" s="176"/>
      <c r="BJ287" s="176"/>
      <c r="BK287" s="176"/>
      <c r="BL287" s="176"/>
      <c r="BM287" s="176"/>
      <c r="BN287" s="176"/>
      <c r="BO287" s="176"/>
    </row>
    <row r="288" spans="1:67" s="36" customFormat="1" ht="10.5" customHeight="1" x14ac:dyDescent="0.2">
      <c r="A288" s="1043" t="s">
        <v>361</v>
      </c>
      <c r="B288" s="2594"/>
      <c r="C288" s="2595"/>
      <c r="D288" s="2596"/>
      <c r="E288" s="2395"/>
      <c r="F288" s="2396"/>
      <c r="G288" s="1058">
        <v>20</v>
      </c>
      <c r="H288" s="1059"/>
      <c r="I288" s="1081">
        <f t="shared" si="68"/>
        <v>6.2642070767998229E-2</v>
      </c>
      <c r="J288" s="1082">
        <f t="shared" si="69"/>
        <v>0</v>
      </c>
      <c r="K288" s="1061">
        <v>2</v>
      </c>
      <c r="L288" s="1305"/>
      <c r="M288" s="1086">
        <f t="shared" si="70"/>
        <v>0</v>
      </c>
      <c r="N288" s="505"/>
      <c r="O288" s="365">
        <f t="shared" si="71"/>
        <v>20</v>
      </c>
      <c r="P288" s="366"/>
      <c r="Q288" s="135"/>
      <c r="R288" s="136"/>
      <c r="S288" s="129"/>
      <c r="T288" s="129"/>
      <c r="U288" s="129"/>
      <c r="V288" s="129"/>
      <c r="W288" s="129"/>
      <c r="X288" s="129"/>
      <c r="Y288" s="129"/>
      <c r="Z288" s="133"/>
      <c r="AA288" s="133"/>
      <c r="AB288" s="133"/>
      <c r="AC288" s="133"/>
      <c r="AD288" s="133"/>
      <c r="AE288" s="133"/>
      <c r="AF288" s="222"/>
      <c r="AG288" s="222"/>
      <c r="AH288" s="222"/>
      <c r="AI288" s="176"/>
      <c r="AJ288" s="176"/>
      <c r="AK288" s="176"/>
      <c r="AL288" s="176"/>
      <c r="AM288" s="176"/>
      <c r="AN288" s="176"/>
      <c r="AO288" s="176"/>
      <c r="AP288" s="176"/>
      <c r="AQ288" s="176"/>
      <c r="AR288" s="176"/>
      <c r="AS288" s="176"/>
      <c r="AT288" s="176"/>
      <c r="AU288" s="176"/>
      <c r="AV288" s="176"/>
      <c r="AW288" s="176"/>
      <c r="AX288" s="176"/>
      <c r="AY288" s="176"/>
      <c r="AZ288" s="176"/>
      <c r="BA288" s="176"/>
      <c r="BB288" s="176"/>
      <c r="BC288" s="176"/>
      <c r="BD288" s="176"/>
      <c r="BE288" s="176"/>
      <c r="BF288" s="176"/>
      <c r="BG288" s="176"/>
      <c r="BH288" s="176"/>
      <c r="BI288" s="176"/>
      <c r="BJ288" s="176"/>
      <c r="BK288" s="176"/>
      <c r="BL288" s="176"/>
      <c r="BM288" s="176"/>
      <c r="BN288" s="176"/>
      <c r="BO288" s="176"/>
    </row>
    <row r="289" spans="1:67" s="36" customFormat="1" ht="10.5" customHeight="1" x14ac:dyDescent="0.2">
      <c r="A289" s="1043" t="s">
        <v>362</v>
      </c>
      <c r="B289" s="2594"/>
      <c r="C289" s="2595"/>
      <c r="D289" s="2596"/>
      <c r="E289" s="2395"/>
      <c r="F289" s="2396"/>
      <c r="G289" s="1058">
        <v>20</v>
      </c>
      <c r="H289" s="1059"/>
      <c r="I289" s="1081">
        <f t="shared" si="68"/>
        <v>6.2642070767998229E-2</v>
      </c>
      <c r="J289" s="1082">
        <f t="shared" si="69"/>
        <v>0</v>
      </c>
      <c r="K289" s="1061"/>
      <c r="L289" s="1305"/>
      <c r="M289" s="1086">
        <f t="shared" si="70"/>
        <v>0</v>
      </c>
      <c r="N289" s="505"/>
      <c r="O289" s="365">
        <f t="shared" si="71"/>
        <v>20</v>
      </c>
      <c r="P289" s="366"/>
      <c r="Q289" s="135"/>
      <c r="R289" s="136"/>
      <c r="S289" s="129"/>
      <c r="T289" s="129"/>
      <c r="U289" s="129"/>
      <c r="V289" s="129"/>
      <c r="W289" s="129"/>
      <c r="X289" s="129"/>
      <c r="Y289" s="129"/>
      <c r="Z289" s="133"/>
      <c r="AA289" s="133"/>
      <c r="AB289" s="133"/>
      <c r="AC289" s="133"/>
      <c r="AD289" s="133"/>
      <c r="AE289" s="133"/>
      <c r="AF289" s="222"/>
      <c r="AG289" s="222"/>
      <c r="AH289" s="222"/>
      <c r="AI289" s="176"/>
      <c r="AJ289" s="176"/>
      <c r="AK289" s="176"/>
      <c r="AL289" s="176"/>
      <c r="AM289" s="176"/>
      <c r="AN289" s="176"/>
      <c r="AO289" s="176"/>
      <c r="AP289" s="176"/>
      <c r="AQ289" s="176"/>
      <c r="AR289" s="176"/>
      <c r="AS289" s="176"/>
      <c r="AT289" s="176"/>
      <c r="AU289" s="176"/>
      <c r="AV289" s="176"/>
      <c r="AW289" s="176"/>
      <c r="AX289" s="176"/>
      <c r="AY289" s="176"/>
      <c r="AZ289" s="176"/>
      <c r="BA289" s="176"/>
      <c r="BB289" s="176"/>
      <c r="BC289" s="176"/>
      <c r="BD289" s="176"/>
      <c r="BE289" s="176"/>
      <c r="BF289" s="176"/>
      <c r="BG289" s="176"/>
      <c r="BH289" s="176"/>
      <c r="BI289" s="176"/>
      <c r="BJ289" s="176"/>
      <c r="BK289" s="176"/>
      <c r="BL289" s="176"/>
      <c r="BM289" s="176"/>
      <c r="BN289" s="176"/>
      <c r="BO289" s="176"/>
    </row>
    <row r="290" spans="1:67" s="36" customFormat="1" ht="10.5" customHeight="1" x14ac:dyDescent="0.2">
      <c r="A290" s="1043" t="s">
        <v>363</v>
      </c>
      <c r="B290" s="2594"/>
      <c r="C290" s="2595"/>
      <c r="D290" s="2596"/>
      <c r="E290" s="2395"/>
      <c r="F290" s="2396"/>
      <c r="G290" s="1058">
        <v>20</v>
      </c>
      <c r="H290" s="1059"/>
      <c r="I290" s="1081">
        <f t="shared" si="68"/>
        <v>6.2642070767998229E-2</v>
      </c>
      <c r="J290" s="1082">
        <f t="shared" si="69"/>
        <v>0</v>
      </c>
      <c r="K290" s="1061"/>
      <c r="L290" s="1305"/>
      <c r="M290" s="1086">
        <f t="shared" si="70"/>
        <v>0</v>
      </c>
      <c r="N290" s="505"/>
      <c r="O290" s="365">
        <f t="shared" si="71"/>
        <v>20</v>
      </c>
      <c r="P290" s="366"/>
      <c r="Q290" s="135"/>
      <c r="R290" s="136"/>
      <c r="S290" s="129"/>
      <c r="T290" s="129"/>
      <c r="U290" s="129"/>
      <c r="V290" s="129"/>
      <c r="W290" s="129"/>
      <c r="X290" s="129"/>
      <c r="Y290" s="129"/>
      <c r="Z290" s="133"/>
      <c r="AA290" s="133"/>
      <c r="AB290" s="133"/>
      <c r="AC290" s="133"/>
      <c r="AD290" s="133"/>
      <c r="AE290" s="133"/>
      <c r="AF290" s="222"/>
      <c r="AG290" s="222"/>
      <c r="AH290" s="222"/>
      <c r="AI290" s="176"/>
      <c r="AJ290" s="176"/>
      <c r="AK290" s="176"/>
      <c r="AL290" s="176"/>
      <c r="AM290" s="176"/>
      <c r="AN290" s="176"/>
      <c r="AO290" s="176"/>
      <c r="AP290" s="176"/>
      <c r="AQ290" s="176"/>
      <c r="AR290" s="176"/>
      <c r="AS290" s="176"/>
      <c r="AT290" s="176"/>
      <c r="AU290" s="176"/>
      <c r="AV290" s="176"/>
      <c r="AW290" s="176"/>
      <c r="AX290" s="176"/>
      <c r="AY290" s="176"/>
      <c r="AZ290" s="176"/>
      <c r="BA290" s="176"/>
      <c r="BB290" s="176"/>
      <c r="BC290" s="176"/>
      <c r="BD290" s="176"/>
      <c r="BE290" s="176"/>
      <c r="BF290" s="176"/>
      <c r="BG290" s="176"/>
      <c r="BH290" s="176"/>
      <c r="BI290" s="176"/>
      <c r="BJ290" s="176"/>
      <c r="BK290" s="176"/>
      <c r="BL290" s="176"/>
      <c r="BM290" s="176"/>
      <c r="BN290" s="176"/>
      <c r="BO290" s="176"/>
    </row>
    <row r="291" spans="1:67" s="36" customFormat="1" ht="10.5" customHeight="1" x14ac:dyDescent="0.2">
      <c r="A291" s="1055"/>
      <c r="B291" s="2594"/>
      <c r="C291" s="2595"/>
      <c r="D291" s="2596"/>
      <c r="E291" s="2395"/>
      <c r="F291" s="2396"/>
      <c r="G291" s="2590"/>
      <c r="H291" s="2591"/>
      <c r="I291" s="1081">
        <f t="shared" si="68"/>
        <v>0</v>
      </c>
      <c r="J291" s="1082">
        <f t="shared" si="69"/>
        <v>0</v>
      </c>
      <c r="K291" s="2588"/>
      <c r="L291" s="2589"/>
      <c r="M291" s="1086">
        <f t="shared" si="70"/>
        <v>0</v>
      </c>
      <c r="N291" s="505"/>
      <c r="O291" s="365">
        <f t="shared" si="71"/>
        <v>0</v>
      </c>
      <c r="P291" s="366"/>
      <c r="Q291" s="135"/>
      <c r="R291" s="136"/>
      <c r="S291" s="129"/>
      <c r="T291" s="129"/>
      <c r="U291" s="129"/>
      <c r="V291" s="129"/>
      <c r="W291" s="129"/>
      <c r="X291" s="129"/>
      <c r="Y291" s="129"/>
      <c r="Z291" s="133"/>
      <c r="AA291" s="133"/>
      <c r="AB291" s="133"/>
      <c r="AC291" s="133"/>
      <c r="AD291" s="133"/>
      <c r="AE291" s="133"/>
      <c r="AF291" s="222"/>
      <c r="AG291" s="222"/>
      <c r="AH291" s="222"/>
      <c r="AI291" s="176"/>
      <c r="AJ291" s="176"/>
      <c r="AK291" s="176"/>
      <c r="AL291" s="176"/>
      <c r="AM291" s="176"/>
      <c r="AN291" s="176"/>
      <c r="AO291" s="176"/>
      <c r="AP291" s="176"/>
      <c r="AQ291" s="176"/>
      <c r="AR291" s="176"/>
      <c r="AS291" s="176"/>
      <c r="AT291" s="176"/>
      <c r="AU291" s="176"/>
      <c r="AV291" s="176"/>
      <c r="AW291" s="176"/>
      <c r="AX291" s="176"/>
      <c r="AY291" s="176"/>
      <c r="AZ291" s="176"/>
      <c r="BA291" s="176"/>
      <c r="BB291" s="176"/>
      <c r="BC291" s="176"/>
      <c r="BD291" s="176"/>
      <c r="BE291" s="176"/>
      <c r="BF291" s="176"/>
      <c r="BG291" s="176"/>
      <c r="BH291" s="176"/>
      <c r="BI291" s="176"/>
      <c r="BJ291" s="176"/>
      <c r="BK291" s="176"/>
      <c r="BL291" s="176"/>
      <c r="BM291" s="176"/>
      <c r="BN291" s="176"/>
      <c r="BO291" s="176"/>
    </row>
    <row r="292" spans="1:67" s="36" customFormat="1" ht="10.5" customHeight="1" x14ac:dyDescent="0.2">
      <c r="A292" s="1055"/>
      <c r="B292" s="2594"/>
      <c r="C292" s="2595"/>
      <c r="D292" s="2596"/>
      <c r="E292" s="2395"/>
      <c r="F292" s="2396"/>
      <c r="G292" s="2590"/>
      <c r="H292" s="2591"/>
      <c r="I292" s="1081">
        <f t="shared" si="68"/>
        <v>0</v>
      </c>
      <c r="J292" s="1082">
        <f t="shared" si="69"/>
        <v>0</v>
      </c>
      <c r="K292" s="2588"/>
      <c r="L292" s="2589"/>
      <c r="M292" s="1086">
        <f t="shared" si="70"/>
        <v>0</v>
      </c>
      <c r="N292" s="505"/>
      <c r="O292" s="365">
        <f t="shared" si="71"/>
        <v>0</v>
      </c>
      <c r="P292" s="366"/>
      <c r="Q292" s="135"/>
      <c r="R292" s="136"/>
      <c r="S292" s="129"/>
      <c r="T292" s="129"/>
      <c r="U292" s="129"/>
      <c r="V292" s="129"/>
      <c r="W292" s="129"/>
      <c r="X292" s="129"/>
      <c r="Y292" s="129"/>
      <c r="Z292" s="133"/>
      <c r="AA292" s="133"/>
      <c r="AB292" s="133"/>
      <c r="AC292" s="133"/>
      <c r="AD292" s="133"/>
      <c r="AE292" s="133"/>
      <c r="AF292" s="222"/>
      <c r="AG292" s="222"/>
      <c r="AH292" s="222"/>
      <c r="AI292" s="176"/>
      <c r="AJ292" s="176"/>
      <c r="AK292" s="176"/>
      <c r="AL292" s="176"/>
      <c r="AM292" s="176"/>
      <c r="AN292" s="176"/>
      <c r="AO292" s="176"/>
      <c r="AP292" s="176"/>
      <c r="AQ292" s="176"/>
      <c r="AR292" s="176"/>
      <c r="AS292" s="176"/>
      <c r="AT292" s="176"/>
      <c r="AU292" s="176"/>
      <c r="AV292" s="176"/>
      <c r="AW292" s="176"/>
      <c r="AX292" s="176"/>
      <c r="AY292" s="176"/>
      <c r="AZ292" s="176"/>
      <c r="BA292" s="176"/>
      <c r="BB292" s="176"/>
      <c r="BC292" s="176"/>
      <c r="BD292" s="176"/>
      <c r="BE292" s="176"/>
      <c r="BF292" s="176"/>
      <c r="BG292" s="176"/>
      <c r="BH292" s="176"/>
      <c r="BI292" s="176"/>
      <c r="BJ292" s="176"/>
      <c r="BK292" s="176"/>
      <c r="BL292" s="176"/>
      <c r="BM292" s="176"/>
      <c r="BN292" s="176"/>
      <c r="BO292" s="176"/>
    </row>
    <row r="293" spans="1:67" s="36" customFormat="1" ht="10.5" customHeight="1" x14ac:dyDescent="0.2">
      <c r="A293" s="1055"/>
      <c r="B293" s="2594"/>
      <c r="C293" s="2595"/>
      <c r="D293" s="2596"/>
      <c r="E293" s="2395"/>
      <c r="F293" s="2396"/>
      <c r="G293" s="2590"/>
      <c r="H293" s="2591"/>
      <c r="I293" s="1081">
        <f t="shared" si="68"/>
        <v>0</v>
      </c>
      <c r="J293" s="1082">
        <f t="shared" si="69"/>
        <v>0</v>
      </c>
      <c r="K293" s="2588"/>
      <c r="L293" s="2589"/>
      <c r="M293" s="1086">
        <f t="shared" si="70"/>
        <v>0</v>
      </c>
      <c r="N293" s="505"/>
      <c r="O293" s="365">
        <f t="shared" si="71"/>
        <v>0</v>
      </c>
      <c r="P293" s="366"/>
      <c r="Q293" s="135"/>
      <c r="R293" s="136"/>
      <c r="S293" s="129"/>
      <c r="T293" s="129"/>
      <c r="U293" s="129"/>
      <c r="V293" s="129"/>
      <c r="W293" s="129"/>
      <c r="X293" s="129"/>
      <c r="Y293" s="129"/>
      <c r="Z293" s="133"/>
      <c r="AA293" s="133"/>
      <c r="AB293" s="133"/>
      <c r="AC293" s="133"/>
      <c r="AD293" s="133"/>
      <c r="AE293" s="133"/>
      <c r="AF293" s="222"/>
      <c r="AG293" s="222"/>
      <c r="AH293" s="222"/>
      <c r="AI293" s="176"/>
      <c r="AJ293" s="176"/>
      <c r="AK293" s="176"/>
      <c r="AL293" s="176"/>
      <c r="AM293" s="176"/>
      <c r="AN293" s="176"/>
      <c r="AO293" s="176"/>
      <c r="AP293" s="176"/>
      <c r="AQ293" s="176"/>
      <c r="AR293" s="176"/>
      <c r="AS293" s="176"/>
      <c r="AT293" s="176"/>
      <c r="AU293" s="176"/>
      <c r="AV293" s="176"/>
      <c r="AW293" s="176"/>
      <c r="AX293" s="176"/>
      <c r="AY293" s="176"/>
      <c r="AZ293" s="176"/>
      <c r="BA293" s="176"/>
      <c r="BB293" s="176"/>
      <c r="BC293" s="176"/>
      <c r="BD293" s="176"/>
      <c r="BE293" s="176"/>
      <c r="BF293" s="176"/>
      <c r="BG293" s="176"/>
      <c r="BH293" s="176"/>
      <c r="BI293" s="176"/>
      <c r="BJ293" s="176"/>
      <c r="BK293" s="176"/>
      <c r="BL293" s="176"/>
      <c r="BM293" s="176"/>
      <c r="BN293" s="176"/>
      <c r="BO293" s="176"/>
    </row>
    <row r="294" spans="1:67" s="36" customFormat="1" ht="10.5" customHeight="1" x14ac:dyDescent="0.2">
      <c r="A294" s="1055"/>
      <c r="B294" s="2594"/>
      <c r="C294" s="2595"/>
      <c r="D294" s="2596"/>
      <c r="E294" s="2395"/>
      <c r="F294" s="2396"/>
      <c r="G294" s="2590"/>
      <c r="H294" s="2591"/>
      <c r="I294" s="1081">
        <f t="shared" si="68"/>
        <v>0</v>
      </c>
      <c r="J294" s="1082">
        <f t="shared" si="69"/>
        <v>0</v>
      </c>
      <c r="K294" s="2588"/>
      <c r="L294" s="2589"/>
      <c r="M294" s="1086">
        <f t="shared" si="70"/>
        <v>0</v>
      </c>
      <c r="N294" s="505"/>
      <c r="O294" s="365">
        <f t="shared" si="71"/>
        <v>0</v>
      </c>
      <c r="P294" s="366"/>
      <c r="Q294" s="135"/>
      <c r="R294" s="136"/>
      <c r="S294" s="129"/>
      <c r="T294" s="129"/>
      <c r="U294" s="129"/>
      <c r="V294" s="129"/>
      <c r="W294" s="129"/>
      <c r="X294" s="129"/>
      <c r="Y294" s="129"/>
      <c r="Z294" s="133"/>
      <c r="AA294" s="133"/>
      <c r="AB294" s="133"/>
      <c r="AC294" s="133"/>
      <c r="AD294" s="133"/>
      <c r="AE294" s="133"/>
      <c r="AF294" s="222"/>
      <c r="AG294" s="222"/>
      <c r="AH294" s="222"/>
      <c r="AI294" s="176"/>
      <c r="AJ294" s="176"/>
      <c r="AK294" s="176"/>
      <c r="AL294" s="176"/>
      <c r="AM294" s="176"/>
      <c r="AN294" s="176"/>
      <c r="AO294" s="176"/>
      <c r="AP294" s="176"/>
      <c r="AQ294" s="176"/>
      <c r="AR294" s="176"/>
      <c r="AS294" s="176"/>
      <c r="AT294" s="176"/>
      <c r="AU294" s="176"/>
      <c r="AV294" s="176"/>
      <c r="AW294" s="176"/>
      <c r="AX294" s="176"/>
      <c r="AY294" s="176"/>
      <c r="AZ294" s="176"/>
      <c r="BA294" s="176"/>
      <c r="BB294" s="176"/>
      <c r="BC294" s="176"/>
      <c r="BD294" s="176"/>
      <c r="BE294" s="176"/>
      <c r="BF294" s="176"/>
      <c r="BG294" s="176"/>
      <c r="BH294" s="176"/>
      <c r="BI294" s="176"/>
      <c r="BJ294" s="176"/>
      <c r="BK294" s="176"/>
      <c r="BL294" s="176"/>
      <c r="BM294" s="176"/>
      <c r="BN294" s="176"/>
      <c r="BO294" s="176"/>
    </row>
    <row r="295" spans="1:67" s="36" customFormat="1" ht="10.5" customHeight="1" x14ac:dyDescent="0.2">
      <c r="A295" s="1055"/>
      <c r="B295" s="2737"/>
      <c r="C295" s="2738"/>
      <c r="D295" s="2739"/>
      <c r="E295" s="2740"/>
      <c r="F295" s="2741"/>
      <c r="G295" s="2756"/>
      <c r="H295" s="2757"/>
      <c r="I295" s="1081">
        <f t="shared" si="68"/>
        <v>0</v>
      </c>
      <c r="J295" s="1082">
        <f t="shared" si="69"/>
        <v>0</v>
      </c>
      <c r="K295" s="2758"/>
      <c r="L295" s="2759"/>
      <c r="M295" s="1086">
        <f t="shared" si="70"/>
        <v>0</v>
      </c>
      <c r="N295" s="505"/>
      <c r="O295" s="365">
        <f t="shared" si="71"/>
        <v>0</v>
      </c>
      <c r="P295" s="366"/>
      <c r="Q295" s="135"/>
      <c r="R295" s="136"/>
      <c r="S295" s="129"/>
      <c r="T295" s="129"/>
      <c r="U295" s="129"/>
      <c r="V295" s="129"/>
      <c r="W295" s="129"/>
      <c r="X295" s="129"/>
      <c r="Y295" s="129"/>
      <c r="Z295" s="133"/>
      <c r="AA295" s="133"/>
      <c r="AB295" s="133"/>
      <c r="AC295" s="133"/>
      <c r="AD295" s="133"/>
      <c r="AE295" s="133"/>
      <c r="AF295" s="222"/>
      <c r="AG295" s="222"/>
      <c r="AH295" s="222"/>
      <c r="AI295" s="176"/>
      <c r="AJ295" s="176"/>
      <c r="AK295" s="176"/>
      <c r="AL295" s="176"/>
      <c r="AM295" s="176"/>
      <c r="AN295" s="176"/>
      <c r="AO295" s="176"/>
      <c r="AP295" s="176"/>
      <c r="AQ295" s="176"/>
      <c r="AR295" s="176"/>
      <c r="AS295" s="176"/>
      <c r="AT295" s="176"/>
      <c r="AU295" s="176"/>
      <c r="AV295" s="176"/>
      <c r="AW295" s="176"/>
      <c r="AX295" s="176"/>
      <c r="AY295" s="176"/>
      <c r="AZ295" s="176"/>
      <c r="BA295" s="176"/>
      <c r="BB295" s="176"/>
      <c r="BC295" s="176"/>
      <c r="BD295" s="176"/>
      <c r="BE295" s="176"/>
      <c r="BF295" s="176"/>
      <c r="BG295" s="176"/>
      <c r="BH295" s="176"/>
      <c r="BI295" s="176"/>
      <c r="BJ295" s="176"/>
      <c r="BK295" s="176"/>
      <c r="BL295" s="176"/>
      <c r="BM295" s="176"/>
      <c r="BN295" s="176"/>
      <c r="BO295" s="176"/>
    </row>
    <row r="296" spans="1:67" s="36" customFormat="1" ht="10.5" customHeight="1" x14ac:dyDescent="0.2">
      <c r="A296" s="1348"/>
      <c r="B296" s="2690"/>
      <c r="C296" s="2691"/>
      <c r="D296" s="2692"/>
      <c r="E296" s="2601"/>
      <c r="F296" s="2602"/>
      <c r="G296" s="1088"/>
      <c r="H296" s="1089"/>
      <c r="I296" s="1083">
        <f t="shared" si="68"/>
        <v>0</v>
      </c>
      <c r="J296" s="1084"/>
      <c r="K296" s="1087"/>
      <c r="L296" s="1307"/>
      <c r="M296" s="1317">
        <f t="shared" si="70"/>
        <v>0</v>
      </c>
      <c r="N296" s="505"/>
      <c r="O296" s="365">
        <f t="shared" si="71"/>
        <v>0</v>
      </c>
      <c r="P296" s="366"/>
      <c r="Q296" s="135"/>
      <c r="R296" s="136"/>
      <c r="S296" s="129"/>
      <c r="T296" s="129"/>
      <c r="U296" s="129"/>
      <c r="V296" s="129"/>
      <c r="W296" s="129"/>
      <c r="X296" s="129"/>
      <c r="Y296" s="129"/>
      <c r="Z296" s="133"/>
      <c r="AA296" s="133"/>
      <c r="AB296" s="133"/>
      <c r="AC296" s="133"/>
      <c r="AD296" s="133"/>
      <c r="AE296" s="133"/>
      <c r="AF296" s="222"/>
      <c r="AG296" s="222"/>
      <c r="AH296" s="222"/>
      <c r="AI296" s="176"/>
      <c r="AJ296" s="176"/>
      <c r="AK296" s="176"/>
      <c r="AL296" s="176"/>
      <c r="AM296" s="176"/>
      <c r="AN296" s="176"/>
      <c r="AO296" s="176"/>
      <c r="AP296" s="176"/>
      <c r="AQ296" s="176"/>
      <c r="AR296" s="176"/>
      <c r="AS296" s="176"/>
      <c r="AT296" s="176"/>
      <c r="AU296" s="176"/>
      <c r="AV296" s="176"/>
      <c r="AW296" s="176"/>
      <c r="AX296" s="176"/>
      <c r="AY296" s="176"/>
      <c r="AZ296" s="176"/>
      <c r="BA296" s="176"/>
      <c r="BB296" s="176"/>
      <c r="BC296" s="176"/>
      <c r="BD296" s="176"/>
      <c r="BE296" s="176"/>
      <c r="BF296" s="176"/>
      <c r="BG296" s="176"/>
      <c r="BH296" s="176"/>
      <c r="BI296" s="176"/>
      <c r="BJ296" s="176"/>
      <c r="BK296" s="176"/>
      <c r="BL296" s="176"/>
      <c r="BM296" s="176"/>
      <c r="BN296" s="176"/>
      <c r="BO296" s="176"/>
    </row>
    <row r="297" spans="1:67" s="36" customFormat="1" ht="10.5" customHeight="1" x14ac:dyDescent="0.2">
      <c r="A297" s="1115" t="s">
        <v>364</v>
      </c>
      <c r="B297" s="2611"/>
      <c r="C297" s="2612"/>
      <c r="D297" s="2613"/>
      <c r="E297" s="2676">
        <f>SUM(E298:E310)</f>
        <v>0</v>
      </c>
      <c r="F297" s="2677"/>
      <c r="G297" s="2678"/>
      <c r="H297" s="2679"/>
      <c r="I297" s="1116">
        <f>IF(E297=0,0,J297/E297)</f>
        <v>0</v>
      </c>
      <c r="J297" s="1117">
        <f>SUM(J298:J310)</f>
        <v>0</v>
      </c>
      <c r="K297" s="2686">
        <f>IF(E297=0,0,M297/E297*100)</f>
        <v>0</v>
      </c>
      <c r="L297" s="2742"/>
      <c r="M297" s="1118">
        <f>SUM(M298:M310)</f>
        <v>0</v>
      </c>
      <c r="N297" s="505"/>
      <c r="O297" s="178">
        <f>IF(H297="",G297,H297)</f>
        <v>0</v>
      </c>
      <c r="P297" s="366"/>
      <c r="Q297" s="135"/>
      <c r="R297" s="136"/>
      <c r="S297" s="129"/>
      <c r="T297" s="129"/>
      <c r="U297" s="129"/>
      <c r="V297" s="129"/>
      <c r="W297" s="129"/>
      <c r="X297" s="129"/>
      <c r="Y297" s="129"/>
      <c r="Z297" s="133"/>
      <c r="AA297" s="133"/>
      <c r="AB297" s="133"/>
      <c r="AC297" s="133"/>
      <c r="AD297" s="133"/>
      <c r="AE297" s="133"/>
      <c r="AF297" s="222"/>
      <c r="AG297" s="222"/>
      <c r="AH297" s="222"/>
      <c r="AI297" s="176"/>
      <c r="AJ297" s="176"/>
      <c r="AK297" s="176"/>
      <c r="AL297" s="176"/>
      <c r="AM297" s="176"/>
      <c r="AN297" s="176"/>
      <c r="AO297" s="176"/>
      <c r="AP297" s="176"/>
      <c r="AQ297" s="176"/>
      <c r="AR297" s="176"/>
      <c r="AS297" s="176"/>
      <c r="AT297" s="176"/>
      <c r="AU297" s="176"/>
      <c r="AV297" s="176"/>
      <c r="AW297" s="176"/>
      <c r="AX297" s="176"/>
      <c r="AY297" s="176"/>
      <c r="AZ297" s="176"/>
      <c r="BA297" s="176"/>
      <c r="BB297" s="176"/>
      <c r="BC297" s="176"/>
      <c r="BD297" s="176"/>
      <c r="BE297" s="176"/>
      <c r="BF297" s="176"/>
      <c r="BG297" s="176"/>
      <c r="BH297" s="176"/>
      <c r="BI297" s="176"/>
      <c r="BJ297" s="176"/>
      <c r="BK297" s="176"/>
      <c r="BL297" s="176"/>
      <c r="BM297" s="176"/>
      <c r="BN297" s="176"/>
      <c r="BO297" s="176"/>
    </row>
    <row r="298" spans="1:67" s="36" customFormat="1" ht="10.5" customHeight="1" x14ac:dyDescent="0.2">
      <c r="A298" s="1055"/>
      <c r="B298" s="2594"/>
      <c r="C298" s="2595"/>
      <c r="D298" s="2596"/>
      <c r="E298" s="2395"/>
      <c r="F298" s="2396"/>
      <c r="G298" s="2590"/>
      <c r="H298" s="2591"/>
      <c r="I298" s="1081">
        <f t="shared" ref="I298:I311" si="72">IF($O298&gt;0,-PMT(($I$9),$O298,1),0)</f>
        <v>0</v>
      </c>
      <c r="J298" s="1082">
        <f t="shared" ref="J298:J310" si="73">ROUND(E298*I298,0)</f>
        <v>0</v>
      </c>
      <c r="K298" s="2588"/>
      <c r="L298" s="2589"/>
      <c r="M298" s="1086">
        <f t="shared" ref="M298:M311" si="74">ROUND(E298/100*IF(ISBLANK(L298),K298,L298),0)</f>
        <v>0</v>
      </c>
      <c r="N298" s="505"/>
      <c r="O298" s="365">
        <f t="shared" ref="O298:O311" si="75">IF(ISBLANK(H298),G298,H298)</f>
        <v>0</v>
      </c>
      <c r="P298" s="366"/>
      <c r="Q298" s="135"/>
      <c r="R298" s="136"/>
      <c r="S298" s="129"/>
      <c r="T298" s="129"/>
      <c r="U298" s="129"/>
      <c r="V298" s="129"/>
      <c r="W298" s="129"/>
      <c r="X298" s="129"/>
      <c r="Y298" s="129"/>
      <c r="Z298" s="133"/>
      <c r="AA298" s="133"/>
      <c r="AB298" s="133"/>
      <c r="AC298" s="133"/>
      <c r="AD298" s="133"/>
      <c r="AE298" s="133"/>
      <c r="AF298" s="222"/>
      <c r="AG298" s="222"/>
      <c r="AH298" s="222"/>
      <c r="AI298" s="176"/>
      <c r="AJ298" s="176"/>
      <c r="AK298" s="176"/>
      <c r="AL298" s="176"/>
      <c r="AM298" s="176"/>
      <c r="AN298" s="176"/>
      <c r="AO298" s="176"/>
      <c r="AP298" s="176"/>
      <c r="AQ298" s="176"/>
      <c r="AR298" s="176"/>
      <c r="AS298" s="176"/>
      <c r="AT298" s="176"/>
      <c r="AU298" s="176"/>
      <c r="AV298" s="176"/>
      <c r="AW298" s="176"/>
      <c r="AX298" s="176"/>
      <c r="AY298" s="176"/>
      <c r="AZ298" s="176"/>
      <c r="BA298" s="176"/>
      <c r="BB298" s="176"/>
      <c r="BC298" s="176"/>
      <c r="BD298" s="176"/>
      <c r="BE298" s="176"/>
      <c r="BF298" s="176"/>
      <c r="BG298" s="176"/>
      <c r="BH298" s="176"/>
      <c r="BI298" s="176"/>
      <c r="BJ298" s="176"/>
      <c r="BK298" s="176"/>
      <c r="BL298" s="176"/>
      <c r="BM298" s="176"/>
      <c r="BN298" s="176"/>
      <c r="BO298" s="176"/>
    </row>
    <row r="299" spans="1:67" s="36" customFormat="1" ht="10.5" customHeight="1" x14ac:dyDescent="0.2">
      <c r="A299" s="1055"/>
      <c r="B299" s="2594"/>
      <c r="C299" s="2595"/>
      <c r="D299" s="2596"/>
      <c r="E299" s="2395"/>
      <c r="F299" s="2396"/>
      <c r="G299" s="2590"/>
      <c r="H299" s="2591"/>
      <c r="I299" s="1081">
        <f t="shared" si="72"/>
        <v>0</v>
      </c>
      <c r="J299" s="1082">
        <f t="shared" si="73"/>
        <v>0</v>
      </c>
      <c r="K299" s="2588"/>
      <c r="L299" s="2589"/>
      <c r="M299" s="1086">
        <f t="shared" si="74"/>
        <v>0</v>
      </c>
      <c r="N299" s="505"/>
      <c r="O299" s="365">
        <f t="shared" si="75"/>
        <v>0</v>
      </c>
      <c r="P299" s="366"/>
      <c r="Q299" s="135"/>
      <c r="R299" s="136"/>
      <c r="S299" s="129"/>
      <c r="T299" s="129"/>
      <c r="U299" s="129"/>
      <c r="V299" s="129"/>
      <c r="W299" s="129"/>
      <c r="X299" s="129"/>
      <c r="Y299" s="129"/>
      <c r="Z299" s="133"/>
      <c r="AA299" s="133"/>
      <c r="AB299" s="133"/>
      <c r="AC299" s="133"/>
      <c r="AD299" s="133"/>
      <c r="AE299" s="133"/>
      <c r="AF299" s="222"/>
      <c r="AG299" s="222"/>
      <c r="AH299" s="222"/>
      <c r="AI299" s="176"/>
      <c r="AJ299" s="176"/>
      <c r="AK299" s="176"/>
      <c r="AL299" s="176"/>
      <c r="AM299" s="176"/>
      <c r="AN299" s="176"/>
      <c r="AO299" s="176"/>
      <c r="AP299" s="176"/>
      <c r="AQ299" s="176"/>
      <c r="AR299" s="176"/>
      <c r="AS299" s="176"/>
      <c r="AT299" s="176"/>
      <c r="AU299" s="176"/>
      <c r="AV299" s="176"/>
      <c r="AW299" s="176"/>
      <c r="AX299" s="176"/>
      <c r="AY299" s="176"/>
      <c r="AZ299" s="176"/>
      <c r="BA299" s="176"/>
      <c r="BB299" s="176"/>
      <c r="BC299" s="176"/>
      <c r="BD299" s="176"/>
      <c r="BE299" s="176"/>
      <c r="BF299" s="176"/>
      <c r="BG299" s="176"/>
      <c r="BH299" s="176"/>
      <c r="BI299" s="176"/>
      <c r="BJ299" s="176"/>
      <c r="BK299" s="176"/>
      <c r="BL299" s="176"/>
      <c r="BM299" s="176"/>
      <c r="BN299" s="176"/>
      <c r="BO299" s="176"/>
    </row>
    <row r="300" spans="1:67" s="36" customFormat="1" ht="10.5" customHeight="1" x14ac:dyDescent="0.2">
      <c r="A300" s="1055"/>
      <c r="B300" s="2594"/>
      <c r="C300" s="2595"/>
      <c r="D300" s="2596"/>
      <c r="E300" s="2395"/>
      <c r="F300" s="2396"/>
      <c r="G300" s="2590"/>
      <c r="H300" s="2591"/>
      <c r="I300" s="1081">
        <f t="shared" si="72"/>
        <v>0</v>
      </c>
      <c r="J300" s="1082">
        <f t="shared" si="73"/>
        <v>0</v>
      </c>
      <c r="K300" s="2588"/>
      <c r="L300" s="2589"/>
      <c r="M300" s="1086">
        <f t="shared" si="74"/>
        <v>0</v>
      </c>
      <c r="N300" s="505"/>
      <c r="O300" s="365">
        <f t="shared" si="75"/>
        <v>0</v>
      </c>
      <c r="P300" s="366"/>
      <c r="Q300" s="135"/>
      <c r="R300" s="136"/>
      <c r="S300" s="129"/>
      <c r="T300" s="129"/>
      <c r="U300" s="129"/>
      <c r="V300" s="129"/>
      <c r="W300" s="129"/>
      <c r="X300" s="129"/>
      <c r="Y300" s="129"/>
      <c r="Z300" s="133"/>
      <c r="AA300" s="133"/>
      <c r="AB300" s="133"/>
      <c r="AC300" s="133"/>
      <c r="AD300" s="133"/>
      <c r="AE300" s="133"/>
      <c r="AF300" s="222"/>
      <c r="AG300" s="222"/>
      <c r="AH300" s="222"/>
      <c r="AI300" s="176"/>
      <c r="AJ300" s="176"/>
      <c r="AK300" s="176"/>
      <c r="AL300" s="176"/>
      <c r="AM300" s="176"/>
      <c r="AN300" s="176"/>
      <c r="AO300" s="176"/>
      <c r="AP300" s="176"/>
      <c r="AQ300" s="176"/>
      <c r="AR300" s="176"/>
      <c r="AS300" s="176"/>
      <c r="AT300" s="176"/>
      <c r="AU300" s="176"/>
      <c r="AV300" s="176"/>
      <c r="AW300" s="176"/>
      <c r="AX300" s="176"/>
      <c r="AY300" s="176"/>
      <c r="AZ300" s="176"/>
      <c r="BA300" s="176"/>
      <c r="BB300" s="176"/>
      <c r="BC300" s="176"/>
      <c r="BD300" s="176"/>
      <c r="BE300" s="176"/>
      <c r="BF300" s="176"/>
      <c r="BG300" s="176"/>
      <c r="BH300" s="176"/>
      <c r="BI300" s="176"/>
      <c r="BJ300" s="176"/>
      <c r="BK300" s="176"/>
      <c r="BL300" s="176"/>
      <c r="BM300" s="176"/>
      <c r="BN300" s="176"/>
      <c r="BO300" s="176"/>
    </row>
    <row r="301" spans="1:67" s="36" customFormat="1" ht="10.5" customHeight="1" x14ac:dyDescent="0.2">
      <c r="A301" s="1055"/>
      <c r="B301" s="2594"/>
      <c r="C301" s="2595"/>
      <c r="D301" s="2596"/>
      <c r="E301" s="2395"/>
      <c r="F301" s="2396"/>
      <c r="G301" s="2590"/>
      <c r="H301" s="2591"/>
      <c r="I301" s="1081">
        <f t="shared" si="72"/>
        <v>0</v>
      </c>
      <c r="J301" s="1082">
        <f t="shared" si="73"/>
        <v>0</v>
      </c>
      <c r="K301" s="2588"/>
      <c r="L301" s="2589"/>
      <c r="M301" s="1086">
        <f t="shared" si="74"/>
        <v>0</v>
      </c>
      <c r="N301" s="505"/>
      <c r="O301" s="365">
        <f t="shared" si="75"/>
        <v>0</v>
      </c>
      <c r="P301" s="366"/>
      <c r="Q301" s="135"/>
      <c r="R301" s="136"/>
      <c r="S301" s="129"/>
      <c r="T301" s="129"/>
      <c r="U301" s="129"/>
      <c r="V301" s="129"/>
      <c r="W301" s="129"/>
      <c r="X301" s="129"/>
      <c r="Y301" s="129"/>
      <c r="Z301" s="133"/>
      <c r="AA301" s="133"/>
      <c r="AB301" s="133"/>
      <c r="AC301" s="133"/>
      <c r="AD301" s="133"/>
      <c r="AE301" s="133"/>
      <c r="AF301" s="222"/>
      <c r="AG301" s="222"/>
      <c r="AH301" s="222"/>
      <c r="AI301" s="176"/>
      <c r="AJ301" s="176"/>
      <c r="AK301" s="176"/>
      <c r="AL301" s="176"/>
      <c r="AM301" s="176"/>
      <c r="AN301" s="176"/>
      <c r="AO301" s="176"/>
      <c r="AP301" s="176"/>
      <c r="AQ301" s="176"/>
      <c r="AR301" s="176"/>
      <c r="AS301" s="176"/>
      <c r="AT301" s="176"/>
      <c r="AU301" s="176"/>
      <c r="AV301" s="176"/>
      <c r="AW301" s="176"/>
      <c r="AX301" s="176"/>
      <c r="AY301" s="176"/>
      <c r="AZ301" s="176"/>
      <c r="BA301" s="176"/>
      <c r="BB301" s="176"/>
      <c r="BC301" s="176"/>
      <c r="BD301" s="176"/>
      <c r="BE301" s="176"/>
      <c r="BF301" s="176"/>
      <c r="BG301" s="176"/>
      <c r="BH301" s="176"/>
      <c r="BI301" s="176"/>
      <c r="BJ301" s="176"/>
      <c r="BK301" s="176"/>
      <c r="BL301" s="176"/>
      <c r="BM301" s="176"/>
      <c r="BN301" s="176"/>
      <c r="BO301" s="176"/>
    </row>
    <row r="302" spans="1:67" s="36" customFormat="1" ht="10.5" customHeight="1" x14ac:dyDescent="0.2">
      <c r="A302" s="1055"/>
      <c r="B302" s="2594"/>
      <c r="C302" s="2595"/>
      <c r="D302" s="2596"/>
      <c r="E302" s="2395"/>
      <c r="F302" s="2396"/>
      <c r="G302" s="2590"/>
      <c r="H302" s="2591"/>
      <c r="I302" s="1081">
        <f t="shared" si="72"/>
        <v>0</v>
      </c>
      <c r="J302" s="1082">
        <f t="shared" si="73"/>
        <v>0</v>
      </c>
      <c r="K302" s="2588"/>
      <c r="L302" s="2589"/>
      <c r="M302" s="1086">
        <f t="shared" si="74"/>
        <v>0</v>
      </c>
      <c r="N302" s="505"/>
      <c r="O302" s="365">
        <f t="shared" si="75"/>
        <v>0</v>
      </c>
      <c r="P302" s="366"/>
      <c r="Q302" s="135"/>
      <c r="R302" s="136"/>
      <c r="S302" s="129"/>
      <c r="T302" s="129"/>
      <c r="U302" s="129"/>
      <c r="V302" s="129"/>
      <c r="W302" s="129"/>
      <c r="X302" s="129"/>
      <c r="Y302" s="129"/>
      <c r="Z302" s="133"/>
      <c r="AA302" s="133"/>
      <c r="AB302" s="133"/>
      <c r="AC302" s="133"/>
      <c r="AD302" s="133"/>
      <c r="AE302" s="133"/>
      <c r="AF302" s="222"/>
      <c r="AG302" s="222"/>
      <c r="AH302" s="222"/>
      <c r="AI302" s="176"/>
      <c r="AJ302" s="176"/>
      <c r="AK302" s="176"/>
      <c r="AL302" s="176"/>
      <c r="AM302" s="176"/>
      <c r="AN302" s="176"/>
      <c r="AO302" s="176"/>
      <c r="AP302" s="176"/>
      <c r="AQ302" s="176"/>
      <c r="AR302" s="176"/>
      <c r="AS302" s="176"/>
      <c r="AT302" s="176"/>
      <c r="AU302" s="176"/>
      <c r="AV302" s="176"/>
      <c r="AW302" s="176"/>
      <c r="AX302" s="176"/>
      <c r="AY302" s="176"/>
      <c r="AZ302" s="176"/>
      <c r="BA302" s="176"/>
      <c r="BB302" s="176"/>
      <c r="BC302" s="176"/>
      <c r="BD302" s="176"/>
      <c r="BE302" s="176"/>
      <c r="BF302" s="176"/>
      <c r="BG302" s="176"/>
      <c r="BH302" s="176"/>
      <c r="BI302" s="176"/>
      <c r="BJ302" s="176"/>
      <c r="BK302" s="176"/>
      <c r="BL302" s="176"/>
      <c r="BM302" s="176"/>
      <c r="BN302" s="176"/>
      <c r="BO302" s="176"/>
    </row>
    <row r="303" spans="1:67" s="36" customFormat="1" ht="10.5" customHeight="1" x14ac:dyDescent="0.2">
      <c r="A303" s="1055"/>
      <c r="B303" s="2594"/>
      <c r="C303" s="2595"/>
      <c r="D303" s="2596"/>
      <c r="E303" s="2395"/>
      <c r="F303" s="2396"/>
      <c r="G303" s="2590"/>
      <c r="H303" s="2591"/>
      <c r="I303" s="1081">
        <f t="shared" si="72"/>
        <v>0</v>
      </c>
      <c r="J303" s="1082">
        <f t="shared" si="73"/>
        <v>0</v>
      </c>
      <c r="K303" s="2588"/>
      <c r="L303" s="2589"/>
      <c r="M303" s="1086">
        <f t="shared" si="74"/>
        <v>0</v>
      </c>
      <c r="N303" s="505"/>
      <c r="O303" s="365">
        <f t="shared" si="75"/>
        <v>0</v>
      </c>
      <c r="P303" s="366"/>
      <c r="Q303" s="135"/>
      <c r="R303" s="136"/>
      <c r="S303" s="129"/>
      <c r="T303" s="129"/>
      <c r="U303" s="129"/>
      <c r="V303" s="129"/>
      <c r="W303" s="129"/>
      <c r="X303" s="129"/>
      <c r="Y303" s="129"/>
      <c r="Z303" s="133"/>
      <c r="AA303" s="133"/>
      <c r="AB303" s="133"/>
      <c r="AC303" s="133"/>
      <c r="AD303" s="133"/>
      <c r="AE303" s="133"/>
      <c r="AF303" s="222"/>
      <c r="AG303" s="222"/>
      <c r="AH303" s="222"/>
      <c r="AI303" s="176"/>
      <c r="AJ303" s="176"/>
      <c r="AK303" s="176"/>
      <c r="AL303" s="176"/>
      <c r="AM303" s="176"/>
      <c r="AN303" s="176"/>
      <c r="AO303" s="176"/>
      <c r="AP303" s="176"/>
      <c r="AQ303" s="176"/>
      <c r="AR303" s="176"/>
      <c r="AS303" s="176"/>
      <c r="AT303" s="176"/>
      <c r="AU303" s="176"/>
      <c r="AV303" s="176"/>
      <c r="AW303" s="176"/>
      <c r="AX303" s="176"/>
      <c r="AY303" s="176"/>
      <c r="AZ303" s="176"/>
      <c r="BA303" s="176"/>
      <c r="BB303" s="176"/>
      <c r="BC303" s="176"/>
      <c r="BD303" s="176"/>
      <c r="BE303" s="176"/>
      <c r="BF303" s="176"/>
      <c r="BG303" s="176"/>
      <c r="BH303" s="176"/>
      <c r="BI303" s="176"/>
      <c r="BJ303" s="176"/>
      <c r="BK303" s="176"/>
      <c r="BL303" s="176"/>
      <c r="BM303" s="176"/>
      <c r="BN303" s="176"/>
      <c r="BO303" s="176"/>
    </row>
    <row r="304" spans="1:67" s="36" customFormat="1" ht="10.5" customHeight="1" x14ac:dyDescent="0.2">
      <c r="A304" s="1055"/>
      <c r="B304" s="2594"/>
      <c r="C304" s="2595"/>
      <c r="D304" s="2596"/>
      <c r="E304" s="2395"/>
      <c r="F304" s="2396"/>
      <c r="G304" s="2590"/>
      <c r="H304" s="2591"/>
      <c r="I304" s="1081">
        <f t="shared" si="72"/>
        <v>0</v>
      </c>
      <c r="J304" s="1082">
        <f t="shared" si="73"/>
        <v>0</v>
      </c>
      <c r="K304" s="2588"/>
      <c r="L304" s="2589"/>
      <c r="M304" s="1086">
        <f t="shared" si="74"/>
        <v>0</v>
      </c>
      <c r="N304" s="505"/>
      <c r="O304" s="365">
        <f t="shared" si="75"/>
        <v>0</v>
      </c>
      <c r="P304" s="366"/>
      <c r="Q304" s="135"/>
      <c r="R304" s="136"/>
      <c r="S304" s="129"/>
      <c r="T304" s="129"/>
      <c r="U304" s="129"/>
      <c r="V304" s="129"/>
      <c r="W304" s="129"/>
      <c r="X304" s="129"/>
      <c r="Y304" s="129"/>
      <c r="Z304" s="133"/>
      <c r="AA304" s="133"/>
      <c r="AB304" s="133"/>
      <c r="AC304" s="133"/>
      <c r="AD304" s="133"/>
      <c r="AE304" s="133"/>
      <c r="AF304" s="222"/>
      <c r="AG304" s="222"/>
      <c r="AH304" s="222"/>
      <c r="AI304" s="176"/>
      <c r="AJ304" s="176"/>
      <c r="AK304" s="176"/>
      <c r="AL304" s="176"/>
      <c r="AM304" s="176"/>
      <c r="AN304" s="176"/>
      <c r="AO304" s="176"/>
      <c r="AP304" s="176"/>
      <c r="AQ304" s="176"/>
      <c r="AR304" s="176"/>
      <c r="AS304" s="176"/>
      <c r="AT304" s="176"/>
      <c r="AU304" s="176"/>
      <c r="AV304" s="176"/>
      <c r="AW304" s="176"/>
      <c r="AX304" s="176"/>
      <c r="AY304" s="176"/>
      <c r="AZ304" s="176"/>
      <c r="BA304" s="176"/>
      <c r="BB304" s="176"/>
      <c r="BC304" s="176"/>
      <c r="BD304" s="176"/>
      <c r="BE304" s="176"/>
      <c r="BF304" s="176"/>
      <c r="BG304" s="176"/>
      <c r="BH304" s="176"/>
      <c r="BI304" s="176"/>
      <c r="BJ304" s="176"/>
      <c r="BK304" s="176"/>
      <c r="BL304" s="176"/>
      <c r="BM304" s="176"/>
      <c r="BN304" s="176"/>
      <c r="BO304" s="176"/>
    </row>
    <row r="305" spans="1:67" s="36" customFormat="1" ht="10.5" customHeight="1" x14ac:dyDescent="0.2">
      <c r="A305" s="1055"/>
      <c r="B305" s="2594"/>
      <c r="C305" s="2595"/>
      <c r="D305" s="2596"/>
      <c r="E305" s="2395"/>
      <c r="F305" s="2396"/>
      <c r="G305" s="2590"/>
      <c r="H305" s="2591"/>
      <c r="I305" s="1081">
        <f t="shared" si="72"/>
        <v>0</v>
      </c>
      <c r="J305" s="1082">
        <f t="shared" si="73"/>
        <v>0</v>
      </c>
      <c r="K305" s="2588"/>
      <c r="L305" s="2589"/>
      <c r="M305" s="1086">
        <f t="shared" si="74"/>
        <v>0</v>
      </c>
      <c r="N305" s="505"/>
      <c r="O305" s="365">
        <f t="shared" si="75"/>
        <v>0</v>
      </c>
      <c r="P305" s="366"/>
      <c r="Q305" s="135"/>
      <c r="R305" s="136"/>
      <c r="S305" s="129"/>
      <c r="T305" s="129"/>
      <c r="U305" s="129"/>
      <c r="V305" s="129"/>
      <c r="W305" s="129"/>
      <c r="X305" s="129"/>
      <c r="Y305" s="129"/>
      <c r="Z305" s="133"/>
      <c r="AA305" s="133"/>
      <c r="AB305" s="133"/>
      <c r="AC305" s="133"/>
      <c r="AD305" s="133"/>
      <c r="AE305" s="133"/>
      <c r="AF305" s="222"/>
      <c r="AG305" s="222"/>
      <c r="AH305" s="222"/>
      <c r="AI305" s="176"/>
      <c r="AJ305" s="176"/>
      <c r="AK305" s="176"/>
      <c r="AL305" s="176"/>
      <c r="AM305" s="176"/>
      <c r="AN305" s="176"/>
      <c r="AO305" s="176"/>
      <c r="AP305" s="176"/>
      <c r="AQ305" s="176"/>
      <c r="AR305" s="176"/>
      <c r="AS305" s="176"/>
      <c r="AT305" s="176"/>
      <c r="AU305" s="176"/>
      <c r="AV305" s="176"/>
      <c r="AW305" s="176"/>
      <c r="AX305" s="176"/>
      <c r="AY305" s="176"/>
      <c r="AZ305" s="176"/>
      <c r="BA305" s="176"/>
      <c r="BB305" s="176"/>
      <c r="BC305" s="176"/>
      <c r="BD305" s="176"/>
      <c r="BE305" s="176"/>
      <c r="BF305" s="176"/>
      <c r="BG305" s="176"/>
      <c r="BH305" s="176"/>
      <c r="BI305" s="176"/>
      <c r="BJ305" s="176"/>
      <c r="BK305" s="176"/>
      <c r="BL305" s="176"/>
      <c r="BM305" s="176"/>
      <c r="BN305" s="176"/>
      <c r="BO305" s="176"/>
    </row>
    <row r="306" spans="1:67" s="36" customFormat="1" ht="10.5" customHeight="1" x14ac:dyDescent="0.2">
      <c r="A306" s="1055"/>
      <c r="B306" s="2594"/>
      <c r="C306" s="2595"/>
      <c r="D306" s="2596"/>
      <c r="E306" s="2395"/>
      <c r="F306" s="2396"/>
      <c r="G306" s="2590"/>
      <c r="H306" s="2591"/>
      <c r="I306" s="1081">
        <f t="shared" si="72"/>
        <v>0</v>
      </c>
      <c r="J306" s="1082">
        <f t="shared" si="73"/>
        <v>0</v>
      </c>
      <c r="K306" s="2588"/>
      <c r="L306" s="2589"/>
      <c r="M306" s="1086">
        <f t="shared" si="74"/>
        <v>0</v>
      </c>
      <c r="N306" s="505"/>
      <c r="O306" s="365">
        <f t="shared" si="75"/>
        <v>0</v>
      </c>
      <c r="P306" s="366"/>
      <c r="Q306" s="135"/>
      <c r="R306" s="136"/>
      <c r="S306" s="129"/>
      <c r="T306" s="129"/>
      <c r="U306" s="129"/>
      <c r="V306" s="129"/>
      <c r="W306" s="129"/>
      <c r="X306" s="129"/>
      <c r="Y306" s="129"/>
      <c r="Z306" s="133"/>
      <c r="AA306" s="133"/>
      <c r="AB306" s="133"/>
      <c r="AC306" s="133"/>
      <c r="AD306" s="133"/>
      <c r="AE306" s="133"/>
      <c r="AF306" s="222"/>
      <c r="AG306" s="222"/>
      <c r="AH306" s="222"/>
      <c r="AI306" s="176"/>
      <c r="AJ306" s="176"/>
      <c r="AK306" s="176"/>
      <c r="AL306" s="176"/>
      <c r="AM306" s="176"/>
      <c r="AN306" s="176"/>
      <c r="AO306" s="176"/>
      <c r="AP306" s="176"/>
      <c r="AQ306" s="176"/>
      <c r="AR306" s="176"/>
      <c r="AS306" s="176"/>
      <c r="AT306" s="176"/>
      <c r="AU306" s="176"/>
      <c r="AV306" s="176"/>
      <c r="AW306" s="176"/>
      <c r="AX306" s="176"/>
      <c r="AY306" s="176"/>
      <c r="AZ306" s="176"/>
      <c r="BA306" s="176"/>
      <c r="BB306" s="176"/>
      <c r="BC306" s="176"/>
      <c r="BD306" s="176"/>
      <c r="BE306" s="176"/>
      <c r="BF306" s="176"/>
      <c r="BG306" s="176"/>
      <c r="BH306" s="176"/>
      <c r="BI306" s="176"/>
      <c r="BJ306" s="176"/>
      <c r="BK306" s="176"/>
      <c r="BL306" s="176"/>
      <c r="BM306" s="176"/>
      <c r="BN306" s="176"/>
      <c r="BO306" s="176"/>
    </row>
    <row r="307" spans="1:67" s="36" customFormat="1" ht="10.5" customHeight="1" x14ac:dyDescent="0.2">
      <c r="A307" s="1055"/>
      <c r="B307" s="2594"/>
      <c r="C307" s="2595"/>
      <c r="D307" s="2596"/>
      <c r="E307" s="2395"/>
      <c r="F307" s="2396"/>
      <c r="G307" s="2590"/>
      <c r="H307" s="2591"/>
      <c r="I307" s="1081">
        <f t="shared" si="72"/>
        <v>0</v>
      </c>
      <c r="J307" s="1082">
        <f t="shared" si="73"/>
        <v>0</v>
      </c>
      <c r="K307" s="2588"/>
      <c r="L307" s="2589"/>
      <c r="M307" s="1086">
        <f t="shared" si="74"/>
        <v>0</v>
      </c>
      <c r="N307" s="505"/>
      <c r="O307" s="365">
        <f t="shared" si="75"/>
        <v>0</v>
      </c>
      <c r="P307" s="366"/>
      <c r="Q307" s="135"/>
      <c r="R307" s="136"/>
      <c r="S307" s="129"/>
      <c r="T307" s="129"/>
      <c r="U307" s="129"/>
      <c r="V307" s="129"/>
      <c r="W307" s="129"/>
      <c r="X307" s="129"/>
      <c r="Y307" s="129"/>
      <c r="Z307" s="133"/>
      <c r="AA307" s="133"/>
      <c r="AB307" s="133"/>
      <c r="AC307" s="133"/>
      <c r="AD307" s="133"/>
      <c r="AE307" s="133"/>
      <c r="AF307" s="222"/>
      <c r="AG307" s="222"/>
      <c r="AH307" s="222"/>
      <c r="AI307" s="176"/>
      <c r="AJ307" s="176"/>
      <c r="AK307" s="176"/>
      <c r="AL307" s="176"/>
      <c r="AM307" s="176"/>
      <c r="AN307" s="176"/>
      <c r="AO307" s="176"/>
      <c r="AP307" s="176"/>
      <c r="AQ307" s="176"/>
      <c r="AR307" s="176"/>
      <c r="AS307" s="176"/>
      <c r="AT307" s="176"/>
      <c r="AU307" s="176"/>
      <c r="AV307" s="176"/>
      <c r="AW307" s="176"/>
      <c r="AX307" s="176"/>
      <c r="AY307" s="176"/>
      <c r="AZ307" s="176"/>
      <c r="BA307" s="176"/>
      <c r="BB307" s="176"/>
      <c r="BC307" s="176"/>
      <c r="BD307" s="176"/>
      <c r="BE307" s="176"/>
      <c r="BF307" s="176"/>
      <c r="BG307" s="176"/>
      <c r="BH307" s="176"/>
      <c r="BI307" s="176"/>
      <c r="BJ307" s="176"/>
      <c r="BK307" s="176"/>
      <c r="BL307" s="176"/>
      <c r="BM307" s="176"/>
      <c r="BN307" s="176"/>
      <c r="BO307" s="176"/>
    </row>
    <row r="308" spans="1:67" s="36" customFormat="1" ht="10.5" customHeight="1" x14ac:dyDescent="0.2">
      <c r="A308" s="1055"/>
      <c r="B308" s="2594"/>
      <c r="C308" s="2595"/>
      <c r="D308" s="2596"/>
      <c r="E308" s="2395"/>
      <c r="F308" s="2396"/>
      <c r="G308" s="2590"/>
      <c r="H308" s="2591"/>
      <c r="I308" s="1081">
        <f t="shared" si="72"/>
        <v>0</v>
      </c>
      <c r="J308" s="1082">
        <f t="shared" si="73"/>
        <v>0</v>
      </c>
      <c r="K308" s="2588"/>
      <c r="L308" s="2589"/>
      <c r="M308" s="1086">
        <f t="shared" si="74"/>
        <v>0</v>
      </c>
      <c r="N308" s="505"/>
      <c r="O308" s="365">
        <f t="shared" si="75"/>
        <v>0</v>
      </c>
      <c r="P308" s="366"/>
      <c r="Q308" s="135"/>
      <c r="R308" s="136"/>
      <c r="S308" s="129"/>
      <c r="T308" s="129"/>
      <c r="U308" s="129"/>
      <c r="V308" s="129"/>
      <c r="W308" s="129"/>
      <c r="X308" s="129"/>
      <c r="Y308" s="129"/>
      <c r="Z308" s="133"/>
      <c r="AA308" s="133"/>
      <c r="AB308" s="133"/>
      <c r="AC308" s="133"/>
      <c r="AD308" s="133"/>
      <c r="AE308" s="133"/>
      <c r="AF308" s="222"/>
      <c r="AG308" s="222"/>
      <c r="AH308" s="222"/>
      <c r="AI308" s="176"/>
      <c r="AJ308" s="176"/>
      <c r="AK308" s="176"/>
      <c r="AL308" s="176"/>
      <c r="AM308" s="176"/>
      <c r="AN308" s="176"/>
      <c r="AO308" s="176"/>
      <c r="AP308" s="176"/>
      <c r="AQ308" s="176"/>
      <c r="AR308" s="176"/>
      <c r="AS308" s="176"/>
      <c r="AT308" s="176"/>
      <c r="AU308" s="176"/>
      <c r="AV308" s="176"/>
      <c r="AW308" s="176"/>
      <c r="AX308" s="176"/>
      <c r="AY308" s="176"/>
      <c r="AZ308" s="176"/>
      <c r="BA308" s="176"/>
      <c r="BB308" s="176"/>
      <c r="BC308" s="176"/>
      <c r="BD308" s="176"/>
      <c r="BE308" s="176"/>
      <c r="BF308" s="176"/>
      <c r="BG308" s="176"/>
      <c r="BH308" s="176"/>
      <c r="BI308" s="176"/>
      <c r="BJ308" s="176"/>
      <c r="BK308" s="176"/>
      <c r="BL308" s="176"/>
      <c r="BM308" s="176"/>
      <c r="BN308" s="176"/>
      <c r="BO308" s="176"/>
    </row>
    <row r="309" spans="1:67" s="36" customFormat="1" ht="10.5" customHeight="1" x14ac:dyDescent="0.2">
      <c r="A309" s="1055"/>
      <c r="B309" s="2594"/>
      <c r="C309" s="2595"/>
      <c r="D309" s="2596"/>
      <c r="E309" s="2395"/>
      <c r="F309" s="2396"/>
      <c r="G309" s="2590"/>
      <c r="H309" s="2591"/>
      <c r="I309" s="1081">
        <f t="shared" si="72"/>
        <v>0</v>
      </c>
      <c r="J309" s="1082">
        <f t="shared" si="73"/>
        <v>0</v>
      </c>
      <c r="K309" s="2588"/>
      <c r="L309" s="2589"/>
      <c r="M309" s="1086">
        <f t="shared" si="74"/>
        <v>0</v>
      </c>
      <c r="N309" s="505"/>
      <c r="O309" s="365">
        <f t="shared" si="75"/>
        <v>0</v>
      </c>
      <c r="P309" s="366"/>
      <c r="Q309" s="135"/>
      <c r="R309" s="136"/>
      <c r="S309" s="129"/>
      <c r="T309" s="129"/>
      <c r="U309" s="129"/>
      <c r="V309" s="129"/>
      <c r="W309" s="129"/>
      <c r="X309" s="129"/>
      <c r="Y309" s="129"/>
      <c r="Z309" s="133"/>
      <c r="AA309" s="133"/>
      <c r="AB309" s="133"/>
      <c r="AC309" s="133"/>
      <c r="AD309" s="133"/>
      <c r="AE309" s="133"/>
      <c r="AF309" s="222"/>
      <c r="AG309" s="222"/>
      <c r="AH309" s="222"/>
      <c r="AI309" s="176"/>
      <c r="AJ309" s="176"/>
      <c r="AK309" s="176"/>
      <c r="AL309" s="176"/>
      <c r="AM309" s="176"/>
      <c r="AN309" s="176"/>
      <c r="AO309" s="176"/>
      <c r="AP309" s="176"/>
      <c r="AQ309" s="176"/>
      <c r="AR309" s="176"/>
      <c r="AS309" s="176"/>
      <c r="AT309" s="176"/>
      <c r="AU309" s="176"/>
      <c r="AV309" s="176"/>
      <c r="AW309" s="176"/>
      <c r="AX309" s="176"/>
      <c r="AY309" s="176"/>
      <c r="AZ309" s="176"/>
      <c r="BA309" s="176"/>
      <c r="BB309" s="176"/>
      <c r="BC309" s="176"/>
      <c r="BD309" s="176"/>
      <c r="BE309" s="176"/>
      <c r="BF309" s="176"/>
      <c r="BG309" s="176"/>
      <c r="BH309" s="176"/>
      <c r="BI309" s="176"/>
      <c r="BJ309" s="176"/>
      <c r="BK309" s="176"/>
      <c r="BL309" s="176"/>
      <c r="BM309" s="176"/>
      <c r="BN309" s="176"/>
      <c r="BO309" s="176"/>
    </row>
    <row r="310" spans="1:67" s="36" customFormat="1" ht="10.5" customHeight="1" x14ac:dyDescent="0.2">
      <c r="A310" s="1055"/>
      <c r="B310" s="2594"/>
      <c r="C310" s="2595"/>
      <c r="D310" s="2596"/>
      <c r="E310" s="2395"/>
      <c r="F310" s="2396"/>
      <c r="G310" s="2590"/>
      <c r="H310" s="2591"/>
      <c r="I310" s="1081">
        <f t="shared" si="72"/>
        <v>0</v>
      </c>
      <c r="J310" s="1082">
        <f t="shared" si="73"/>
        <v>0</v>
      </c>
      <c r="K310" s="2588"/>
      <c r="L310" s="2589"/>
      <c r="M310" s="1086">
        <f t="shared" si="74"/>
        <v>0</v>
      </c>
      <c r="N310" s="505"/>
      <c r="O310" s="365">
        <f t="shared" si="75"/>
        <v>0</v>
      </c>
      <c r="P310" s="366"/>
      <c r="Q310" s="135"/>
      <c r="R310" s="136"/>
      <c r="S310" s="129"/>
      <c r="T310" s="129"/>
      <c r="U310" s="129"/>
      <c r="V310" s="129"/>
      <c r="W310" s="129"/>
      <c r="X310" s="129"/>
      <c r="Y310" s="129"/>
      <c r="Z310" s="133"/>
      <c r="AA310" s="133"/>
      <c r="AB310" s="133"/>
      <c r="AC310" s="133"/>
      <c r="AD310" s="133"/>
      <c r="AE310" s="133"/>
      <c r="AF310" s="222"/>
      <c r="AG310" s="222"/>
      <c r="AH310" s="222"/>
      <c r="AI310" s="176"/>
      <c r="AJ310" s="176"/>
      <c r="AK310" s="176"/>
      <c r="AL310" s="176"/>
      <c r="AM310" s="176"/>
      <c r="AN310" s="176"/>
      <c r="AO310" s="176"/>
      <c r="AP310" s="176"/>
      <c r="AQ310" s="176"/>
      <c r="AR310" s="176"/>
      <c r="AS310" s="176"/>
      <c r="AT310" s="176"/>
      <c r="AU310" s="176"/>
      <c r="AV310" s="176"/>
      <c r="AW310" s="176"/>
      <c r="AX310" s="176"/>
      <c r="AY310" s="176"/>
      <c r="AZ310" s="176"/>
      <c r="BA310" s="176"/>
      <c r="BB310" s="176"/>
      <c r="BC310" s="176"/>
      <c r="BD310" s="176"/>
      <c r="BE310" s="176"/>
      <c r="BF310" s="176"/>
      <c r="BG310" s="176"/>
      <c r="BH310" s="176"/>
      <c r="BI310" s="176"/>
      <c r="BJ310" s="176"/>
      <c r="BK310" s="176"/>
      <c r="BL310" s="176"/>
      <c r="BM310" s="176"/>
      <c r="BN310" s="176"/>
      <c r="BO310" s="176"/>
    </row>
    <row r="311" spans="1:67" s="36" customFormat="1" ht="10.5" customHeight="1" x14ac:dyDescent="0.2">
      <c r="A311" s="1348"/>
      <c r="B311" s="2690"/>
      <c r="C311" s="2691"/>
      <c r="D311" s="2692"/>
      <c r="E311" s="2601"/>
      <c r="F311" s="2602"/>
      <c r="G311" s="1088"/>
      <c r="H311" s="1089"/>
      <c r="I311" s="1083">
        <f t="shared" si="72"/>
        <v>0</v>
      </c>
      <c r="J311" s="1084"/>
      <c r="K311" s="1087"/>
      <c r="L311" s="1307"/>
      <c r="M311" s="1317">
        <f t="shared" si="74"/>
        <v>0</v>
      </c>
      <c r="N311" s="505"/>
      <c r="O311" s="365">
        <f t="shared" si="75"/>
        <v>0</v>
      </c>
      <c r="P311" s="366"/>
      <c r="Q311" s="135"/>
      <c r="R311" s="136"/>
      <c r="S311" s="129"/>
      <c r="T311" s="129"/>
      <c r="U311" s="129"/>
      <c r="V311" s="129"/>
      <c r="W311" s="129"/>
      <c r="X311" s="129"/>
      <c r="Y311" s="129"/>
      <c r="Z311" s="133"/>
      <c r="AA311" s="133"/>
      <c r="AB311" s="133"/>
      <c r="AC311" s="133"/>
      <c r="AD311" s="133"/>
      <c r="AE311" s="133"/>
      <c r="AF311" s="222"/>
      <c r="AG311" s="222"/>
      <c r="AH311" s="222"/>
      <c r="AI311" s="176"/>
      <c r="AJ311" s="176"/>
      <c r="AK311" s="176"/>
      <c r="AL311" s="176"/>
      <c r="AM311" s="176"/>
      <c r="AN311" s="176"/>
      <c r="AO311" s="176"/>
      <c r="AP311" s="176"/>
      <c r="AQ311" s="176"/>
      <c r="AR311" s="176"/>
      <c r="AS311" s="176"/>
      <c r="AT311" s="176"/>
      <c r="AU311" s="176"/>
      <c r="AV311" s="176"/>
      <c r="AW311" s="176"/>
      <c r="AX311" s="176"/>
      <c r="AY311" s="176"/>
      <c r="AZ311" s="176"/>
      <c r="BA311" s="176"/>
      <c r="BB311" s="176"/>
      <c r="BC311" s="176"/>
      <c r="BD311" s="176"/>
      <c r="BE311" s="176"/>
      <c r="BF311" s="176"/>
      <c r="BG311" s="176"/>
      <c r="BH311" s="176"/>
      <c r="BI311" s="176"/>
      <c r="BJ311" s="176"/>
      <c r="BK311" s="176"/>
      <c r="BL311" s="176"/>
      <c r="BM311" s="176"/>
      <c r="BN311" s="176"/>
      <c r="BO311" s="176"/>
    </row>
    <row r="312" spans="1:67" s="36" customFormat="1" ht="10.5" customHeight="1" x14ac:dyDescent="0.2">
      <c r="A312" s="1345" t="s">
        <v>365</v>
      </c>
      <c r="B312" s="2603"/>
      <c r="C312" s="2604"/>
      <c r="D312" s="2605"/>
      <c r="E312" s="2730">
        <f>SUM(E313:E325)</f>
        <v>0</v>
      </c>
      <c r="F312" s="2731"/>
      <c r="G312" s="2732"/>
      <c r="H312" s="2733"/>
      <c r="I312" s="1121">
        <f>IF(E312=0,0,J312/E312)</f>
        <v>0</v>
      </c>
      <c r="J312" s="1346">
        <f>SUM(J313:J325)</f>
        <v>0</v>
      </c>
      <c r="K312" s="2734">
        <f>IF(E312=0,0,M312/E312*100)</f>
        <v>0</v>
      </c>
      <c r="L312" s="2736"/>
      <c r="M312" s="1347">
        <f>SUM(M313:M325)</f>
        <v>0</v>
      </c>
      <c r="N312" s="505"/>
      <c r="O312" s="178">
        <f>IF(H312="",G312,H312)</f>
        <v>0</v>
      </c>
      <c r="P312" s="366"/>
      <c r="Q312" s="135"/>
      <c r="R312" s="136"/>
      <c r="S312" s="129"/>
      <c r="T312" s="129"/>
      <c r="U312" s="129"/>
      <c r="V312" s="129"/>
      <c r="W312" s="129"/>
      <c r="X312" s="129"/>
      <c r="Y312" s="129"/>
      <c r="Z312" s="133"/>
      <c r="AA312" s="133"/>
      <c r="AB312" s="133"/>
      <c r="AC312" s="133"/>
      <c r="AD312" s="133"/>
      <c r="AE312" s="133"/>
      <c r="AF312" s="222"/>
      <c r="AG312" s="222"/>
      <c r="AH312" s="222"/>
      <c r="AI312" s="176"/>
      <c r="AJ312" s="176"/>
      <c r="AK312" s="176"/>
      <c r="AL312" s="176"/>
      <c r="AM312" s="176"/>
      <c r="AN312" s="176"/>
      <c r="AO312" s="176"/>
      <c r="AP312" s="176"/>
      <c r="AQ312" s="176"/>
      <c r="AR312" s="176"/>
      <c r="AS312" s="176"/>
      <c r="AT312" s="176"/>
      <c r="AU312" s="176"/>
      <c r="AV312" s="176"/>
      <c r="AW312" s="176"/>
      <c r="AX312" s="176"/>
      <c r="AY312" s="176"/>
      <c r="AZ312" s="176"/>
      <c r="BA312" s="176"/>
      <c r="BB312" s="176"/>
      <c r="BC312" s="176"/>
      <c r="BD312" s="176"/>
      <c r="BE312" s="176"/>
      <c r="BF312" s="176"/>
      <c r="BG312" s="176"/>
      <c r="BH312" s="176"/>
      <c r="BI312" s="176"/>
      <c r="BJ312" s="176"/>
      <c r="BK312" s="176"/>
      <c r="BL312" s="176"/>
      <c r="BM312" s="176"/>
      <c r="BN312" s="176"/>
      <c r="BO312" s="176"/>
    </row>
    <row r="313" spans="1:67" s="36" customFormat="1" ht="10.5" customHeight="1" x14ac:dyDescent="0.2">
      <c r="A313" s="1042" t="s">
        <v>366</v>
      </c>
      <c r="B313" s="2624"/>
      <c r="C313" s="2625"/>
      <c r="D313" s="2626"/>
      <c r="E313" s="2386"/>
      <c r="F313" s="2387"/>
      <c r="G313" s="1056">
        <v>15</v>
      </c>
      <c r="H313" s="1057"/>
      <c r="I313" s="1079">
        <f t="shared" ref="I313:I326" si="76">IF($O313&gt;0,-PMT(($I$9),$O313,1),0)</f>
        <v>7.9288524964265278E-2</v>
      </c>
      <c r="J313" s="1080">
        <f t="shared" ref="J313:J325" si="77">ROUND(E313*I313,0)</f>
        <v>0</v>
      </c>
      <c r="K313" s="1060"/>
      <c r="L313" s="1304"/>
      <c r="M313" s="1085">
        <f t="shared" ref="M313:M326" si="78">ROUND(E313/100*IF(ISBLANK(L313),K313,L313),0)</f>
        <v>0</v>
      </c>
      <c r="N313" s="505"/>
      <c r="O313" s="365">
        <f t="shared" ref="O313:O326" si="79">IF(ISBLANK(H313),G313,H313)</f>
        <v>15</v>
      </c>
      <c r="P313" s="366"/>
      <c r="Q313" s="135"/>
      <c r="R313" s="136"/>
      <c r="S313" s="129"/>
      <c r="T313" s="129"/>
      <c r="U313" s="129"/>
      <c r="V313" s="129"/>
      <c r="W313" s="129"/>
      <c r="X313" s="129"/>
      <c r="Y313" s="129"/>
      <c r="Z313" s="133"/>
      <c r="AA313" s="133"/>
      <c r="AB313" s="133"/>
      <c r="AC313" s="133"/>
      <c r="AD313" s="133"/>
      <c r="AE313" s="133"/>
      <c r="AF313" s="222"/>
      <c r="AG313" s="222"/>
      <c r="AH313" s="222"/>
      <c r="AI313" s="176"/>
      <c r="AJ313" s="176"/>
      <c r="AK313" s="176"/>
      <c r="AL313" s="176"/>
      <c r="AM313" s="176"/>
      <c r="AN313" s="176"/>
      <c r="AO313" s="176"/>
      <c r="AP313" s="176"/>
      <c r="AQ313" s="176"/>
      <c r="AR313" s="176"/>
      <c r="AS313" s="176"/>
      <c r="AT313" s="176"/>
      <c r="AU313" s="176"/>
      <c r="AV313" s="176"/>
      <c r="AW313" s="176"/>
      <c r="AX313" s="176"/>
      <c r="AY313" s="176"/>
      <c r="AZ313" s="176"/>
      <c r="BA313" s="176"/>
      <c r="BB313" s="176"/>
      <c r="BC313" s="176"/>
      <c r="BD313" s="176"/>
      <c r="BE313" s="176"/>
      <c r="BF313" s="176"/>
      <c r="BG313" s="176"/>
      <c r="BH313" s="176"/>
      <c r="BI313" s="176"/>
      <c r="BJ313" s="176"/>
      <c r="BK313" s="176"/>
      <c r="BL313" s="176"/>
      <c r="BM313" s="176"/>
      <c r="BN313" s="176"/>
      <c r="BO313" s="176"/>
    </row>
    <row r="314" spans="1:67" s="36" customFormat="1" ht="10.5" customHeight="1" x14ac:dyDescent="0.2">
      <c r="A314" s="1043" t="s">
        <v>367</v>
      </c>
      <c r="B314" s="2594"/>
      <c r="C314" s="2595"/>
      <c r="D314" s="2596"/>
      <c r="E314" s="2395"/>
      <c r="F314" s="2396"/>
      <c r="G314" s="1058">
        <v>15</v>
      </c>
      <c r="H314" s="1059"/>
      <c r="I314" s="1081">
        <f t="shared" si="76"/>
        <v>7.9288524964265278E-2</v>
      </c>
      <c r="J314" s="1082">
        <f t="shared" si="77"/>
        <v>0</v>
      </c>
      <c r="K314" s="1061">
        <v>0.5</v>
      </c>
      <c r="L314" s="1305"/>
      <c r="M314" s="1086">
        <f t="shared" si="78"/>
        <v>0</v>
      </c>
      <c r="N314" s="505"/>
      <c r="O314" s="365">
        <f t="shared" si="79"/>
        <v>15</v>
      </c>
      <c r="P314" s="366"/>
      <c r="Q314" s="135"/>
      <c r="R314" s="136"/>
      <c r="S314" s="129"/>
      <c r="T314" s="129"/>
      <c r="U314" s="129"/>
      <c r="V314" s="129"/>
      <c r="W314" s="129"/>
      <c r="X314" s="129"/>
      <c r="Y314" s="129"/>
      <c r="Z314" s="133"/>
      <c r="AA314" s="133"/>
      <c r="AB314" s="133"/>
      <c r="AC314" s="133"/>
      <c r="AD314" s="133"/>
      <c r="AE314" s="133"/>
      <c r="AF314" s="222"/>
      <c r="AG314" s="222"/>
      <c r="AH314" s="222"/>
      <c r="AI314" s="176"/>
      <c r="AJ314" s="176"/>
      <c r="AK314" s="176"/>
      <c r="AL314" s="176"/>
      <c r="AM314" s="176"/>
      <c r="AN314" s="176"/>
      <c r="AO314" s="176"/>
      <c r="AP314" s="176"/>
      <c r="AQ314" s="176"/>
      <c r="AR314" s="176"/>
      <c r="AS314" s="176"/>
      <c r="AT314" s="176"/>
      <c r="AU314" s="176"/>
      <c r="AV314" s="176"/>
      <c r="AW314" s="176"/>
      <c r="AX314" s="176"/>
      <c r="AY314" s="176"/>
      <c r="AZ314" s="176"/>
      <c r="BA314" s="176"/>
      <c r="BB314" s="176"/>
      <c r="BC314" s="176"/>
      <c r="BD314" s="176"/>
      <c r="BE314" s="176"/>
      <c r="BF314" s="176"/>
      <c r="BG314" s="176"/>
      <c r="BH314" s="176"/>
      <c r="BI314" s="176"/>
      <c r="BJ314" s="176"/>
      <c r="BK314" s="176"/>
      <c r="BL314" s="176"/>
      <c r="BM314" s="176"/>
      <c r="BN314" s="176"/>
      <c r="BO314" s="176"/>
    </row>
    <row r="315" spans="1:67" s="36" customFormat="1" ht="10.5" customHeight="1" x14ac:dyDescent="0.2">
      <c r="A315" s="1043" t="s">
        <v>368</v>
      </c>
      <c r="B315" s="2594"/>
      <c r="C315" s="2595"/>
      <c r="D315" s="2596"/>
      <c r="E315" s="2395"/>
      <c r="F315" s="2396"/>
      <c r="G315" s="1058">
        <v>15</v>
      </c>
      <c r="H315" s="1059"/>
      <c r="I315" s="1081">
        <f t="shared" si="76"/>
        <v>7.9288524964265278E-2</v>
      </c>
      <c r="J315" s="1082">
        <f t="shared" si="77"/>
        <v>0</v>
      </c>
      <c r="K315" s="1061"/>
      <c r="L315" s="1305"/>
      <c r="M315" s="1086">
        <f t="shared" si="78"/>
        <v>0</v>
      </c>
      <c r="N315" s="505"/>
      <c r="O315" s="365">
        <f t="shared" si="79"/>
        <v>15</v>
      </c>
      <c r="P315" s="366"/>
      <c r="Q315" s="135"/>
      <c r="R315" s="136"/>
      <c r="S315" s="129"/>
      <c r="T315" s="129"/>
      <c r="U315" s="129"/>
      <c r="V315" s="129"/>
      <c r="W315" s="129"/>
      <c r="X315" s="129"/>
      <c r="Y315" s="129"/>
      <c r="Z315" s="133"/>
      <c r="AA315" s="133"/>
      <c r="AB315" s="133"/>
      <c r="AC315" s="133"/>
      <c r="AD315" s="133"/>
      <c r="AE315" s="133"/>
      <c r="AF315" s="222"/>
      <c r="AG315" s="222"/>
      <c r="AH315" s="222"/>
      <c r="AI315" s="176"/>
      <c r="AJ315" s="176"/>
      <c r="AK315" s="176"/>
      <c r="AL315" s="176"/>
      <c r="AM315" s="176"/>
      <c r="AN315" s="176"/>
      <c r="AO315" s="176"/>
      <c r="AP315" s="176"/>
      <c r="AQ315" s="176"/>
      <c r="AR315" s="176"/>
      <c r="AS315" s="176"/>
      <c r="AT315" s="176"/>
      <c r="AU315" s="176"/>
      <c r="AV315" s="176"/>
      <c r="AW315" s="176"/>
      <c r="AX315" s="176"/>
      <c r="AY315" s="176"/>
      <c r="AZ315" s="176"/>
      <c r="BA315" s="176"/>
      <c r="BB315" s="176"/>
      <c r="BC315" s="176"/>
      <c r="BD315" s="176"/>
      <c r="BE315" s="176"/>
      <c r="BF315" s="176"/>
      <c r="BG315" s="176"/>
      <c r="BH315" s="176"/>
      <c r="BI315" s="176"/>
      <c r="BJ315" s="176"/>
      <c r="BK315" s="176"/>
      <c r="BL315" s="176"/>
      <c r="BM315" s="176"/>
      <c r="BN315" s="176"/>
      <c r="BO315" s="176"/>
    </row>
    <row r="316" spans="1:67" s="36" customFormat="1" ht="10.5" customHeight="1" x14ac:dyDescent="0.2">
      <c r="A316" s="1043" t="s">
        <v>369</v>
      </c>
      <c r="B316" s="2594"/>
      <c r="C316" s="2595"/>
      <c r="D316" s="2596"/>
      <c r="E316" s="2395"/>
      <c r="F316" s="2396"/>
      <c r="G316" s="1058">
        <v>30</v>
      </c>
      <c r="H316" s="1059"/>
      <c r="I316" s="1081">
        <f t="shared" si="76"/>
        <v>4.6199342169092869E-2</v>
      </c>
      <c r="J316" s="1082">
        <f t="shared" si="77"/>
        <v>0</v>
      </c>
      <c r="K316" s="1061">
        <v>0.5</v>
      </c>
      <c r="L316" s="1305"/>
      <c r="M316" s="1086">
        <f t="shared" si="78"/>
        <v>0</v>
      </c>
      <c r="N316" s="505"/>
      <c r="O316" s="365">
        <f t="shared" si="79"/>
        <v>30</v>
      </c>
      <c r="P316" s="366"/>
      <c r="Q316" s="135"/>
      <c r="R316" s="136"/>
      <c r="S316" s="129"/>
      <c r="T316" s="129"/>
      <c r="U316" s="129"/>
      <c r="V316" s="129"/>
      <c r="W316" s="129"/>
      <c r="X316" s="129"/>
      <c r="Y316" s="129"/>
      <c r="Z316" s="133"/>
      <c r="AA316" s="133"/>
      <c r="AB316" s="133"/>
      <c r="AC316" s="133"/>
      <c r="AD316" s="133"/>
      <c r="AE316" s="133"/>
      <c r="AF316" s="222"/>
      <c r="AG316" s="222"/>
      <c r="AH316" s="222"/>
      <c r="AI316" s="176"/>
      <c r="AJ316" s="176"/>
      <c r="AK316" s="176"/>
      <c r="AL316" s="176"/>
      <c r="AM316" s="176"/>
      <c r="AN316" s="176"/>
      <c r="AO316" s="176"/>
      <c r="AP316" s="176"/>
      <c r="AQ316" s="176"/>
      <c r="AR316" s="176"/>
      <c r="AS316" s="176"/>
      <c r="AT316" s="176"/>
      <c r="AU316" s="176"/>
      <c r="AV316" s="176"/>
      <c r="AW316" s="176"/>
      <c r="AX316" s="176"/>
      <c r="AY316" s="176"/>
      <c r="AZ316" s="176"/>
      <c r="BA316" s="176"/>
      <c r="BB316" s="176"/>
      <c r="BC316" s="176"/>
      <c r="BD316" s="176"/>
      <c r="BE316" s="176"/>
      <c r="BF316" s="176"/>
      <c r="BG316" s="176"/>
      <c r="BH316" s="176"/>
      <c r="BI316" s="176"/>
      <c r="BJ316" s="176"/>
      <c r="BK316" s="176"/>
      <c r="BL316" s="176"/>
      <c r="BM316" s="176"/>
      <c r="BN316" s="176"/>
      <c r="BO316" s="176"/>
    </row>
    <row r="317" spans="1:67" s="36" customFormat="1" ht="10.5" customHeight="1" x14ac:dyDescent="0.2">
      <c r="A317" s="1055"/>
      <c r="B317" s="2594"/>
      <c r="C317" s="2595"/>
      <c r="D317" s="2596"/>
      <c r="E317" s="2395"/>
      <c r="F317" s="2396"/>
      <c r="G317" s="2590"/>
      <c r="H317" s="2591"/>
      <c r="I317" s="1081">
        <f t="shared" si="76"/>
        <v>0</v>
      </c>
      <c r="J317" s="1082">
        <f t="shared" si="77"/>
        <v>0</v>
      </c>
      <c r="K317" s="2588"/>
      <c r="L317" s="2589"/>
      <c r="M317" s="1086">
        <f t="shared" si="78"/>
        <v>0</v>
      </c>
      <c r="N317" s="505"/>
      <c r="O317" s="365">
        <f t="shared" si="79"/>
        <v>0</v>
      </c>
      <c r="P317" s="366"/>
      <c r="Q317" s="135"/>
      <c r="R317" s="136"/>
      <c r="S317" s="129"/>
      <c r="T317" s="129"/>
      <c r="U317" s="129"/>
      <c r="V317" s="129"/>
      <c r="W317" s="129"/>
      <c r="X317" s="129"/>
      <c r="Y317" s="129"/>
      <c r="Z317" s="133"/>
      <c r="AA317" s="133"/>
      <c r="AB317" s="133"/>
      <c r="AC317" s="133"/>
      <c r="AD317" s="133"/>
      <c r="AE317" s="133"/>
      <c r="AF317" s="222"/>
      <c r="AG317" s="222"/>
      <c r="AH317" s="222"/>
      <c r="AI317" s="176"/>
      <c r="AJ317" s="176"/>
      <c r="AK317" s="176"/>
      <c r="AL317" s="176"/>
      <c r="AM317" s="176"/>
      <c r="AN317" s="176"/>
      <c r="AO317" s="176"/>
      <c r="AP317" s="176"/>
      <c r="AQ317" s="176"/>
      <c r="AR317" s="176"/>
      <c r="AS317" s="176"/>
      <c r="AT317" s="176"/>
      <c r="AU317" s="176"/>
      <c r="AV317" s="176"/>
      <c r="AW317" s="176"/>
      <c r="AX317" s="176"/>
      <c r="AY317" s="176"/>
      <c r="AZ317" s="176"/>
      <c r="BA317" s="176"/>
      <c r="BB317" s="176"/>
      <c r="BC317" s="176"/>
      <c r="BD317" s="176"/>
      <c r="BE317" s="176"/>
      <c r="BF317" s="176"/>
      <c r="BG317" s="176"/>
      <c r="BH317" s="176"/>
      <c r="BI317" s="176"/>
      <c r="BJ317" s="176"/>
      <c r="BK317" s="176"/>
      <c r="BL317" s="176"/>
      <c r="BM317" s="176"/>
      <c r="BN317" s="176"/>
      <c r="BO317" s="176"/>
    </row>
    <row r="318" spans="1:67" s="36" customFormat="1" ht="10.5" customHeight="1" x14ac:dyDescent="0.2">
      <c r="A318" s="1055"/>
      <c r="B318" s="2594"/>
      <c r="C318" s="2595"/>
      <c r="D318" s="2596"/>
      <c r="E318" s="2395"/>
      <c r="F318" s="2396"/>
      <c r="G318" s="2590"/>
      <c r="H318" s="2591"/>
      <c r="I318" s="1081">
        <f t="shared" si="76"/>
        <v>0</v>
      </c>
      <c r="J318" s="1082">
        <f t="shared" si="77"/>
        <v>0</v>
      </c>
      <c r="K318" s="2588"/>
      <c r="L318" s="2589"/>
      <c r="M318" s="1086">
        <f t="shared" si="78"/>
        <v>0</v>
      </c>
      <c r="N318" s="505"/>
      <c r="O318" s="365">
        <f t="shared" si="79"/>
        <v>0</v>
      </c>
      <c r="P318" s="366"/>
      <c r="Q318" s="135"/>
      <c r="R318" s="136"/>
      <c r="S318" s="129"/>
      <c r="T318" s="129"/>
      <c r="U318" s="129"/>
      <c r="V318" s="129"/>
      <c r="W318" s="129"/>
      <c r="X318" s="129"/>
      <c r="Y318" s="129"/>
      <c r="Z318" s="133"/>
      <c r="AA318" s="133"/>
      <c r="AB318" s="133"/>
      <c r="AC318" s="133"/>
      <c r="AD318" s="133"/>
      <c r="AE318" s="133"/>
      <c r="AF318" s="222"/>
      <c r="AG318" s="222"/>
      <c r="AH318" s="222"/>
      <c r="AI318" s="176"/>
      <c r="AJ318" s="176"/>
      <c r="AK318" s="176"/>
      <c r="AL318" s="176"/>
      <c r="AM318" s="176"/>
      <c r="AN318" s="176"/>
      <c r="AO318" s="176"/>
      <c r="AP318" s="176"/>
      <c r="AQ318" s="176"/>
      <c r="AR318" s="176"/>
      <c r="AS318" s="176"/>
      <c r="AT318" s="176"/>
      <c r="AU318" s="176"/>
      <c r="AV318" s="176"/>
      <c r="AW318" s="176"/>
      <c r="AX318" s="176"/>
      <c r="AY318" s="176"/>
      <c r="AZ318" s="176"/>
      <c r="BA318" s="176"/>
      <c r="BB318" s="176"/>
      <c r="BC318" s="176"/>
      <c r="BD318" s="176"/>
      <c r="BE318" s="176"/>
      <c r="BF318" s="176"/>
      <c r="BG318" s="176"/>
      <c r="BH318" s="176"/>
      <c r="BI318" s="176"/>
      <c r="BJ318" s="176"/>
      <c r="BK318" s="176"/>
      <c r="BL318" s="176"/>
      <c r="BM318" s="176"/>
      <c r="BN318" s="176"/>
      <c r="BO318" s="176"/>
    </row>
    <row r="319" spans="1:67" s="36" customFormat="1" ht="10.5" customHeight="1" x14ac:dyDescent="0.2">
      <c r="A319" s="1055"/>
      <c r="B319" s="2594"/>
      <c r="C319" s="2595"/>
      <c r="D319" s="2596"/>
      <c r="E319" s="2395"/>
      <c r="F319" s="2396"/>
      <c r="G319" s="2590"/>
      <c r="H319" s="2591"/>
      <c r="I319" s="1081">
        <f t="shared" si="76"/>
        <v>0</v>
      </c>
      <c r="J319" s="1082">
        <f t="shared" si="77"/>
        <v>0</v>
      </c>
      <c r="K319" s="2588"/>
      <c r="L319" s="2589"/>
      <c r="M319" s="1086">
        <f t="shared" si="78"/>
        <v>0</v>
      </c>
      <c r="N319" s="505"/>
      <c r="O319" s="365">
        <f t="shared" si="79"/>
        <v>0</v>
      </c>
      <c r="P319" s="366"/>
      <c r="Q319" s="135"/>
      <c r="R319" s="136"/>
      <c r="S319" s="129"/>
      <c r="T319" s="129"/>
      <c r="U319" s="129"/>
      <c r="V319" s="129"/>
      <c r="W319" s="129"/>
      <c r="X319" s="129"/>
      <c r="Y319" s="129"/>
      <c r="Z319" s="133"/>
      <c r="AA319" s="133"/>
      <c r="AB319" s="133"/>
      <c r="AC319" s="133"/>
      <c r="AD319" s="133"/>
      <c r="AE319" s="133"/>
      <c r="AF319" s="222"/>
      <c r="AG319" s="222"/>
      <c r="AH319" s="222"/>
      <c r="AI319" s="176"/>
      <c r="AJ319" s="176"/>
      <c r="AK319" s="176"/>
      <c r="AL319" s="176"/>
      <c r="AM319" s="176"/>
      <c r="AN319" s="176"/>
      <c r="AO319" s="176"/>
      <c r="AP319" s="176"/>
      <c r="AQ319" s="176"/>
      <c r="AR319" s="176"/>
      <c r="AS319" s="176"/>
      <c r="AT319" s="176"/>
      <c r="AU319" s="176"/>
      <c r="AV319" s="176"/>
      <c r="AW319" s="176"/>
      <c r="AX319" s="176"/>
      <c r="AY319" s="176"/>
      <c r="AZ319" s="176"/>
      <c r="BA319" s="176"/>
      <c r="BB319" s="176"/>
      <c r="BC319" s="176"/>
      <c r="BD319" s="176"/>
      <c r="BE319" s="176"/>
      <c r="BF319" s="176"/>
      <c r="BG319" s="176"/>
      <c r="BH319" s="176"/>
      <c r="BI319" s="176"/>
      <c r="BJ319" s="176"/>
      <c r="BK319" s="176"/>
      <c r="BL319" s="176"/>
      <c r="BM319" s="176"/>
      <c r="BN319" s="176"/>
      <c r="BO319" s="176"/>
    </row>
    <row r="320" spans="1:67" s="36" customFormat="1" ht="10.5" customHeight="1" x14ac:dyDescent="0.2">
      <c r="A320" s="1055"/>
      <c r="B320" s="2594"/>
      <c r="C320" s="2595"/>
      <c r="D320" s="2596"/>
      <c r="E320" s="2395"/>
      <c r="F320" s="2396"/>
      <c r="G320" s="2590"/>
      <c r="H320" s="2591"/>
      <c r="I320" s="1081">
        <f t="shared" si="76"/>
        <v>0</v>
      </c>
      <c r="J320" s="1082">
        <f t="shared" si="77"/>
        <v>0</v>
      </c>
      <c r="K320" s="2588"/>
      <c r="L320" s="2589"/>
      <c r="M320" s="1086">
        <f t="shared" si="78"/>
        <v>0</v>
      </c>
      <c r="N320" s="505"/>
      <c r="O320" s="365">
        <f t="shared" si="79"/>
        <v>0</v>
      </c>
      <c r="P320" s="366"/>
      <c r="Q320" s="135"/>
      <c r="R320" s="136"/>
      <c r="S320" s="129"/>
      <c r="T320" s="129"/>
      <c r="U320" s="129"/>
      <c r="V320" s="129"/>
      <c r="W320" s="129"/>
      <c r="X320" s="129"/>
      <c r="Y320" s="129"/>
      <c r="Z320" s="133"/>
      <c r="AA320" s="133"/>
      <c r="AB320" s="133"/>
      <c r="AC320" s="133"/>
      <c r="AD320" s="133"/>
      <c r="AE320" s="133"/>
      <c r="AF320" s="222"/>
      <c r="AG320" s="222"/>
      <c r="AH320" s="222"/>
      <c r="AI320" s="176"/>
      <c r="AJ320" s="176"/>
      <c r="AK320" s="176"/>
      <c r="AL320" s="176"/>
      <c r="AM320" s="176"/>
      <c r="AN320" s="176"/>
      <c r="AO320" s="176"/>
      <c r="AP320" s="176"/>
      <c r="AQ320" s="176"/>
      <c r="AR320" s="176"/>
      <c r="AS320" s="176"/>
      <c r="AT320" s="176"/>
      <c r="AU320" s="176"/>
      <c r="AV320" s="176"/>
      <c r="AW320" s="176"/>
      <c r="AX320" s="176"/>
      <c r="AY320" s="176"/>
      <c r="AZ320" s="176"/>
      <c r="BA320" s="176"/>
      <c r="BB320" s="176"/>
      <c r="BC320" s="176"/>
      <c r="BD320" s="176"/>
      <c r="BE320" s="176"/>
      <c r="BF320" s="176"/>
      <c r="BG320" s="176"/>
      <c r="BH320" s="176"/>
      <c r="BI320" s="176"/>
      <c r="BJ320" s="176"/>
      <c r="BK320" s="176"/>
      <c r="BL320" s="176"/>
      <c r="BM320" s="176"/>
      <c r="BN320" s="176"/>
      <c r="BO320" s="176"/>
    </row>
    <row r="321" spans="1:67" s="36" customFormat="1" ht="10.5" customHeight="1" x14ac:dyDescent="0.2">
      <c r="A321" s="1055"/>
      <c r="B321" s="2594"/>
      <c r="C321" s="2595"/>
      <c r="D321" s="2596"/>
      <c r="E321" s="2395"/>
      <c r="F321" s="2396"/>
      <c r="G321" s="2590"/>
      <c r="H321" s="2591"/>
      <c r="I321" s="1081">
        <f t="shared" si="76"/>
        <v>0</v>
      </c>
      <c r="J321" s="1082">
        <f t="shared" si="77"/>
        <v>0</v>
      </c>
      <c r="K321" s="2588"/>
      <c r="L321" s="2589"/>
      <c r="M321" s="1086">
        <f t="shared" si="78"/>
        <v>0</v>
      </c>
      <c r="N321" s="505"/>
      <c r="O321" s="365">
        <f t="shared" si="79"/>
        <v>0</v>
      </c>
      <c r="P321" s="366"/>
      <c r="Q321" s="135"/>
      <c r="R321" s="136"/>
      <c r="S321" s="129"/>
      <c r="T321" s="129"/>
      <c r="U321" s="129"/>
      <c r="V321" s="129"/>
      <c r="W321" s="129"/>
      <c r="X321" s="129"/>
      <c r="Y321" s="129"/>
      <c r="Z321" s="133"/>
      <c r="AA321" s="133"/>
      <c r="AB321" s="133"/>
      <c r="AC321" s="133"/>
      <c r="AD321" s="133"/>
      <c r="AE321" s="133"/>
      <c r="AF321" s="222"/>
      <c r="AG321" s="222"/>
      <c r="AH321" s="222"/>
      <c r="AI321" s="176"/>
      <c r="AJ321" s="176"/>
      <c r="AK321" s="176"/>
      <c r="AL321" s="176"/>
      <c r="AM321" s="176"/>
      <c r="AN321" s="176"/>
      <c r="AO321" s="176"/>
      <c r="AP321" s="176"/>
      <c r="AQ321" s="176"/>
      <c r="AR321" s="176"/>
      <c r="AS321" s="176"/>
      <c r="AT321" s="176"/>
      <c r="AU321" s="176"/>
      <c r="AV321" s="176"/>
      <c r="AW321" s="176"/>
      <c r="AX321" s="176"/>
      <c r="AY321" s="176"/>
      <c r="AZ321" s="176"/>
      <c r="BA321" s="176"/>
      <c r="BB321" s="176"/>
      <c r="BC321" s="176"/>
      <c r="BD321" s="176"/>
      <c r="BE321" s="176"/>
      <c r="BF321" s="176"/>
      <c r="BG321" s="176"/>
      <c r="BH321" s="176"/>
      <c r="BI321" s="176"/>
      <c r="BJ321" s="176"/>
      <c r="BK321" s="176"/>
      <c r="BL321" s="176"/>
      <c r="BM321" s="176"/>
      <c r="BN321" s="176"/>
      <c r="BO321" s="176"/>
    </row>
    <row r="322" spans="1:67" s="36" customFormat="1" ht="10.5" customHeight="1" x14ac:dyDescent="0.2">
      <c r="A322" s="1055"/>
      <c r="B322" s="2594"/>
      <c r="C322" s="2595"/>
      <c r="D322" s="2596"/>
      <c r="E322" s="2395"/>
      <c r="F322" s="2396"/>
      <c r="G322" s="2590"/>
      <c r="H322" s="2591"/>
      <c r="I322" s="1081">
        <f t="shared" si="76"/>
        <v>0</v>
      </c>
      <c r="J322" s="1082">
        <f t="shared" si="77"/>
        <v>0</v>
      </c>
      <c r="K322" s="2588"/>
      <c r="L322" s="2589"/>
      <c r="M322" s="1086">
        <f t="shared" si="78"/>
        <v>0</v>
      </c>
      <c r="N322" s="505"/>
      <c r="O322" s="365">
        <f t="shared" si="79"/>
        <v>0</v>
      </c>
      <c r="P322" s="366"/>
      <c r="Q322" s="135"/>
      <c r="R322" s="136"/>
      <c r="S322" s="129"/>
      <c r="T322" s="129"/>
      <c r="U322" s="129"/>
      <c r="V322" s="129"/>
      <c r="W322" s="129"/>
      <c r="X322" s="129"/>
      <c r="Y322" s="129"/>
      <c r="Z322" s="133"/>
      <c r="AA322" s="133"/>
      <c r="AB322" s="133"/>
      <c r="AC322" s="133"/>
      <c r="AD322" s="133"/>
      <c r="AE322" s="133"/>
      <c r="AF322" s="222"/>
      <c r="AG322" s="222"/>
      <c r="AH322" s="222"/>
      <c r="AI322" s="176"/>
      <c r="AJ322" s="176"/>
      <c r="AK322" s="176"/>
      <c r="AL322" s="176"/>
      <c r="AM322" s="176"/>
      <c r="AN322" s="176"/>
      <c r="AO322" s="176"/>
      <c r="AP322" s="176"/>
      <c r="AQ322" s="176"/>
      <c r="AR322" s="176"/>
      <c r="AS322" s="176"/>
      <c r="AT322" s="176"/>
      <c r="AU322" s="176"/>
      <c r="AV322" s="176"/>
      <c r="AW322" s="176"/>
      <c r="AX322" s="176"/>
      <c r="AY322" s="176"/>
      <c r="AZ322" s="176"/>
      <c r="BA322" s="176"/>
      <c r="BB322" s="176"/>
      <c r="BC322" s="176"/>
      <c r="BD322" s="176"/>
      <c r="BE322" s="176"/>
      <c r="BF322" s="176"/>
      <c r="BG322" s="176"/>
      <c r="BH322" s="176"/>
      <c r="BI322" s="176"/>
      <c r="BJ322" s="176"/>
      <c r="BK322" s="176"/>
      <c r="BL322" s="176"/>
      <c r="BM322" s="176"/>
      <c r="BN322" s="176"/>
      <c r="BO322" s="176"/>
    </row>
    <row r="323" spans="1:67" s="36" customFormat="1" ht="10.5" customHeight="1" x14ac:dyDescent="0.2">
      <c r="A323" s="1055"/>
      <c r="B323" s="2594"/>
      <c r="C323" s="2595"/>
      <c r="D323" s="2596"/>
      <c r="E323" s="2395"/>
      <c r="F323" s="2396"/>
      <c r="G323" s="2590"/>
      <c r="H323" s="2591"/>
      <c r="I323" s="1081">
        <f t="shared" si="76"/>
        <v>0</v>
      </c>
      <c r="J323" s="1082">
        <f t="shared" si="77"/>
        <v>0</v>
      </c>
      <c r="K323" s="2588"/>
      <c r="L323" s="2589"/>
      <c r="M323" s="1086">
        <f t="shared" si="78"/>
        <v>0</v>
      </c>
      <c r="N323" s="505"/>
      <c r="O323" s="365">
        <f t="shared" si="79"/>
        <v>0</v>
      </c>
      <c r="P323" s="366"/>
      <c r="Q323" s="135"/>
      <c r="R323" s="136"/>
      <c r="S323" s="129"/>
      <c r="T323" s="129"/>
      <c r="U323" s="129"/>
      <c r="V323" s="129"/>
      <c r="W323" s="129"/>
      <c r="X323" s="129"/>
      <c r="Y323" s="129"/>
      <c r="Z323" s="133"/>
      <c r="AA323" s="133"/>
      <c r="AB323" s="133"/>
      <c r="AC323" s="133"/>
      <c r="AD323" s="133"/>
      <c r="AE323" s="133"/>
      <c r="AF323" s="222"/>
      <c r="AG323" s="222"/>
      <c r="AH323" s="222"/>
      <c r="AI323" s="176"/>
      <c r="AJ323" s="176"/>
      <c r="AK323" s="176"/>
      <c r="AL323" s="176"/>
      <c r="AM323" s="176"/>
      <c r="AN323" s="176"/>
      <c r="AO323" s="176"/>
      <c r="AP323" s="176"/>
      <c r="AQ323" s="176"/>
      <c r="AR323" s="176"/>
      <c r="AS323" s="176"/>
      <c r="AT323" s="176"/>
      <c r="AU323" s="176"/>
      <c r="AV323" s="176"/>
      <c r="AW323" s="176"/>
      <c r="AX323" s="176"/>
      <c r="AY323" s="176"/>
      <c r="AZ323" s="176"/>
      <c r="BA323" s="176"/>
      <c r="BB323" s="176"/>
      <c r="BC323" s="176"/>
      <c r="BD323" s="176"/>
      <c r="BE323" s="176"/>
      <c r="BF323" s="176"/>
      <c r="BG323" s="176"/>
      <c r="BH323" s="176"/>
      <c r="BI323" s="176"/>
      <c r="BJ323" s="176"/>
      <c r="BK323" s="176"/>
      <c r="BL323" s="176"/>
      <c r="BM323" s="176"/>
      <c r="BN323" s="176"/>
      <c r="BO323" s="176"/>
    </row>
    <row r="324" spans="1:67" s="36" customFormat="1" ht="10.5" customHeight="1" x14ac:dyDescent="0.2">
      <c r="A324" s="1055"/>
      <c r="B324" s="2594"/>
      <c r="C324" s="2595"/>
      <c r="D324" s="2596"/>
      <c r="E324" s="2395"/>
      <c r="F324" s="2396"/>
      <c r="G324" s="2590"/>
      <c r="H324" s="2591"/>
      <c r="I324" s="1081">
        <f t="shared" si="76"/>
        <v>0</v>
      </c>
      <c r="J324" s="1082">
        <f t="shared" si="77"/>
        <v>0</v>
      </c>
      <c r="K324" s="2588"/>
      <c r="L324" s="2589"/>
      <c r="M324" s="1086">
        <f t="shared" si="78"/>
        <v>0</v>
      </c>
      <c r="N324" s="505"/>
      <c r="O324" s="365">
        <f t="shared" si="79"/>
        <v>0</v>
      </c>
      <c r="P324" s="366"/>
      <c r="Q324" s="135"/>
      <c r="R324" s="136"/>
      <c r="S324" s="129"/>
      <c r="T324" s="129"/>
      <c r="U324" s="129"/>
      <c r="V324" s="129"/>
      <c r="W324" s="129"/>
      <c r="X324" s="129"/>
      <c r="Y324" s="129"/>
      <c r="Z324" s="133"/>
      <c r="AA324" s="133"/>
      <c r="AB324" s="133"/>
      <c r="AC324" s="133"/>
      <c r="AD324" s="133"/>
      <c r="AE324" s="133"/>
      <c r="AF324" s="222"/>
      <c r="AG324" s="222"/>
      <c r="AH324" s="222"/>
      <c r="AI324" s="176"/>
      <c r="AJ324" s="176"/>
      <c r="AK324" s="176"/>
      <c r="AL324" s="176"/>
      <c r="AM324" s="176"/>
      <c r="AN324" s="176"/>
      <c r="AO324" s="176"/>
      <c r="AP324" s="176"/>
      <c r="AQ324" s="176"/>
      <c r="AR324" s="176"/>
      <c r="AS324" s="176"/>
      <c r="AT324" s="176"/>
      <c r="AU324" s="176"/>
      <c r="AV324" s="176"/>
      <c r="AW324" s="176"/>
      <c r="AX324" s="176"/>
      <c r="AY324" s="176"/>
      <c r="AZ324" s="176"/>
      <c r="BA324" s="176"/>
      <c r="BB324" s="176"/>
      <c r="BC324" s="176"/>
      <c r="BD324" s="176"/>
      <c r="BE324" s="176"/>
      <c r="BF324" s="176"/>
      <c r="BG324" s="176"/>
      <c r="BH324" s="176"/>
      <c r="BI324" s="176"/>
      <c r="BJ324" s="176"/>
      <c r="BK324" s="176"/>
      <c r="BL324" s="176"/>
      <c r="BM324" s="176"/>
      <c r="BN324" s="176"/>
      <c r="BO324" s="176"/>
    </row>
    <row r="325" spans="1:67" s="36" customFormat="1" ht="10.5" customHeight="1" x14ac:dyDescent="0.2">
      <c r="A325" s="1055"/>
      <c r="B325" s="2594"/>
      <c r="C325" s="2595"/>
      <c r="D325" s="2596"/>
      <c r="E325" s="2395"/>
      <c r="F325" s="2396"/>
      <c r="G325" s="2590"/>
      <c r="H325" s="2591"/>
      <c r="I325" s="1081">
        <f t="shared" si="76"/>
        <v>0</v>
      </c>
      <c r="J325" s="1082">
        <f t="shared" si="77"/>
        <v>0</v>
      </c>
      <c r="K325" s="2588"/>
      <c r="L325" s="2589"/>
      <c r="M325" s="1086">
        <f t="shared" si="78"/>
        <v>0</v>
      </c>
      <c r="N325" s="505"/>
      <c r="O325" s="365">
        <f t="shared" si="79"/>
        <v>0</v>
      </c>
      <c r="P325" s="366"/>
      <c r="Q325" s="135"/>
      <c r="R325" s="136"/>
      <c r="S325" s="129"/>
      <c r="T325" s="129"/>
      <c r="U325" s="129"/>
      <c r="V325" s="129"/>
      <c r="W325" s="129"/>
      <c r="X325" s="129"/>
      <c r="Y325" s="129"/>
      <c r="Z325" s="133"/>
      <c r="AA325" s="133"/>
      <c r="AB325" s="133"/>
      <c r="AC325" s="133"/>
      <c r="AD325" s="133"/>
      <c r="AE325" s="133"/>
      <c r="AF325" s="222"/>
      <c r="AG325" s="222"/>
      <c r="AH325" s="222"/>
      <c r="AI325" s="176"/>
      <c r="AJ325" s="176"/>
      <c r="AK325" s="176"/>
      <c r="AL325" s="176"/>
      <c r="AM325" s="176"/>
      <c r="AN325" s="176"/>
      <c r="AO325" s="176"/>
      <c r="AP325" s="176"/>
      <c r="AQ325" s="176"/>
      <c r="AR325" s="176"/>
      <c r="AS325" s="176"/>
      <c r="AT325" s="176"/>
      <c r="AU325" s="176"/>
      <c r="AV325" s="176"/>
      <c r="AW325" s="176"/>
      <c r="AX325" s="176"/>
      <c r="AY325" s="176"/>
      <c r="AZ325" s="176"/>
      <c r="BA325" s="176"/>
      <c r="BB325" s="176"/>
      <c r="BC325" s="176"/>
      <c r="BD325" s="176"/>
      <c r="BE325" s="176"/>
      <c r="BF325" s="176"/>
      <c r="BG325" s="176"/>
      <c r="BH325" s="176"/>
      <c r="BI325" s="176"/>
      <c r="BJ325" s="176"/>
      <c r="BK325" s="176"/>
      <c r="BL325" s="176"/>
      <c r="BM325" s="176"/>
      <c r="BN325" s="176"/>
      <c r="BO325" s="176"/>
    </row>
    <row r="326" spans="1:67" s="36" customFormat="1" ht="10.5" customHeight="1" x14ac:dyDescent="0.2">
      <c r="A326" s="1348"/>
      <c r="B326" s="2690"/>
      <c r="C326" s="2691"/>
      <c r="D326" s="2692"/>
      <c r="E326" s="2601"/>
      <c r="F326" s="2602"/>
      <c r="G326" s="1088"/>
      <c r="H326" s="1089"/>
      <c r="I326" s="1083">
        <f t="shared" si="76"/>
        <v>0</v>
      </c>
      <c r="J326" s="1084"/>
      <c r="K326" s="1087"/>
      <c r="L326" s="1307"/>
      <c r="M326" s="1317">
        <f t="shared" si="78"/>
        <v>0</v>
      </c>
      <c r="N326" s="505"/>
      <c r="O326" s="365">
        <f t="shared" si="79"/>
        <v>0</v>
      </c>
      <c r="P326" s="366"/>
      <c r="Q326" s="135"/>
      <c r="R326" s="136"/>
      <c r="S326" s="129"/>
      <c r="T326" s="129"/>
      <c r="U326" s="129"/>
      <c r="V326" s="129"/>
      <c r="W326" s="129"/>
      <c r="X326" s="129"/>
      <c r="Y326" s="129"/>
      <c r="Z326" s="133"/>
      <c r="AA326" s="133"/>
      <c r="AB326" s="133"/>
      <c r="AC326" s="133"/>
      <c r="AD326" s="133"/>
      <c r="AE326" s="133"/>
      <c r="AF326" s="222"/>
      <c r="AG326" s="222"/>
      <c r="AH326" s="222"/>
      <c r="AI326" s="176"/>
      <c r="AJ326" s="176"/>
      <c r="AK326" s="176"/>
      <c r="AL326" s="176"/>
      <c r="AM326" s="176"/>
      <c r="AN326" s="176"/>
      <c r="AO326" s="176"/>
      <c r="AP326" s="176"/>
      <c r="AQ326" s="176"/>
      <c r="AR326" s="176"/>
      <c r="AS326" s="176"/>
      <c r="AT326" s="176"/>
      <c r="AU326" s="176"/>
      <c r="AV326" s="176"/>
      <c r="AW326" s="176"/>
      <c r="AX326" s="176"/>
      <c r="AY326" s="176"/>
      <c r="AZ326" s="176"/>
      <c r="BA326" s="176"/>
      <c r="BB326" s="176"/>
      <c r="BC326" s="176"/>
      <c r="BD326" s="176"/>
      <c r="BE326" s="176"/>
      <c r="BF326" s="176"/>
      <c r="BG326" s="176"/>
      <c r="BH326" s="176"/>
      <c r="BI326" s="176"/>
      <c r="BJ326" s="176"/>
      <c r="BK326" s="176"/>
      <c r="BL326" s="176"/>
      <c r="BM326" s="176"/>
      <c r="BN326" s="176"/>
      <c r="BO326" s="176"/>
    </row>
    <row r="327" spans="1:67" s="36" customFormat="1" ht="10.5" customHeight="1" x14ac:dyDescent="0.2">
      <c r="A327" s="1115" t="s">
        <v>370</v>
      </c>
      <c r="B327" s="2611"/>
      <c r="C327" s="2612"/>
      <c r="D327" s="2613"/>
      <c r="E327" s="2676">
        <f>SUM(E328:E339)</f>
        <v>0</v>
      </c>
      <c r="F327" s="2677"/>
      <c r="G327" s="2678"/>
      <c r="H327" s="2679"/>
      <c r="I327" s="1116">
        <f>IF(E327=0,0,J327/E327)</f>
        <v>0</v>
      </c>
      <c r="J327" s="1117">
        <f>SUM(J328:J339)</f>
        <v>0</v>
      </c>
      <c r="K327" s="2618">
        <f>IF(E327=0,0,M327/E327*100)</f>
        <v>0</v>
      </c>
      <c r="L327" s="2619"/>
      <c r="M327" s="1118">
        <f>SUM(M328:M339)</f>
        <v>0</v>
      </c>
      <c r="N327" s="505"/>
      <c r="O327" s="178">
        <f>IF(H327="",G327,H327)</f>
        <v>0</v>
      </c>
      <c r="P327" s="366"/>
      <c r="Q327" s="135"/>
      <c r="R327" s="136"/>
      <c r="S327" s="129"/>
      <c r="T327" s="129"/>
      <c r="U327" s="129"/>
      <c r="V327" s="129"/>
      <c r="W327" s="129"/>
      <c r="X327" s="129"/>
      <c r="Y327" s="129"/>
      <c r="Z327" s="133"/>
      <c r="AA327" s="133"/>
      <c r="AB327" s="133"/>
      <c r="AC327" s="133"/>
      <c r="AD327" s="133"/>
      <c r="AE327" s="133"/>
      <c r="AF327" s="222"/>
      <c r="AG327" s="222"/>
      <c r="AH327" s="222"/>
      <c r="AI327" s="176"/>
      <c r="AJ327" s="176"/>
      <c r="AK327" s="176"/>
      <c r="AL327" s="176"/>
      <c r="AM327" s="176"/>
      <c r="AN327" s="176"/>
      <c r="AO327" s="176"/>
      <c r="AP327" s="176"/>
      <c r="AQ327" s="176"/>
      <c r="AR327" s="176"/>
      <c r="AS327" s="176"/>
      <c r="AT327" s="176"/>
      <c r="AU327" s="176"/>
      <c r="AV327" s="176"/>
      <c r="AW327" s="176"/>
      <c r="AX327" s="176"/>
      <c r="AY327" s="176"/>
      <c r="AZ327" s="176"/>
      <c r="BA327" s="176"/>
      <c r="BB327" s="176"/>
      <c r="BC327" s="176"/>
      <c r="BD327" s="176"/>
      <c r="BE327" s="176"/>
      <c r="BF327" s="176"/>
      <c r="BG327" s="176"/>
      <c r="BH327" s="176"/>
      <c r="BI327" s="176"/>
      <c r="BJ327" s="176"/>
      <c r="BK327" s="176"/>
      <c r="BL327" s="176"/>
      <c r="BM327" s="176"/>
      <c r="BN327" s="176"/>
      <c r="BO327" s="176"/>
    </row>
    <row r="328" spans="1:67" s="36" customFormat="1" ht="10.5" customHeight="1" x14ac:dyDescent="0.2">
      <c r="A328" s="1350" t="s">
        <v>444</v>
      </c>
      <c r="B328" s="1258"/>
      <c r="C328" s="1259"/>
      <c r="D328" s="1351"/>
      <c r="E328" s="2627">
        <f>ROUND(SUM(E55,E70,E85,E102,E117,E132,E147,E162,E177,E237,E252,E267,E297,E312)*D328,-2)</f>
        <v>0</v>
      </c>
      <c r="F328" s="2628"/>
      <c r="G328" s="1056">
        <v>20</v>
      </c>
      <c r="H328" s="1057"/>
      <c r="I328" s="1079">
        <f t="shared" ref="I328:I340" si="80">IF($O328&gt;0,-PMT(($I$9),$O328,1),0)</f>
        <v>6.2642070767998229E-2</v>
      </c>
      <c r="J328" s="1080">
        <f t="shared" ref="J328:J339" si="81">ROUND(E328*I328,0)</f>
        <v>0</v>
      </c>
      <c r="K328" s="1060">
        <v>2</v>
      </c>
      <c r="L328" s="1304"/>
      <c r="M328" s="1085">
        <f t="shared" ref="M328:M354" si="82">ROUND(E328/100*IF(ISBLANK(L328),K328,L328),0)</f>
        <v>0</v>
      </c>
      <c r="N328" s="505"/>
      <c r="O328" s="365">
        <f t="shared" ref="O328:O340" si="83">IF(ISBLANK(H328),G328,H328)</f>
        <v>20</v>
      </c>
      <c r="P328" s="366"/>
      <c r="Q328" s="135"/>
      <c r="R328" s="136"/>
      <c r="S328" s="129"/>
      <c r="T328" s="129"/>
      <c r="U328" s="129"/>
      <c r="V328" s="129"/>
      <c r="W328" s="129"/>
      <c r="X328" s="129"/>
      <c r="Y328" s="129"/>
      <c r="Z328" s="133"/>
      <c r="AA328" s="133"/>
      <c r="AB328" s="133"/>
      <c r="AC328" s="133"/>
      <c r="AD328" s="133"/>
      <c r="AE328" s="133"/>
      <c r="AF328" s="222"/>
      <c r="AG328" s="222"/>
      <c r="AH328" s="222"/>
      <c r="AI328" s="176"/>
      <c r="AJ328" s="176"/>
      <c r="AK328" s="176"/>
      <c r="AL328" s="176"/>
      <c r="AM328" s="176"/>
      <c r="AN328" s="176"/>
      <c r="AO328" s="176"/>
      <c r="AP328" s="176"/>
      <c r="AQ328" s="176"/>
      <c r="AR328" s="176"/>
      <c r="AS328" s="176"/>
      <c r="AT328" s="176"/>
      <c r="AU328" s="176"/>
      <c r="AV328" s="176"/>
      <c r="AW328" s="176"/>
      <c r="AX328" s="176"/>
      <c r="AY328" s="176"/>
      <c r="AZ328" s="176"/>
      <c r="BA328" s="176"/>
      <c r="BB328" s="176"/>
      <c r="BC328" s="176"/>
      <c r="BD328" s="176"/>
      <c r="BE328" s="176"/>
      <c r="BF328" s="176"/>
      <c r="BG328" s="176"/>
      <c r="BH328" s="176"/>
      <c r="BI328" s="176"/>
      <c r="BJ328" s="176"/>
      <c r="BK328" s="176"/>
      <c r="BL328" s="176"/>
      <c r="BM328" s="176"/>
      <c r="BN328" s="176"/>
      <c r="BO328" s="176"/>
    </row>
    <row r="329" spans="1:67" s="36" customFormat="1" ht="10.5" customHeight="1" x14ac:dyDescent="0.2">
      <c r="A329" s="1349"/>
      <c r="B329" s="2743"/>
      <c r="C329" s="2744"/>
      <c r="D329" s="2745"/>
      <c r="E329" s="2746"/>
      <c r="F329" s="2747"/>
      <c r="G329" s="2748"/>
      <c r="H329" s="2749"/>
      <c r="I329" s="1127">
        <f t="shared" si="80"/>
        <v>0</v>
      </c>
      <c r="J329" s="1128">
        <f t="shared" si="81"/>
        <v>0</v>
      </c>
      <c r="K329" s="2760"/>
      <c r="L329" s="2761"/>
      <c r="M329" s="1319">
        <f t="shared" si="82"/>
        <v>0</v>
      </c>
      <c r="N329" s="505"/>
      <c r="O329" s="365">
        <f t="shared" si="83"/>
        <v>0</v>
      </c>
      <c r="P329" s="366"/>
      <c r="Q329" s="135"/>
      <c r="R329" s="136"/>
      <c r="S329" s="129"/>
      <c r="T329" s="129"/>
      <c r="U329" s="129"/>
      <c r="V329" s="129"/>
      <c r="W329" s="129"/>
      <c r="X329" s="129"/>
      <c r="Y329" s="129"/>
      <c r="Z329" s="133"/>
      <c r="AA329" s="133"/>
      <c r="AB329" s="133"/>
      <c r="AC329" s="133"/>
      <c r="AD329" s="133"/>
      <c r="AE329" s="133"/>
      <c r="AF329" s="222"/>
      <c r="AG329" s="222"/>
      <c r="AH329" s="222"/>
      <c r="AI329" s="176"/>
      <c r="AJ329" s="176"/>
      <c r="AK329" s="176"/>
      <c r="AL329" s="176"/>
      <c r="AM329" s="176"/>
      <c r="AN329" s="176"/>
      <c r="AO329" s="176"/>
      <c r="AP329" s="176"/>
      <c r="AQ329" s="176"/>
      <c r="AR329" s="176"/>
      <c r="AS329" s="176"/>
      <c r="AT329" s="176"/>
      <c r="AU329" s="176"/>
      <c r="AV329" s="176"/>
      <c r="AW329" s="176"/>
      <c r="AX329" s="176"/>
      <c r="AY329" s="176"/>
      <c r="AZ329" s="176"/>
      <c r="BA329" s="176"/>
      <c r="BB329" s="176"/>
      <c r="BC329" s="176"/>
      <c r="BD329" s="176"/>
      <c r="BE329" s="176"/>
      <c r="BF329" s="176"/>
      <c r="BG329" s="176"/>
      <c r="BH329" s="176"/>
      <c r="BI329" s="176"/>
      <c r="BJ329" s="176"/>
      <c r="BK329" s="176"/>
      <c r="BL329" s="176"/>
      <c r="BM329" s="176"/>
      <c r="BN329" s="176"/>
      <c r="BO329" s="176"/>
    </row>
    <row r="330" spans="1:67" s="36" customFormat="1" ht="10.5" customHeight="1" x14ac:dyDescent="0.2">
      <c r="A330" s="1055"/>
      <c r="B330" s="2594"/>
      <c r="C330" s="2595"/>
      <c r="D330" s="2596"/>
      <c r="E330" s="2395"/>
      <c r="F330" s="2396"/>
      <c r="G330" s="2590"/>
      <c r="H330" s="2591"/>
      <c r="I330" s="1081">
        <f t="shared" si="80"/>
        <v>0</v>
      </c>
      <c r="J330" s="1082">
        <f t="shared" si="81"/>
        <v>0</v>
      </c>
      <c r="K330" s="2588"/>
      <c r="L330" s="2589"/>
      <c r="M330" s="1086">
        <f t="shared" si="82"/>
        <v>0</v>
      </c>
      <c r="N330" s="505"/>
      <c r="O330" s="365">
        <f t="shared" si="83"/>
        <v>0</v>
      </c>
      <c r="P330" s="366"/>
      <c r="Q330" s="135"/>
      <c r="R330" s="136"/>
      <c r="S330" s="129"/>
      <c r="T330" s="129"/>
      <c r="U330" s="129"/>
      <c r="V330" s="129"/>
      <c r="W330" s="129"/>
      <c r="X330" s="129"/>
      <c r="Y330" s="129"/>
      <c r="Z330" s="133"/>
      <c r="AA330" s="133"/>
      <c r="AB330" s="133"/>
      <c r="AC330" s="133"/>
      <c r="AD330" s="133"/>
      <c r="AE330" s="133"/>
      <c r="AF330" s="222"/>
      <c r="AG330" s="222"/>
      <c r="AH330" s="222"/>
      <c r="AI330" s="176"/>
      <c r="AJ330" s="176"/>
      <c r="AK330" s="176"/>
      <c r="AL330" s="176"/>
      <c r="AM330" s="176"/>
      <c r="AN330" s="176"/>
      <c r="AO330" s="176"/>
      <c r="AP330" s="176"/>
      <c r="AQ330" s="176"/>
      <c r="AR330" s="176"/>
      <c r="AS330" s="176"/>
      <c r="AT330" s="176"/>
      <c r="AU330" s="176"/>
      <c r="AV330" s="176"/>
      <c r="AW330" s="176"/>
      <c r="AX330" s="176"/>
      <c r="AY330" s="176"/>
      <c r="AZ330" s="176"/>
      <c r="BA330" s="176"/>
      <c r="BB330" s="176"/>
      <c r="BC330" s="176"/>
      <c r="BD330" s="176"/>
      <c r="BE330" s="176"/>
      <c r="BF330" s="176"/>
      <c r="BG330" s="176"/>
      <c r="BH330" s="176"/>
      <c r="BI330" s="176"/>
      <c r="BJ330" s="176"/>
      <c r="BK330" s="176"/>
      <c r="BL330" s="176"/>
      <c r="BM330" s="176"/>
      <c r="BN330" s="176"/>
      <c r="BO330" s="176"/>
    </row>
    <row r="331" spans="1:67" s="36" customFormat="1" ht="10.5" customHeight="1" x14ac:dyDescent="0.2">
      <c r="A331" s="1055"/>
      <c r="B331" s="2594"/>
      <c r="C331" s="2595"/>
      <c r="D331" s="2596"/>
      <c r="E331" s="2395"/>
      <c r="F331" s="2396"/>
      <c r="G331" s="2590"/>
      <c r="H331" s="2591"/>
      <c r="I331" s="1081">
        <f t="shared" si="80"/>
        <v>0</v>
      </c>
      <c r="J331" s="1082">
        <f t="shared" si="81"/>
        <v>0</v>
      </c>
      <c r="K331" s="2588"/>
      <c r="L331" s="2589"/>
      <c r="M331" s="1086">
        <f t="shared" si="82"/>
        <v>0</v>
      </c>
      <c r="N331" s="505"/>
      <c r="O331" s="365">
        <f t="shared" si="83"/>
        <v>0</v>
      </c>
      <c r="P331" s="366"/>
      <c r="Q331" s="135"/>
      <c r="R331" s="136"/>
      <c r="S331" s="129"/>
      <c r="T331" s="129"/>
      <c r="U331" s="129"/>
      <c r="V331" s="129"/>
      <c r="W331" s="129"/>
      <c r="X331" s="129"/>
      <c r="Y331" s="129"/>
      <c r="Z331" s="133"/>
      <c r="AA331" s="133"/>
      <c r="AB331" s="133"/>
      <c r="AC331" s="133"/>
      <c r="AD331" s="133"/>
      <c r="AE331" s="133"/>
      <c r="AF331" s="222"/>
      <c r="AG331" s="222"/>
      <c r="AH331" s="222"/>
      <c r="AI331" s="176"/>
      <c r="AJ331" s="176"/>
      <c r="AK331" s="176"/>
      <c r="AL331" s="176"/>
      <c r="AM331" s="176"/>
      <c r="AN331" s="176"/>
      <c r="AO331" s="176"/>
      <c r="AP331" s="176"/>
      <c r="AQ331" s="176"/>
      <c r="AR331" s="176"/>
      <c r="AS331" s="176"/>
      <c r="AT331" s="176"/>
      <c r="AU331" s="176"/>
      <c r="AV331" s="176"/>
      <c r="AW331" s="176"/>
      <c r="AX331" s="176"/>
      <c r="AY331" s="176"/>
      <c r="AZ331" s="176"/>
      <c r="BA331" s="176"/>
      <c r="BB331" s="176"/>
      <c r="BC331" s="176"/>
      <c r="BD331" s="176"/>
      <c r="BE331" s="176"/>
      <c r="BF331" s="176"/>
      <c r="BG331" s="176"/>
      <c r="BH331" s="176"/>
      <c r="BI331" s="176"/>
      <c r="BJ331" s="176"/>
      <c r="BK331" s="176"/>
      <c r="BL331" s="176"/>
      <c r="BM331" s="176"/>
      <c r="BN331" s="176"/>
      <c r="BO331" s="176"/>
    </row>
    <row r="332" spans="1:67" s="36" customFormat="1" ht="10.5" customHeight="1" x14ac:dyDescent="0.2">
      <c r="A332" s="1055"/>
      <c r="B332" s="2594"/>
      <c r="C332" s="2595"/>
      <c r="D332" s="2596"/>
      <c r="E332" s="2395"/>
      <c r="F332" s="2396"/>
      <c r="G332" s="2590"/>
      <c r="H332" s="2591"/>
      <c r="I332" s="1081">
        <f t="shared" si="80"/>
        <v>0</v>
      </c>
      <c r="J332" s="1082">
        <f t="shared" si="81"/>
        <v>0</v>
      </c>
      <c r="K332" s="2588"/>
      <c r="L332" s="2589"/>
      <c r="M332" s="1086">
        <f t="shared" si="82"/>
        <v>0</v>
      </c>
      <c r="N332" s="505"/>
      <c r="O332" s="365">
        <f t="shared" si="83"/>
        <v>0</v>
      </c>
      <c r="P332" s="366"/>
      <c r="Q332" s="135"/>
      <c r="R332" s="136"/>
      <c r="S332" s="129"/>
      <c r="T332" s="129"/>
      <c r="U332" s="129"/>
      <c r="V332" s="129"/>
      <c r="W332" s="129"/>
      <c r="X332" s="129"/>
      <c r="Y332" s="129"/>
      <c r="Z332" s="133"/>
      <c r="AA332" s="133"/>
      <c r="AB332" s="133"/>
      <c r="AC332" s="133"/>
      <c r="AD332" s="133"/>
      <c r="AE332" s="133"/>
      <c r="AF332" s="222"/>
      <c r="AG332" s="222"/>
      <c r="AH332" s="222"/>
      <c r="AI332" s="176"/>
      <c r="AJ332" s="176"/>
      <c r="AK332" s="176"/>
      <c r="AL332" s="176"/>
      <c r="AM332" s="176"/>
      <c r="AN332" s="176"/>
      <c r="AO332" s="176"/>
      <c r="AP332" s="176"/>
      <c r="AQ332" s="176"/>
      <c r="AR332" s="176"/>
      <c r="AS332" s="176"/>
      <c r="AT332" s="176"/>
      <c r="AU332" s="176"/>
      <c r="AV332" s="176"/>
      <c r="AW332" s="176"/>
      <c r="AX332" s="176"/>
      <c r="AY332" s="176"/>
      <c r="AZ332" s="176"/>
      <c r="BA332" s="176"/>
      <c r="BB332" s="176"/>
      <c r="BC332" s="176"/>
      <c r="BD332" s="176"/>
      <c r="BE332" s="176"/>
      <c r="BF332" s="176"/>
      <c r="BG332" s="176"/>
      <c r="BH332" s="176"/>
      <c r="BI332" s="176"/>
      <c r="BJ332" s="176"/>
      <c r="BK332" s="176"/>
      <c r="BL332" s="176"/>
      <c r="BM332" s="176"/>
      <c r="BN332" s="176"/>
      <c r="BO332" s="176"/>
    </row>
    <row r="333" spans="1:67" s="36" customFormat="1" ht="10.5" customHeight="1" x14ac:dyDescent="0.2">
      <c r="A333" s="1055"/>
      <c r="B333" s="2594"/>
      <c r="C333" s="2595"/>
      <c r="D333" s="2596"/>
      <c r="E333" s="2395"/>
      <c r="F333" s="2396"/>
      <c r="G333" s="2590"/>
      <c r="H333" s="2591"/>
      <c r="I333" s="1081">
        <f t="shared" si="80"/>
        <v>0</v>
      </c>
      <c r="J333" s="1082">
        <f t="shared" si="81"/>
        <v>0</v>
      </c>
      <c r="K333" s="2588"/>
      <c r="L333" s="2589"/>
      <c r="M333" s="1086">
        <f t="shared" si="82"/>
        <v>0</v>
      </c>
      <c r="N333" s="505"/>
      <c r="O333" s="365">
        <f t="shared" si="83"/>
        <v>0</v>
      </c>
      <c r="P333" s="366"/>
      <c r="Q333" s="135"/>
      <c r="R333" s="136"/>
      <c r="S333" s="129"/>
      <c r="T333" s="129"/>
      <c r="U333" s="129"/>
      <c r="V333" s="129"/>
      <c r="W333" s="129"/>
      <c r="X333" s="129"/>
      <c r="Y333" s="129"/>
      <c r="Z333" s="133"/>
      <c r="AA333" s="133"/>
      <c r="AB333" s="133"/>
      <c r="AC333" s="133"/>
      <c r="AD333" s="133"/>
      <c r="AE333" s="133"/>
      <c r="AF333" s="222"/>
      <c r="AG333" s="222"/>
      <c r="AH333" s="222"/>
      <c r="AI333" s="176"/>
      <c r="AJ333" s="176"/>
      <c r="AK333" s="176"/>
      <c r="AL333" s="176"/>
      <c r="AM333" s="176"/>
      <c r="AN333" s="176"/>
      <c r="AO333" s="176"/>
      <c r="AP333" s="176"/>
      <c r="AQ333" s="176"/>
      <c r="AR333" s="176"/>
      <c r="AS333" s="176"/>
      <c r="AT333" s="176"/>
      <c r="AU333" s="176"/>
      <c r="AV333" s="176"/>
      <c r="AW333" s="176"/>
      <c r="AX333" s="176"/>
      <c r="AY333" s="176"/>
      <c r="AZ333" s="176"/>
      <c r="BA333" s="176"/>
      <c r="BB333" s="176"/>
      <c r="BC333" s="176"/>
      <c r="BD333" s="176"/>
      <c r="BE333" s="176"/>
      <c r="BF333" s="176"/>
      <c r="BG333" s="176"/>
      <c r="BH333" s="176"/>
      <c r="BI333" s="176"/>
      <c r="BJ333" s="176"/>
      <c r="BK333" s="176"/>
      <c r="BL333" s="176"/>
      <c r="BM333" s="176"/>
      <c r="BN333" s="176"/>
      <c r="BO333" s="176"/>
    </row>
    <row r="334" spans="1:67" s="36" customFormat="1" ht="10.5" customHeight="1" x14ac:dyDescent="0.2">
      <c r="A334" s="1350" t="s">
        <v>445</v>
      </c>
      <c r="B334" s="1258"/>
      <c r="C334" s="1259"/>
      <c r="D334" s="1351"/>
      <c r="E334" s="2627">
        <f>ROUND(SUM(E40,E192,E207,E222,E282)*D334,-2)</f>
        <v>0</v>
      </c>
      <c r="F334" s="2628"/>
      <c r="G334" s="1056">
        <v>20</v>
      </c>
      <c r="H334" s="1057"/>
      <c r="I334" s="1079">
        <f t="shared" si="80"/>
        <v>6.2642070767998229E-2</v>
      </c>
      <c r="J334" s="1080">
        <f t="shared" si="81"/>
        <v>0</v>
      </c>
      <c r="K334" s="1060">
        <v>1</v>
      </c>
      <c r="L334" s="1304"/>
      <c r="M334" s="1085">
        <f t="shared" si="82"/>
        <v>0</v>
      </c>
      <c r="N334" s="505"/>
      <c r="O334" s="365">
        <f t="shared" si="83"/>
        <v>20</v>
      </c>
      <c r="P334" s="366"/>
      <c r="Q334" s="135"/>
      <c r="R334" s="136"/>
      <c r="S334" s="129"/>
      <c r="T334" s="129"/>
      <c r="U334" s="129"/>
      <c r="V334" s="129"/>
      <c r="W334" s="129"/>
      <c r="X334" s="129"/>
      <c r="Y334" s="129"/>
      <c r="Z334" s="133"/>
      <c r="AA334" s="133"/>
      <c r="AB334" s="133"/>
      <c r="AC334" s="133"/>
      <c r="AD334" s="133"/>
      <c r="AE334" s="133"/>
      <c r="AF334" s="222"/>
      <c r="AG334" s="222"/>
      <c r="AH334" s="222"/>
      <c r="AI334" s="176"/>
      <c r="AJ334" s="176"/>
      <c r="AK334" s="176"/>
      <c r="AL334" s="176"/>
      <c r="AM334" s="176"/>
      <c r="AN334" s="176"/>
      <c r="AO334" s="176"/>
      <c r="AP334" s="176"/>
      <c r="AQ334" s="176"/>
      <c r="AR334" s="176"/>
      <c r="AS334" s="176"/>
      <c r="AT334" s="176"/>
      <c r="AU334" s="176"/>
      <c r="AV334" s="176"/>
      <c r="AW334" s="176"/>
      <c r="AX334" s="176"/>
      <c r="AY334" s="176"/>
      <c r="AZ334" s="176"/>
      <c r="BA334" s="176"/>
      <c r="BB334" s="176"/>
      <c r="BC334" s="176"/>
      <c r="BD334" s="176"/>
      <c r="BE334" s="176"/>
      <c r="BF334" s="176"/>
      <c r="BG334" s="176"/>
      <c r="BH334" s="176"/>
      <c r="BI334" s="176"/>
      <c r="BJ334" s="176"/>
      <c r="BK334" s="176"/>
      <c r="BL334" s="176"/>
      <c r="BM334" s="176"/>
      <c r="BN334" s="176"/>
      <c r="BO334" s="176"/>
    </row>
    <row r="335" spans="1:67" s="36" customFormat="1" ht="10.5" customHeight="1" x14ac:dyDescent="0.2">
      <c r="A335" s="1349"/>
      <c r="B335" s="2743"/>
      <c r="C335" s="2744"/>
      <c r="D335" s="2745"/>
      <c r="E335" s="2746"/>
      <c r="F335" s="2747"/>
      <c r="G335" s="2748"/>
      <c r="H335" s="2749"/>
      <c r="I335" s="1127">
        <f t="shared" si="80"/>
        <v>0</v>
      </c>
      <c r="J335" s="1128">
        <f t="shared" si="81"/>
        <v>0</v>
      </c>
      <c r="K335" s="2760"/>
      <c r="L335" s="2761"/>
      <c r="M335" s="1319">
        <f t="shared" si="82"/>
        <v>0</v>
      </c>
      <c r="N335" s="505"/>
      <c r="O335" s="365">
        <f t="shared" si="83"/>
        <v>0</v>
      </c>
      <c r="P335" s="366"/>
      <c r="Q335" s="135"/>
      <c r="R335" s="136"/>
      <c r="S335" s="129"/>
      <c r="T335" s="129"/>
      <c r="U335" s="129"/>
      <c r="V335" s="129"/>
      <c r="W335" s="129"/>
      <c r="X335" s="129"/>
      <c r="Y335" s="129"/>
      <c r="Z335" s="133"/>
      <c r="AA335" s="133"/>
      <c r="AB335" s="133"/>
      <c r="AC335" s="133"/>
      <c r="AD335" s="133"/>
      <c r="AE335" s="133"/>
      <c r="AF335" s="222"/>
      <c r="AG335" s="222"/>
      <c r="AH335" s="222"/>
      <c r="AI335" s="176"/>
      <c r="AJ335" s="176"/>
      <c r="AK335" s="176"/>
      <c r="AL335" s="176"/>
      <c r="AM335" s="176"/>
      <c r="AN335" s="176"/>
      <c r="AO335" s="176"/>
      <c r="AP335" s="176"/>
      <c r="AQ335" s="176"/>
      <c r="AR335" s="176"/>
      <c r="AS335" s="176"/>
      <c r="AT335" s="176"/>
      <c r="AU335" s="176"/>
      <c r="AV335" s="176"/>
      <c r="AW335" s="176"/>
      <c r="AX335" s="176"/>
      <c r="AY335" s="176"/>
      <c r="AZ335" s="176"/>
      <c r="BA335" s="176"/>
      <c r="BB335" s="176"/>
      <c r="BC335" s="176"/>
      <c r="BD335" s="176"/>
      <c r="BE335" s="176"/>
      <c r="BF335" s="176"/>
      <c r="BG335" s="176"/>
      <c r="BH335" s="176"/>
      <c r="BI335" s="176"/>
      <c r="BJ335" s="176"/>
      <c r="BK335" s="176"/>
      <c r="BL335" s="176"/>
      <c r="BM335" s="176"/>
      <c r="BN335" s="176"/>
      <c r="BO335" s="176"/>
    </row>
    <row r="336" spans="1:67" s="36" customFormat="1" ht="10.5" customHeight="1" x14ac:dyDescent="0.2">
      <c r="A336" s="1055"/>
      <c r="B336" s="2594"/>
      <c r="C336" s="2595"/>
      <c r="D336" s="2596"/>
      <c r="E336" s="2395"/>
      <c r="F336" s="2396"/>
      <c r="G336" s="2590"/>
      <c r="H336" s="2591"/>
      <c r="I336" s="1081">
        <f t="shared" si="80"/>
        <v>0</v>
      </c>
      <c r="J336" s="1082">
        <f t="shared" si="81"/>
        <v>0</v>
      </c>
      <c r="K336" s="2588"/>
      <c r="L336" s="2589"/>
      <c r="M336" s="1086">
        <f t="shared" si="82"/>
        <v>0</v>
      </c>
      <c r="N336" s="505"/>
      <c r="O336" s="365">
        <f t="shared" si="83"/>
        <v>0</v>
      </c>
      <c r="P336" s="366"/>
      <c r="Q336" s="135"/>
      <c r="R336" s="136"/>
      <c r="S336" s="129"/>
      <c r="T336" s="129"/>
      <c r="U336" s="129"/>
      <c r="V336" s="129"/>
      <c r="W336" s="129"/>
      <c r="X336" s="129"/>
      <c r="Y336" s="129"/>
      <c r="Z336" s="133"/>
      <c r="AA336" s="133"/>
      <c r="AB336" s="133"/>
      <c r="AC336" s="133"/>
      <c r="AD336" s="133"/>
      <c r="AE336" s="133"/>
      <c r="AF336" s="222"/>
      <c r="AG336" s="222"/>
      <c r="AH336" s="222"/>
      <c r="AI336" s="176"/>
      <c r="AJ336" s="176"/>
      <c r="AK336" s="176"/>
      <c r="AL336" s="176"/>
      <c r="AM336" s="176"/>
      <c r="AN336" s="176"/>
      <c r="AO336" s="176"/>
      <c r="AP336" s="176"/>
      <c r="AQ336" s="176"/>
      <c r="AR336" s="176"/>
      <c r="AS336" s="176"/>
      <c r="AT336" s="176"/>
      <c r="AU336" s="176"/>
      <c r="AV336" s="176"/>
      <c r="AW336" s="176"/>
      <c r="AX336" s="176"/>
      <c r="AY336" s="176"/>
      <c r="AZ336" s="176"/>
      <c r="BA336" s="176"/>
      <c r="BB336" s="176"/>
      <c r="BC336" s="176"/>
      <c r="BD336" s="176"/>
      <c r="BE336" s="176"/>
      <c r="BF336" s="176"/>
      <c r="BG336" s="176"/>
      <c r="BH336" s="176"/>
      <c r="BI336" s="176"/>
      <c r="BJ336" s="176"/>
      <c r="BK336" s="176"/>
      <c r="BL336" s="176"/>
      <c r="BM336" s="176"/>
      <c r="BN336" s="176"/>
      <c r="BO336" s="176"/>
    </row>
    <row r="337" spans="1:67" s="36" customFormat="1" ht="10.5" customHeight="1" x14ac:dyDescent="0.2">
      <c r="A337" s="1055"/>
      <c r="B337" s="2594"/>
      <c r="C337" s="2595"/>
      <c r="D337" s="2596"/>
      <c r="E337" s="2395"/>
      <c r="F337" s="2396"/>
      <c r="G337" s="2590"/>
      <c r="H337" s="2591"/>
      <c r="I337" s="1081">
        <f t="shared" si="80"/>
        <v>0</v>
      </c>
      <c r="J337" s="1082">
        <f t="shared" si="81"/>
        <v>0</v>
      </c>
      <c r="K337" s="2588"/>
      <c r="L337" s="2589"/>
      <c r="M337" s="1086">
        <f t="shared" si="82"/>
        <v>0</v>
      </c>
      <c r="N337" s="505"/>
      <c r="O337" s="365">
        <f t="shared" si="83"/>
        <v>0</v>
      </c>
      <c r="P337" s="366"/>
      <c r="Q337" s="135"/>
      <c r="R337" s="136"/>
      <c r="S337" s="129"/>
      <c r="T337" s="129"/>
      <c r="U337" s="129"/>
      <c r="V337" s="129"/>
      <c r="W337" s="129"/>
      <c r="X337" s="129"/>
      <c r="Y337" s="129"/>
      <c r="Z337" s="133"/>
      <c r="AA337" s="133"/>
      <c r="AB337" s="133"/>
      <c r="AC337" s="133"/>
      <c r="AD337" s="133"/>
      <c r="AE337" s="133"/>
      <c r="AF337" s="222"/>
      <c r="AG337" s="222"/>
      <c r="AH337" s="222"/>
      <c r="AI337" s="176"/>
      <c r="AJ337" s="176"/>
      <c r="AK337" s="176"/>
      <c r="AL337" s="176"/>
      <c r="AM337" s="176"/>
      <c r="AN337" s="176"/>
      <c r="AO337" s="176"/>
      <c r="AP337" s="176"/>
      <c r="AQ337" s="176"/>
      <c r="AR337" s="176"/>
      <c r="AS337" s="176"/>
      <c r="AT337" s="176"/>
      <c r="AU337" s="176"/>
      <c r="AV337" s="176"/>
      <c r="AW337" s="176"/>
      <c r="AX337" s="176"/>
      <c r="AY337" s="176"/>
      <c r="AZ337" s="176"/>
      <c r="BA337" s="176"/>
      <c r="BB337" s="176"/>
      <c r="BC337" s="176"/>
      <c r="BD337" s="176"/>
      <c r="BE337" s="176"/>
      <c r="BF337" s="176"/>
      <c r="BG337" s="176"/>
      <c r="BH337" s="176"/>
      <c r="BI337" s="176"/>
      <c r="BJ337" s="176"/>
      <c r="BK337" s="176"/>
      <c r="BL337" s="176"/>
      <c r="BM337" s="176"/>
      <c r="BN337" s="176"/>
      <c r="BO337" s="176"/>
    </row>
    <row r="338" spans="1:67" s="36" customFormat="1" ht="10.5" customHeight="1" x14ac:dyDescent="0.2">
      <c r="A338" s="1055"/>
      <c r="B338" s="2594"/>
      <c r="C338" s="2595"/>
      <c r="D338" s="2596"/>
      <c r="E338" s="2395"/>
      <c r="F338" s="2396"/>
      <c r="G338" s="2590"/>
      <c r="H338" s="2591"/>
      <c r="I338" s="1081">
        <f t="shared" si="80"/>
        <v>0</v>
      </c>
      <c r="J338" s="1082">
        <f t="shared" si="81"/>
        <v>0</v>
      </c>
      <c r="K338" s="2588"/>
      <c r="L338" s="2589"/>
      <c r="M338" s="1086">
        <f t="shared" si="82"/>
        <v>0</v>
      </c>
      <c r="N338" s="505"/>
      <c r="O338" s="365">
        <f t="shared" si="83"/>
        <v>0</v>
      </c>
      <c r="P338" s="366"/>
      <c r="Q338" s="135"/>
      <c r="R338" s="136"/>
      <c r="S338" s="129"/>
      <c r="T338" s="129"/>
      <c r="U338" s="129"/>
      <c r="V338" s="129"/>
      <c r="W338" s="129"/>
      <c r="X338" s="129"/>
      <c r="Y338" s="129"/>
      <c r="Z338" s="133"/>
      <c r="AA338" s="133"/>
      <c r="AB338" s="133"/>
      <c r="AC338" s="133"/>
      <c r="AD338" s="133"/>
      <c r="AE338" s="133"/>
      <c r="AF338" s="222"/>
      <c r="AG338" s="222"/>
      <c r="AH338" s="222"/>
      <c r="AI338" s="176"/>
      <c r="AJ338" s="176"/>
      <c r="AK338" s="176"/>
      <c r="AL338" s="176"/>
      <c r="AM338" s="176"/>
      <c r="AN338" s="176"/>
      <c r="AO338" s="176"/>
      <c r="AP338" s="176"/>
      <c r="AQ338" s="176"/>
      <c r="AR338" s="176"/>
      <c r="AS338" s="176"/>
      <c r="AT338" s="176"/>
      <c r="AU338" s="176"/>
      <c r="AV338" s="176"/>
      <c r="AW338" s="176"/>
      <c r="AX338" s="176"/>
      <c r="AY338" s="176"/>
      <c r="AZ338" s="176"/>
      <c r="BA338" s="176"/>
      <c r="BB338" s="176"/>
      <c r="BC338" s="176"/>
      <c r="BD338" s="176"/>
      <c r="BE338" s="176"/>
      <c r="BF338" s="176"/>
      <c r="BG338" s="176"/>
      <c r="BH338" s="176"/>
      <c r="BI338" s="176"/>
      <c r="BJ338" s="176"/>
      <c r="BK338" s="176"/>
      <c r="BL338" s="176"/>
      <c r="BM338" s="176"/>
      <c r="BN338" s="176"/>
      <c r="BO338" s="176"/>
    </row>
    <row r="339" spans="1:67" s="36" customFormat="1" ht="10.5" customHeight="1" x14ac:dyDescent="0.2">
      <c r="A339" s="1055"/>
      <c r="B339" s="2594"/>
      <c r="C339" s="2595"/>
      <c r="D339" s="2596"/>
      <c r="E339" s="2395"/>
      <c r="F339" s="2396"/>
      <c r="G339" s="2590"/>
      <c r="H339" s="2591"/>
      <c r="I339" s="1081">
        <f t="shared" si="80"/>
        <v>0</v>
      </c>
      <c r="J339" s="1082">
        <f t="shared" si="81"/>
        <v>0</v>
      </c>
      <c r="K339" s="2588"/>
      <c r="L339" s="2589"/>
      <c r="M339" s="1086">
        <f t="shared" si="82"/>
        <v>0</v>
      </c>
      <c r="N339" s="505"/>
      <c r="O339" s="365">
        <f t="shared" si="83"/>
        <v>0</v>
      </c>
      <c r="P339" s="366"/>
      <c r="Q339" s="135"/>
      <c r="R339" s="136"/>
      <c r="S339" s="129"/>
      <c r="T339" s="129"/>
      <c r="U339" s="129"/>
      <c r="V339" s="129"/>
      <c r="W339" s="129"/>
      <c r="X339" s="129"/>
      <c r="Y339" s="129"/>
      <c r="Z339" s="133"/>
      <c r="AA339" s="133"/>
      <c r="AB339" s="133"/>
      <c r="AC339" s="133"/>
      <c r="AD339" s="133"/>
      <c r="AE339" s="133"/>
      <c r="AF339" s="222"/>
      <c r="AG339" s="222"/>
      <c r="AH339" s="222"/>
      <c r="AI339" s="176"/>
      <c r="AJ339" s="176"/>
      <c r="AK339" s="176"/>
      <c r="AL339" s="176"/>
      <c r="AM339" s="176"/>
      <c r="AN339" s="176"/>
      <c r="AO339" s="176"/>
      <c r="AP339" s="176"/>
      <c r="AQ339" s="176"/>
      <c r="AR339" s="176"/>
      <c r="AS339" s="176"/>
      <c r="AT339" s="176"/>
      <c r="AU339" s="176"/>
      <c r="AV339" s="176"/>
      <c r="AW339" s="176"/>
      <c r="AX339" s="176"/>
      <c r="AY339" s="176"/>
      <c r="AZ339" s="176"/>
      <c r="BA339" s="176"/>
      <c r="BB339" s="176"/>
      <c r="BC339" s="176"/>
      <c r="BD339" s="176"/>
      <c r="BE339" s="176"/>
      <c r="BF339" s="176"/>
      <c r="BG339" s="176"/>
      <c r="BH339" s="176"/>
      <c r="BI339" s="176"/>
      <c r="BJ339" s="176"/>
      <c r="BK339" s="176"/>
      <c r="BL339" s="176"/>
      <c r="BM339" s="176"/>
      <c r="BN339" s="176"/>
      <c r="BO339" s="176"/>
    </row>
    <row r="340" spans="1:67" s="36" customFormat="1" ht="10.5" customHeight="1" x14ac:dyDescent="0.2">
      <c r="A340" s="1348"/>
      <c r="B340" s="2690"/>
      <c r="C340" s="2691"/>
      <c r="D340" s="2692"/>
      <c r="E340" s="2601"/>
      <c r="F340" s="2602"/>
      <c r="G340" s="1088"/>
      <c r="H340" s="1089"/>
      <c r="I340" s="1083">
        <f t="shared" si="80"/>
        <v>0</v>
      </c>
      <c r="J340" s="1084"/>
      <c r="K340" s="1087"/>
      <c r="L340" s="1307"/>
      <c r="M340" s="1317">
        <f t="shared" si="82"/>
        <v>0</v>
      </c>
      <c r="N340" s="505"/>
      <c r="O340" s="365">
        <f t="shared" si="83"/>
        <v>0</v>
      </c>
      <c r="P340" s="366"/>
      <c r="Q340" s="135"/>
      <c r="R340" s="136"/>
      <c r="S340" s="129"/>
      <c r="T340" s="129"/>
      <c r="U340" s="129"/>
      <c r="V340" s="129"/>
      <c r="W340" s="129"/>
      <c r="X340" s="129"/>
      <c r="Y340" s="129"/>
      <c r="Z340" s="133"/>
      <c r="AA340" s="133"/>
      <c r="AB340" s="133"/>
      <c r="AC340" s="133"/>
      <c r="AD340" s="133"/>
      <c r="AE340" s="133"/>
      <c r="AF340" s="222"/>
      <c r="AG340" s="222"/>
      <c r="AH340" s="222"/>
      <c r="AI340" s="176"/>
      <c r="AJ340" s="176"/>
      <c r="AK340" s="176"/>
      <c r="AL340" s="176"/>
      <c r="AM340" s="176"/>
      <c r="AN340" s="176"/>
      <c r="AO340" s="176"/>
      <c r="AP340" s="176"/>
      <c r="AQ340" s="176"/>
      <c r="AR340" s="176"/>
      <c r="AS340" s="176"/>
      <c r="AT340" s="176"/>
      <c r="AU340" s="176"/>
      <c r="AV340" s="176"/>
      <c r="AW340" s="176"/>
      <c r="AX340" s="176"/>
      <c r="AY340" s="176"/>
      <c r="AZ340" s="176"/>
      <c r="BA340" s="176"/>
      <c r="BB340" s="176"/>
      <c r="BC340" s="176"/>
      <c r="BD340" s="176"/>
      <c r="BE340" s="176"/>
      <c r="BF340" s="176"/>
      <c r="BG340" s="176"/>
      <c r="BH340" s="176"/>
      <c r="BI340" s="176"/>
      <c r="BJ340" s="176"/>
      <c r="BK340" s="176"/>
      <c r="BL340" s="176"/>
      <c r="BM340" s="176"/>
      <c r="BN340" s="176"/>
      <c r="BO340" s="176"/>
    </row>
    <row r="341" spans="1:67" s="36" customFormat="1" ht="10.5" customHeight="1" x14ac:dyDescent="0.2">
      <c r="A341" s="1345" t="s">
        <v>371</v>
      </c>
      <c r="B341" s="2603"/>
      <c r="C341" s="2604"/>
      <c r="D341" s="2605"/>
      <c r="E341" s="2730">
        <f>SUM(E342:E354)</f>
        <v>0</v>
      </c>
      <c r="F341" s="2731"/>
      <c r="G341" s="2732"/>
      <c r="H341" s="2733"/>
      <c r="I341" s="1121">
        <f>IF(E341=0,0,J341/E341)</f>
        <v>0</v>
      </c>
      <c r="J341" s="1346">
        <f>SUM(J342:J354)</f>
        <v>0</v>
      </c>
      <c r="K341" s="2622"/>
      <c r="L341" s="2623"/>
      <c r="M341" s="1347">
        <f t="shared" si="82"/>
        <v>0</v>
      </c>
      <c r="N341" s="505"/>
      <c r="O341" s="178">
        <f>IF(H341="",G341,H341)</f>
        <v>0</v>
      </c>
      <c r="P341" s="366"/>
      <c r="Q341" s="135"/>
      <c r="R341" s="136"/>
      <c r="S341" s="129"/>
      <c r="T341" s="129"/>
      <c r="U341" s="129"/>
      <c r="V341" s="129"/>
      <c r="W341" s="129"/>
      <c r="X341" s="129"/>
      <c r="Y341" s="129"/>
      <c r="Z341" s="133"/>
      <c r="AA341" s="133"/>
      <c r="AB341" s="133"/>
      <c r="AC341" s="133"/>
      <c r="AD341" s="133"/>
      <c r="AE341" s="133"/>
      <c r="AF341" s="222"/>
      <c r="AG341" s="222"/>
      <c r="AH341" s="222"/>
      <c r="AI341" s="176"/>
      <c r="AJ341" s="176"/>
      <c r="AK341" s="176"/>
      <c r="AL341" s="176"/>
      <c r="AM341" s="176"/>
      <c r="AN341" s="176"/>
      <c r="AO341" s="176"/>
      <c r="AP341" s="176"/>
      <c r="AQ341" s="176"/>
      <c r="AR341" s="176"/>
      <c r="AS341" s="176"/>
      <c r="AT341" s="176"/>
      <c r="AU341" s="176"/>
      <c r="AV341" s="176"/>
      <c r="AW341" s="176"/>
      <c r="AX341" s="176"/>
      <c r="AY341" s="176"/>
      <c r="AZ341" s="176"/>
      <c r="BA341" s="176"/>
      <c r="BB341" s="176"/>
      <c r="BC341" s="176"/>
      <c r="BD341" s="176"/>
      <c r="BE341" s="176"/>
      <c r="BF341" s="176"/>
      <c r="BG341" s="176"/>
      <c r="BH341" s="176"/>
      <c r="BI341" s="176"/>
      <c r="BJ341" s="176"/>
      <c r="BK341" s="176"/>
      <c r="BL341" s="176"/>
      <c r="BM341" s="176"/>
      <c r="BN341" s="176"/>
      <c r="BO341" s="176"/>
    </row>
    <row r="342" spans="1:67" s="36" customFormat="1" ht="10.5" customHeight="1" x14ac:dyDescent="0.2">
      <c r="A342" s="1353" t="s">
        <v>446</v>
      </c>
      <c r="B342" s="2753"/>
      <c r="C342" s="2754"/>
      <c r="D342" s="2755"/>
      <c r="E342" s="2627">
        <f>IF(E344=0,ROUND(E368,-2),0)</f>
        <v>0</v>
      </c>
      <c r="F342" s="2628" t="e">
        <f>IF(F344=0,ROUND(#REF!,-2),0)</f>
        <v>#REF!</v>
      </c>
      <c r="G342" s="1056">
        <v>20</v>
      </c>
      <c r="H342" s="1057"/>
      <c r="I342" s="1079">
        <f t="shared" ref="I342:I354" si="84">IF($O342&gt;0,-PMT(($I$9),$O342,1),0)</f>
        <v>6.2642070767998229E-2</v>
      </c>
      <c r="J342" s="1080">
        <f t="shared" ref="J342:J354" si="85">ROUND(E342*I342,0)</f>
        <v>0</v>
      </c>
      <c r="K342" s="1165"/>
      <c r="L342" s="1310"/>
      <c r="M342" s="1320">
        <f t="shared" si="82"/>
        <v>0</v>
      </c>
      <c r="N342" s="505"/>
      <c r="O342" s="365">
        <f t="shared" ref="O342:O350" si="86">IF(ISBLANK(H342),G342,H342)</f>
        <v>20</v>
      </c>
      <c r="P342" s="366"/>
      <c r="Q342" s="135"/>
      <c r="R342" s="136"/>
      <c r="S342" s="129"/>
      <c r="T342" s="129"/>
      <c r="U342" s="129"/>
      <c r="V342" s="129"/>
      <c r="W342" s="129"/>
      <c r="X342" s="129"/>
      <c r="Y342" s="129"/>
      <c r="Z342" s="133"/>
      <c r="AA342" s="133"/>
      <c r="AB342" s="133"/>
      <c r="AC342" s="133"/>
      <c r="AD342" s="133"/>
      <c r="AE342" s="133"/>
      <c r="AF342" s="222"/>
      <c r="AG342" s="222"/>
      <c r="AH342" s="222"/>
      <c r="AI342" s="176"/>
      <c r="AJ342" s="176"/>
      <c r="AK342" s="176"/>
      <c r="AL342" s="176"/>
      <c r="AM342" s="176"/>
      <c r="AN342" s="176"/>
      <c r="AO342" s="176"/>
      <c r="AP342" s="176"/>
      <c r="AQ342" s="176"/>
      <c r="AR342" s="176"/>
      <c r="AS342" s="176"/>
      <c r="AT342" s="176"/>
      <c r="AU342" s="176"/>
      <c r="AV342" s="176"/>
      <c r="AW342" s="176"/>
      <c r="AX342" s="176"/>
      <c r="AY342" s="176"/>
      <c r="AZ342" s="176"/>
      <c r="BA342" s="176"/>
      <c r="BB342" s="176"/>
      <c r="BC342" s="176"/>
      <c r="BD342" s="176"/>
      <c r="BE342" s="176"/>
      <c r="BF342" s="176"/>
      <c r="BG342" s="176"/>
      <c r="BH342" s="176"/>
      <c r="BI342" s="176"/>
      <c r="BJ342" s="176"/>
      <c r="BK342" s="176"/>
      <c r="BL342" s="176"/>
      <c r="BM342" s="176"/>
      <c r="BN342" s="176"/>
      <c r="BO342" s="176"/>
    </row>
    <row r="343" spans="1:67" s="36" customFormat="1" ht="10.5" customHeight="1" x14ac:dyDescent="0.2">
      <c r="A343" s="1354" t="s">
        <v>447</v>
      </c>
      <c r="B343" s="2750"/>
      <c r="C343" s="2751"/>
      <c r="D343" s="2752"/>
      <c r="E343" s="2599">
        <f>IF(E345=0,ROUND(E380,-2),0)</f>
        <v>0</v>
      </c>
      <c r="F343" s="2600">
        <f>IF(F345=0,ROUND(F396,-2),0)</f>
        <v>0</v>
      </c>
      <c r="G343" s="1058">
        <v>20</v>
      </c>
      <c r="H343" s="1059"/>
      <c r="I343" s="1081">
        <f t="shared" si="84"/>
        <v>6.2642070767998229E-2</v>
      </c>
      <c r="J343" s="1082">
        <f t="shared" si="85"/>
        <v>0</v>
      </c>
      <c r="K343" s="1287"/>
      <c r="L343" s="1315"/>
      <c r="M343" s="1321">
        <f t="shared" si="82"/>
        <v>0</v>
      </c>
      <c r="N343" s="505"/>
      <c r="O343" s="365">
        <f t="shared" si="86"/>
        <v>20</v>
      </c>
      <c r="P343" s="366"/>
      <c r="Q343" s="135"/>
      <c r="R343" s="136"/>
      <c r="S343" s="129"/>
      <c r="T343" s="129"/>
      <c r="U343" s="129"/>
      <c r="V343" s="129"/>
      <c r="W343" s="129"/>
      <c r="X343" s="129"/>
      <c r="Y343" s="129"/>
      <c r="Z343" s="133"/>
      <c r="AA343" s="133"/>
      <c r="AB343" s="133"/>
      <c r="AC343" s="133"/>
      <c r="AD343" s="133"/>
      <c r="AE343" s="133"/>
      <c r="AF343" s="222"/>
      <c r="AG343" s="222"/>
      <c r="AH343" s="222"/>
      <c r="AI343" s="176"/>
      <c r="AJ343" s="176"/>
      <c r="AK343" s="176"/>
      <c r="AL343" s="176"/>
      <c r="AM343" s="176"/>
      <c r="AN343" s="176"/>
      <c r="AO343" s="176"/>
      <c r="AP343" s="176"/>
      <c r="AQ343" s="176"/>
      <c r="AR343" s="176"/>
      <c r="AS343" s="176"/>
      <c r="AT343" s="176"/>
      <c r="AU343" s="176"/>
      <c r="AV343" s="176"/>
      <c r="AW343" s="176"/>
      <c r="AX343" s="176"/>
      <c r="AY343" s="176"/>
      <c r="AZ343" s="176"/>
      <c r="BA343" s="176"/>
      <c r="BB343" s="176"/>
      <c r="BC343" s="176"/>
      <c r="BD343" s="176"/>
      <c r="BE343" s="176"/>
      <c r="BF343" s="176"/>
      <c r="BG343" s="176"/>
      <c r="BH343" s="176"/>
      <c r="BI343" s="176"/>
      <c r="BJ343" s="176"/>
      <c r="BK343" s="176"/>
      <c r="BL343" s="176"/>
      <c r="BM343" s="176"/>
      <c r="BN343" s="176"/>
      <c r="BO343" s="176"/>
    </row>
    <row r="344" spans="1:67" s="36" customFormat="1" ht="10.5" customHeight="1" x14ac:dyDescent="0.2">
      <c r="A344" s="1354" t="s">
        <v>372</v>
      </c>
      <c r="B344" s="2750"/>
      <c r="C344" s="2751"/>
      <c r="D344" s="2752"/>
      <c r="E344" s="2599">
        <f>E389</f>
        <v>0</v>
      </c>
      <c r="F344" s="2600"/>
      <c r="G344" s="1058">
        <v>20</v>
      </c>
      <c r="H344" s="1059"/>
      <c r="I344" s="1081">
        <f t="shared" si="84"/>
        <v>6.2642070767998229E-2</v>
      </c>
      <c r="J344" s="1082">
        <f t="shared" si="85"/>
        <v>0</v>
      </c>
      <c r="K344" s="1287"/>
      <c r="L344" s="1315"/>
      <c r="M344" s="1321">
        <f t="shared" si="82"/>
        <v>0</v>
      </c>
      <c r="N344" s="505"/>
      <c r="O344" s="365">
        <f t="shared" si="86"/>
        <v>20</v>
      </c>
      <c r="P344" s="366"/>
      <c r="Q344" s="135"/>
      <c r="R344" s="136"/>
      <c r="S344" s="129"/>
      <c r="T344" s="129"/>
      <c r="U344" s="129"/>
      <c r="V344" s="129"/>
      <c r="W344" s="129"/>
      <c r="X344" s="129"/>
      <c r="Y344" s="129"/>
      <c r="Z344" s="133"/>
      <c r="AA344" s="133"/>
      <c r="AB344" s="133"/>
      <c r="AC344" s="133"/>
      <c r="AD344" s="133"/>
      <c r="AE344" s="133"/>
      <c r="AF344" s="222"/>
      <c r="AG344" s="222"/>
      <c r="AH344" s="222"/>
      <c r="AI344" s="176"/>
      <c r="AJ344" s="176"/>
      <c r="AK344" s="176"/>
      <c r="AL344" s="176"/>
      <c r="AM344" s="176"/>
      <c r="AN344" s="176"/>
      <c r="AO344" s="176"/>
      <c r="AP344" s="176"/>
      <c r="AQ344" s="176"/>
      <c r="AR344" s="176"/>
      <c r="AS344" s="176"/>
      <c r="AT344" s="176"/>
      <c r="AU344" s="176"/>
      <c r="AV344" s="176"/>
      <c r="AW344" s="176"/>
      <c r="AX344" s="176"/>
      <c r="AY344" s="176"/>
      <c r="AZ344" s="176"/>
      <c r="BA344" s="176"/>
      <c r="BB344" s="176"/>
      <c r="BC344" s="176"/>
      <c r="BD344" s="176"/>
      <c r="BE344" s="176"/>
      <c r="BF344" s="176"/>
      <c r="BG344" s="176"/>
      <c r="BH344" s="176"/>
      <c r="BI344" s="176"/>
      <c r="BJ344" s="176"/>
      <c r="BK344" s="176"/>
      <c r="BL344" s="176"/>
      <c r="BM344" s="176"/>
      <c r="BN344" s="176"/>
      <c r="BO344" s="176"/>
    </row>
    <row r="345" spans="1:67" s="36" customFormat="1" ht="10.5" customHeight="1" x14ac:dyDescent="0.2">
      <c r="A345" s="1354" t="s">
        <v>373</v>
      </c>
      <c r="B345" s="2750"/>
      <c r="C345" s="2751"/>
      <c r="D345" s="2752"/>
      <c r="E345" s="2599">
        <f>E396</f>
        <v>0</v>
      </c>
      <c r="F345" s="2600"/>
      <c r="G345" s="1058">
        <v>20</v>
      </c>
      <c r="H345" s="1059"/>
      <c r="I345" s="1081">
        <f t="shared" si="84"/>
        <v>6.2642070767998229E-2</v>
      </c>
      <c r="J345" s="1082">
        <f t="shared" si="85"/>
        <v>0</v>
      </c>
      <c r="K345" s="1287"/>
      <c r="L345" s="1315"/>
      <c r="M345" s="1321">
        <f t="shared" si="82"/>
        <v>0</v>
      </c>
      <c r="N345" s="505"/>
      <c r="O345" s="365">
        <f t="shared" si="86"/>
        <v>20</v>
      </c>
      <c r="P345" s="366"/>
      <c r="Q345" s="135"/>
      <c r="R345" s="136"/>
      <c r="S345" s="129"/>
      <c r="T345" s="129"/>
      <c r="U345" s="129"/>
      <c r="V345" s="129"/>
      <c r="W345" s="129"/>
      <c r="X345" s="129"/>
      <c r="Y345" s="129"/>
      <c r="Z345" s="133"/>
      <c r="AA345" s="133"/>
      <c r="AB345" s="133"/>
      <c r="AC345" s="133"/>
      <c r="AD345" s="133"/>
      <c r="AE345" s="133"/>
      <c r="AF345" s="222"/>
      <c r="AG345" s="222"/>
      <c r="AH345" s="222"/>
      <c r="AI345" s="176"/>
      <c r="AJ345" s="176"/>
      <c r="AK345" s="176"/>
      <c r="AL345" s="176"/>
      <c r="AM345" s="176"/>
      <c r="AN345" s="176"/>
      <c r="AO345" s="176"/>
      <c r="AP345" s="176"/>
      <c r="AQ345" s="176"/>
      <c r="AR345" s="176"/>
      <c r="AS345" s="176"/>
      <c r="AT345" s="176"/>
      <c r="AU345" s="176"/>
      <c r="AV345" s="176"/>
      <c r="AW345" s="176"/>
      <c r="AX345" s="176"/>
      <c r="AY345" s="176"/>
      <c r="AZ345" s="176"/>
      <c r="BA345" s="176"/>
      <c r="BB345" s="176"/>
      <c r="BC345" s="176"/>
      <c r="BD345" s="176"/>
      <c r="BE345" s="176"/>
      <c r="BF345" s="176"/>
      <c r="BG345" s="176"/>
      <c r="BH345" s="176"/>
      <c r="BI345" s="176"/>
      <c r="BJ345" s="176"/>
      <c r="BK345" s="176"/>
      <c r="BL345" s="176"/>
      <c r="BM345" s="176"/>
      <c r="BN345" s="176"/>
      <c r="BO345" s="176"/>
    </row>
    <row r="346" spans="1:67" s="36" customFormat="1" ht="10.5" customHeight="1" x14ac:dyDescent="0.2">
      <c r="A346" s="1354" t="s">
        <v>426</v>
      </c>
      <c r="B346" s="2750"/>
      <c r="C346" s="2751"/>
      <c r="D346" s="2752"/>
      <c r="E346" s="2395"/>
      <c r="F346" s="2396"/>
      <c r="G346" s="1058">
        <v>20</v>
      </c>
      <c r="H346" s="1059"/>
      <c r="I346" s="1081">
        <f t="shared" si="84"/>
        <v>6.2642070767998229E-2</v>
      </c>
      <c r="J346" s="1082">
        <f t="shared" si="85"/>
        <v>0</v>
      </c>
      <c r="K346" s="1287"/>
      <c r="L346" s="1315"/>
      <c r="M346" s="1321">
        <f t="shared" si="82"/>
        <v>0</v>
      </c>
      <c r="N346" s="505"/>
      <c r="O346" s="365">
        <f t="shared" si="86"/>
        <v>20</v>
      </c>
      <c r="P346" s="366"/>
      <c r="Q346" s="135"/>
      <c r="R346" s="136"/>
      <c r="S346" s="129"/>
      <c r="T346" s="129"/>
      <c r="U346" s="129"/>
      <c r="V346" s="129"/>
      <c r="W346" s="129"/>
      <c r="X346" s="129"/>
      <c r="Y346" s="129"/>
      <c r="Z346" s="133"/>
      <c r="AA346" s="133"/>
      <c r="AB346" s="133"/>
      <c r="AC346" s="133"/>
      <c r="AD346" s="133"/>
      <c r="AE346" s="133"/>
      <c r="AF346" s="222"/>
      <c r="AG346" s="222"/>
      <c r="AH346" s="222"/>
      <c r="AI346" s="176"/>
      <c r="AJ346" s="176"/>
      <c r="AK346" s="176"/>
      <c r="AL346" s="176"/>
      <c r="AM346" s="176"/>
      <c r="AN346" s="176"/>
      <c r="AO346" s="176"/>
      <c r="AP346" s="176"/>
      <c r="AQ346" s="176"/>
      <c r="AR346" s="176"/>
      <c r="AS346" s="176"/>
      <c r="AT346" s="176"/>
      <c r="AU346" s="176"/>
      <c r="AV346" s="176"/>
      <c r="AW346" s="176"/>
      <c r="AX346" s="176"/>
      <c r="AY346" s="176"/>
      <c r="AZ346" s="176"/>
      <c r="BA346" s="176"/>
      <c r="BB346" s="176"/>
      <c r="BC346" s="176"/>
      <c r="BD346" s="176"/>
      <c r="BE346" s="176"/>
      <c r="BF346" s="176"/>
      <c r="BG346" s="176"/>
      <c r="BH346" s="176"/>
      <c r="BI346" s="176"/>
      <c r="BJ346" s="176"/>
      <c r="BK346" s="176"/>
      <c r="BL346" s="176"/>
      <c r="BM346" s="176"/>
      <c r="BN346" s="176"/>
      <c r="BO346" s="176"/>
    </row>
    <row r="347" spans="1:67" s="36" customFormat="1" ht="10.5" customHeight="1" x14ac:dyDescent="0.2">
      <c r="A347" s="1354" t="s">
        <v>448</v>
      </c>
      <c r="B347" s="2750"/>
      <c r="C347" s="2751"/>
      <c r="D347" s="2752"/>
      <c r="E347" s="2395"/>
      <c r="F347" s="2396"/>
      <c r="G347" s="1058">
        <v>20</v>
      </c>
      <c r="H347" s="1059"/>
      <c r="I347" s="1081">
        <f t="shared" si="84"/>
        <v>6.2642070767998229E-2</v>
      </c>
      <c r="J347" s="1082">
        <f t="shared" si="85"/>
        <v>0</v>
      </c>
      <c r="K347" s="1287"/>
      <c r="L347" s="1315"/>
      <c r="M347" s="1321">
        <f t="shared" si="82"/>
        <v>0</v>
      </c>
      <c r="N347" s="505"/>
      <c r="O347" s="365">
        <f t="shared" si="86"/>
        <v>20</v>
      </c>
      <c r="P347" s="366"/>
      <c r="Q347" s="135"/>
      <c r="R347" s="136"/>
      <c r="S347" s="129"/>
      <c r="T347" s="129"/>
      <c r="U347" s="129"/>
      <c r="V347" s="129"/>
      <c r="W347" s="129"/>
      <c r="X347" s="129"/>
      <c r="Y347" s="129"/>
      <c r="Z347" s="133"/>
      <c r="AA347" s="133"/>
      <c r="AB347" s="133"/>
      <c r="AC347" s="133"/>
      <c r="AD347" s="133"/>
      <c r="AE347" s="133"/>
      <c r="AF347" s="222"/>
      <c r="AG347" s="222"/>
      <c r="AH347" s="222"/>
      <c r="AI347" s="176"/>
      <c r="AJ347" s="176"/>
      <c r="AK347" s="176"/>
      <c r="AL347" s="176"/>
      <c r="AM347" s="176"/>
      <c r="AN347" s="176"/>
      <c r="AO347" s="176"/>
      <c r="AP347" s="176"/>
      <c r="AQ347" s="176"/>
      <c r="AR347" s="176"/>
      <c r="AS347" s="176"/>
      <c r="AT347" s="176"/>
      <c r="AU347" s="176"/>
      <c r="AV347" s="176"/>
      <c r="AW347" s="176"/>
      <c r="AX347" s="176"/>
      <c r="AY347" s="176"/>
      <c r="AZ347" s="176"/>
      <c r="BA347" s="176"/>
      <c r="BB347" s="176"/>
      <c r="BC347" s="176"/>
      <c r="BD347" s="176"/>
      <c r="BE347" s="176"/>
      <c r="BF347" s="176"/>
      <c r="BG347" s="176"/>
      <c r="BH347" s="176"/>
      <c r="BI347" s="176"/>
      <c r="BJ347" s="176"/>
      <c r="BK347" s="176"/>
      <c r="BL347" s="176"/>
      <c r="BM347" s="176"/>
      <c r="BN347" s="176"/>
      <c r="BO347" s="176"/>
    </row>
    <row r="348" spans="1:67" s="36" customFormat="1" ht="10.5" customHeight="1" x14ac:dyDescent="0.2">
      <c r="A348" s="1354" t="s">
        <v>374</v>
      </c>
      <c r="B348" s="2750"/>
      <c r="C348" s="2751"/>
      <c r="D348" s="2752"/>
      <c r="E348" s="2395"/>
      <c r="F348" s="2396"/>
      <c r="G348" s="1058">
        <v>20</v>
      </c>
      <c r="H348" s="1059"/>
      <c r="I348" s="1081">
        <f t="shared" si="84"/>
        <v>6.2642070767998229E-2</v>
      </c>
      <c r="J348" s="1082">
        <f t="shared" si="85"/>
        <v>0</v>
      </c>
      <c r="K348" s="1287"/>
      <c r="L348" s="1315"/>
      <c r="M348" s="1321">
        <f t="shared" si="82"/>
        <v>0</v>
      </c>
      <c r="N348" s="505"/>
      <c r="O348" s="365">
        <f t="shared" si="86"/>
        <v>20</v>
      </c>
      <c r="P348" s="366"/>
      <c r="Q348" s="135"/>
      <c r="R348" s="136"/>
      <c r="S348" s="129"/>
      <c r="T348" s="129"/>
      <c r="U348" s="129"/>
      <c r="V348" s="129"/>
      <c r="W348" s="129"/>
      <c r="X348" s="129"/>
      <c r="Y348" s="129"/>
      <c r="Z348" s="133"/>
      <c r="AA348" s="133"/>
      <c r="AB348" s="133"/>
      <c r="AC348" s="133"/>
      <c r="AD348" s="133"/>
      <c r="AE348" s="133"/>
      <c r="AF348" s="222"/>
      <c r="AG348" s="222"/>
      <c r="AH348" s="222"/>
      <c r="AI348" s="176"/>
      <c r="AJ348" s="176"/>
      <c r="AK348" s="176"/>
      <c r="AL348" s="176"/>
      <c r="AM348" s="176"/>
      <c r="AN348" s="176"/>
      <c r="AO348" s="176"/>
      <c r="AP348" s="176"/>
      <c r="AQ348" s="176"/>
      <c r="AR348" s="176"/>
      <c r="AS348" s="176"/>
      <c r="AT348" s="176"/>
      <c r="AU348" s="176"/>
      <c r="AV348" s="176"/>
      <c r="AW348" s="176"/>
      <c r="AX348" s="176"/>
      <c r="AY348" s="176"/>
      <c r="AZ348" s="176"/>
      <c r="BA348" s="176"/>
      <c r="BB348" s="176"/>
      <c r="BC348" s="176"/>
      <c r="BD348" s="176"/>
      <c r="BE348" s="176"/>
      <c r="BF348" s="176"/>
      <c r="BG348" s="176"/>
      <c r="BH348" s="176"/>
      <c r="BI348" s="176"/>
      <c r="BJ348" s="176"/>
      <c r="BK348" s="176"/>
      <c r="BL348" s="176"/>
      <c r="BM348" s="176"/>
      <c r="BN348" s="176"/>
      <c r="BO348" s="176"/>
    </row>
    <row r="349" spans="1:67" s="36" customFormat="1" ht="10.5" customHeight="1" x14ac:dyDescent="0.2">
      <c r="A349" s="1354" t="s">
        <v>449</v>
      </c>
      <c r="B349" s="2750"/>
      <c r="C349" s="2751"/>
      <c r="D349" s="2752"/>
      <c r="E349" s="2395"/>
      <c r="F349" s="2396"/>
      <c r="G349" s="1058">
        <v>20</v>
      </c>
      <c r="H349" s="1059"/>
      <c r="I349" s="1081">
        <f t="shared" si="84"/>
        <v>6.2642070767998229E-2</v>
      </c>
      <c r="J349" s="1082">
        <f t="shared" si="85"/>
        <v>0</v>
      </c>
      <c r="K349" s="1287"/>
      <c r="L349" s="1315"/>
      <c r="M349" s="1321">
        <f t="shared" si="82"/>
        <v>0</v>
      </c>
      <c r="N349" s="505"/>
      <c r="O349" s="365">
        <f t="shared" si="86"/>
        <v>20</v>
      </c>
      <c r="P349" s="366"/>
      <c r="Q349" s="135"/>
      <c r="R349" s="136"/>
      <c r="S349" s="129"/>
      <c r="T349" s="129"/>
      <c r="U349" s="129"/>
      <c r="V349" s="129"/>
      <c r="W349" s="129"/>
      <c r="X349" s="129"/>
      <c r="Y349" s="129"/>
      <c r="Z349" s="133"/>
      <c r="AA349" s="133"/>
      <c r="AB349" s="133"/>
      <c r="AC349" s="133"/>
      <c r="AD349" s="133"/>
      <c r="AE349" s="133"/>
      <c r="AF349" s="222"/>
      <c r="AG349" s="222"/>
      <c r="AH349" s="222"/>
      <c r="AI349" s="176"/>
      <c r="AJ349" s="176"/>
      <c r="AK349" s="176"/>
      <c r="AL349" s="176"/>
      <c r="AM349" s="176"/>
      <c r="AN349" s="176"/>
      <c r="AO349" s="176"/>
      <c r="AP349" s="176"/>
      <c r="AQ349" s="176"/>
      <c r="AR349" s="176"/>
      <c r="AS349" s="176"/>
      <c r="AT349" s="176"/>
      <c r="AU349" s="176"/>
      <c r="AV349" s="176"/>
      <c r="AW349" s="176"/>
      <c r="AX349" s="176"/>
      <c r="AY349" s="176"/>
      <c r="AZ349" s="176"/>
      <c r="BA349" s="176"/>
      <c r="BB349" s="176"/>
      <c r="BC349" s="176"/>
      <c r="BD349" s="176"/>
      <c r="BE349" s="176"/>
      <c r="BF349" s="176"/>
      <c r="BG349" s="176"/>
      <c r="BH349" s="176"/>
      <c r="BI349" s="176"/>
      <c r="BJ349" s="176"/>
      <c r="BK349" s="176"/>
      <c r="BL349" s="176"/>
      <c r="BM349" s="176"/>
      <c r="BN349" s="176"/>
      <c r="BO349" s="176"/>
    </row>
    <row r="350" spans="1:67" s="36" customFormat="1" ht="10.5" customHeight="1" x14ac:dyDescent="0.2">
      <c r="A350" s="1354" t="s">
        <v>375</v>
      </c>
      <c r="B350" s="2750"/>
      <c r="C350" s="2751"/>
      <c r="D350" s="2752"/>
      <c r="E350" s="2395"/>
      <c r="F350" s="2396"/>
      <c r="G350" s="1058">
        <v>20</v>
      </c>
      <c r="H350" s="1059"/>
      <c r="I350" s="1081">
        <f t="shared" si="84"/>
        <v>6.2642070767998229E-2</v>
      </c>
      <c r="J350" s="1082">
        <f t="shared" si="85"/>
        <v>0</v>
      </c>
      <c r="K350" s="1287"/>
      <c r="L350" s="1315"/>
      <c r="M350" s="1321">
        <f t="shared" si="82"/>
        <v>0</v>
      </c>
      <c r="N350" s="505"/>
      <c r="O350" s="365">
        <f t="shared" si="86"/>
        <v>20</v>
      </c>
      <c r="P350" s="366"/>
      <c r="Q350" s="135"/>
      <c r="R350" s="136"/>
      <c r="S350" s="129"/>
      <c r="T350" s="129"/>
      <c r="U350" s="129"/>
      <c r="V350" s="129"/>
      <c r="W350" s="129"/>
      <c r="X350" s="129"/>
      <c r="Y350" s="129"/>
      <c r="Z350" s="133"/>
      <c r="AA350" s="133"/>
      <c r="AB350" s="133"/>
      <c r="AC350" s="133"/>
      <c r="AD350" s="133"/>
      <c r="AE350" s="133"/>
      <c r="AF350" s="222"/>
      <c r="AG350" s="222"/>
      <c r="AH350" s="222"/>
      <c r="AI350" s="176"/>
      <c r="AJ350" s="176"/>
      <c r="AK350" s="176"/>
      <c r="AL350" s="176"/>
      <c r="AM350" s="176"/>
      <c r="AN350" s="176"/>
      <c r="AO350" s="176"/>
      <c r="AP350" s="176"/>
      <c r="AQ350" s="176"/>
      <c r="AR350" s="176"/>
      <c r="AS350" s="176"/>
      <c r="AT350" s="176"/>
      <c r="AU350" s="176"/>
      <c r="AV350" s="176"/>
      <c r="AW350" s="176"/>
      <c r="AX350" s="176"/>
      <c r="AY350" s="176"/>
      <c r="AZ350" s="176"/>
      <c r="BA350" s="176"/>
      <c r="BB350" s="176"/>
      <c r="BC350" s="176"/>
      <c r="BD350" s="176"/>
      <c r="BE350" s="176"/>
      <c r="BF350" s="176"/>
      <c r="BG350" s="176"/>
      <c r="BH350" s="176"/>
      <c r="BI350" s="176"/>
      <c r="BJ350" s="176"/>
      <c r="BK350" s="176"/>
      <c r="BL350" s="176"/>
      <c r="BM350" s="176"/>
      <c r="BN350" s="176"/>
      <c r="BO350" s="176"/>
    </row>
    <row r="351" spans="1:67" s="36" customFormat="1" ht="10.5" customHeight="1" x14ac:dyDescent="0.2">
      <c r="A351" s="1354" t="s">
        <v>376</v>
      </c>
      <c r="B351" s="2750"/>
      <c r="C351" s="2751"/>
      <c r="D351" s="2752"/>
      <c r="E351" s="2395"/>
      <c r="F351" s="2396"/>
      <c r="G351" s="1058">
        <v>20</v>
      </c>
      <c r="H351" s="1059"/>
      <c r="I351" s="1081">
        <f t="shared" si="84"/>
        <v>6.2642070767998229E-2</v>
      </c>
      <c r="J351" s="1082">
        <f t="shared" si="85"/>
        <v>0</v>
      </c>
      <c r="K351" s="1287"/>
      <c r="L351" s="1315"/>
      <c r="M351" s="1321">
        <f t="shared" si="82"/>
        <v>0</v>
      </c>
      <c r="N351" s="505"/>
      <c r="O351" s="365">
        <f>IF(ISBLANK(H351),G351,H351)</f>
        <v>20</v>
      </c>
      <c r="P351" s="366"/>
      <c r="Q351" s="135"/>
      <c r="R351" s="136"/>
      <c r="S351" s="129"/>
      <c r="T351" s="129"/>
      <c r="U351" s="129"/>
      <c r="V351" s="129"/>
      <c r="W351" s="129"/>
      <c r="X351" s="129"/>
      <c r="Y351" s="129"/>
      <c r="Z351" s="133"/>
      <c r="AA351" s="133"/>
      <c r="AB351" s="133"/>
      <c r="AC351" s="133"/>
      <c r="AD351" s="133"/>
      <c r="AE351" s="133"/>
      <c r="AF351" s="222"/>
      <c r="AG351" s="222"/>
      <c r="AH351" s="222"/>
      <c r="AI351" s="176"/>
      <c r="AJ351" s="176"/>
      <c r="AK351" s="176"/>
      <c r="AL351" s="176"/>
      <c r="AM351" s="176"/>
      <c r="AN351" s="176"/>
      <c r="AO351" s="176"/>
      <c r="AP351" s="176"/>
      <c r="AQ351" s="176"/>
      <c r="AR351" s="176"/>
      <c r="AS351" s="176"/>
      <c r="AT351" s="176"/>
      <c r="AU351" s="176"/>
      <c r="AV351" s="176"/>
      <c r="AW351" s="176"/>
      <c r="AX351" s="176"/>
      <c r="AY351" s="176"/>
      <c r="AZ351" s="176"/>
      <c r="BA351" s="176"/>
      <c r="BB351" s="176"/>
      <c r="BC351" s="176"/>
      <c r="BD351" s="176"/>
      <c r="BE351" s="176"/>
      <c r="BF351" s="176"/>
      <c r="BG351" s="176"/>
      <c r="BH351" s="176"/>
      <c r="BI351" s="176"/>
      <c r="BJ351" s="176"/>
      <c r="BK351" s="176"/>
      <c r="BL351" s="176"/>
      <c r="BM351" s="176"/>
      <c r="BN351" s="176"/>
      <c r="BO351" s="176"/>
    </row>
    <row r="352" spans="1:67" s="36" customFormat="1" ht="10.5" customHeight="1" x14ac:dyDescent="0.2">
      <c r="A352" s="1354" t="s">
        <v>377</v>
      </c>
      <c r="B352" s="2750"/>
      <c r="C352" s="2751"/>
      <c r="D352" s="2752"/>
      <c r="E352" s="2395"/>
      <c r="F352" s="2396"/>
      <c r="G352" s="1058">
        <v>20</v>
      </c>
      <c r="H352" s="1059"/>
      <c r="I352" s="1081">
        <f t="shared" si="84"/>
        <v>6.2642070767998229E-2</v>
      </c>
      <c r="J352" s="1082">
        <f t="shared" si="85"/>
        <v>0</v>
      </c>
      <c r="K352" s="1287"/>
      <c r="L352" s="1315"/>
      <c r="M352" s="1321">
        <f t="shared" si="82"/>
        <v>0</v>
      </c>
      <c r="N352" s="505"/>
      <c r="O352" s="365">
        <f>IF(ISBLANK(H352),G352,H352)</f>
        <v>20</v>
      </c>
      <c r="P352" s="366"/>
      <c r="Q352" s="135"/>
      <c r="R352" s="136"/>
      <c r="S352" s="129"/>
      <c r="T352" s="129"/>
      <c r="U352" s="129"/>
      <c r="V352" s="129"/>
      <c r="W352" s="129"/>
      <c r="X352" s="129"/>
      <c r="Y352" s="129"/>
      <c r="Z352" s="133"/>
      <c r="AA352" s="133"/>
      <c r="AB352" s="133"/>
      <c r="AC352" s="133"/>
      <c r="AD352" s="133"/>
      <c r="AE352" s="133"/>
      <c r="AF352" s="222"/>
      <c r="AG352" s="222"/>
      <c r="AH352" s="222"/>
      <c r="AI352" s="176"/>
      <c r="AJ352" s="176"/>
      <c r="AK352" s="176"/>
      <c r="AL352" s="176"/>
      <c r="AM352" s="176"/>
      <c r="AN352" s="176"/>
      <c r="AO352" s="176"/>
      <c r="AP352" s="176"/>
      <c r="AQ352" s="176"/>
      <c r="AR352" s="176"/>
      <c r="AS352" s="176"/>
      <c r="AT352" s="176"/>
      <c r="AU352" s="176"/>
      <c r="AV352" s="176"/>
      <c r="AW352" s="176"/>
      <c r="AX352" s="176"/>
      <c r="AY352" s="176"/>
      <c r="AZ352" s="176"/>
      <c r="BA352" s="176"/>
      <c r="BB352" s="176"/>
      <c r="BC352" s="176"/>
      <c r="BD352" s="176"/>
      <c r="BE352" s="176"/>
      <c r="BF352" s="176"/>
      <c r="BG352" s="176"/>
      <c r="BH352" s="176"/>
      <c r="BI352" s="176"/>
      <c r="BJ352" s="176"/>
      <c r="BK352" s="176"/>
      <c r="BL352" s="176"/>
      <c r="BM352" s="176"/>
      <c r="BN352" s="176"/>
      <c r="BO352" s="176"/>
    </row>
    <row r="353" spans="1:67" s="36" customFormat="1" ht="10.5" customHeight="1" x14ac:dyDescent="0.2">
      <c r="A353" s="1055"/>
      <c r="B353" s="2750"/>
      <c r="C353" s="2751"/>
      <c r="D353" s="2752"/>
      <c r="E353" s="2395"/>
      <c r="F353" s="2396"/>
      <c r="G353" s="2590"/>
      <c r="H353" s="2591"/>
      <c r="I353" s="1081">
        <f t="shared" si="84"/>
        <v>0</v>
      </c>
      <c r="J353" s="1082">
        <f t="shared" si="85"/>
        <v>0</v>
      </c>
      <c r="K353" s="1287"/>
      <c r="L353" s="1315"/>
      <c r="M353" s="1321">
        <f t="shared" si="82"/>
        <v>0</v>
      </c>
      <c r="N353" s="505"/>
      <c r="O353" s="365">
        <f>IF(ISBLANK(H353),G353,H353)</f>
        <v>0</v>
      </c>
      <c r="P353" s="366"/>
      <c r="Q353" s="135"/>
      <c r="R353" s="136"/>
      <c r="S353" s="129"/>
      <c r="T353" s="129"/>
      <c r="U353" s="129"/>
      <c r="V353" s="129"/>
      <c r="W353" s="129"/>
      <c r="X353" s="129"/>
      <c r="Y353" s="129"/>
      <c r="Z353" s="133"/>
      <c r="AA353" s="133"/>
      <c r="AB353" s="133"/>
      <c r="AC353" s="133"/>
      <c r="AD353" s="133"/>
      <c r="AE353" s="133"/>
      <c r="AF353" s="222"/>
      <c r="AG353" s="222"/>
      <c r="AH353" s="222"/>
      <c r="AI353" s="176"/>
      <c r="AJ353" s="176"/>
      <c r="AK353" s="176"/>
      <c r="AL353" s="176"/>
      <c r="AM353" s="176"/>
      <c r="AN353" s="176"/>
      <c r="AO353" s="176"/>
      <c r="AP353" s="176"/>
      <c r="AQ353" s="176"/>
      <c r="AR353" s="176"/>
      <c r="AS353" s="176"/>
      <c r="AT353" s="176"/>
      <c r="AU353" s="176"/>
      <c r="AV353" s="176"/>
      <c r="AW353" s="176"/>
      <c r="AX353" s="176"/>
      <c r="AY353" s="176"/>
      <c r="AZ353" s="176"/>
      <c r="BA353" s="176"/>
      <c r="BB353" s="176"/>
      <c r="BC353" s="176"/>
      <c r="BD353" s="176"/>
      <c r="BE353" s="176"/>
      <c r="BF353" s="176"/>
      <c r="BG353" s="176"/>
      <c r="BH353" s="176"/>
      <c r="BI353" s="176"/>
      <c r="BJ353" s="176"/>
      <c r="BK353" s="176"/>
      <c r="BL353" s="176"/>
      <c r="BM353" s="176"/>
      <c r="BN353" s="176"/>
      <c r="BO353" s="176"/>
    </row>
    <row r="354" spans="1:67" s="36" customFormat="1" ht="10.5" customHeight="1" x14ac:dyDescent="0.2">
      <c r="A354" s="1055"/>
      <c r="B354" s="2750"/>
      <c r="C354" s="2751"/>
      <c r="D354" s="2752"/>
      <c r="E354" s="2395"/>
      <c r="F354" s="2396"/>
      <c r="G354" s="2590"/>
      <c r="H354" s="2591"/>
      <c r="I354" s="1081">
        <f t="shared" si="84"/>
        <v>0</v>
      </c>
      <c r="J354" s="1082">
        <f t="shared" si="85"/>
        <v>0</v>
      </c>
      <c r="K354" s="1287"/>
      <c r="L354" s="1315"/>
      <c r="M354" s="1321">
        <f t="shared" si="82"/>
        <v>0</v>
      </c>
      <c r="N354" s="505"/>
      <c r="O354" s="365">
        <f>IF(ISBLANK(H354),G354,H354)</f>
        <v>0</v>
      </c>
      <c r="P354" s="366"/>
      <c r="Q354" s="135"/>
      <c r="R354" s="136"/>
      <c r="S354" s="129"/>
      <c r="T354" s="129"/>
      <c r="U354" s="129"/>
      <c r="V354" s="129"/>
      <c r="W354" s="129"/>
      <c r="X354" s="129"/>
      <c r="Y354" s="129"/>
      <c r="Z354" s="133"/>
      <c r="AA354" s="133"/>
      <c r="AB354" s="133"/>
      <c r="AC354" s="133"/>
      <c r="AD354" s="133"/>
      <c r="AE354" s="133"/>
      <c r="AF354" s="222"/>
      <c r="AG354" s="222"/>
      <c r="AH354" s="222"/>
      <c r="AI354" s="176"/>
      <c r="AJ354" s="176"/>
      <c r="AK354" s="176"/>
      <c r="AL354" s="176"/>
      <c r="AM354" s="176"/>
      <c r="AN354" s="176"/>
      <c r="AO354" s="176"/>
      <c r="AP354" s="176"/>
      <c r="AQ354" s="176"/>
      <c r="AR354" s="176"/>
      <c r="AS354" s="176"/>
      <c r="AT354" s="176"/>
      <c r="AU354" s="176"/>
      <c r="AV354" s="176"/>
      <c r="AW354" s="176"/>
      <c r="AX354" s="176"/>
      <c r="AY354" s="176"/>
      <c r="AZ354" s="176"/>
      <c r="BA354" s="176"/>
      <c r="BB354" s="176"/>
      <c r="BC354" s="176"/>
      <c r="BD354" s="176"/>
      <c r="BE354" s="176"/>
      <c r="BF354" s="176"/>
      <c r="BG354" s="176"/>
      <c r="BH354" s="176"/>
      <c r="BI354" s="176"/>
      <c r="BJ354" s="176"/>
      <c r="BK354" s="176"/>
      <c r="BL354" s="176"/>
      <c r="BM354" s="176"/>
      <c r="BN354" s="176"/>
      <c r="BO354" s="176"/>
    </row>
    <row r="355" spans="1:67" s="370" customFormat="1" ht="10.5" customHeight="1" x14ac:dyDescent="0.2">
      <c r="A355" s="1348"/>
      <c r="B355" s="1355"/>
      <c r="C355" s="1356"/>
      <c r="D355" s="1357"/>
      <c r="E355" s="1256"/>
      <c r="F355" s="1257"/>
      <c r="G355" s="1088"/>
      <c r="H355" s="1089"/>
      <c r="I355" s="1083"/>
      <c r="J355" s="1084"/>
      <c r="K355" s="1160"/>
      <c r="L355" s="1312"/>
      <c r="M355" s="1352"/>
      <c r="N355" s="162"/>
      <c r="O355" s="1045"/>
      <c r="P355" s="367"/>
      <c r="Q355" s="135"/>
      <c r="R355" s="136"/>
      <c r="S355" s="129"/>
      <c r="T355" s="129"/>
      <c r="U355" s="129"/>
      <c r="V355" s="129"/>
      <c r="W355" s="129"/>
      <c r="X355" s="129"/>
      <c r="Y355" s="129"/>
      <c r="Z355" s="129"/>
      <c r="AA355" s="129"/>
      <c r="AB355" s="129"/>
      <c r="AC355" s="129"/>
      <c r="AD355" s="129"/>
      <c r="AE355" s="129"/>
      <c r="AF355" s="368"/>
      <c r="AG355" s="368"/>
      <c r="AH355" s="368"/>
      <c r="AI355" s="369"/>
      <c r="AJ355" s="369"/>
      <c r="AK355" s="369"/>
      <c r="AL355" s="369"/>
      <c r="AM355" s="369"/>
      <c r="AN355" s="369"/>
      <c r="AO355" s="369"/>
      <c r="AP355" s="369"/>
      <c r="AQ355" s="369"/>
      <c r="AR355" s="369"/>
      <c r="AS355" s="369"/>
      <c r="AT355" s="369"/>
      <c r="AU355" s="369"/>
      <c r="AV355" s="369"/>
      <c r="AW355" s="369"/>
      <c r="AX355" s="369"/>
      <c r="AY355" s="369"/>
      <c r="AZ355" s="369"/>
      <c r="BA355" s="369"/>
      <c r="BB355" s="369"/>
      <c r="BC355" s="369"/>
      <c r="BD355" s="369"/>
      <c r="BE355" s="369"/>
      <c r="BF355" s="369"/>
      <c r="BG355" s="369"/>
      <c r="BH355" s="369"/>
      <c r="BI355" s="369"/>
      <c r="BJ355" s="369"/>
      <c r="BK355" s="369"/>
      <c r="BL355" s="369"/>
      <c r="BM355" s="369"/>
      <c r="BN355" s="369"/>
      <c r="BO355" s="369"/>
    </row>
    <row r="356" spans="1:67" s="370" customFormat="1" ht="10.5" customHeight="1" x14ac:dyDescent="0.2">
      <c r="A356" s="1154" t="s">
        <v>378</v>
      </c>
      <c r="B356" s="1155"/>
      <c r="C356" s="1155"/>
      <c r="D356" s="1156"/>
      <c r="E356" s="1157"/>
      <c r="F356" s="1158"/>
      <c r="G356" s="1161"/>
      <c r="H356" s="1162"/>
      <c r="I356" s="1163"/>
      <c r="J356" s="1164"/>
      <c r="K356" s="1165"/>
      <c r="L356" s="1310"/>
      <c r="M356" s="1323"/>
      <c r="N356" s="162"/>
      <c r="O356" s="1047"/>
      <c r="P356" s="1046"/>
      <c r="Q356" s="135"/>
      <c r="R356" s="136"/>
      <c r="S356" s="129"/>
      <c r="T356" s="129"/>
      <c r="U356" s="129"/>
      <c r="V356" s="129"/>
      <c r="W356" s="129"/>
      <c r="X356" s="129"/>
      <c r="Y356" s="129"/>
      <c r="Z356" s="129"/>
      <c r="AA356" s="129"/>
      <c r="AB356" s="129"/>
      <c r="AC356" s="129"/>
      <c r="AD356" s="129"/>
      <c r="AE356" s="129"/>
      <c r="AF356" s="368"/>
      <c r="AG356" s="368"/>
      <c r="AH356" s="368"/>
      <c r="AI356" s="369"/>
      <c r="AJ356" s="369"/>
      <c r="AK356" s="369"/>
      <c r="AL356" s="369"/>
      <c r="AM356" s="369"/>
      <c r="AN356" s="369"/>
      <c r="AO356" s="369"/>
      <c r="AP356" s="369"/>
      <c r="AQ356" s="369"/>
      <c r="AR356" s="369"/>
      <c r="AS356" s="369"/>
      <c r="AT356" s="369"/>
      <c r="AU356" s="369"/>
      <c r="AV356" s="369"/>
      <c r="AW356" s="369"/>
      <c r="AX356" s="369"/>
      <c r="AY356" s="369"/>
      <c r="AZ356" s="369"/>
      <c r="BA356" s="369"/>
      <c r="BB356" s="369"/>
      <c r="BC356" s="369"/>
      <c r="BD356" s="369"/>
      <c r="BE356" s="369"/>
      <c r="BF356" s="369"/>
      <c r="BG356" s="369"/>
      <c r="BH356" s="369"/>
      <c r="BI356" s="369"/>
      <c r="BJ356" s="369"/>
      <c r="BK356" s="369"/>
      <c r="BL356" s="369"/>
      <c r="BM356" s="369"/>
      <c r="BN356" s="369"/>
      <c r="BO356" s="369"/>
    </row>
    <row r="357" spans="1:67" s="370" customFormat="1" ht="10.5" customHeight="1" x14ac:dyDescent="0.2">
      <c r="A357" s="1142" t="s">
        <v>379</v>
      </c>
      <c r="B357" s="1143"/>
      <c r="C357" s="1143"/>
      <c r="D357" s="1144"/>
      <c r="E357" s="1145"/>
      <c r="F357" s="1146"/>
      <c r="G357" s="1132"/>
      <c r="H357" s="1133"/>
      <c r="I357" s="1134"/>
      <c r="J357" s="1135"/>
      <c r="K357" s="1136"/>
      <c r="L357" s="1311"/>
      <c r="M357" s="1324"/>
      <c r="N357" s="162"/>
      <c r="O357" s="1047"/>
      <c r="P357" s="1046"/>
      <c r="Q357" s="135"/>
      <c r="R357" s="136"/>
      <c r="S357" s="130"/>
      <c r="T357" s="129"/>
      <c r="U357" s="129"/>
      <c r="V357" s="129"/>
      <c r="W357" s="129"/>
      <c r="X357" s="129"/>
      <c r="Y357" s="129"/>
      <c r="Z357" s="129"/>
      <c r="AA357" s="129"/>
      <c r="AB357" s="129"/>
      <c r="AC357" s="129"/>
      <c r="AD357" s="129"/>
      <c r="AE357" s="129"/>
      <c r="AF357" s="368"/>
      <c r="AG357" s="368"/>
      <c r="AH357" s="368"/>
      <c r="AI357" s="369"/>
      <c r="AJ357" s="369"/>
      <c r="AK357" s="369"/>
      <c r="AL357" s="369"/>
      <c r="AM357" s="369"/>
      <c r="AN357" s="369"/>
      <c r="AO357" s="369"/>
      <c r="AP357" s="369"/>
      <c r="AQ357" s="369"/>
      <c r="AR357" s="369"/>
      <c r="AS357" s="369"/>
      <c r="AT357" s="369"/>
      <c r="AU357" s="369"/>
      <c r="AV357" s="369"/>
      <c r="AW357" s="369"/>
      <c r="AX357" s="369"/>
      <c r="AY357" s="369"/>
      <c r="AZ357" s="369"/>
      <c r="BA357" s="369"/>
      <c r="BB357" s="369"/>
      <c r="BC357" s="369"/>
      <c r="BD357" s="369"/>
      <c r="BE357" s="369"/>
      <c r="BF357" s="369"/>
      <c r="BG357" s="369"/>
      <c r="BH357" s="369"/>
      <c r="BI357" s="369"/>
      <c r="BJ357" s="369"/>
      <c r="BK357" s="369"/>
      <c r="BL357" s="369"/>
      <c r="BM357" s="369"/>
      <c r="BN357" s="369"/>
      <c r="BO357" s="369"/>
    </row>
    <row r="358" spans="1:67" s="370" customFormat="1" ht="10.5" customHeight="1" x14ac:dyDescent="0.2">
      <c r="A358" s="1147" t="s">
        <v>380</v>
      </c>
      <c r="B358" s="1148"/>
      <c r="C358" s="1148"/>
      <c r="D358" s="1149" t="s">
        <v>381</v>
      </c>
      <c r="E358" s="2633">
        <f>SUM(E55,E70,E85,E102,E117,E132,E147,E162,E177,E237,E252,E267,E297,E312,E328:E333)</f>
        <v>0</v>
      </c>
      <c r="F358" s="2634"/>
      <c r="G358" s="1137"/>
      <c r="H358" s="1138"/>
      <c r="I358" s="1134"/>
      <c r="J358" s="1135"/>
      <c r="K358" s="1136"/>
      <c r="L358" s="1311"/>
      <c r="M358" s="1324"/>
      <c r="N358" s="162"/>
      <c r="O358" s="1047"/>
      <c r="P358" s="1046"/>
      <c r="Q358" s="135"/>
      <c r="R358" s="136"/>
      <c r="S358" s="129"/>
      <c r="T358" s="129"/>
      <c r="U358" s="129"/>
      <c r="V358" s="129"/>
      <c r="W358" s="129"/>
      <c r="X358" s="129"/>
      <c r="Y358" s="129"/>
      <c r="Z358" s="129"/>
      <c r="AA358" s="129"/>
      <c r="AB358" s="129"/>
      <c r="AC358" s="129"/>
      <c r="AD358" s="129"/>
      <c r="AE358" s="129"/>
      <c r="AF358" s="368"/>
      <c r="AG358" s="368"/>
      <c r="AH358" s="368"/>
      <c r="AI358" s="369"/>
      <c r="AJ358" s="369"/>
      <c r="AK358" s="369"/>
      <c r="AL358" s="369"/>
      <c r="AM358" s="369"/>
      <c r="AN358" s="369"/>
      <c r="AO358" s="369"/>
      <c r="AP358" s="369"/>
      <c r="AQ358" s="369"/>
      <c r="AR358" s="369"/>
      <c r="AS358" s="369"/>
      <c r="AT358" s="369"/>
      <c r="AU358" s="369"/>
      <c r="AV358" s="369"/>
      <c r="AW358" s="369"/>
      <c r="AX358" s="369"/>
      <c r="AY358" s="369"/>
      <c r="AZ358" s="369"/>
      <c r="BA358" s="369"/>
      <c r="BB358" s="369"/>
      <c r="BC358" s="369"/>
      <c r="BD358" s="369"/>
      <c r="BE358" s="369"/>
      <c r="BF358" s="369"/>
      <c r="BG358" s="369"/>
      <c r="BH358" s="369"/>
      <c r="BI358" s="369"/>
      <c r="BJ358" s="369"/>
      <c r="BK358" s="369"/>
      <c r="BL358" s="369"/>
      <c r="BM358" s="369"/>
      <c r="BN358" s="369"/>
      <c r="BO358" s="369"/>
    </row>
    <row r="359" spans="1:67" s="370" customFormat="1" ht="10.5" customHeight="1" x14ac:dyDescent="0.2">
      <c r="A359" s="1147" t="s">
        <v>431</v>
      </c>
      <c r="B359" s="1148"/>
      <c r="C359" s="1148"/>
      <c r="D359" s="1149" t="s">
        <v>382</v>
      </c>
      <c r="E359" s="1150">
        <f>IF(E358=0,0,E362+E363/(E358^(1/3)))</f>
        <v>0</v>
      </c>
      <c r="F359" s="1151"/>
      <c r="G359" s="1139"/>
      <c r="H359" s="1133"/>
      <c r="I359" s="1134"/>
      <c r="J359" s="1135"/>
      <c r="K359" s="1136"/>
      <c r="L359" s="1311"/>
      <c r="M359" s="1324"/>
      <c r="N359" s="162"/>
      <c r="O359" s="1047"/>
      <c r="P359" s="1046"/>
      <c r="Q359" s="135"/>
      <c r="R359" s="136"/>
      <c r="S359" s="129"/>
      <c r="T359" s="129"/>
      <c r="U359" s="129"/>
      <c r="V359" s="129"/>
      <c r="W359" s="129"/>
      <c r="X359" s="129"/>
      <c r="Y359" s="129"/>
      <c r="Z359" s="129"/>
      <c r="AA359" s="129"/>
      <c r="AB359" s="129"/>
      <c r="AC359" s="129"/>
      <c r="AD359" s="129"/>
      <c r="AE359" s="129"/>
      <c r="AF359" s="368"/>
      <c r="AG359" s="368"/>
      <c r="AH359" s="368"/>
      <c r="AI359" s="369"/>
      <c r="AJ359" s="369"/>
      <c r="AK359" s="369"/>
      <c r="AL359" s="369"/>
      <c r="AM359" s="369"/>
      <c r="AN359" s="369"/>
      <c r="AO359" s="369"/>
      <c r="AP359" s="369"/>
      <c r="AQ359" s="369"/>
      <c r="AR359" s="369"/>
      <c r="AS359" s="369"/>
      <c r="AT359" s="369"/>
      <c r="AU359" s="369"/>
      <c r="AV359" s="369"/>
      <c r="AW359" s="369"/>
      <c r="AX359" s="369"/>
      <c r="AY359" s="369"/>
      <c r="AZ359" s="369"/>
      <c r="BA359" s="369"/>
      <c r="BB359" s="369"/>
      <c r="BC359" s="369"/>
      <c r="BD359" s="369"/>
      <c r="BE359" s="369"/>
      <c r="BF359" s="369"/>
      <c r="BG359" s="369"/>
      <c r="BH359" s="369"/>
      <c r="BI359" s="369"/>
      <c r="BJ359" s="369"/>
      <c r="BK359" s="369"/>
      <c r="BL359" s="369"/>
      <c r="BM359" s="369"/>
      <c r="BN359" s="369"/>
      <c r="BO359" s="369"/>
    </row>
    <row r="360" spans="1:67" s="370" customFormat="1" ht="10.5" customHeight="1" x14ac:dyDescent="0.2">
      <c r="A360" s="1147" t="s">
        <v>383</v>
      </c>
      <c r="B360" s="1148"/>
      <c r="C360" s="1148"/>
      <c r="D360" s="1149" t="s">
        <v>384</v>
      </c>
      <c r="E360" s="1130">
        <v>0.9</v>
      </c>
      <c r="F360" s="1151"/>
      <c r="G360" s="1139"/>
      <c r="H360" s="1133"/>
      <c r="I360" s="1134"/>
      <c r="J360" s="1135"/>
      <c r="K360" s="1136"/>
      <c r="L360" s="1311"/>
      <c r="M360" s="1324"/>
      <c r="N360" s="162"/>
      <c r="O360" s="1047"/>
      <c r="P360" s="1046"/>
      <c r="Q360" s="135"/>
      <c r="R360" s="136"/>
      <c r="S360" s="129"/>
      <c r="T360" s="129"/>
      <c r="U360" s="129"/>
      <c r="V360" s="129"/>
      <c r="W360" s="129"/>
      <c r="X360" s="129"/>
      <c r="Y360" s="129"/>
      <c r="Z360" s="129"/>
      <c r="AA360" s="129"/>
      <c r="AB360" s="129"/>
      <c r="AC360" s="129"/>
      <c r="AD360" s="129"/>
      <c r="AE360" s="129"/>
      <c r="AF360" s="368"/>
      <c r="AG360" s="368"/>
      <c r="AH360" s="368"/>
      <c r="AI360" s="369"/>
      <c r="AJ360" s="369"/>
      <c r="AK360" s="369"/>
      <c r="AL360" s="369"/>
      <c r="AM360" s="369"/>
      <c r="AN360" s="369"/>
      <c r="AO360" s="369"/>
      <c r="AP360" s="369"/>
      <c r="AQ360" s="369"/>
      <c r="AR360" s="369"/>
      <c r="AS360" s="369"/>
      <c r="AT360" s="369"/>
      <c r="AU360" s="369"/>
      <c r="AV360" s="369"/>
      <c r="AW360" s="369"/>
      <c r="AX360" s="369"/>
      <c r="AY360" s="369"/>
      <c r="AZ360" s="369"/>
      <c r="BA360" s="369"/>
      <c r="BB360" s="369"/>
      <c r="BC360" s="369"/>
      <c r="BD360" s="369"/>
      <c r="BE360" s="369"/>
      <c r="BF360" s="369"/>
      <c r="BG360" s="369"/>
      <c r="BH360" s="369"/>
      <c r="BI360" s="369"/>
      <c r="BJ360" s="369"/>
      <c r="BK360" s="369"/>
      <c r="BL360" s="369"/>
      <c r="BM360" s="369"/>
      <c r="BN360" s="369"/>
      <c r="BO360" s="369"/>
    </row>
    <row r="361" spans="1:67" s="370" customFormat="1" ht="10.5" customHeight="1" x14ac:dyDescent="0.2">
      <c r="A361" s="1147" t="s">
        <v>436</v>
      </c>
      <c r="B361" s="1148"/>
      <c r="C361" s="1148"/>
      <c r="D361" s="1149" t="s">
        <v>430</v>
      </c>
      <c r="E361" s="1130">
        <v>1</v>
      </c>
      <c r="F361" s="1151"/>
      <c r="G361" s="1139"/>
      <c r="H361" s="1133"/>
      <c r="I361" s="1134"/>
      <c r="J361" s="1135"/>
      <c r="K361" s="1136"/>
      <c r="L361" s="1311"/>
      <c r="M361" s="1324"/>
      <c r="N361" s="162"/>
      <c r="O361" s="1047"/>
      <c r="P361" s="1046"/>
      <c r="Q361" s="135"/>
      <c r="R361" s="136"/>
      <c r="S361" s="129"/>
      <c r="T361" s="129"/>
      <c r="U361" s="129"/>
      <c r="V361" s="129"/>
      <c r="W361" s="129"/>
      <c r="X361" s="129"/>
      <c r="Y361" s="129"/>
      <c r="Z361" s="129"/>
      <c r="AA361" s="129"/>
      <c r="AB361" s="129"/>
      <c r="AC361" s="129"/>
      <c r="AD361" s="129"/>
      <c r="AE361" s="129"/>
      <c r="AF361" s="368"/>
      <c r="AG361" s="368"/>
      <c r="AH361" s="368"/>
      <c r="AI361" s="369"/>
      <c r="AJ361" s="369"/>
      <c r="AK361" s="369"/>
      <c r="AL361" s="369"/>
      <c r="AM361" s="369"/>
      <c r="AN361" s="369"/>
      <c r="AO361" s="369"/>
      <c r="AP361" s="369"/>
      <c r="AQ361" s="369"/>
      <c r="AR361" s="369"/>
      <c r="AS361" s="369"/>
      <c r="AT361" s="369"/>
      <c r="AU361" s="369"/>
      <c r="AV361" s="369"/>
      <c r="AW361" s="369"/>
      <c r="AX361" s="369"/>
      <c r="AY361" s="369"/>
      <c r="AZ361" s="369"/>
      <c r="BA361" s="369"/>
      <c r="BB361" s="369"/>
      <c r="BC361" s="369"/>
      <c r="BD361" s="369"/>
      <c r="BE361" s="369"/>
      <c r="BF361" s="369"/>
      <c r="BG361" s="369"/>
      <c r="BH361" s="369"/>
      <c r="BI361" s="369"/>
      <c r="BJ361" s="369"/>
      <c r="BK361" s="369"/>
      <c r="BL361" s="369"/>
      <c r="BM361" s="369"/>
      <c r="BN361" s="369"/>
      <c r="BO361" s="369"/>
    </row>
    <row r="362" spans="1:67" s="370" customFormat="1" ht="10.5" customHeight="1" x14ac:dyDescent="0.2">
      <c r="A362" s="1147" t="s">
        <v>437</v>
      </c>
      <c r="B362" s="2635" t="s">
        <v>681</v>
      </c>
      <c r="C362" s="2635"/>
      <c r="D362" s="1149" t="s">
        <v>428</v>
      </c>
      <c r="E362" s="1131">
        <v>6.6000000000000003E-2</v>
      </c>
      <c r="F362" s="1151"/>
      <c r="G362" s="2655"/>
      <c r="H362" s="2656"/>
      <c r="I362" s="1134"/>
      <c r="J362" s="1135"/>
      <c r="K362" s="1136"/>
      <c r="L362" s="1311"/>
      <c r="M362" s="1324"/>
      <c r="N362" s="162"/>
      <c r="O362" s="1047"/>
      <c r="P362" s="1046"/>
      <c r="Q362" s="135"/>
      <c r="R362" s="136"/>
      <c r="S362" s="129"/>
      <c r="T362" s="129"/>
      <c r="U362" s="129"/>
      <c r="V362" s="129"/>
      <c r="W362" s="129"/>
      <c r="X362" s="129"/>
      <c r="Y362" s="129"/>
      <c r="Z362" s="129"/>
      <c r="AA362" s="129"/>
      <c r="AB362" s="129"/>
      <c r="AC362" s="129"/>
      <c r="AD362" s="129"/>
      <c r="AE362" s="129"/>
      <c r="AF362" s="368"/>
      <c r="AG362" s="368"/>
      <c r="AH362" s="368"/>
      <c r="AI362" s="369"/>
      <c r="AJ362" s="369"/>
      <c r="AK362" s="369"/>
      <c r="AL362" s="369"/>
      <c r="AM362" s="369"/>
      <c r="AN362" s="369"/>
      <c r="AO362" s="369"/>
      <c r="AP362" s="369"/>
      <c r="AQ362" s="369"/>
      <c r="AR362" s="369"/>
      <c r="AS362" s="369"/>
      <c r="AT362" s="369"/>
      <c r="AU362" s="369"/>
      <c r="AV362" s="369"/>
      <c r="AW362" s="369"/>
      <c r="AX362" s="369"/>
      <c r="AY362" s="369"/>
      <c r="AZ362" s="369"/>
      <c r="BA362" s="369"/>
      <c r="BB362" s="369"/>
      <c r="BC362" s="369"/>
      <c r="BD362" s="369"/>
      <c r="BE362" s="369"/>
      <c r="BF362" s="369"/>
      <c r="BG362" s="369"/>
      <c r="BH362" s="369"/>
      <c r="BI362" s="369"/>
      <c r="BJ362" s="369"/>
      <c r="BK362" s="369"/>
      <c r="BL362" s="369"/>
      <c r="BM362" s="369"/>
      <c r="BN362" s="369"/>
      <c r="BO362" s="369"/>
    </row>
    <row r="363" spans="1:67" s="370" customFormat="1" ht="10.5" customHeight="1" x14ac:dyDescent="0.2">
      <c r="A363" s="1147" t="s">
        <v>438</v>
      </c>
      <c r="B363" s="2635" t="s">
        <v>681</v>
      </c>
      <c r="C363" s="2635"/>
      <c r="D363" s="1149" t="s">
        <v>429</v>
      </c>
      <c r="E363" s="1131">
        <v>11.28</v>
      </c>
      <c r="F363" s="1151"/>
      <c r="G363" s="2655"/>
      <c r="H363" s="2656"/>
      <c r="I363" s="1134"/>
      <c r="J363" s="1135"/>
      <c r="K363" s="1136"/>
      <c r="L363" s="1311"/>
      <c r="M363" s="1324"/>
      <c r="N363" s="162"/>
      <c r="O363" s="1047"/>
      <c r="P363" s="1046"/>
      <c r="Q363" s="135"/>
      <c r="R363" s="136"/>
      <c r="S363" s="129"/>
      <c r="T363" s="129"/>
      <c r="U363" s="129"/>
      <c r="V363" s="129"/>
      <c r="W363" s="129"/>
      <c r="X363" s="129"/>
      <c r="Y363" s="129"/>
      <c r="Z363" s="129"/>
      <c r="AA363" s="129"/>
      <c r="AB363" s="129"/>
      <c r="AC363" s="129"/>
      <c r="AD363" s="129"/>
      <c r="AE363" s="129"/>
      <c r="AF363" s="368"/>
      <c r="AG363" s="368"/>
      <c r="AH363" s="368"/>
      <c r="AI363" s="369"/>
      <c r="AJ363" s="369"/>
      <c r="AK363" s="369"/>
      <c r="AL363" s="369"/>
      <c r="AM363" s="369"/>
      <c r="AN363" s="369"/>
      <c r="AO363" s="369"/>
      <c r="AP363" s="369"/>
      <c r="AQ363" s="369"/>
      <c r="AR363" s="369"/>
      <c r="AS363" s="369"/>
      <c r="AT363" s="369"/>
      <c r="AU363" s="369"/>
      <c r="AV363" s="369"/>
      <c r="AW363" s="369"/>
      <c r="AX363" s="369"/>
      <c r="AY363" s="369"/>
      <c r="AZ363" s="369"/>
      <c r="BA363" s="369"/>
      <c r="BB363" s="369"/>
      <c r="BC363" s="369"/>
      <c r="BD363" s="369"/>
      <c r="BE363" s="369"/>
      <c r="BF363" s="369"/>
      <c r="BG363" s="369"/>
      <c r="BH363" s="369"/>
      <c r="BI363" s="369"/>
      <c r="BJ363" s="369"/>
      <c r="BK363" s="369"/>
      <c r="BL363" s="369"/>
      <c r="BM363" s="369"/>
      <c r="BN363" s="369"/>
      <c r="BO363" s="369"/>
    </row>
    <row r="364" spans="1:67" s="370" customFormat="1" ht="10.5" customHeight="1" x14ac:dyDescent="0.2">
      <c r="A364" s="1147" t="s">
        <v>434</v>
      </c>
      <c r="B364" s="1148"/>
      <c r="C364" s="1148"/>
      <c r="D364" s="1149" t="s">
        <v>435</v>
      </c>
      <c r="E364" s="1131">
        <v>100</v>
      </c>
      <c r="F364" s="1152"/>
      <c r="G364" s="1140"/>
      <c r="H364" s="1141"/>
      <c r="I364" s="1134"/>
      <c r="J364" s="1135"/>
      <c r="K364" s="1136"/>
      <c r="L364" s="1311"/>
      <c r="M364" s="1324"/>
      <c r="N364" s="162"/>
      <c r="O364" s="1047"/>
      <c r="P364" s="1046"/>
      <c r="Q364" s="135"/>
      <c r="R364" s="136"/>
      <c r="S364" s="129"/>
      <c r="T364" s="129"/>
      <c r="U364" s="129"/>
      <c r="V364" s="129"/>
      <c r="W364" s="129"/>
      <c r="X364" s="129"/>
      <c r="Y364" s="129"/>
      <c r="Z364" s="129"/>
      <c r="AA364" s="129"/>
      <c r="AB364" s="129"/>
      <c r="AC364" s="129"/>
      <c r="AD364" s="129"/>
      <c r="AE364" s="129"/>
      <c r="AF364" s="368"/>
      <c r="AG364" s="368"/>
      <c r="AH364" s="368"/>
      <c r="AI364" s="369"/>
      <c r="AJ364" s="369"/>
      <c r="AK364" s="369"/>
      <c r="AL364" s="369"/>
      <c r="AM364" s="369"/>
      <c r="AN364" s="369"/>
      <c r="AO364" s="369"/>
      <c r="AP364" s="369"/>
      <c r="AQ364" s="369"/>
      <c r="AR364" s="369"/>
      <c r="AS364" s="369"/>
      <c r="AT364" s="369"/>
      <c r="AU364" s="369"/>
      <c r="AV364" s="369"/>
      <c r="AW364" s="369"/>
      <c r="AX364" s="369"/>
      <c r="AY364" s="369"/>
      <c r="AZ364" s="369"/>
      <c r="BA364" s="369"/>
      <c r="BB364" s="369"/>
      <c r="BC364" s="369"/>
      <c r="BD364" s="369"/>
      <c r="BE364" s="369"/>
      <c r="BF364" s="369"/>
      <c r="BG364" s="369"/>
      <c r="BH364" s="369"/>
      <c r="BI364" s="369"/>
      <c r="BJ364" s="369"/>
      <c r="BK364" s="369"/>
      <c r="BL364" s="369"/>
      <c r="BM364" s="369"/>
      <c r="BN364" s="369"/>
      <c r="BO364" s="369"/>
    </row>
    <row r="365" spans="1:67" s="370" customFormat="1" ht="10.5" customHeight="1" x14ac:dyDescent="0.2">
      <c r="A365" s="1147" t="s">
        <v>432</v>
      </c>
      <c r="B365" s="1148"/>
      <c r="C365" s="1148"/>
      <c r="D365" s="1149" t="s">
        <v>433</v>
      </c>
      <c r="E365" s="1130">
        <v>1</v>
      </c>
      <c r="F365" s="1153"/>
      <c r="G365" s="1140"/>
      <c r="H365" s="1141"/>
      <c r="I365" s="1134"/>
      <c r="J365" s="1135"/>
      <c r="K365" s="1136"/>
      <c r="L365" s="1311"/>
      <c r="M365" s="1324"/>
      <c r="N365" s="162"/>
      <c r="O365" s="1047"/>
      <c r="P365" s="1046"/>
      <c r="Q365" s="135"/>
      <c r="R365" s="136"/>
      <c r="S365" s="129"/>
      <c r="T365" s="129"/>
      <c r="U365" s="129"/>
      <c r="V365" s="129"/>
      <c r="W365" s="129"/>
      <c r="X365" s="129"/>
      <c r="Y365" s="129"/>
      <c r="Z365" s="129"/>
      <c r="AA365" s="129"/>
      <c r="AB365" s="129"/>
      <c r="AC365" s="129"/>
      <c r="AD365" s="129"/>
      <c r="AE365" s="129"/>
      <c r="AF365" s="368"/>
      <c r="AG365" s="368"/>
      <c r="AH365" s="368"/>
      <c r="AI365" s="369"/>
      <c r="AJ365" s="369"/>
      <c r="AK365" s="369"/>
      <c r="AL365" s="369"/>
      <c r="AM365" s="369"/>
      <c r="AN365" s="369"/>
      <c r="AO365" s="369"/>
      <c r="AP365" s="369"/>
      <c r="AQ365" s="369"/>
      <c r="AR365" s="369"/>
      <c r="AS365" s="369"/>
      <c r="AT365" s="369"/>
      <c r="AU365" s="369"/>
      <c r="AV365" s="369"/>
      <c r="AW365" s="369"/>
      <c r="AX365" s="369"/>
      <c r="AY365" s="369"/>
      <c r="AZ365" s="369"/>
      <c r="BA365" s="369"/>
      <c r="BB365" s="369"/>
      <c r="BC365" s="369"/>
      <c r="BD365" s="369"/>
      <c r="BE365" s="369"/>
      <c r="BF365" s="369"/>
      <c r="BG365" s="369"/>
      <c r="BH365" s="369"/>
      <c r="BI365" s="369"/>
      <c r="BJ365" s="369"/>
      <c r="BK365" s="369"/>
      <c r="BL365" s="369"/>
      <c r="BM365" s="369"/>
      <c r="BN365" s="369"/>
      <c r="BO365" s="369"/>
    </row>
    <row r="366" spans="1:67" s="370" customFormat="1" ht="10.5" customHeight="1" x14ac:dyDescent="0.2">
      <c r="A366" s="1147" t="s">
        <v>439</v>
      </c>
      <c r="B366" s="1148"/>
      <c r="C366" s="1148"/>
      <c r="D366" s="1149" t="s">
        <v>441</v>
      </c>
      <c r="E366" s="1130">
        <v>1</v>
      </c>
      <c r="F366" s="1153"/>
      <c r="G366" s="1140"/>
      <c r="H366" s="1141"/>
      <c r="I366" s="1134"/>
      <c r="J366" s="1135"/>
      <c r="K366" s="1136"/>
      <c r="L366" s="1311"/>
      <c r="M366" s="1324"/>
      <c r="N366" s="162"/>
      <c r="O366" s="1047"/>
      <c r="P366" s="1046"/>
      <c r="Q366" s="135"/>
      <c r="R366" s="136"/>
      <c r="S366" s="129"/>
      <c r="T366" s="129"/>
      <c r="U366" s="129"/>
      <c r="V366" s="129"/>
      <c r="W366" s="129"/>
      <c r="X366" s="129"/>
      <c r="Y366" s="129"/>
      <c r="Z366" s="129"/>
      <c r="AA366" s="129"/>
      <c r="AB366" s="129"/>
      <c r="AC366" s="129"/>
      <c r="AD366" s="129"/>
      <c r="AE366" s="129"/>
      <c r="AF366" s="368"/>
      <c r="AG366" s="368"/>
      <c r="AH366" s="368"/>
      <c r="AI366" s="369"/>
      <c r="AJ366" s="369"/>
      <c r="AK366" s="369"/>
      <c r="AL366" s="369"/>
      <c r="AM366" s="369"/>
      <c r="AN366" s="369"/>
      <c r="AO366" s="369"/>
      <c r="AP366" s="369"/>
      <c r="AQ366" s="369"/>
      <c r="AR366" s="369"/>
      <c r="AS366" s="369"/>
      <c r="AT366" s="369"/>
      <c r="AU366" s="369"/>
      <c r="AV366" s="369"/>
      <c r="AW366" s="369"/>
      <c r="AX366" s="369"/>
      <c r="AY366" s="369"/>
      <c r="AZ366" s="369"/>
      <c r="BA366" s="369"/>
      <c r="BB366" s="369"/>
      <c r="BC366" s="369"/>
      <c r="BD366" s="369"/>
      <c r="BE366" s="369"/>
      <c r="BF366" s="369"/>
      <c r="BG366" s="369"/>
      <c r="BH366" s="369"/>
      <c r="BI366" s="369"/>
      <c r="BJ366" s="369"/>
      <c r="BK366" s="369"/>
      <c r="BL366" s="369"/>
      <c r="BM366" s="369"/>
      <c r="BN366" s="369"/>
      <c r="BO366" s="369"/>
    </row>
    <row r="367" spans="1:67" s="370" customFormat="1" ht="10.5" customHeight="1" x14ac:dyDescent="0.2">
      <c r="A367" s="1147" t="s">
        <v>440</v>
      </c>
      <c r="B367" s="1148"/>
      <c r="C367" s="1148"/>
      <c r="D367" s="1149" t="s">
        <v>442</v>
      </c>
      <c r="E367" s="1159">
        <v>150</v>
      </c>
      <c r="F367" s="1153"/>
      <c r="G367" s="1140"/>
      <c r="H367" s="1141"/>
      <c r="I367" s="1134"/>
      <c r="J367" s="1135"/>
      <c r="K367" s="1136"/>
      <c r="L367" s="1311"/>
      <c r="M367" s="1324"/>
      <c r="N367" s="162"/>
      <c r="O367" s="1047"/>
      <c r="P367" s="1046"/>
      <c r="Q367" s="135"/>
      <c r="R367" s="136"/>
      <c r="S367" s="129"/>
      <c r="T367" s="129"/>
      <c r="U367" s="129"/>
      <c r="V367" s="129"/>
      <c r="W367" s="129"/>
      <c r="X367" s="129"/>
      <c r="Y367" s="129"/>
      <c r="Z367" s="129"/>
      <c r="AA367" s="129"/>
      <c r="AB367" s="129"/>
      <c r="AC367" s="129"/>
      <c r="AD367" s="129"/>
      <c r="AE367" s="129"/>
      <c r="AF367" s="368"/>
      <c r="AG367" s="368"/>
      <c r="AH367" s="368"/>
      <c r="AI367" s="369"/>
      <c r="AJ367" s="369"/>
      <c r="AK367" s="369"/>
      <c r="AL367" s="369"/>
      <c r="AM367" s="369"/>
      <c r="AN367" s="369"/>
      <c r="AO367" s="369"/>
      <c r="AP367" s="369"/>
      <c r="AQ367" s="369"/>
      <c r="AR367" s="369"/>
      <c r="AS367" s="369"/>
      <c r="AT367" s="369"/>
      <c r="AU367" s="369"/>
      <c r="AV367" s="369"/>
      <c r="AW367" s="369"/>
      <c r="AX367" s="369"/>
      <c r="AY367" s="369"/>
      <c r="AZ367" s="369"/>
      <c r="BA367" s="369"/>
      <c r="BB367" s="369"/>
      <c r="BC367" s="369"/>
      <c r="BD367" s="369"/>
      <c r="BE367" s="369"/>
      <c r="BF367" s="369"/>
      <c r="BG367" s="369"/>
      <c r="BH367" s="369"/>
      <c r="BI367" s="369"/>
      <c r="BJ367" s="369"/>
      <c r="BK367" s="369"/>
      <c r="BL367" s="369"/>
      <c r="BM367" s="369"/>
      <c r="BN367" s="369"/>
      <c r="BO367" s="369"/>
    </row>
    <row r="368" spans="1:67" s="370" customFormat="1" ht="10.5" customHeight="1" x14ac:dyDescent="0.2">
      <c r="A368" s="1360" t="s">
        <v>443</v>
      </c>
      <c r="B368" s="1361"/>
      <c r="C368" s="1361"/>
      <c r="D368" s="1290"/>
      <c r="E368" s="2657">
        <f>E358*E359/100*E360*E364/100*E361*E365*E366*E367</f>
        <v>0</v>
      </c>
      <c r="F368" s="2658"/>
      <c r="G368" s="1362"/>
      <c r="H368" s="1363"/>
      <c r="I368" s="1293"/>
      <c r="J368" s="1294"/>
      <c r="K368" s="1295"/>
      <c r="L368" s="1313"/>
      <c r="M368" s="1325"/>
      <c r="N368" s="162"/>
      <c r="O368" s="1047"/>
      <c r="P368" s="1046"/>
      <c r="Q368" s="135"/>
      <c r="R368" s="136"/>
      <c r="S368" s="129"/>
      <c r="T368" s="129"/>
      <c r="U368" s="129"/>
      <c r="V368" s="129"/>
      <c r="W368" s="129"/>
      <c r="X368" s="129"/>
      <c r="Y368" s="129"/>
      <c r="Z368" s="129"/>
      <c r="AA368" s="129"/>
      <c r="AB368" s="129"/>
      <c r="AC368" s="129"/>
      <c r="AD368" s="129"/>
      <c r="AE368" s="129"/>
      <c r="AF368" s="368"/>
      <c r="AG368" s="368"/>
      <c r="AH368" s="368"/>
      <c r="AI368" s="369"/>
      <c r="AJ368" s="369"/>
      <c r="AK368" s="369"/>
      <c r="AL368" s="369"/>
      <c r="AM368" s="369"/>
      <c r="AN368" s="369"/>
      <c r="AO368" s="369"/>
      <c r="AP368" s="369"/>
      <c r="AQ368" s="369"/>
      <c r="AR368" s="369"/>
      <c r="AS368" s="369"/>
      <c r="AT368" s="369"/>
      <c r="AU368" s="369"/>
      <c r="AV368" s="369"/>
      <c r="AW368" s="369"/>
      <c r="AX368" s="369"/>
      <c r="AY368" s="369"/>
      <c r="AZ368" s="369"/>
      <c r="BA368" s="369"/>
      <c r="BB368" s="369"/>
      <c r="BC368" s="369"/>
      <c r="BD368" s="369"/>
      <c r="BE368" s="369"/>
      <c r="BF368" s="369"/>
      <c r="BG368" s="369"/>
      <c r="BH368" s="369"/>
      <c r="BI368" s="369"/>
      <c r="BJ368" s="369"/>
      <c r="BK368" s="369"/>
      <c r="BL368" s="369"/>
      <c r="BM368" s="369"/>
      <c r="BN368" s="369"/>
      <c r="BO368" s="369"/>
    </row>
    <row r="369" spans="1:67" s="370" customFormat="1" ht="10.5" customHeight="1" x14ac:dyDescent="0.2">
      <c r="A369" s="1142" t="s">
        <v>385</v>
      </c>
      <c r="B369" s="1143"/>
      <c r="C369" s="1143"/>
      <c r="D369" s="1144"/>
      <c r="E369" s="1145"/>
      <c r="F369" s="1146"/>
      <c r="G369" s="1132"/>
      <c r="H369" s="1133"/>
      <c r="I369" s="1134"/>
      <c r="J369" s="1135"/>
      <c r="K369" s="1136"/>
      <c r="L369" s="1311"/>
      <c r="M369" s="1324"/>
      <c r="N369" s="162"/>
      <c r="O369" s="1047"/>
      <c r="P369" s="1046"/>
      <c r="Q369" s="135"/>
      <c r="R369" s="136"/>
      <c r="S369" s="129"/>
      <c r="T369" s="129"/>
      <c r="U369" s="129"/>
      <c r="V369" s="129"/>
      <c r="W369" s="129"/>
      <c r="X369" s="129"/>
      <c r="Y369" s="129"/>
      <c r="Z369" s="129"/>
      <c r="AA369" s="129"/>
      <c r="AB369" s="129"/>
      <c r="AC369" s="129"/>
      <c r="AD369" s="129"/>
      <c r="AE369" s="129"/>
      <c r="AF369" s="368"/>
      <c r="AG369" s="368"/>
      <c r="AH369" s="368"/>
      <c r="AI369" s="369"/>
      <c r="AJ369" s="369"/>
      <c r="AK369" s="369"/>
      <c r="AL369" s="369"/>
      <c r="AM369" s="369"/>
      <c r="AN369" s="369"/>
      <c r="AO369" s="369"/>
      <c r="AP369" s="369"/>
      <c r="AQ369" s="369"/>
      <c r="AR369" s="369"/>
      <c r="AS369" s="369"/>
      <c r="AT369" s="369"/>
      <c r="AU369" s="369"/>
      <c r="AV369" s="369"/>
      <c r="AW369" s="369"/>
      <c r="AX369" s="369"/>
      <c r="AY369" s="369"/>
      <c r="AZ369" s="369"/>
      <c r="BA369" s="369"/>
      <c r="BB369" s="369"/>
      <c r="BC369" s="369"/>
      <c r="BD369" s="369"/>
      <c r="BE369" s="369"/>
      <c r="BF369" s="369"/>
      <c r="BG369" s="369"/>
      <c r="BH369" s="369"/>
      <c r="BI369" s="369"/>
      <c r="BJ369" s="369"/>
      <c r="BK369" s="369"/>
      <c r="BL369" s="369"/>
      <c r="BM369" s="369"/>
      <c r="BN369" s="369"/>
      <c r="BO369" s="369"/>
    </row>
    <row r="370" spans="1:67" s="370" customFormat="1" ht="10.5" customHeight="1" x14ac:dyDescent="0.2">
      <c r="A370" s="1147" t="s">
        <v>380</v>
      </c>
      <c r="B370" s="1148"/>
      <c r="C370" s="1148"/>
      <c r="D370" s="1149" t="s">
        <v>381</v>
      </c>
      <c r="E370" s="2633">
        <f>SUM(E40,E192,E207,E222,E282,E334:F339)</f>
        <v>0</v>
      </c>
      <c r="F370" s="2634"/>
      <c r="G370" s="1137"/>
      <c r="H370" s="1138"/>
      <c r="I370" s="1134"/>
      <c r="J370" s="1135"/>
      <c r="K370" s="1136"/>
      <c r="L370" s="1311"/>
      <c r="M370" s="1324"/>
      <c r="N370" s="162"/>
      <c r="O370" s="1047"/>
      <c r="P370" s="1046"/>
      <c r="Q370" s="135"/>
      <c r="R370" s="136"/>
      <c r="S370" s="129"/>
      <c r="T370" s="129"/>
      <c r="U370" s="129"/>
      <c r="V370" s="129"/>
      <c r="W370" s="129"/>
      <c r="X370" s="129"/>
      <c r="Y370" s="129"/>
      <c r="Z370" s="129"/>
      <c r="AA370" s="129"/>
      <c r="AB370" s="129"/>
      <c r="AC370" s="129"/>
      <c r="AD370" s="129"/>
      <c r="AE370" s="129"/>
      <c r="AF370" s="368"/>
      <c r="AG370" s="368"/>
      <c r="AH370" s="368"/>
      <c r="AI370" s="369"/>
      <c r="AJ370" s="369"/>
      <c r="AK370" s="369"/>
      <c r="AL370" s="369"/>
      <c r="AM370" s="369"/>
      <c r="AN370" s="369"/>
      <c r="AO370" s="369"/>
      <c r="AP370" s="369"/>
      <c r="AQ370" s="369"/>
      <c r="AR370" s="369"/>
      <c r="AS370" s="369"/>
      <c r="AT370" s="369"/>
      <c r="AU370" s="369"/>
      <c r="AV370" s="369"/>
      <c r="AW370" s="369"/>
      <c r="AX370" s="369"/>
      <c r="AY370" s="369"/>
      <c r="AZ370" s="369"/>
      <c r="BA370" s="369"/>
      <c r="BB370" s="369"/>
      <c r="BC370" s="369"/>
      <c r="BD370" s="369"/>
      <c r="BE370" s="369"/>
      <c r="BF370" s="369"/>
      <c r="BG370" s="369"/>
      <c r="BH370" s="369"/>
      <c r="BI370" s="369"/>
      <c r="BJ370" s="369"/>
      <c r="BK370" s="369"/>
      <c r="BL370" s="369"/>
      <c r="BM370" s="369"/>
      <c r="BN370" s="369"/>
      <c r="BO370" s="369"/>
    </row>
    <row r="371" spans="1:67" s="370" customFormat="1" ht="10.5" customHeight="1" x14ac:dyDescent="0.2">
      <c r="A371" s="1147" t="s">
        <v>431</v>
      </c>
      <c r="B371" s="1148"/>
      <c r="C371" s="1148"/>
      <c r="D371" s="1149" t="s">
        <v>382</v>
      </c>
      <c r="E371" s="1150">
        <f>IF(E370=0,0,E374+E375/(E370^(1/3)))</f>
        <v>0</v>
      </c>
      <c r="F371" s="1151"/>
      <c r="G371" s="1139"/>
      <c r="H371" s="1133"/>
      <c r="I371" s="1134"/>
      <c r="J371" s="1135"/>
      <c r="K371" s="1136"/>
      <c r="L371" s="1311"/>
      <c r="M371" s="1324"/>
      <c r="N371" s="162"/>
      <c r="O371" s="1047"/>
      <c r="P371" s="1046"/>
      <c r="Q371" s="135"/>
      <c r="R371" s="136"/>
      <c r="S371" s="129"/>
      <c r="T371" s="129"/>
      <c r="U371" s="129"/>
      <c r="V371" s="129"/>
      <c r="W371" s="129"/>
      <c r="X371" s="129"/>
      <c r="Y371" s="129"/>
      <c r="Z371" s="129"/>
      <c r="AA371" s="129"/>
      <c r="AB371" s="129"/>
      <c r="AC371" s="129"/>
      <c r="AD371" s="129"/>
      <c r="AE371" s="129"/>
      <c r="AF371" s="368"/>
      <c r="AG371" s="368"/>
      <c r="AH371" s="368"/>
      <c r="AI371" s="369"/>
      <c r="AJ371" s="369"/>
      <c r="AK371" s="369"/>
      <c r="AL371" s="369"/>
      <c r="AM371" s="369"/>
      <c r="AN371" s="369"/>
      <c r="AO371" s="369"/>
      <c r="AP371" s="369"/>
      <c r="AQ371" s="369"/>
      <c r="AR371" s="369"/>
      <c r="AS371" s="369"/>
      <c r="AT371" s="369"/>
      <c r="AU371" s="369"/>
      <c r="AV371" s="369"/>
      <c r="AW371" s="369"/>
      <c r="AX371" s="369"/>
      <c r="AY371" s="369"/>
      <c r="AZ371" s="369"/>
      <c r="BA371" s="369"/>
      <c r="BB371" s="369"/>
      <c r="BC371" s="369"/>
      <c r="BD371" s="369"/>
      <c r="BE371" s="369"/>
      <c r="BF371" s="369"/>
      <c r="BG371" s="369"/>
      <c r="BH371" s="369"/>
      <c r="BI371" s="369"/>
      <c r="BJ371" s="369"/>
      <c r="BK371" s="369"/>
      <c r="BL371" s="369"/>
      <c r="BM371" s="369"/>
      <c r="BN371" s="369"/>
      <c r="BO371" s="369"/>
    </row>
    <row r="372" spans="1:67" s="370" customFormat="1" ht="10.5" customHeight="1" x14ac:dyDescent="0.2">
      <c r="A372" s="1147" t="s">
        <v>383</v>
      </c>
      <c r="B372" s="1148"/>
      <c r="C372" s="1148"/>
      <c r="D372" s="1149" t="s">
        <v>384</v>
      </c>
      <c r="E372" s="1130">
        <v>0.9</v>
      </c>
      <c r="F372" s="1151"/>
      <c r="G372" s="1139"/>
      <c r="H372" s="1133"/>
      <c r="I372" s="1134"/>
      <c r="J372" s="1135"/>
      <c r="K372" s="1136"/>
      <c r="L372" s="1311"/>
      <c r="M372" s="1324"/>
      <c r="N372" s="162"/>
      <c r="O372" s="1047"/>
      <c r="P372" s="1046"/>
      <c r="Q372" s="135"/>
      <c r="R372" s="136"/>
      <c r="S372" s="129"/>
      <c r="T372" s="129"/>
      <c r="U372" s="129"/>
      <c r="V372" s="129"/>
      <c r="W372" s="129"/>
      <c r="X372" s="129"/>
      <c r="Y372" s="129"/>
      <c r="Z372" s="129"/>
      <c r="AA372" s="129"/>
      <c r="AB372" s="129"/>
      <c r="AC372" s="129"/>
      <c r="AD372" s="129"/>
      <c r="AE372" s="129"/>
      <c r="AF372" s="368"/>
      <c r="AG372" s="368"/>
      <c r="AH372" s="368"/>
      <c r="AI372" s="369"/>
      <c r="AJ372" s="369"/>
      <c r="AK372" s="369"/>
      <c r="AL372" s="369"/>
      <c r="AM372" s="369"/>
      <c r="AN372" s="369"/>
      <c r="AO372" s="369"/>
      <c r="AP372" s="369"/>
      <c r="AQ372" s="369"/>
      <c r="AR372" s="369"/>
      <c r="AS372" s="369"/>
      <c r="AT372" s="369"/>
      <c r="AU372" s="369"/>
      <c r="AV372" s="369"/>
      <c r="AW372" s="369"/>
      <c r="AX372" s="369"/>
      <c r="AY372" s="369"/>
      <c r="AZ372" s="369"/>
      <c r="BA372" s="369"/>
      <c r="BB372" s="369"/>
      <c r="BC372" s="369"/>
      <c r="BD372" s="369"/>
      <c r="BE372" s="369"/>
      <c r="BF372" s="369"/>
      <c r="BG372" s="369"/>
      <c r="BH372" s="369"/>
      <c r="BI372" s="369"/>
      <c r="BJ372" s="369"/>
      <c r="BK372" s="369"/>
      <c r="BL372" s="369"/>
      <c r="BM372" s="369"/>
      <c r="BN372" s="369"/>
      <c r="BO372" s="369"/>
    </row>
    <row r="373" spans="1:67" s="370" customFormat="1" ht="10.5" customHeight="1" x14ac:dyDescent="0.2">
      <c r="A373" s="1147" t="s">
        <v>436</v>
      </c>
      <c r="B373" s="1148"/>
      <c r="C373" s="1148"/>
      <c r="D373" s="1149" t="s">
        <v>430</v>
      </c>
      <c r="E373" s="1130">
        <v>1</v>
      </c>
      <c r="F373" s="1151"/>
      <c r="G373" s="1139"/>
      <c r="H373" s="1133"/>
      <c r="I373" s="1134"/>
      <c r="J373" s="1135"/>
      <c r="K373" s="1136"/>
      <c r="L373" s="1311"/>
      <c r="M373" s="1324"/>
      <c r="N373" s="162"/>
      <c r="O373" s="1047"/>
      <c r="P373" s="1046"/>
      <c r="Q373" s="135"/>
      <c r="R373" s="136"/>
      <c r="S373" s="129"/>
      <c r="T373" s="129"/>
      <c r="U373" s="129"/>
      <c r="V373" s="129"/>
      <c r="W373" s="129"/>
      <c r="X373" s="129"/>
      <c r="Y373" s="129"/>
      <c r="Z373" s="129"/>
      <c r="AA373" s="129"/>
      <c r="AB373" s="129"/>
      <c r="AC373" s="129"/>
      <c r="AD373" s="129"/>
      <c r="AE373" s="129"/>
      <c r="AF373" s="368"/>
      <c r="AG373" s="368"/>
      <c r="AH373" s="368"/>
      <c r="AI373" s="369"/>
      <c r="AJ373" s="369"/>
      <c r="AK373" s="369"/>
      <c r="AL373" s="369"/>
      <c r="AM373" s="369"/>
      <c r="AN373" s="369"/>
      <c r="AO373" s="369"/>
      <c r="AP373" s="369"/>
      <c r="AQ373" s="369"/>
      <c r="AR373" s="369"/>
      <c r="AS373" s="369"/>
      <c r="AT373" s="369"/>
      <c r="AU373" s="369"/>
      <c r="AV373" s="369"/>
      <c r="AW373" s="369"/>
      <c r="AX373" s="369"/>
      <c r="AY373" s="369"/>
      <c r="AZ373" s="369"/>
      <c r="BA373" s="369"/>
      <c r="BB373" s="369"/>
      <c r="BC373" s="369"/>
      <c r="BD373" s="369"/>
      <c r="BE373" s="369"/>
      <c r="BF373" s="369"/>
      <c r="BG373" s="369"/>
      <c r="BH373" s="369"/>
      <c r="BI373" s="369"/>
      <c r="BJ373" s="369"/>
      <c r="BK373" s="369"/>
      <c r="BL373" s="369"/>
      <c r="BM373" s="369"/>
      <c r="BN373" s="369"/>
      <c r="BO373" s="369"/>
    </row>
    <row r="374" spans="1:67" s="370" customFormat="1" ht="10.5" customHeight="1" x14ac:dyDescent="0.2">
      <c r="A374" s="1147" t="s">
        <v>437</v>
      </c>
      <c r="B374" s="2635" t="s">
        <v>681</v>
      </c>
      <c r="C374" s="2635"/>
      <c r="D374" s="1149" t="s">
        <v>428</v>
      </c>
      <c r="E374" s="1131">
        <v>6.2E-2</v>
      </c>
      <c r="F374" s="1151"/>
      <c r="G374" s="2655"/>
      <c r="H374" s="2656"/>
      <c r="I374" s="1134"/>
      <c r="J374" s="1135"/>
      <c r="K374" s="1136"/>
      <c r="L374" s="1311"/>
      <c r="M374" s="1324"/>
      <c r="N374" s="162"/>
      <c r="O374" s="1047"/>
      <c r="P374" s="1046"/>
      <c r="Q374" s="135"/>
      <c r="R374" s="136"/>
      <c r="S374" s="129"/>
      <c r="T374" s="129"/>
      <c r="U374" s="129"/>
      <c r="V374" s="129"/>
      <c r="W374" s="129"/>
      <c r="X374" s="129"/>
      <c r="Y374" s="129"/>
      <c r="Z374" s="129"/>
      <c r="AA374" s="129"/>
      <c r="AB374" s="129"/>
      <c r="AC374" s="129"/>
      <c r="AD374" s="129"/>
      <c r="AE374" s="129"/>
      <c r="AF374" s="368"/>
      <c r="AG374" s="368"/>
      <c r="AH374" s="368"/>
      <c r="AI374" s="369"/>
      <c r="AJ374" s="369"/>
      <c r="AK374" s="369"/>
      <c r="AL374" s="369"/>
      <c r="AM374" s="369"/>
      <c r="AN374" s="369"/>
      <c r="AO374" s="369"/>
      <c r="AP374" s="369"/>
      <c r="AQ374" s="369"/>
      <c r="AR374" s="369"/>
      <c r="AS374" s="369"/>
      <c r="AT374" s="369"/>
      <c r="AU374" s="369"/>
      <c r="AV374" s="369"/>
      <c r="AW374" s="369"/>
      <c r="AX374" s="369"/>
      <c r="AY374" s="369"/>
      <c r="AZ374" s="369"/>
      <c r="BA374" s="369"/>
      <c r="BB374" s="369"/>
      <c r="BC374" s="369"/>
      <c r="BD374" s="369"/>
      <c r="BE374" s="369"/>
      <c r="BF374" s="369"/>
      <c r="BG374" s="369"/>
      <c r="BH374" s="369"/>
      <c r="BI374" s="369"/>
      <c r="BJ374" s="369"/>
      <c r="BK374" s="369"/>
      <c r="BL374" s="369"/>
      <c r="BM374" s="369"/>
      <c r="BN374" s="369"/>
      <c r="BO374" s="369"/>
    </row>
    <row r="375" spans="1:67" s="370" customFormat="1" ht="10.5" customHeight="1" x14ac:dyDescent="0.2">
      <c r="A375" s="1147" t="s">
        <v>438</v>
      </c>
      <c r="B375" s="2635" t="s">
        <v>681</v>
      </c>
      <c r="C375" s="2635"/>
      <c r="D375" s="1149" t="s">
        <v>429</v>
      </c>
      <c r="E375" s="1131">
        <v>10.58</v>
      </c>
      <c r="F375" s="1151"/>
      <c r="G375" s="2655"/>
      <c r="H375" s="2656"/>
      <c r="I375" s="1134"/>
      <c r="J375" s="1135"/>
      <c r="K375" s="1136"/>
      <c r="L375" s="1311"/>
      <c r="M375" s="1324"/>
      <c r="N375" s="162"/>
      <c r="O375" s="1047"/>
      <c r="P375" s="1046"/>
      <c r="Q375" s="135"/>
      <c r="R375" s="136"/>
      <c r="S375" s="129"/>
      <c r="T375" s="129"/>
      <c r="U375" s="129"/>
      <c r="V375" s="129"/>
      <c r="W375" s="129"/>
      <c r="X375" s="129"/>
      <c r="Y375" s="129"/>
      <c r="Z375" s="129"/>
      <c r="AA375" s="129"/>
      <c r="AB375" s="129"/>
      <c r="AC375" s="129"/>
      <c r="AD375" s="129"/>
      <c r="AE375" s="129"/>
      <c r="AF375" s="368"/>
      <c r="AG375" s="368"/>
      <c r="AH375" s="368"/>
      <c r="AI375" s="369"/>
      <c r="AJ375" s="369"/>
      <c r="AK375" s="369"/>
      <c r="AL375" s="369"/>
      <c r="AM375" s="369"/>
      <c r="AN375" s="369"/>
      <c r="AO375" s="369"/>
      <c r="AP375" s="369"/>
      <c r="AQ375" s="369"/>
      <c r="AR375" s="369"/>
      <c r="AS375" s="369"/>
      <c r="AT375" s="369"/>
      <c r="AU375" s="369"/>
      <c r="AV375" s="369"/>
      <c r="AW375" s="369"/>
      <c r="AX375" s="369"/>
      <c r="AY375" s="369"/>
      <c r="AZ375" s="369"/>
      <c r="BA375" s="369"/>
      <c r="BB375" s="369"/>
      <c r="BC375" s="369"/>
      <c r="BD375" s="369"/>
      <c r="BE375" s="369"/>
      <c r="BF375" s="369"/>
      <c r="BG375" s="369"/>
      <c r="BH375" s="369"/>
      <c r="BI375" s="369"/>
      <c r="BJ375" s="369"/>
      <c r="BK375" s="369"/>
      <c r="BL375" s="369"/>
      <c r="BM375" s="369"/>
      <c r="BN375" s="369"/>
      <c r="BO375" s="369"/>
    </row>
    <row r="376" spans="1:67" s="370" customFormat="1" ht="10.5" customHeight="1" x14ac:dyDescent="0.2">
      <c r="A376" s="1147" t="s">
        <v>434</v>
      </c>
      <c r="B376" s="1148"/>
      <c r="C376" s="1148"/>
      <c r="D376" s="1149" t="s">
        <v>435</v>
      </c>
      <c r="E376" s="1131">
        <v>100</v>
      </c>
      <c r="F376" s="1152"/>
      <c r="G376" s="1140"/>
      <c r="H376" s="1141"/>
      <c r="I376" s="1134"/>
      <c r="J376" s="1135"/>
      <c r="K376" s="1136"/>
      <c r="L376" s="1311"/>
      <c r="M376" s="1324"/>
      <c r="N376" s="162"/>
      <c r="O376" s="1047"/>
      <c r="P376" s="1046"/>
      <c r="Q376" s="135"/>
      <c r="R376" s="136"/>
      <c r="S376" s="129"/>
      <c r="T376" s="129"/>
      <c r="U376" s="129"/>
      <c r="V376" s="129"/>
      <c r="W376" s="129"/>
      <c r="X376" s="129"/>
      <c r="Y376" s="129"/>
      <c r="Z376" s="129"/>
      <c r="AA376" s="129"/>
      <c r="AB376" s="129"/>
      <c r="AC376" s="129"/>
      <c r="AD376" s="129"/>
      <c r="AE376" s="129"/>
      <c r="AF376" s="368"/>
      <c r="AG376" s="368"/>
      <c r="AH376" s="368"/>
      <c r="AI376" s="369"/>
      <c r="AJ376" s="369"/>
      <c r="AK376" s="369"/>
      <c r="AL376" s="369"/>
      <c r="AM376" s="369"/>
      <c r="AN376" s="369"/>
      <c r="AO376" s="369"/>
      <c r="AP376" s="369"/>
      <c r="AQ376" s="369"/>
      <c r="AR376" s="369"/>
      <c r="AS376" s="369"/>
      <c r="AT376" s="369"/>
      <c r="AU376" s="369"/>
      <c r="AV376" s="369"/>
      <c r="AW376" s="369"/>
      <c r="AX376" s="369"/>
      <c r="AY376" s="369"/>
      <c r="AZ376" s="369"/>
      <c r="BA376" s="369"/>
      <c r="BB376" s="369"/>
      <c r="BC376" s="369"/>
      <c r="BD376" s="369"/>
      <c r="BE376" s="369"/>
      <c r="BF376" s="369"/>
      <c r="BG376" s="369"/>
      <c r="BH376" s="369"/>
      <c r="BI376" s="369"/>
      <c r="BJ376" s="369"/>
      <c r="BK376" s="369"/>
      <c r="BL376" s="369"/>
      <c r="BM376" s="369"/>
      <c r="BN376" s="369"/>
      <c r="BO376" s="369"/>
    </row>
    <row r="377" spans="1:67" s="370" customFormat="1" ht="10.5" customHeight="1" x14ac:dyDescent="0.2">
      <c r="A377" s="1147" t="s">
        <v>432</v>
      </c>
      <c r="B377" s="1148"/>
      <c r="C377" s="1148"/>
      <c r="D377" s="1149" t="s">
        <v>433</v>
      </c>
      <c r="E377" s="1130">
        <v>1</v>
      </c>
      <c r="F377" s="1153"/>
      <c r="G377" s="1140"/>
      <c r="H377" s="1141"/>
      <c r="I377" s="1134"/>
      <c r="J377" s="1135"/>
      <c r="K377" s="1136"/>
      <c r="L377" s="1311"/>
      <c r="M377" s="1324"/>
      <c r="N377" s="162"/>
      <c r="O377" s="1047"/>
      <c r="P377" s="1046"/>
      <c r="Q377" s="135"/>
      <c r="R377" s="136"/>
      <c r="S377" s="129"/>
      <c r="T377" s="129"/>
      <c r="U377" s="129"/>
      <c r="V377" s="129"/>
      <c r="W377" s="129"/>
      <c r="X377" s="129"/>
      <c r="Y377" s="129"/>
      <c r="Z377" s="129"/>
      <c r="AA377" s="129"/>
      <c r="AB377" s="129"/>
      <c r="AC377" s="129"/>
      <c r="AD377" s="129"/>
      <c r="AE377" s="129"/>
      <c r="AF377" s="368"/>
      <c r="AG377" s="368"/>
      <c r="AH377" s="368"/>
      <c r="AI377" s="369"/>
      <c r="AJ377" s="369"/>
      <c r="AK377" s="369"/>
      <c r="AL377" s="369"/>
      <c r="AM377" s="369"/>
      <c r="AN377" s="369"/>
      <c r="AO377" s="369"/>
      <c r="AP377" s="369"/>
      <c r="AQ377" s="369"/>
      <c r="AR377" s="369"/>
      <c r="AS377" s="369"/>
      <c r="AT377" s="369"/>
      <c r="AU377" s="369"/>
      <c r="AV377" s="369"/>
      <c r="AW377" s="369"/>
      <c r="AX377" s="369"/>
      <c r="AY377" s="369"/>
      <c r="AZ377" s="369"/>
      <c r="BA377" s="369"/>
      <c r="BB377" s="369"/>
      <c r="BC377" s="369"/>
      <c r="BD377" s="369"/>
      <c r="BE377" s="369"/>
      <c r="BF377" s="369"/>
      <c r="BG377" s="369"/>
      <c r="BH377" s="369"/>
      <c r="BI377" s="369"/>
      <c r="BJ377" s="369"/>
      <c r="BK377" s="369"/>
      <c r="BL377" s="369"/>
      <c r="BM377" s="369"/>
      <c r="BN377" s="369"/>
      <c r="BO377" s="369"/>
    </row>
    <row r="378" spans="1:67" s="370" customFormat="1" ht="10.5" customHeight="1" x14ac:dyDescent="0.2">
      <c r="A378" s="1147" t="s">
        <v>439</v>
      </c>
      <c r="B378" s="1148"/>
      <c r="C378" s="1148"/>
      <c r="D378" s="1149" t="s">
        <v>441</v>
      </c>
      <c r="E378" s="1130">
        <v>1</v>
      </c>
      <c r="F378" s="1153"/>
      <c r="G378" s="1140"/>
      <c r="H378" s="1141"/>
      <c r="I378" s="1134"/>
      <c r="J378" s="1135"/>
      <c r="K378" s="1136"/>
      <c r="L378" s="1311"/>
      <c r="M378" s="1324"/>
      <c r="N378" s="162"/>
      <c r="O378" s="1047"/>
      <c r="P378" s="1046"/>
      <c r="Q378" s="135"/>
      <c r="R378" s="136"/>
      <c r="S378" s="129"/>
      <c r="T378" s="129"/>
      <c r="U378" s="129"/>
      <c r="V378" s="129"/>
      <c r="W378" s="129"/>
      <c r="X378" s="129"/>
      <c r="Y378" s="129"/>
      <c r="Z378" s="129"/>
      <c r="AA378" s="129"/>
      <c r="AB378" s="129"/>
      <c r="AC378" s="129"/>
      <c r="AD378" s="129"/>
      <c r="AE378" s="129"/>
      <c r="AF378" s="368"/>
      <c r="AG378" s="368"/>
      <c r="AH378" s="368"/>
      <c r="AI378" s="369"/>
      <c r="AJ378" s="369"/>
      <c r="AK378" s="369"/>
      <c r="AL378" s="369"/>
      <c r="AM378" s="369"/>
      <c r="AN378" s="369"/>
      <c r="AO378" s="369"/>
      <c r="AP378" s="369"/>
      <c r="AQ378" s="369"/>
      <c r="AR378" s="369"/>
      <c r="AS378" s="369"/>
      <c r="AT378" s="369"/>
      <c r="AU378" s="369"/>
      <c r="AV378" s="369"/>
      <c r="AW378" s="369"/>
      <c r="AX378" s="369"/>
      <c r="AY378" s="369"/>
      <c r="AZ378" s="369"/>
      <c r="BA378" s="369"/>
      <c r="BB378" s="369"/>
      <c r="BC378" s="369"/>
      <c r="BD378" s="369"/>
      <c r="BE378" s="369"/>
      <c r="BF378" s="369"/>
      <c r="BG378" s="369"/>
      <c r="BH378" s="369"/>
      <c r="BI378" s="369"/>
      <c r="BJ378" s="369"/>
      <c r="BK378" s="369"/>
      <c r="BL378" s="369"/>
      <c r="BM378" s="369"/>
      <c r="BN378" s="369"/>
      <c r="BO378" s="369"/>
    </row>
    <row r="379" spans="1:67" s="370" customFormat="1" ht="10.5" customHeight="1" x14ac:dyDescent="0.2">
      <c r="A379" s="1147" t="s">
        <v>440</v>
      </c>
      <c r="B379" s="1148"/>
      <c r="C379" s="1148"/>
      <c r="D379" s="1149" t="s">
        <v>442</v>
      </c>
      <c r="E379" s="1159">
        <v>150</v>
      </c>
      <c r="F379" s="1153"/>
      <c r="G379" s="1140"/>
      <c r="H379" s="1141"/>
      <c r="I379" s="1134"/>
      <c r="J379" s="1135"/>
      <c r="K379" s="1136"/>
      <c r="L379" s="1311"/>
      <c r="M379" s="1324"/>
      <c r="N379" s="162"/>
      <c r="O379" s="1047"/>
      <c r="P379" s="1046"/>
      <c r="Q379" s="135"/>
      <c r="R379" s="136"/>
      <c r="S379" s="129"/>
      <c r="T379" s="129"/>
      <c r="U379" s="129"/>
      <c r="V379" s="129"/>
      <c r="W379" s="129"/>
      <c r="X379" s="129"/>
      <c r="Y379" s="129"/>
      <c r="Z379" s="129"/>
      <c r="AA379" s="129"/>
      <c r="AB379" s="129"/>
      <c r="AC379" s="129"/>
      <c r="AD379" s="129"/>
      <c r="AE379" s="129"/>
      <c r="AF379" s="368"/>
      <c r="AG379" s="368"/>
      <c r="AH379" s="368"/>
      <c r="AI379" s="369"/>
      <c r="AJ379" s="369"/>
      <c r="AK379" s="369"/>
      <c r="AL379" s="369"/>
      <c r="AM379" s="369"/>
      <c r="AN379" s="369"/>
      <c r="AO379" s="369"/>
      <c r="AP379" s="369"/>
      <c r="AQ379" s="369"/>
      <c r="AR379" s="369"/>
      <c r="AS379" s="369"/>
      <c r="AT379" s="369"/>
      <c r="AU379" s="369"/>
      <c r="AV379" s="369"/>
      <c r="AW379" s="369"/>
      <c r="AX379" s="369"/>
      <c r="AY379" s="369"/>
      <c r="AZ379" s="369"/>
      <c r="BA379" s="369"/>
      <c r="BB379" s="369"/>
      <c r="BC379" s="369"/>
      <c r="BD379" s="369"/>
      <c r="BE379" s="369"/>
      <c r="BF379" s="369"/>
      <c r="BG379" s="369"/>
      <c r="BH379" s="369"/>
      <c r="BI379" s="369"/>
      <c r="BJ379" s="369"/>
      <c r="BK379" s="369"/>
      <c r="BL379" s="369"/>
      <c r="BM379" s="369"/>
      <c r="BN379" s="369"/>
      <c r="BO379" s="369"/>
    </row>
    <row r="380" spans="1:67" s="370" customFormat="1" ht="10.5" customHeight="1" x14ac:dyDescent="0.2">
      <c r="A380" s="1142" t="s">
        <v>443</v>
      </c>
      <c r="B380" s="1148"/>
      <c r="C380" s="1148"/>
      <c r="D380" s="1364"/>
      <c r="E380" s="2672">
        <f>E370*E371/100*E372*E376/100*E373*E377*E378*E379</f>
        <v>0</v>
      </c>
      <c r="F380" s="2673"/>
      <c r="G380" s="1140"/>
      <c r="H380" s="1141"/>
      <c r="I380" s="1134"/>
      <c r="J380" s="1135"/>
      <c r="K380" s="1136"/>
      <c r="L380" s="1311"/>
      <c r="M380" s="1324"/>
      <c r="N380" s="162"/>
      <c r="O380" s="1047"/>
      <c r="P380" s="1046"/>
      <c r="Q380" s="135"/>
      <c r="R380" s="136"/>
      <c r="S380" s="129"/>
      <c r="T380" s="129"/>
      <c r="U380" s="129"/>
      <c r="V380" s="129"/>
      <c r="W380" s="129"/>
      <c r="X380" s="129"/>
      <c r="Y380" s="129"/>
      <c r="Z380" s="129"/>
      <c r="AA380" s="129"/>
      <c r="AB380" s="129"/>
      <c r="AC380" s="129"/>
      <c r="AD380" s="129"/>
      <c r="AE380" s="129"/>
      <c r="AF380" s="368"/>
      <c r="AG380" s="368"/>
      <c r="AH380" s="368"/>
      <c r="AI380" s="369"/>
      <c r="AJ380" s="369"/>
      <c r="AK380" s="369"/>
      <c r="AL380" s="369"/>
      <c r="AM380" s="369"/>
      <c r="AN380" s="369"/>
      <c r="AO380" s="369"/>
      <c r="AP380" s="369"/>
      <c r="AQ380" s="369"/>
      <c r="AR380" s="369"/>
      <c r="AS380" s="369"/>
      <c r="AT380" s="369"/>
      <c r="AU380" s="369"/>
      <c r="AV380" s="369"/>
      <c r="AW380" s="369"/>
      <c r="AX380" s="369"/>
      <c r="AY380" s="369"/>
      <c r="AZ380" s="369"/>
      <c r="BA380" s="369"/>
      <c r="BB380" s="369"/>
      <c r="BC380" s="369"/>
      <c r="BD380" s="369"/>
      <c r="BE380" s="369"/>
      <c r="BF380" s="369"/>
      <c r="BG380" s="369"/>
      <c r="BH380" s="369"/>
      <c r="BI380" s="369"/>
      <c r="BJ380" s="369"/>
      <c r="BK380" s="369"/>
      <c r="BL380" s="369"/>
      <c r="BM380" s="369"/>
      <c r="BN380" s="369"/>
      <c r="BO380" s="369"/>
    </row>
    <row r="381" spans="1:67" s="370" customFormat="1" ht="10.5" customHeight="1" x14ac:dyDescent="0.2">
      <c r="A381" s="1176"/>
      <c r="B381" s="2609"/>
      <c r="C381" s="2609"/>
      <c r="D381" s="2610"/>
      <c r="E381" s="2601"/>
      <c r="F381" s="2602"/>
      <c r="G381" s="1365"/>
      <c r="H381" s="1366"/>
      <c r="I381" s="1367"/>
      <c r="J381" s="1368"/>
      <c r="K381" s="1369"/>
      <c r="L381" s="1370"/>
      <c r="M381" s="1352"/>
      <c r="N381" s="162"/>
      <c r="O381" s="1047"/>
      <c r="P381" s="1046"/>
      <c r="Q381" s="135"/>
      <c r="R381" s="136"/>
      <c r="S381" s="129"/>
      <c r="T381" s="129"/>
      <c r="U381" s="129"/>
      <c r="V381" s="129"/>
      <c r="W381" s="129"/>
      <c r="X381" s="129"/>
      <c r="Y381" s="129"/>
      <c r="Z381" s="129"/>
      <c r="AA381" s="129"/>
      <c r="AB381" s="129"/>
      <c r="AC381" s="129"/>
      <c r="AD381" s="129"/>
      <c r="AE381" s="129"/>
      <c r="AF381" s="368"/>
      <c r="AG381" s="368"/>
      <c r="AH381" s="368"/>
      <c r="AI381" s="369"/>
      <c r="AJ381" s="369"/>
      <c r="AK381" s="369"/>
      <c r="AL381" s="369"/>
      <c r="AM381" s="369"/>
      <c r="AN381" s="369"/>
      <c r="AO381" s="369"/>
      <c r="AP381" s="369"/>
      <c r="AQ381" s="369"/>
      <c r="AR381" s="369"/>
      <c r="AS381" s="369"/>
      <c r="AT381" s="369"/>
      <c r="AU381" s="369"/>
      <c r="AV381" s="369"/>
      <c r="AW381" s="369"/>
      <c r="AX381" s="369"/>
      <c r="AY381" s="369"/>
      <c r="AZ381" s="369"/>
      <c r="BA381" s="369"/>
      <c r="BB381" s="369"/>
      <c r="BC381" s="369"/>
      <c r="BD381" s="369"/>
      <c r="BE381" s="369"/>
      <c r="BF381" s="369"/>
      <c r="BG381" s="369"/>
      <c r="BH381" s="369"/>
      <c r="BI381" s="369"/>
      <c r="BJ381" s="369"/>
      <c r="BK381" s="369"/>
      <c r="BL381" s="369"/>
      <c r="BM381" s="369"/>
      <c r="BN381" s="369"/>
      <c r="BO381" s="369"/>
    </row>
    <row r="382" spans="1:67" s="370" customFormat="1" ht="10.5" customHeight="1" x14ac:dyDescent="0.2">
      <c r="A382" s="1154" t="s">
        <v>386</v>
      </c>
      <c r="B382" s="1155"/>
      <c r="C382" s="1155"/>
      <c r="D382" s="1156"/>
      <c r="E382" s="1157"/>
      <c r="F382" s="1158"/>
      <c r="G382" s="1168"/>
      <c r="H382" s="1162"/>
      <c r="I382" s="1163"/>
      <c r="J382" s="1164"/>
      <c r="K382" s="1165"/>
      <c r="L382" s="1310"/>
      <c r="M382" s="1323"/>
      <c r="N382" s="162"/>
      <c r="O382" s="1047"/>
      <c r="P382" s="1046"/>
      <c r="Q382" s="135"/>
      <c r="R382" s="136"/>
      <c r="S382" s="129"/>
      <c r="T382" s="129"/>
      <c r="U382" s="129"/>
      <c r="V382" s="129"/>
      <c r="W382" s="129"/>
      <c r="X382" s="129"/>
      <c r="Y382" s="129"/>
      <c r="Z382" s="129"/>
      <c r="AA382" s="129"/>
      <c r="AB382" s="129"/>
      <c r="AC382" s="129"/>
      <c r="AD382" s="129"/>
      <c r="AE382" s="129"/>
      <c r="AF382" s="368"/>
      <c r="AG382" s="368"/>
      <c r="AH382" s="368"/>
      <c r="AI382" s="369"/>
      <c r="AJ382" s="369"/>
      <c r="AK382" s="369"/>
      <c r="AL382" s="369"/>
      <c r="AM382" s="369"/>
      <c r="AN382" s="369"/>
      <c r="AO382" s="369"/>
      <c r="AP382" s="369"/>
      <c r="AQ382" s="369"/>
      <c r="AR382" s="369"/>
      <c r="AS382" s="369"/>
      <c r="AT382" s="369"/>
      <c r="AU382" s="369"/>
      <c r="AV382" s="369"/>
      <c r="AW382" s="369"/>
      <c r="AX382" s="369"/>
      <c r="AY382" s="369"/>
      <c r="AZ382" s="369"/>
      <c r="BA382" s="369"/>
      <c r="BB382" s="369"/>
      <c r="BC382" s="369"/>
      <c r="BD382" s="369"/>
      <c r="BE382" s="369"/>
      <c r="BF382" s="369"/>
      <c r="BG382" s="369"/>
      <c r="BH382" s="369"/>
      <c r="BI382" s="369"/>
      <c r="BJ382" s="369"/>
      <c r="BK382" s="369"/>
      <c r="BL382" s="369"/>
      <c r="BM382" s="369"/>
      <c r="BN382" s="369"/>
      <c r="BO382" s="369"/>
    </row>
    <row r="383" spans="1:67" s="370" customFormat="1" ht="10.5" customHeight="1" x14ac:dyDescent="0.2">
      <c r="A383" s="1142" t="s">
        <v>387</v>
      </c>
      <c r="B383" s="1143"/>
      <c r="C383" s="1143"/>
      <c r="D383" s="1144"/>
      <c r="E383" s="1145"/>
      <c r="F383" s="1146"/>
      <c r="G383" s="1132"/>
      <c r="H383" s="1133"/>
      <c r="I383" s="1134"/>
      <c r="J383" s="1135"/>
      <c r="K383" s="1136"/>
      <c r="L383" s="1311"/>
      <c r="M383" s="1324"/>
      <c r="N383" s="162"/>
      <c r="O383" s="1047"/>
      <c r="P383" s="1046"/>
      <c r="Q383" s="135"/>
      <c r="R383" s="136"/>
      <c r="S383" s="129"/>
      <c r="T383" s="129"/>
      <c r="U383" s="129"/>
      <c r="V383" s="129"/>
      <c r="W383" s="129"/>
      <c r="X383" s="129"/>
      <c r="Y383" s="129"/>
      <c r="Z383" s="129"/>
      <c r="AA383" s="129"/>
      <c r="AB383" s="129"/>
      <c r="AC383" s="129"/>
      <c r="AD383" s="129"/>
      <c r="AE383" s="129"/>
      <c r="AF383" s="368"/>
      <c r="AG383" s="368"/>
      <c r="AH383" s="368"/>
      <c r="AI383" s="369"/>
      <c r="AJ383" s="369"/>
      <c r="AK383" s="369"/>
      <c r="AL383" s="369"/>
      <c r="AM383" s="369"/>
      <c r="AN383" s="369"/>
      <c r="AO383" s="369"/>
      <c r="AP383" s="369"/>
      <c r="AQ383" s="369"/>
      <c r="AR383" s="369"/>
      <c r="AS383" s="369"/>
      <c r="AT383" s="369"/>
      <c r="AU383" s="369"/>
      <c r="AV383" s="369"/>
      <c r="AW383" s="369"/>
      <c r="AX383" s="369"/>
      <c r="AY383" s="369"/>
      <c r="AZ383" s="369"/>
      <c r="BA383" s="369"/>
      <c r="BB383" s="369"/>
      <c r="BC383" s="369"/>
      <c r="BD383" s="369"/>
      <c r="BE383" s="369"/>
      <c r="BF383" s="369"/>
      <c r="BG383" s="369"/>
      <c r="BH383" s="369"/>
      <c r="BI383" s="369"/>
      <c r="BJ383" s="369"/>
      <c r="BK383" s="369"/>
      <c r="BL383" s="369"/>
      <c r="BM383" s="369"/>
      <c r="BN383" s="369"/>
      <c r="BO383" s="369"/>
    </row>
    <row r="384" spans="1:67" s="370" customFormat="1" ht="10.5" customHeight="1" x14ac:dyDescent="0.2">
      <c r="A384" s="1167"/>
      <c r="B384" s="2663"/>
      <c r="C384" s="2664"/>
      <c r="D384" s="2665"/>
      <c r="E384" s="2641"/>
      <c r="F384" s="2642"/>
      <c r="G384" s="1137"/>
      <c r="H384" s="1138"/>
      <c r="I384" s="1134"/>
      <c r="J384" s="1135"/>
      <c r="K384" s="1136"/>
      <c r="L384" s="1311"/>
      <c r="M384" s="1324"/>
      <c r="N384" s="162"/>
      <c r="O384" s="1047"/>
      <c r="P384" s="1046"/>
      <c r="Q384" s="135"/>
      <c r="R384" s="136"/>
      <c r="S384" s="129"/>
      <c r="T384" s="129"/>
      <c r="U384" s="129"/>
      <c r="V384" s="129"/>
      <c r="W384" s="129"/>
      <c r="X384" s="129"/>
      <c r="Y384" s="129"/>
      <c r="Z384" s="129"/>
      <c r="AA384" s="129"/>
      <c r="AB384" s="129"/>
      <c r="AC384" s="129"/>
      <c r="AD384" s="129"/>
      <c r="AE384" s="129"/>
      <c r="AF384" s="368"/>
      <c r="AG384" s="368"/>
      <c r="AH384" s="368"/>
      <c r="AI384" s="369"/>
      <c r="AJ384" s="369"/>
      <c r="AK384" s="369"/>
      <c r="AL384" s="369"/>
      <c r="AM384" s="369"/>
      <c r="AN384" s="369"/>
      <c r="AO384" s="369"/>
      <c r="AP384" s="369"/>
      <c r="AQ384" s="369"/>
      <c r="AR384" s="369"/>
      <c r="AS384" s="369"/>
      <c r="AT384" s="369"/>
      <c r="AU384" s="369"/>
      <c r="AV384" s="369"/>
      <c r="AW384" s="369"/>
      <c r="AX384" s="369"/>
      <c r="AY384" s="369"/>
      <c r="AZ384" s="369"/>
      <c r="BA384" s="369"/>
      <c r="BB384" s="369"/>
      <c r="BC384" s="369"/>
      <c r="BD384" s="369"/>
      <c r="BE384" s="369"/>
      <c r="BF384" s="369"/>
      <c r="BG384" s="369"/>
      <c r="BH384" s="369"/>
      <c r="BI384" s="369"/>
      <c r="BJ384" s="369"/>
      <c r="BK384" s="369"/>
      <c r="BL384" s="369"/>
      <c r="BM384" s="369"/>
      <c r="BN384" s="369"/>
      <c r="BO384" s="369"/>
    </row>
    <row r="385" spans="1:67" s="370" customFormat="1" ht="10.5" customHeight="1" x14ac:dyDescent="0.2">
      <c r="A385" s="1167"/>
      <c r="B385" s="2663"/>
      <c r="C385" s="2664"/>
      <c r="D385" s="2665"/>
      <c r="E385" s="2641"/>
      <c r="F385" s="2642"/>
      <c r="G385" s="1139"/>
      <c r="H385" s="1133"/>
      <c r="I385" s="1134"/>
      <c r="J385" s="1135"/>
      <c r="K385" s="1136"/>
      <c r="L385" s="1311"/>
      <c r="M385" s="1324"/>
      <c r="N385" s="162"/>
      <c r="O385" s="1047"/>
      <c r="P385" s="1046"/>
      <c r="Q385" s="135"/>
      <c r="R385" s="136"/>
      <c r="S385" s="129"/>
      <c r="T385" s="129"/>
      <c r="U385" s="129"/>
      <c r="V385" s="129"/>
      <c r="W385" s="129"/>
      <c r="X385" s="129"/>
      <c r="Y385" s="129"/>
      <c r="Z385" s="129"/>
      <c r="AA385" s="129"/>
      <c r="AB385" s="129"/>
      <c r="AC385" s="129"/>
      <c r="AD385" s="129"/>
      <c r="AE385" s="129"/>
      <c r="AF385" s="368"/>
      <c r="AG385" s="368"/>
      <c r="AH385" s="368"/>
      <c r="AI385" s="369"/>
      <c r="AJ385" s="369"/>
      <c r="AK385" s="369"/>
      <c r="AL385" s="369"/>
      <c r="AM385" s="369"/>
      <c r="AN385" s="369"/>
      <c r="AO385" s="369"/>
      <c r="AP385" s="369"/>
      <c r="AQ385" s="369"/>
      <c r="AR385" s="369"/>
      <c r="AS385" s="369"/>
      <c r="AT385" s="369"/>
      <c r="AU385" s="369"/>
      <c r="AV385" s="369"/>
      <c r="AW385" s="369"/>
      <c r="AX385" s="369"/>
      <c r="AY385" s="369"/>
      <c r="AZ385" s="369"/>
      <c r="BA385" s="369"/>
      <c r="BB385" s="369"/>
      <c r="BC385" s="369"/>
      <c r="BD385" s="369"/>
      <c r="BE385" s="369"/>
      <c r="BF385" s="369"/>
      <c r="BG385" s="369"/>
      <c r="BH385" s="369"/>
      <c r="BI385" s="369"/>
      <c r="BJ385" s="369"/>
      <c r="BK385" s="369"/>
      <c r="BL385" s="369"/>
      <c r="BM385" s="369"/>
      <c r="BN385" s="369"/>
      <c r="BO385" s="369"/>
    </row>
    <row r="386" spans="1:67" s="370" customFormat="1" ht="10.5" customHeight="1" x14ac:dyDescent="0.2">
      <c r="A386" s="1167"/>
      <c r="B386" s="2663"/>
      <c r="C386" s="2664"/>
      <c r="D386" s="2665"/>
      <c r="E386" s="2641"/>
      <c r="F386" s="2642"/>
      <c r="G386" s="1139"/>
      <c r="H386" s="1133"/>
      <c r="I386" s="1134"/>
      <c r="J386" s="1135"/>
      <c r="K386" s="1136"/>
      <c r="L386" s="1311"/>
      <c r="M386" s="1324"/>
      <c r="N386" s="162"/>
      <c r="O386" s="1047"/>
      <c r="P386" s="1046"/>
      <c r="Q386" s="135"/>
      <c r="R386" s="136"/>
      <c r="S386" s="129"/>
      <c r="T386" s="129"/>
      <c r="U386" s="129"/>
      <c r="V386" s="129"/>
      <c r="W386" s="129"/>
      <c r="X386" s="129"/>
      <c r="Y386" s="129"/>
      <c r="Z386" s="129"/>
      <c r="AA386" s="129"/>
      <c r="AB386" s="129"/>
      <c r="AC386" s="129"/>
      <c r="AD386" s="129"/>
      <c r="AE386" s="129"/>
      <c r="AF386" s="368"/>
      <c r="AG386" s="368"/>
      <c r="AH386" s="368"/>
      <c r="AI386" s="369"/>
      <c r="AJ386" s="369"/>
      <c r="AK386" s="369"/>
      <c r="AL386" s="369"/>
      <c r="AM386" s="369"/>
      <c r="AN386" s="369"/>
      <c r="AO386" s="369"/>
      <c r="AP386" s="369"/>
      <c r="AQ386" s="369"/>
      <c r="AR386" s="369"/>
      <c r="AS386" s="369"/>
      <c r="AT386" s="369"/>
      <c r="AU386" s="369"/>
      <c r="AV386" s="369"/>
      <c r="AW386" s="369"/>
      <c r="AX386" s="369"/>
      <c r="AY386" s="369"/>
      <c r="AZ386" s="369"/>
      <c r="BA386" s="369"/>
      <c r="BB386" s="369"/>
      <c r="BC386" s="369"/>
      <c r="BD386" s="369"/>
      <c r="BE386" s="369"/>
      <c r="BF386" s="369"/>
      <c r="BG386" s="369"/>
      <c r="BH386" s="369"/>
      <c r="BI386" s="369"/>
      <c r="BJ386" s="369"/>
      <c r="BK386" s="369"/>
      <c r="BL386" s="369"/>
      <c r="BM386" s="369"/>
      <c r="BN386" s="369"/>
      <c r="BO386" s="369"/>
    </row>
    <row r="387" spans="1:67" s="370" customFormat="1" ht="10.5" customHeight="1" x14ac:dyDescent="0.2">
      <c r="A387" s="1167"/>
      <c r="B387" s="2663"/>
      <c r="C387" s="2664"/>
      <c r="D387" s="2665"/>
      <c r="E387" s="2641"/>
      <c r="F387" s="2642"/>
      <c r="G387" s="1139"/>
      <c r="H387" s="1133"/>
      <c r="I387" s="1134"/>
      <c r="J387" s="1135"/>
      <c r="K387" s="1136"/>
      <c r="L387" s="1311"/>
      <c r="M387" s="1324"/>
      <c r="N387" s="162"/>
      <c r="O387" s="1047"/>
      <c r="P387" s="1046"/>
      <c r="Q387" s="135"/>
      <c r="R387" s="136"/>
      <c r="S387" s="129"/>
      <c r="T387" s="129"/>
      <c r="U387" s="129"/>
      <c r="V387" s="129"/>
      <c r="W387" s="129"/>
      <c r="X387" s="129"/>
      <c r="Y387" s="129"/>
      <c r="Z387" s="129"/>
      <c r="AA387" s="129"/>
      <c r="AB387" s="129"/>
      <c r="AC387" s="129"/>
      <c r="AD387" s="129"/>
      <c r="AE387" s="129"/>
      <c r="AF387" s="368"/>
      <c r="AG387" s="368"/>
      <c r="AH387" s="368"/>
      <c r="AI387" s="369"/>
      <c r="AJ387" s="369"/>
      <c r="AK387" s="369"/>
      <c r="AL387" s="369"/>
      <c r="AM387" s="369"/>
      <c r="AN387" s="369"/>
      <c r="AO387" s="369"/>
      <c r="AP387" s="369"/>
      <c r="AQ387" s="369"/>
      <c r="AR387" s="369"/>
      <c r="AS387" s="369"/>
      <c r="AT387" s="369"/>
      <c r="AU387" s="369"/>
      <c r="AV387" s="369"/>
      <c r="AW387" s="369"/>
      <c r="AX387" s="369"/>
      <c r="AY387" s="369"/>
      <c r="AZ387" s="369"/>
      <c r="BA387" s="369"/>
      <c r="BB387" s="369"/>
      <c r="BC387" s="369"/>
      <c r="BD387" s="369"/>
      <c r="BE387" s="369"/>
      <c r="BF387" s="369"/>
      <c r="BG387" s="369"/>
      <c r="BH387" s="369"/>
      <c r="BI387" s="369"/>
      <c r="BJ387" s="369"/>
      <c r="BK387" s="369"/>
      <c r="BL387" s="369"/>
      <c r="BM387" s="369"/>
      <c r="BN387" s="369"/>
      <c r="BO387" s="369"/>
    </row>
    <row r="388" spans="1:67" s="370" customFormat="1" ht="10.5" customHeight="1" x14ac:dyDescent="0.2">
      <c r="A388" s="1167"/>
      <c r="B388" s="2663"/>
      <c r="C388" s="2664"/>
      <c r="D388" s="2665"/>
      <c r="E388" s="2641"/>
      <c r="F388" s="2642"/>
      <c r="G388" s="1169"/>
      <c r="H388" s="1170"/>
      <c r="I388" s="1134"/>
      <c r="J388" s="1135"/>
      <c r="K388" s="1136"/>
      <c r="L388" s="1311"/>
      <c r="M388" s="1324"/>
      <c r="N388" s="162"/>
      <c r="O388" s="1047"/>
      <c r="P388" s="1046"/>
      <c r="Q388" s="135"/>
      <c r="R388" s="136"/>
      <c r="S388" s="129"/>
      <c r="T388" s="129"/>
      <c r="U388" s="129"/>
      <c r="V388" s="129"/>
      <c r="W388" s="129"/>
      <c r="X388" s="129"/>
      <c r="Y388" s="129"/>
      <c r="Z388" s="129"/>
      <c r="AA388" s="129"/>
      <c r="AB388" s="129"/>
      <c r="AC388" s="129"/>
      <c r="AD388" s="129"/>
      <c r="AE388" s="129"/>
      <c r="AF388" s="368"/>
      <c r="AG388" s="368"/>
      <c r="AH388" s="368"/>
      <c r="AI388" s="369"/>
      <c r="AJ388" s="369"/>
      <c r="AK388" s="369"/>
      <c r="AL388" s="369"/>
      <c r="AM388" s="369"/>
      <c r="AN388" s="369"/>
      <c r="AO388" s="369"/>
      <c r="AP388" s="369"/>
      <c r="AQ388" s="369"/>
      <c r="AR388" s="369"/>
      <c r="AS388" s="369"/>
      <c r="AT388" s="369"/>
      <c r="AU388" s="369"/>
      <c r="AV388" s="369"/>
      <c r="AW388" s="369"/>
      <c r="AX388" s="369"/>
      <c r="AY388" s="369"/>
      <c r="AZ388" s="369"/>
      <c r="BA388" s="369"/>
      <c r="BB388" s="369"/>
      <c r="BC388" s="369"/>
      <c r="BD388" s="369"/>
      <c r="BE388" s="369"/>
      <c r="BF388" s="369"/>
      <c r="BG388" s="369"/>
      <c r="BH388" s="369"/>
      <c r="BI388" s="369"/>
      <c r="BJ388" s="369"/>
      <c r="BK388" s="369"/>
      <c r="BL388" s="369"/>
      <c r="BM388" s="369"/>
      <c r="BN388" s="369"/>
      <c r="BO388" s="369"/>
    </row>
    <row r="389" spans="1:67" s="370" customFormat="1" ht="10.5" customHeight="1" x14ac:dyDescent="0.2">
      <c r="A389" s="1288" t="s">
        <v>13</v>
      </c>
      <c r="B389" s="1289"/>
      <c r="C389" s="1289"/>
      <c r="D389" s="1290"/>
      <c r="E389" s="2674">
        <f>SUM(E384:E388)</f>
        <v>0</v>
      </c>
      <c r="F389" s="2675"/>
      <c r="G389" s="1291"/>
      <c r="H389" s="1292"/>
      <c r="I389" s="1293"/>
      <c r="J389" s="1294"/>
      <c r="K389" s="1295"/>
      <c r="L389" s="1313"/>
      <c r="M389" s="1325"/>
      <c r="N389" s="162"/>
      <c r="O389" s="1047"/>
      <c r="P389" s="1046"/>
      <c r="Q389" s="135"/>
      <c r="R389" s="136"/>
      <c r="S389" s="129"/>
      <c r="T389" s="129"/>
      <c r="U389" s="129"/>
      <c r="V389" s="129"/>
      <c r="W389" s="129"/>
      <c r="X389" s="129"/>
      <c r="Y389" s="129"/>
      <c r="Z389" s="129"/>
      <c r="AA389" s="129"/>
      <c r="AB389" s="129"/>
      <c r="AC389" s="129"/>
      <c r="AD389" s="129"/>
      <c r="AE389" s="129"/>
      <c r="AF389" s="368"/>
      <c r="AG389" s="368"/>
      <c r="AH389" s="368"/>
      <c r="AI389" s="369"/>
      <c r="AJ389" s="369"/>
      <c r="AK389" s="369"/>
      <c r="AL389" s="369"/>
      <c r="AM389" s="369"/>
      <c r="AN389" s="369"/>
      <c r="AO389" s="369"/>
      <c r="AP389" s="369"/>
      <c r="AQ389" s="369"/>
      <c r="AR389" s="369"/>
      <c r="AS389" s="369"/>
      <c r="AT389" s="369"/>
      <c r="AU389" s="369"/>
      <c r="AV389" s="369"/>
      <c r="AW389" s="369"/>
      <c r="AX389" s="369"/>
      <c r="AY389" s="369"/>
      <c r="AZ389" s="369"/>
      <c r="BA389" s="369"/>
      <c r="BB389" s="369"/>
      <c r="BC389" s="369"/>
      <c r="BD389" s="369"/>
      <c r="BE389" s="369"/>
      <c r="BF389" s="369"/>
      <c r="BG389" s="369"/>
      <c r="BH389" s="369"/>
      <c r="BI389" s="369"/>
      <c r="BJ389" s="369"/>
      <c r="BK389" s="369"/>
      <c r="BL389" s="369"/>
      <c r="BM389" s="369"/>
      <c r="BN389" s="369"/>
      <c r="BO389" s="369"/>
    </row>
    <row r="390" spans="1:67" s="370" customFormat="1" ht="10.5" customHeight="1" x14ac:dyDescent="0.2">
      <c r="A390" s="1142" t="s">
        <v>390</v>
      </c>
      <c r="B390" s="1143"/>
      <c r="C390" s="1143"/>
      <c r="D390" s="1144"/>
      <c r="E390" s="1145"/>
      <c r="F390" s="1146"/>
      <c r="G390" s="1132"/>
      <c r="H390" s="1133"/>
      <c r="I390" s="1134"/>
      <c r="J390" s="1135"/>
      <c r="K390" s="1136"/>
      <c r="L390" s="1311"/>
      <c r="M390" s="1324"/>
      <c r="N390" s="162"/>
      <c r="O390" s="1047"/>
      <c r="P390" s="1046"/>
      <c r="Q390" s="135"/>
      <c r="R390" s="136"/>
      <c r="S390" s="129"/>
      <c r="T390" s="129"/>
      <c r="U390" s="129"/>
      <c r="V390" s="129"/>
      <c r="W390" s="129"/>
      <c r="X390" s="129"/>
      <c r="Y390" s="129"/>
      <c r="Z390" s="129"/>
      <c r="AA390" s="129"/>
      <c r="AB390" s="129"/>
      <c r="AC390" s="129"/>
      <c r="AD390" s="129"/>
      <c r="AE390" s="129"/>
      <c r="AF390" s="368"/>
      <c r="AG390" s="368"/>
      <c r="AH390" s="368"/>
      <c r="AI390" s="369"/>
      <c r="AJ390" s="369"/>
      <c r="AK390" s="369"/>
      <c r="AL390" s="369"/>
      <c r="AM390" s="369"/>
      <c r="AN390" s="369"/>
      <c r="AO390" s="369"/>
      <c r="AP390" s="369"/>
      <c r="AQ390" s="369"/>
      <c r="AR390" s="369"/>
      <c r="AS390" s="369"/>
      <c r="AT390" s="369"/>
      <c r="AU390" s="369"/>
      <c r="AV390" s="369"/>
      <c r="AW390" s="369"/>
      <c r="AX390" s="369"/>
      <c r="AY390" s="369"/>
      <c r="AZ390" s="369"/>
      <c r="BA390" s="369"/>
      <c r="BB390" s="369"/>
      <c r="BC390" s="369"/>
      <c r="BD390" s="369"/>
      <c r="BE390" s="369"/>
      <c r="BF390" s="369"/>
      <c r="BG390" s="369"/>
      <c r="BH390" s="369"/>
      <c r="BI390" s="369"/>
      <c r="BJ390" s="369"/>
      <c r="BK390" s="369"/>
      <c r="BL390" s="369"/>
      <c r="BM390" s="369"/>
      <c r="BN390" s="369"/>
      <c r="BO390" s="369"/>
    </row>
    <row r="391" spans="1:67" s="370" customFormat="1" ht="10.5" customHeight="1" x14ac:dyDescent="0.2">
      <c r="A391" s="1167"/>
      <c r="B391" s="2663"/>
      <c r="C391" s="2664"/>
      <c r="D391" s="2665"/>
      <c r="E391" s="2641"/>
      <c r="F391" s="2642"/>
      <c r="G391" s="1137"/>
      <c r="H391" s="1138"/>
      <c r="I391" s="1134"/>
      <c r="J391" s="1135"/>
      <c r="K391" s="1136"/>
      <c r="L391" s="1311"/>
      <c r="M391" s="1324"/>
      <c r="N391" s="162"/>
      <c r="O391" s="1047"/>
      <c r="P391" s="1046"/>
      <c r="Q391" s="135"/>
      <c r="R391" s="136"/>
      <c r="S391" s="129"/>
      <c r="T391" s="129"/>
      <c r="U391" s="129"/>
      <c r="V391" s="129"/>
      <c r="W391" s="129"/>
      <c r="X391" s="129"/>
      <c r="Y391" s="129"/>
      <c r="Z391" s="129"/>
      <c r="AA391" s="129"/>
      <c r="AB391" s="129"/>
      <c r="AC391" s="129"/>
      <c r="AD391" s="129"/>
      <c r="AE391" s="129"/>
      <c r="AF391" s="368"/>
      <c r="AG391" s="368"/>
      <c r="AH391" s="368"/>
      <c r="AI391" s="369"/>
      <c r="AJ391" s="369"/>
      <c r="AK391" s="369"/>
      <c r="AL391" s="369"/>
      <c r="AM391" s="369"/>
      <c r="AN391" s="369"/>
      <c r="AO391" s="369"/>
      <c r="AP391" s="369"/>
      <c r="AQ391" s="369"/>
      <c r="AR391" s="369"/>
      <c r="AS391" s="369"/>
      <c r="AT391" s="369"/>
      <c r="AU391" s="369"/>
      <c r="AV391" s="369"/>
      <c r="AW391" s="369"/>
      <c r="AX391" s="369"/>
      <c r="AY391" s="369"/>
      <c r="AZ391" s="369"/>
      <c r="BA391" s="369"/>
      <c r="BB391" s="369"/>
      <c r="BC391" s="369"/>
      <c r="BD391" s="369"/>
      <c r="BE391" s="369"/>
      <c r="BF391" s="369"/>
      <c r="BG391" s="369"/>
      <c r="BH391" s="369"/>
      <c r="BI391" s="369"/>
      <c r="BJ391" s="369"/>
      <c r="BK391" s="369"/>
      <c r="BL391" s="369"/>
      <c r="BM391" s="369"/>
      <c r="BN391" s="369"/>
      <c r="BO391" s="369"/>
    </row>
    <row r="392" spans="1:67" s="370" customFormat="1" ht="10.5" customHeight="1" x14ac:dyDescent="0.2">
      <c r="A392" s="1167"/>
      <c r="B392" s="2663"/>
      <c r="C392" s="2664"/>
      <c r="D392" s="2665"/>
      <c r="E392" s="2641"/>
      <c r="F392" s="2642"/>
      <c r="G392" s="1139"/>
      <c r="H392" s="1133"/>
      <c r="I392" s="1134"/>
      <c r="J392" s="1135"/>
      <c r="K392" s="1136"/>
      <c r="L392" s="1311"/>
      <c r="M392" s="1324"/>
      <c r="N392" s="162"/>
      <c r="O392" s="1047"/>
      <c r="P392" s="1046"/>
      <c r="Q392" s="135"/>
      <c r="R392" s="136"/>
      <c r="S392" s="129"/>
      <c r="T392" s="129"/>
      <c r="U392" s="129"/>
      <c r="V392" s="129"/>
      <c r="W392" s="129"/>
      <c r="X392" s="129"/>
      <c r="Y392" s="129"/>
      <c r="Z392" s="129"/>
      <c r="AA392" s="129"/>
      <c r="AB392" s="129"/>
      <c r="AC392" s="129"/>
      <c r="AD392" s="129"/>
      <c r="AE392" s="129"/>
      <c r="AF392" s="368"/>
      <c r="AG392" s="368"/>
      <c r="AH392" s="368"/>
      <c r="AI392" s="369"/>
      <c r="AJ392" s="369"/>
      <c r="AK392" s="369"/>
      <c r="AL392" s="369"/>
      <c r="AM392" s="369"/>
      <c r="AN392" s="369"/>
      <c r="AO392" s="369"/>
      <c r="AP392" s="369"/>
      <c r="AQ392" s="369"/>
      <c r="AR392" s="369"/>
      <c r="AS392" s="369"/>
      <c r="AT392" s="369"/>
      <c r="AU392" s="369"/>
      <c r="AV392" s="369"/>
      <c r="AW392" s="369"/>
      <c r="AX392" s="369"/>
      <c r="AY392" s="369"/>
      <c r="AZ392" s="369"/>
      <c r="BA392" s="369"/>
      <c r="BB392" s="369"/>
      <c r="BC392" s="369"/>
      <c r="BD392" s="369"/>
      <c r="BE392" s="369"/>
      <c r="BF392" s="369"/>
      <c r="BG392" s="369"/>
      <c r="BH392" s="369"/>
      <c r="BI392" s="369"/>
      <c r="BJ392" s="369"/>
      <c r="BK392" s="369"/>
      <c r="BL392" s="369"/>
      <c r="BM392" s="369"/>
      <c r="BN392" s="369"/>
      <c r="BO392" s="369"/>
    </row>
    <row r="393" spans="1:67" s="370" customFormat="1" ht="10.5" customHeight="1" x14ac:dyDescent="0.2">
      <c r="A393" s="1167"/>
      <c r="B393" s="2663"/>
      <c r="C393" s="2664"/>
      <c r="D393" s="2665"/>
      <c r="E393" s="2641"/>
      <c r="F393" s="2642"/>
      <c r="G393" s="1139"/>
      <c r="H393" s="1133"/>
      <c r="I393" s="1134"/>
      <c r="J393" s="1135"/>
      <c r="K393" s="1136"/>
      <c r="L393" s="1311"/>
      <c r="M393" s="1324"/>
      <c r="N393" s="162"/>
      <c r="O393" s="1047"/>
      <c r="P393" s="1046"/>
      <c r="Q393" s="135"/>
      <c r="R393" s="136"/>
      <c r="S393" s="129"/>
      <c r="T393" s="129"/>
      <c r="U393" s="129"/>
      <c r="V393" s="129"/>
      <c r="W393" s="129"/>
      <c r="X393" s="129"/>
      <c r="Y393" s="129"/>
      <c r="Z393" s="129"/>
      <c r="AA393" s="129"/>
      <c r="AB393" s="129"/>
      <c r="AC393" s="129"/>
      <c r="AD393" s="129"/>
      <c r="AE393" s="129"/>
      <c r="AF393" s="368"/>
      <c r="AG393" s="368"/>
      <c r="AH393" s="368"/>
      <c r="AI393" s="369"/>
      <c r="AJ393" s="369"/>
      <c r="AK393" s="369"/>
      <c r="AL393" s="369"/>
      <c r="AM393" s="369"/>
      <c r="AN393" s="369"/>
      <c r="AO393" s="369"/>
      <c r="AP393" s="369"/>
      <c r="AQ393" s="369"/>
      <c r="AR393" s="369"/>
      <c r="AS393" s="369"/>
      <c r="AT393" s="369"/>
      <c r="AU393" s="369"/>
      <c r="AV393" s="369"/>
      <c r="AW393" s="369"/>
      <c r="AX393" s="369"/>
      <c r="AY393" s="369"/>
      <c r="AZ393" s="369"/>
      <c r="BA393" s="369"/>
      <c r="BB393" s="369"/>
      <c r="BC393" s="369"/>
      <c r="BD393" s="369"/>
      <c r="BE393" s="369"/>
      <c r="BF393" s="369"/>
      <c r="BG393" s="369"/>
      <c r="BH393" s="369"/>
      <c r="BI393" s="369"/>
      <c r="BJ393" s="369"/>
      <c r="BK393" s="369"/>
      <c r="BL393" s="369"/>
      <c r="BM393" s="369"/>
      <c r="BN393" s="369"/>
      <c r="BO393" s="369"/>
    </row>
    <row r="394" spans="1:67" s="370" customFormat="1" ht="10.5" customHeight="1" x14ac:dyDescent="0.2">
      <c r="A394" s="1167"/>
      <c r="B394" s="2663"/>
      <c r="C394" s="2664"/>
      <c r="D394" s="2665"/>
      <c r="E394" s="2641"/>
      <c r="F394" s="2642"/>
      <c r="G394" s="1139"/>
      <c r="H394" s="1133"/>
      <c r="I394" s="1134"/>
      <c r="J394" s="1135"/>
      <c r="K394" s="1136"/>
      <c r="L394" s="1311"/>
      <c r="M394" s="1324"/>
      <c r="N394" s="162"/>
      <c r="O394" s="1047"/>
      <c r="P394" s="1046"/>
      <c r="Q394" s="135"/>
      <c r="R394" s="136"/>
      <c r="S394" s="129"/>
      <c r="T394" s="129"/>
      <c r="U394" s="129"/>
      <c r="V394" s="129"/>
      <c r="W394" s="129"/>
      <c r="X394" s="129"/>
      <c r="Y394" s="129"/>
      <c r="Z394" s="129"/>
      <c r="AA394" s="129"/>
      <c r="AB394" s="129"/>
      <c r="AC394" s="129"/>
      <c r="AD394" s="129"/>
      <c r="AE394" s="129"/>
      <c r="AF394" s="368"/>
      <c r="AG394" s="368"/>
      <c r="AH394" s="368"/>
      <c r="AI394" s="369"/>
      <c r="AJ394" s="369"/>
      <c r="AK394" s="369"/>
      <c r="AL394" s="369"/>
      <c r="AM394" s="369"/>
      <c r="AN394" s="369"/>
      <c r="AO394" s="369"/>
      <c r="AP394" s="369"/>
      <c r="AQ394" s="369"/>
      <c r="AR394" s="369"/>
      <c r="AS394" s="369"/>
      <c r="AT394" s="369"/>
      <c r="AU394" s="369"/>
      <c r="AV394" s="369"/>
      <c r="AW394" s="369"/>
      <c r="AX394" s="369"/>
      <c r="AY394" s="369"/>
      <c r="AZ394" s="369"/>
      <c r="BA394" s="369"/>
      <c r="BB394" s="369"/>
      <c r="BC394" s="369"/>
      <c r="BD394" s="369"/>
      <c r="BE394" s="369"/>
      <c r="BF394" s="369"/>
      <c r="BG394" s="369"/>
      <c r="BH394" s="369"/>
      <c r="BI394" s="369"/>
      <c r="BJ394" s="369"/>
      <c r="BK394" s="369"/>
      <c r="BL394" s="369"/>
      <c r="BM394" s="369"/>
      <c r="BN394" s="369"/>
      <c r="BO394" s="369"/>
    </row>
    <row r="395" spans="1:67" s="370" customFormat="1" ht="10.5" customHeight="1" x14ac:dyDescent="0.2">
      <c r="A395" s="1167"/>
      <c r="B395" s="2663"/>
      <c r="C395" s="2664"/>
      <c r="D395" s="2665"/>
      <c r="E395" s="2641"/>
      <c r="F395" s="2642"/>
      <c r="G395" s="1169"/>
      <c r="H395" s="1170"/>
      <c r="I395" s="1134"/>
      <c r="J395" s="1135"/>
      <c r="K395" s="1136"/>
      <c r="L395" s="1311"/>
      <c r="M395" s="1324"/>
      <c r="N395" s="162"/>
      <c r="O395" s="1047"/>
      <c r="P395" s="1046"/>
      <c r="Q395" s="135"/>
      <c r="R395" s="136"/>
      <c r="S395" s="129"/>
      <c r="T395" s="129"/>
      <c r="U395" s="129"/>
      <c r="V395" s="129"/>
      <c r="W395" s="129"/>
      <c r="X395" s="129"/>
      <c r="Y395" s="129"/>
      <c r="Z395" s="129"/>
      <c r="AA395" s="129"/>
      <c r="AB395" s="129"/>
      <c r="AC395" s="129"/>
      <c r="AD395" s="129"/>
      <c r="AE395" s="129"/>
      <c r="AF395" s="368"/>
      <c r="AG395" s="368"/>
      <c r="AH395" s="368"/>
      <c r="AI395" s="369"/>
      <c r="AJ395" s="369"/>
      <c r="AK395" s="369"/>
      <c r="AL395" s="369"/>
      <c r="AM395" s="369"/>
      <c r="AN395" s="369"/>
      <c r="AO395" s="369"/>
      <c r="AP395" s="369"/>
      <c r="AQ395" s="369"/>
      <c r="AR395" s="369"/>
      <c r="AS395" s="369"/>
      <c r="AT395" s="369"/>
      <c r="AU395" s="369"/>
      <c r="AV395" s="369"/>
      <c r="AW395" s="369"/>
      <c r="AX395" s="369"/>
      <c r="AY395" s="369"/>
      <c r="AZ395" s="369"/>
      <c r="BA395" s="369"/>
      <c r="BB395" s="369"/>
      <c r="BC395" s="369"/>
      <c r="BD395" s="369"/>
      <c r="BE395" s="369"/>
      <c r="BF395" s="369"/>
      <c r="BG395" s="369"/>
      <c r="BH395" s="369"/>
      <c r="BI395" s="369"/>
      <c r="BJ395" s="369"/>
      <c r="BK395" s="369"/>
      <c r="BL395" s="369"/>
      <c r="BM395" s="369"/>
      <c r="BN395" s="369"/>
      <c r="BO395" s="369"/>
    </row>
    <row r="396" spans="1:67" s="370" customFormat="1" ht="10.5" customHeight="1" x14ac:dyDescent="0.2">
      <c r="A396" s="1296" t="s">
        <v>13</v>
      </c>
      <c r="B396" s="1297"/>
      <c r="C396" s="1297"/>
      <c r="D396" s="1298"/>
      <c r="E396" s="2666">
        <f>SUM(E390:E395)</f>
        <v>0</v>
      </c>
      <c r="F396" s="2667"/>
      <c r="G396" s="1299"/>
      <c r="H396" s="1300"/>
      <c r="I396" s="1301"/>
      <c r="J396" s="1302"/>
      <c r="K396" s="1303"/>
      <c r="L396" s="1314"/>
      <c r="M396" s="1326"/>
      <c r="N396" s="162"/>
      <c r="O396" s="1047"/>
      <c r="P396" s="1046"/>
      <c r="Q396" s="135"/>
      <c r="R396" s="136"/>
      <c r="S396" s="129"/>
      <c r="T396" s="129"/>
      <c r="U396" s="129"/>
      <c r="V396" s="129"/>
      <c r="W396" s="129"/>
      <c r="X396" s="129"/>
      <c r="Y396" s="129"/>
      <c r="Z396" s="129"/>
      <c r="AA396" s="129"/>
      <c r="AB396" s="129"/>
      <c r="AC396" s="129"/>
      <c r="AD396" s="129"/>
      <c r="AE396" s="129"/>
      <c r="AF396" s="368"/>
      <c r="AG396" s="368"/>
      <c r="AH396" s="368"/>
      <c r="AI396" s="369"/>
      <c r="AJ396" s="369"/>
      <c r="AK396" s="369"/>
      <c r="AL396" s="369"/>
      <c r="AM396" s="369"/>
      <c r="AN396" s="369"/>
      <c r="AO396" s="369"/>
      <c r="AP396" s="369"/>
      <c r="AQ396" s="369"/>
      <c r="AR396" s="369"/>
      <c r="AS396" s="369"/>
      <c r="AT396" s="369"/>
      <c r="AU396" s="369"/>
      <c r="AV396" s="369"/>
      <c r="AW396" s="369"/>
      <c r="AX396" s="369"/>
      <c r="AY396" s="369"/>
      <c r="AZ396" s="369"/>
      <c r="BA396" s="369"/>
      <c r="BB396" s="369"/>
      <c r="BC396" s="369"/>
      <c r="BD396" s="369"/>
      <c r="BE396" s="369"/>
      <c r="BF396" s="369"/>
      <c r="BG396" s="369"/>
      <c r="BH396" s="369"/>
      <c r="BI396" s="369"/>
      <c r="BJ396" s="369"/>
      <c r="BK396" s="369"/>
      <c r="BL396" s="369"/>
      <c r="BM396" s="369"/>
      <c r="BN396" s="369"/>
      <c r="BO396" s="369"/>
    </row>
    <row r="397" spans="1:67" s="36" customFormat="1" ht="10.5" customHeight="1" x14ac:dyDescent="0.2">
      <c r="A397" s="1371"/>
      <c r="B397" s="2670"/>
      <c r="C397" s="2670"/>
      <c r="D397" s="2671"/>
      <c r="E397" s="2668"/>
      <c r="F397" s="2669"/>
      <c r="G397" s="1088"/>
      <c r="H397" s="1089"/>
      <c r="I397" s="1083">
        <f>IF($O397&gt;0,-PMT(($I$9),$O397,1),0)</f>
        <v>0</v>
      </c>
      <c r="J397" s="1084"/>
      <c r="K397" s="1087"/>
      <c r="L397" s="1307"/>
      <c r="M397" s="1317">
        <f>ROUND(E397/100*IF(ISBLANK(L397),K397,L397),-1)</f>
        <v>0</v>
      </c>
      <c r="N397" s="505"/>
      <c r="O397" s="391"/>
      <c r="P397" s="392"/>
      <c r="Q397" s="135"/>
      <c r="R397" s="136"/>
      <c r="S397" s="129"/>
      <c r="T397" s="129"/>
      <c r="U397" s="129"/>
      <c r="V397" s="129"/>
      <c r="W397" s="129"/>
      <c r="X397" s="129"/>
      <c r="Y397" s="129"/>
      <c r="Z397" s="133"/>
      <c r="AA397" s="133"/>
      <c r="AB397" s="133"/>
      <c r="AC397" s="133"/>
      <c r="AD397" s="133"/>
      <c r="AE397" s="133"/>
      <c r="AF397" s="222"/>
      <c r="AG397" s="222"/>
      <c r="AH397" s="222"/>
      <c r="AI397" s="176"/>
      <c r="AJ397" s="176"/>
      <c r="AK397" s="176"/>
      <c r="AL397" s="176"/>
      <c r="AM397" s="176"/>
      <c r="AN397" s="176"/>
      <c r="AO397" s="176"/>
      <c r="AP397" s="176"/>
      <c r="AQ397" s="176"/>
      <c r="AR397" s="176"/>
      <c r="AS397" s="176"/>
      <c r="AT397" s="176"/>
      <c r="AU397" s="176"/>
      <c r="AV397" s="176"/>
      <c r="AW397" s="176"/>
      <c r="AX397" s="176"/>
      <c r="AY397" s="176"/>
      <c r="AZ397" s="176"/>
      <c r="BA397" s="176"/>
      <c r="BB397" s="176"/>
      <c r="BC397" s="176"/>
      <c r="BD397" s="176"/>
      <c r="BE397" s="176"/>
      <c r="BF397" s="176"/>
      <c r="BG397" s="176"/>
      <c r="BH397" s="176"/>
      <c r="BI397" s="176"/>
      <c r="BJ397" s="176"/>
      <c r="BK397" s="176"/>
      <c r="BL397" s="176"/>
      <c r="BM397" s="176"/>
      <c r="BN397" s="176"/>
      <c r="BO397" s="176"/>
    </row>
    <row r="398" spans="1:67" s="36" customFormat="1" ht="10.5" customHeight="1" x14ac:dyDescent="0.2">
      <c r="A398" s="1120" t="s">
        <v>478</v>
      </c>
      <c r="B398" s="2603"/>
      <c r="C398" s="2604"/>
      <c r="D398" s="2605"/>
      <c r="E398" s="2653"/>
      <c r="F398" s="2654"/>
      <c r="G398" s="2620"/>
      <c r="H398" s="2621"/>
      <c r="I398" s="1171"/>
      <c r="J398" s="1172"/>
      <c r="K398" s="2659"/>
      <c r="L398" s="2660"/>
      <c r="M398" s="1318">
        <f>SUM(M399:M402)</f>
        <v>0</v>
      </c>
      <c r="N398" s="505"/>
      <c r="O398" s="391"/>
      <c r="P398" s="392"/>
      <c r="Q398" s="135"/>
      <c r="R398" s="136"/>
      <c r="S398" s="129"/>
      <c r="T398" s="129"/>
      <c r="U398" s="129"/>
      <c r="V398" s="129"/>
      <c r="W398" s="129"/>
      <c r="X398" s="129"/>
      <c r="Y398" s="129"/>
      <c r="Z398" s="133"/>
      <c r="AA398" s="133"/>
      <c r="AB398" s="133"/>
      <c r="AC398" s="133"/>
      <c r="AD398" s="133"/>
      <c r="AE398" s="133"/>
      <c r="AF398" s="222"/>
      <c r="AG398" s="222"/>
      <c r="AH398" s="222"/>
      <c r="AI398" s="176"/>
      <c r="AJ398" s="176"/>
      <c r="AK398" s="176"/>
      <c r="AL398" s="176"/>
      <c r="AM398" s="176"/>
      <c r="AN398" s="176"/>
      <c r="AO398" s="176"/>
      <c r="AP398" s="176"/>
      <c r="AQ398" s="176"/>
      <c r="AR398" s="176"/>
      <c r="AS398" s="176"/>
      <c r="AT398" s="176"/>
      <c r="AU398" s="176"/>
      <c r="AV398" s="176"/>
      <c r="AW398" s="176"/>
      <c r="AX398" s="176"/>
      <c r="AY398" s="176"/>
      <c r="AZ398" s="176"/>
      <c r="BA398" s="176"/>
      <c r="BB398" s="176"/>
      <c r="BC398" s="176"/>
      <c r="BD398" s="176"/>
      <c r="BE398" s="176"/>
      <c r="BF398" s="176"/>
      <c r="BG398" s="176"/>
      <c r="BH398" s="176"/>
      <c r="BI398" s="176"/>
      <c r="BJ398" s="176"/>
      <c r="BK398" s="176"/>
      <c r="BL398" s="176"/>
      <c r="BM398" s="176"/>
      <c r="BN398" s="176"/>
      <c r="BO398" s="176"/>
    </row>
    <row r="399" spans="1:67" s="36" customFormat="1" ht="10.5" customHeight="1" x14ac:dyDescent="0.2">
      <c r="A399" s="1174" t="s">
        <v>479</v>
      </c>
      <c r="B399" s="1166"/>
      <c r="C399" s="1166"/>
      <c r="D399" s="1173"/>
      <c r="E399" s="2661"/>
      <c r="F399" s="2662"/>
      <c r="G399" s="1067"/>
      <c r="H399" s="1179"/>
      <c r="I399" s="1180"/>
      <c r="J399" s="1181"/>
      <c r="K399" s="1165"/>
      <c r="L399" s="1310"/>
      <c r="M399" s="1085">
        <f>(E404-E341)*D399</f>
        <v>0</v>
      </c>
      <c r="N399" s="505"/>
      <c r="O399" s="391"/>
      <c r="P399" s="392"/>
      <c r="Q399" s="135"/>
      <c r="R399" s="136"/>
      <c r="S399" s="129"/>
      <c r="T399" s="129"/>
      <c r="U399" s="129"/>
      <c r="V399" s="129"/>
      <c r="W399" s="129"/>
      <c r="X399" s="129"/>
      <c r="Y399" s="129"/>
      <c r="Z399" s="133"/>
      <c r="AA399" s="133"/>
      <c r="AB399" s="133"/>
      <c r="AC399" s="133"/>
      <c r="AD399" s="133"/>
      <c r="AE399" s="133"/>
      <c r="AF399" s="222"/>
      <c r="AG399" s="222"/>
      <c r="AH399" s="222"/>
      <c r="AI399" s="176"/>
      <c r="AJ399" s="176"/>
      <c r="AK399" s="176"/>
      <c r="AL399" s="176"/>
      <c r="AM399" s="176"/>
      <c r="AN399" s="176"/>
      <c r="AO399" s="176"/>
      <c r="AP399" s="176"/>
      <c r="AQ399" s="176"/>
      <c r="AR399" s="176"/>
      <c r="AS399" s="176"/>
      <c r="AT399" s="176"/>
      <c r="AU399" s="176"/>
      <c r="AV399" s="176"/>
      <c r="AW399" s="176"/>
      <c r="AX399" s="176"/>
      <c r="AY399" s="176"/>
      <c r="AZ399" s="176"/>
      <c r="BA399" s="176"/>
      <c r="BB399" s="176"/>
      <c r="BC399" s="176"/>
      <c r="BD399" s="176"/>
      <c r="BE399" s="176"/>
      <c r="BF399" s="176"/>
      <c r="BG399" s="176"/>
      <c r="BH399" s="176"/>
      <c r="BI399" s="176"/>
      <c r="BJ399" s="176"/>
      <c r="BK399" s="176"/>
      <c r="BL399" s="176"/>
      <c r="BM399" s="176"/>
      <c r="BN399" s="176"/>
      <c r="BO399" s="176"/>
    </row>
    <row r="400" spans="1:67" s="36" customFormat="1" ht="10.5" customHeight="1" x14ac:dyDescent="0.2">
      <c r="A400" s="1175" t="s">
        <v>480</v>
      </c>
      <c r="B400" s="2645"/>
      <c r="C400" s="2645"/>
      <c r="D400" s="2646"/>
      <c r="E400" s="2647"/>
      <c r="F400" s="2648"/>
      <c r="G400" s="1182"/>
      <c r="H400" s="1183"/>
      <c r="I400" s="1184">
        <f>IF($O400&gt;0,-PMT(($I$9),$O400,1),0)</f>
        <v>0</v>
      </c>
      <c r="J400" s="1185">
        <f>ROUND(E400*I400,-1)</f>
        <v>0</v>
      </c>
      <c r="K400" s="1341"/>
      <c r="L400" s="1315"/>
      <c r="M400" s="1327"/>
      <c r="N400" s="505"/>
      <c r="O400" s="391"/>
      <c r="P400" s="392"/>
      <c r="Q400" s="135"/>
      <c r="R400" s="136"/>
      <c r="S400" s="129"/>
      <c r="T400" s="129"/>
      <c r="U400" s="129"/>
      <c r="V400" s="129"/>
      <c r="W400" s="129"/>
      <c r="X400" s="129"/>
      <c r="Y400" s="129"/>
      <c r="Z400" s="133"/>
      <c r="AA400" s="133"/>
      <c r="AB400" s="133"/>
      <c r="AC400" s="133"/>
      <c r="AD400" s="133"/>
      <c r="AE400" s="133"/>
      <c r="AF400" s="222"/>
      <c r="AG400" s="222"/>
      <c r="AH400" s="222"/>
      <c r="AI400" s="176"/>
      <c r="AJ400" s="176"/>
      <c r="AK400" s="176"/>
      <c r="AL400" s="176"/>
      <c r="AM400" s="176"/>
      <c r="AN400" s="176"/>
      <c r="AO400" s="176"/>
      <c r="AP400" s="176"/>
      <c r="AQ400" s="176"/>
      <c r="AR400" s="176"/>
      <c r="AS400" s="176"/>
      <c r="AT400" s="176"/>
      <c r="AU400" s="176"/>
      <c r="AV400" s="176"/>
      <c r="AW400" s="176"/>
      <c r="AX400" s="176"/>
      <c r="AY400" s="176"/>
      <c r="AZ400" s="176"/>
      <c r="BA400" s="176"/>
      <c r="BB400" s="176"/>
      <c r="BC400" s="176"/>
      <c r="BD400" s="176"/>
      <c r="BE400" s="176"/>
      <c r="BF400" s="176"/>
      <c r="BG400" s="176"/>
      <c r="BH400" s="176"/>
      <c r="BI400" s="176"/>
      <c r="BJ400" s="176"/>
      <c r="BK400" s="176"/>
      <c r="BL400" s="176"/>
      <c r="BM400" s="176"/>
      <c r="BN400" s="176"/>
      <c r="BO400" s="176"/>
    </row>
    <row r="401" spans="1:79" s="36" customFormat="1" ht="10.5" customHeight="1" x14ac:dyDescent="0.2">
      <c r="A401" s="1175" t="s">
        <v>481</v>
      </c>
      <c r="B401" s="2645"/>
      <c r="C401" s="2645"/>
      <c r="D401" s="2646"/>
      <c r="E401" s="2647"/>
      <c r="F401" s="2648"/>
      <c r="G401" s="1182"/>
      <c r="H401" s="1183"/>
      <c r="I401" s="1184">
        <f>IF($O401&gt;0,-PMT(($I$9),$O401,1),0)</f>
        <v>0</v>
      </c>
      <c r="J401" s="1185">
        <f>ROUND(E401*I401,-1)</f>
        <v>0</v>
      </c>
      <c r="K401" s="1341"/>
      <c r="L401" s="1315"/>
      <c r="M401" s="1327"/>
      <c r="N401" s="505"/>
      <c r="O401" s="391"/>
      <c r="P401" s="392"/>
      <c r="Q401" s="135"/>
      <c r="R401" s="136"/>
      <c r="S401" s="129"/>
      <c r="T401" s="129"/>
      <c r="U401" s="129"/>
      <c r="V401" s="129"/>
      <c r="W401" s="129"/>
      <c r="X401" s="129"/>
      <c r="Y401" s="129"/>
      <c r="Z401" s="133"/>
      <c r="AA401" s="133"/>
      <c r="AB401" s="133"/>
      <c r="AC401" s="133"/>
      <c r="AD401" s="133"/>
      <c r="AE401" s="133"/>
      <c r="AF401" s="222"/>
      <c r="AG401" s="222"/>
      <c r="AH401" s="222"/>
      <c r="AI401" s="176"/>
      <c r="AJ401" s="176"/>
      <c r="AK401" s="176"/>
      <c r="AL401" s="176"/>
      <c r="AM401" s="176"/>
      <c r="AN401" s="176"/>
      <c r="AO401" s="176"/>
      <c r="AP401" s="176"/>
      <c r="AQ401" s="176"/>
      <c r="AR401" s="176"/>
      <c r="AS401" s="176"/>
      <c r="AT401" s="176"/>
      <c r="AU401" s="176"/>
      <c r="AV401" s="176"/>
      <c r="AW401" s="176"/>
      <c r="AX401" s="176"/>
      <c r="AY401" s="176"/>
      <c r="AZ401" s="176"/>
      <c r="BA401" s="176"/>
      <c r="BB401" s="176"/>
      <c r="BC401" s="176"/>
      <c r="BD401" s="176"/>
      <c r="BE401" s="176"/>
      <c r="BF401" s="176"/>
      <c r="BG401" s="176"/>
      <c r="BH401" s="176"/>
      <c r="BI401" s="176"/>
      <c r="BJ401" s="176"/>
      <c r="BK401" s="176"/>
      <c r="BL401" s="176"/>
      <c r="BM401" s="176"/>
      <c r="BN401" s="176"/>
      <c r="BO401" s="176"/>
    </row>
    <row r="402" spans="1:79" s="36" customFormat="1" ht="10.5" customHeight="1" x14ac:dyDescent="0.2">
      <c r="A402" s="1175" t="s">
        <v>482</v>
      </c>
      <c r="B402" s="2649"/>
      <c r="C402" s="2649"/>
      <c r="D402" s="2650"/>
      <c r="E402" s="2647"/>
      <c r="F402" s="2648"/>
      <c r="G402" s="1182"/>
      <c r="H402" s="1183"/>
      <c r="I402" s="1184">
        <f>IF($O402&gt;0,-PMT(($I$9),$O402,1),0)</f>
        <v>0</v>
      </c>
      <c r="J402" s="1185">
        <f>ROUND(E402*I402,-1)</f>
        <v>0</v>
      </c>
      <c r="K402" s="1341"/>
      <c r="L402" s="1315"/>
      <c r="M402" s="1327"/>
      <c r="N402" s="505"/>
      <c r="O402" s="391"/>
      <c r="P402" s="392"/>
      <c r="Q402" s="135"/>
      <c r="R402" s="136"/>
      <c r="S402" s="129"/>
      <c r="T402" s="129"/>
      <c r="U402" s="129"/>
      <c r="V402" s="129"/>
      <c r="W402" s="129"/>
      <c r="X402" s="129"/>
      <c r="Y402" s="129"/>
      <c r="Z402" s="133"/>
      <c r="AA402" s="133"/>
      <c r="AB402" s="133"/>
      <c r="AC402" s="133"/>
      <c r="AD402" s="133"/>
      <c r="AE402" s="133"/>
      <c r="AF402" s="222"/>
      <c r="AG402" s="222"/>
      <c r="AH402" s="222"/>
      <c r="AI402" s="176"/>
      <c r="AJ402" s="176"/>
      <c r="AK402" s="176"/>
      <c r="AL402" s="176"/>
      <c r="AM402" s="176"/>
      <c r="AN402" s="176"/>
      <c r="AO402" s="176"/>
      <c r="AP402" s="176"/>
      <c r="AQ402" s="176"/>
      <c r="AR402" s="176"/>
      <c r="AS402" s="176"/>
      <c r="AT402" s="176"/>
      <c r="AU402" s="176"/>
      <c r="AV402" s="176"/>
      <c r="AW402" s="176"/>
      <c r="AX402" s="176"/>
      <c r="AY402" s="176"/>
      <c r="AZ402" s="176"/>
      <c r="BA402" s="176"/>
      <c r="BB402" s="176"/>
      <c r="BC402" s="176"/>
      <c r="BD402" s="176"/>
      <c r="BE402" s="176"/>
      <c r="BF402" s="176"/>
      <c r="BG402" s="176"/>
      <c r="BH402" s="176"/>
      <c r="BI402" s="176"/>
      <c r="BJ402" s="176"/>
      <c r="BK402" s="176"/>
      <c r="BL402" s="176"/>
      <c r="BM402" s="176"/>
      <c r="BN402" s="176"/>
      <c r="BO402" s="176"/>
    </row>
    <row r="403" spans="1:79" s="36" customFormat="1" ht="10.5" customHeight="1" x14ac:dyDescent="0.2">
      <c r="A403" s="1176"/>
      <c r="B403" s="1177"/>
      <c r="C403" s="1177"/>
      <c r="D403" s="1178"/>
      <c r="E403" s="2601"/>
      <c r="F403" s="2602"/>
      <c r="G403" s="1088"/>
      <c r="H403" s="1089"/>
      <c r="I403" s="1083">
        <f>IF($O403&gt;0,-PMT(($I$9),$O403,1),0)</f>
        <v>0</v>
      </c>
      <c r="J403" s="997"/>
      <c r="K403" s="1087"/>
      <c r="L403" s="1307"/>
      <c r="M403" s="1317">
        <f>ROUND(E403/100*IF(ISBLANK(L403),K403,L403),-1)</f>
        <v>0</v>
      </c>
      <c r="N403" s="505"/>
      <c r="O403" s="391"/>
      <c r="P403" s="392"/>
      <c r="Q403" s="135"/>
      <c r="R403" s="136"/>
      <c r="S403" s="129"/>
      <c r="T403" s="129"/>
      <c r="U403" s="129"/>
      <c r="V403" s="129"/>
      <c r="W403" s="129"/>
      <c r="X403" s="129"/>
      <c r="Y403" s="129"/>
      <c r="Z403" s="133"/>
      <c r="AA403" s="133"/>
      <c r="AB403" s="133"/>
      <c r="AC403" s="133"/>
      <c r="AD403" s="133"/>
      <c r="AE403" s="133"/>
      <c r="AF403" s="222"/>
      <c r="AG403" s="222"/>
      <c r="AH403" s="222"/>
      <c r="AI403" s="176"/>
      <c r="AJ403" s="176"/>
      <c r="AK403" s="176"/>
      <c r="AL403" s="176"/>
      <c r="AM403" s="176"/>
      <c r="AN403" s="176"/>
      <c r="AO403" s="176"/>
      <c r="AP403" s="176"/>
      <c r="AQ403" s="176"/>
      <c r="AR403" s="176"/>
      <c r="AS403" s="176"/>
      <c r="AT403" s="176"/>
      <c r="AU403" s="176"/>
      <c r="AV403" s="176"/>
      <c r="AW403" s="176"/>
      <c r="AX403" s="176"/>
      <c r="AY403" s="176"/>
      <c r="AZ403" s="176"/>
      <c r="BA403" s="176"/>
      <c r="BB403" s="176"/>
      <c r="BC403" s="176"/>
      <c r="BD403" s="176"/>
      <c r="BE403" s="176"/>
      <c r="BF403" s="176"/>
      <c r="BG403" s="176"/>
      <c r="BH403" s="176"/>
      <c r="BI403" s="176"/>
      <c r="BJ403" s="176"/>
      <c r="BK403" s="176"/>
      <c r="BL403" s="176"/>
      <c r="BM403" s="176"/>
      <c r="BN403" s="176"/>
      <c r="BO403" s="176"/>
    </row>
    <row r="404" spans="1:79" s="36" customFormat="1" ht="15" customHeight="1" x14ac:dyDescent="0.2">
      <c r="A404" s="1186" t="s">
        <v>13</v>
      </c>
      <c r="B404" s="1187"/>
      <c r="C404" s="1187"/>
      <c r="D404" s="1188"/>
      <c r="E404" s="2651">
        <f>ROUND(SUM(E40:E355)/2,-2)</f>
        <v>0</v>
      </c>
      <c r="F404" s="2652"/>
      <c r="G404" s="2643">
        <f>IF($E$404&gt;0,SUMPRODUCT($E$40:$E$354,$O$40:$O$354)/$E$404,0)</f>
        <v>0</v>
      </c>
      <c r="H404" s="2644"/>
      <c r="I404" s="1189">
        <f>IF(E404=0,0,J404/E404)</f>
        <v>0</v>
      </c>
      <c r="J404" s="1190">
        <f>ROUND(SUM(J40:J355)/2,-1)</f>
        <v>0</v>
      </c>
      <c r="K404" s="2707"/>
      <c r="L404" s="2708"/>
      <c r="M404" s="1328">
        <f>ROUND(SUM(M40:M403)/2,-1)</f>
        <v>0</v>
      </c>
      <c r="N404" s="505"/>
      <c r="O404" s="1048"/>
      <c r="P404" s="137"/>
      <c r="Q404" s="129"/>
      <c r="R404" s="136"/>
      <c r="S404" s="138"/>
      <c r="T404" s="124"/>
      <c r="U404" s="124"/>
      <c r="V404" s="124"/>
      <c r="W404" s="124"/>
      <c r="X404" s="124"/>
      <c r="Y404" s="124"/>
      <c r="Z404" s="123"/>
      <c r="AA404" s="123"/>
      <c r="AB404" s="123"/>
      <c r="AC404" s="123"/>
      <c r="AD404" s="123"/>
      <c r="AE404" s="123"/>
      <c r="AF404" s="174"/>
      <c r="AG404" s="174"/>
      <c r="AH404" s="174"/>
      <c r="AI404" s="175"/>
      <c r="AJ404" s="175"/>
      <c r="AK404" s="176"/>
      <c r="AL404" s="176"/>
      <c r="AM404" s="176"/>
      <c r="AN404" s="176"/>
      <c r="AO404" s="176"/>
      <c r="AP404" s="176"/>
      <c r="AQ404" s="176"/>
      <c r="AR404" s="176"/>
      <c r="AS404" s="176"/>
      <c r="AT404" s="176"/>
      <c r="AU404" s="176"/>
      <c r="AV404" s="176"/>
      <c r="AW404" s="176"/>
      <c r="AX404" s="176"/>
      <c r="AY404" s="176"/>
      <c r="AZ404" s="176"/>
      <c r="BA404" s="176"/>
      <c r="BB404" s="176"/>
      <c r="BC404" s="176"/>
      <c r="BD404" s="176"/>
      <c r="BE404" s="176"/>
      <c r="BF404" s="176"/>
      <c r="BG404" s="176"/>
      <c r="BH404" s="176"/>
      <c r="BI404" s="176"/>
      <c r="BJ404" s="176"/>
      <c r="BK404" s="176"/>
      <c r="BL404" s="176"/>
      <c r="BM404" s="176"/>
      <c r="BN404" s="176"/>
      <c r="BO404" s="176"/>
    </row>
    <row r="405" spans="1:79" ht="12.75" x14ac:dyDescent="0.2">
      <c r="O405" s="505"/>
      <c r="P405" s="505"/>
      <c r="Q405" s="505"/>
      <c r="R405" s="505"/>
      <c r="S405" s="505"/>
      <c r="T405" s="505"/>
      <c r="U405" s="505"/>
      <c r="V405" s="505"/>
      <c r="W405" s="32"/>
      <c r="X405" s="32"/>
      <c r="Y405" s="505"/>
      <c r="Z405" s="505"/>
      <c r="AA405" s="505"/>
    </row>
    <row r="406" spans="1:79" ht="12.75" x14ac:dyDescent="0.2">
      <c r="O406" s="505"/>
      <c r="P406" s="505"/>
      <c r="Q406" s="505"/>
      <c r="R406" s="505"/>
      <c r="S406" s="505"/>
      <c r="T406" s="505"/>
      <c r="U406" s="505"/>
      <c r="V406" s="505"/>
      <c r="W406" s="32"/>
      <c r="X406" s="32"/>
      <c r="Y406" s="505"/>
      <c r="Z406" s="505"/>
      <c r="AA406" s="505"/>
    </row>
    <row r="407" spans="1:79" ht="12.75" x14ac:dyDescent="0.2">
      <c r="O407" s="505"/>
      <c r="P407" s="505"/>
      <c r="Q407" s="505"/>
      <c r="R407" s="505"/>
      <c r="S407" s="505"/>
      <c r="T407" s="505"/>
      <c r="U407" s="505"/>
      <c r="V407" s="505"/>
      <c r="W407" s="32"/>
      <c r="X407" s="32"/>
      <c r="Y407" s="505"/>
      <c r="Z407" s="505"/>
      <c r="AA407" s="505"/>
    </row>
    <row r="408" spans="1:79" ht="12.75" x14ac:dyDescent="0.2">
      <c r="O408" s="505"/>
      <c r="P408" s="505"/>
      <c r="Q408" s="505"/>
      <c r="R408" s="505"/>
      <c r="S408" s="505"/>
      <c r="T408" s="505"/>
      <c r="U408" s="505"/>
      <c r="V408" s="505"/>
      <c r="W408" s="32"/>
      <c r="X408" s="32"/>
      <c r="Y408" s="505"/>
      <c r="Z408" s="505"/>
      <c r="AA408" s="505"/>
    </row>
    <row r="409" spans="1:79" ht="12.75" x14ac:dyDescent="0.2">
      <c r="O409" s="505"/>
      <c r="P409" s="505"/>
      <c r="Q409" s="505"/>
      <c r="R409" s="505"/>
      <c r="S409" s="505"/>
      <c r="T409" s="505"/>
      <c r="U409" s="505"/>
      <c r="V409" s="505"/>
      <c r="W409" s="32"/>
      <c r="X409" s="32"/>
      <c r="Y409" s="505"/>
      <c r="Z409" s="505"/>
      <c r="AA409" s="505"/>
    </row>
    <row r="410" spans="1:79" ht="12.75" x14ac:dyDescent="0.2">
      <c r="O410" s="505"/>
      <c r="P410" s="505"/>
      <c r="Q410" s="505"/>
      <c r="R410" s="505"/>
      <c r="S410" s="505"/>
      <c r="T410" s="505"/>
      <c r="U410" s="505"/>
      <c r="V410" s="505"/>
      <c r="W410" s="505"/>
      <c r="X410" s="505"/>
      <c r="Y410" s="505"/>
      <c r="Z410" s="505"/>
      <c r="AA410" s="505"/>
    </row>
    <row r="411" spans="1:79" ht="12.75" x14ac:dyDescent="0.2">
      <c r="O411" s="505"/>
      <c r="P411" s="505"/>
      <c r="Q411" s="505"/>
      <c r="R411" s="505"/>
      <c r="S411" s="505"/>
      <c r="T411" s="505"/>
      <c r="U411" s="505"/>
      <c r="V411" s="505"/>
      <c r="W411" s="505"/>
      <c r="X411" s="505"/>
      <c r="Y411" s="505"/>
      <c r="Z411" s="505"/>
      <c r="AA411" s="505"/>
    </row>
    <row r="412" spans="1:79" ht="12.75" x14ac:dyDescent="0.2">
      <c r="O412" s="505"/>
      <c r="P412" s="505"/>
      <c r="Q412" s="505"/>
      <c r="R412" s="505"/>
      <c r="S412" s="505"/>
      <c r="T412" s="505"/>
      <c r="U412" s="505"/>
      <c r="V412" s="505"/>
      <c r="W412" s="505"/>
      <c r="X412" s="505"/>
      <c r="Y412" s="505"/>
      <c r="Z412" s="505"/>
      <c r="AA412" s="505"/>
    </row>
    <row r="413" spans="1:79" ht="12.75" x14ac:dyDescent="0.2">
      <c r="O413" s="505"/>
      <c r="P413" s="505"/>
      <c r="Q413" s="505"/>
      <c r="R413" s="505"/>
      <c r="S413" s="505"/>
      <c r="T413" s="505"/>
      <c r="U413" s="505"/>
      <c r="V413" s="505"/>
      <c r="W413" s="505"/>
      <c r="X413" s="505"/>
      <c r="Y413" s="505"/>
      <c r="Z413" s="505"/>
      <c r="AA413" s="505"/>
    </row>
    <row r="414" spans="1:79" ht="12.75" x14ac:dyDescent="0.2">
      <c r="O414" s="505"/>
      <c r="P414" s="505"/>
      <c r="Q414" s="505"/>
      <c r="R414" s="505"/>
      <c r="S414" s="505"/>
      <c r="T414" s="505"/>
      <c r="U414" s="505"/>
      <c r="V414" s="505"/>
      <c r="W414" s="505"/>
      <c r="X414" s="505"/>
      <c r="Y414" s="505"/>
      <c r="Z414" s="505"/>
      <c r="AA414" s="505"/>
    </row>
    <row r="415" spans="1:79" s="123" customFormat="1" ht="12.75" x14ac:dyDescent="0.2">
      <c r="A415" s="34"/>
      <c r="B415" s="33"/>
      <c r="C415" s="33"/>
      <c r="D415" s="33"/>
      <c r="E415" s="33"/>
      <c r="F415" s="33"/>
      <c r="G415" s="32"/>
      <c r="H415" s="32"/>
      <c r="I415" s="32"/>
      <c r="J415" s="34"/>
      <c r="K415" s="34"/>
      <c r="L415" s="34"/>
      <c r="M415" s="34"/>
      <c r="N415" s="34"/>
      <c r="O415" s="505"/>
      <c r="P415" s="505"/>
      <c r="Q415" s="505"/>
      <c r="R415" s="505"/>
      <c r="S415" s="505"/>
      <c r="T415" s="505"/>
      <c r="U415" s="505"/>
      <c r="V415" s="505"/>
      <c r="W415" s="505"/>
      <c r="X415" s="505"/>
      <c r="Y415" s="505"/>
      <c r="Z415" s="505"/>
      <c r="AA415" s="505"/>
      <c r="AG415" s="174"/>
      <c r="AH415" s="174"/>
      <c r="AI415" s="174"/>
      <c r="AJ415" s="175"/>
      <c r="AK415" s="175"/>
      <c r="AL415" s="175"/>
      <c r="AM415" s="175"/>
      <c r="AN415" s="175"/>
      <c r="AO415" s="175"/>
      <c r="AP415" s="175"/>
      <c r="AQ415" s="175"/>
      <c r="AR415" s="175"/>
      <c r="AS415" s="175"/>
      <c r="AT415" s="175"/>
      <c r="AU415" s="175"/>
      <c r="AV415" s="175"/>
      <c r="AW415" s="175"/>
      <c r="AX415" s="175"/>
      <c r="AY415" s="175"/>
      <c r="AZ415" s="175"/>
      <c r="BA415" s="175"/>
      <c r="BB415" s="175"/>
      <c r="BC415" s="175"/>
      <c r="BD415" s="175"/>
      <c r="BE415" s="175"/>
      <c r="BF415" s="175"/>
      <c r="BG415" s="175"/>
      <c r="BH415" s="175"/>
      <c r="BI415" s="175"/>
      <c r="BJ415" s="175"/>
      <c r="BK415" s="175"/>
      <c r="BL415" s="175"/>
      <c r="BM415" s="175"/>
      <c r="BN415" s="175"/>
      <c r="BO415" s="175"/>
      <c r="BP415" s="175"/>
      <c r="BQ415" s="32"/>
      <c r="BR415" s="32"/>
      <c r="BS415" s="32"/>
      <c r="BT415" s="32"/>
      <c r="BU415" s="32"/>
      <c r="BV415" s="32"/>
      <c r="BW415" s="32"/>
      <c r="BX415" s="32"/>
      <c r="BY415" s="32"/>
      <c r="BZ415" s="32"/>
      <c r="CA415" s="32"/>
    </row>
    <row r="416" spans="1:79" s="123" customFormat="1" ht="12.75" x14ac:dyDescent="0.2">
      <c r="A416" s="34"/>
      <c r="B416" s="33"/>
      <c r="C416" s="33"/>
      <c r="D416" s="33"/>
      <c r="E416" s="33"/>
      <c r="F416" s="33"/>
      <c r="G416" s="32"/>
      <c r="H416" s="32"/>
      <c r="I416" s="32"/>
      <c r="J416" s="34"/>
      <c r="K416" s="34"/>
      <c r="L416" s="34"/>
      <c r="M416" s="34"/>
      <c r="N416" s="34"/>
      <c r="O416" s="505"/>
      <c r="P416" s="505"/>
      <c r="Q416" s="505"/>
      <c r="R416" s="505"/>
      <c r="S416" s="505"/>
      <c r="T416" s="505"/>
      <c r="U416" s="505"/>
      <c r="V416" s="505"/>
      <c r="W416" s="505"/>
      <c r="X416" s="505"/>
      <c r="Y416" s="505"/>
      <c r="Z416" s="505"/>
      <c r="AA416" s="505"/>
      <c r="AG416" s="174"/>
      <c r="AH416" s="174"/>
      <c r="AI416" s="174"/>
      <c r="AJ416" s="175"/>
      <c r="AK416" s="175"/>
      <c r="AL416" s="175"/>
      <c r="AM416" s="175"/>
      <c r="AN416" s="175"/>
      <c r="AO416" s="175"/>
      <c r="AP416" s="175"/>
      <c r="AQ416" s="175"/>
      <c r="AR416" s="175"/>
      <c r="AS416" s="175"/>
      <c r="AT416" s="175"/>
      <c r="AU416" s="175"/>
      <c r="AV416" s="175"/>
      <c r="AW416" s="175"/>
      <c r="AX416" s="175"/>
      <c r="AY416" s="175"/>
      <c r="AZ416" s="175"/>
      <c r="BA416" s="175"/>
      <c r="BB416" s="175"/>
      <c r="BC416" s="175"/>
      <c r="BD416" s="175"/>
      <c r="BE416" s="175"/>
      <c r="BF416" s="175"/>
      <c r="BG416" s="175"/>
      <c r="BH416" s="175"/>
      <c r="BI416" s="175"/>
      <c r="BJ416" s="175"/>
      <c r="BK416" s="175"/>
      <c r="BL416" s="175"/>
      <c r="BM416" s="175"/>
      <c r="BN416" s="175"/>
      <c r="BO416" s="175"/>
      <c r="BP416" s="175"/>
      <c r="BQ416" s="32"/>
      <c r="BR416" s="32"/>
      <c r="BS416" s="32"/>
      <c r="BT416" s="32"/>
      <c r="BU416" s="32"/>
      <c r="BV416" s="32"/>
      <c r="BW416" s="32"/>
      <c r="BX416" s="32"/>
      <c r="BY416" s="32"/>
      <c r="BZ416" s="32"/>
      <c r="CA416" s="32"/>
    </row>
    <row r="417" spans="1:79" s="123" customFormat="1" ht="12.75" x14ac:dyDescent="0.2">
      <c r="A417" s="34"/>
      <c r="B417" s="33"/>
      <c r="C417" s="33"/>
      <c r="D417" s="33"/>
      <c r="E417" s="33"/>
      <c r="F417" s="33"/>
      <c r="G417" s="32"/>
      <c r="H417" s="32"/>
      <c r="I417" s="32"/>
      <c r="J417" s="34"/>
      <c r="K417" s="34"/>
      <c r="L417" s="34"/>
      <c r="M417" s="34"/>
      <c r="N417" s="34"/>
      <c r="O417" s="505"/>
      <c r="P417" s="505"/>
      <c r="Q417" s="505"/>
      <c r="R417" s="505"/>
      <c r="S417" s="505"/>
      <c r="T417" s="505"/>
      <c r="U417" s="505"/>
      <c r="V417" s="505"/>
      <c r="W417" s="505"/>
      <c r="X417" s="505"/>
      <c r="Y417" s="505"/>
      <c r="Z417" s="505"/>
      <c r="AA417" s="505"/>
      <c r="AG417" s="174"/>
      <c r="AH417" s="174"/>
      <c r="AI417" s="174"/>
      <c r="AJ417" s="175"/>
      <c r="AK417" s="175"/>
      <c r="AL417" s="175"/>
      <c r="AM417" s="175"/>
      <c r="AN417" s="175"/>
      <c r="AO417" s="175"/>
      <c r="AP417" s="175"/>
      <c r="AQ417" s="175"/>
      <c r="AR417" s="175"/>
      <c r="AS417" s="175"/>
      <c r="AT417" s="175"/>
      <c r="AU417" s="175"/>
      <c r="AV417" s="175"/>
      <c r="AW417" s="175"/>
      <c r="AX417" s="175"/>
      <c r="AY417" s="175"/>
      <c r="AZ417" s="175"/>
      <c r="BA417" s="175"/>
      <c r="BB417" s="175"/>
      <c r="BC417" s="175"/>
      <c r="BD417" s="175"/>
      <c r="BE417" s="175"/>
      <c r="BF417" s="175"/>
      <c r="BG417" s="175"/>
      <c r="BH417" s="175"/>
      <c r="BI417" s="175"/>
      <c r="BJ417" s="175"/>
      <c r="BK417" s="175"/>
      <c r="BL417" s="175"/>
      <c r="BM417" s="175"/>
      <c r="BN417" s="175"/>
      <c r="BO417" s="175"/>
      <c r="BP417" s="175"/>
      <c r="BQ417" s="32"/>
      <c r="BR417" s="32"/>
      <c r="BS417" s="32"/>
      <c r="BT417" s="32"/>
      <c r="BU417" s="32"/>
      <c r="BV417" s="32"/>
      <c r="BW417" s="32"/>
      <c r="BX417" s="32"/>
      <c r="BY417" s="32"/>
      <c r="BZ417" s="32"/>
      <c r="CA417" s="32"/>
    </row>
    <row r="418" spans="1:79" s="123" customFormat="1" ht="12.75" x14ac:dyDescent="0.2">
      <c r="A418" s="34"/>
      <c r="B418" s="33"/>
      <c r="C418" s="33"/>
      <c r="D418" s="33"/>
      <c r="E418" s="33"/>
      <c r="F418" s="33"/>
      <c r="G418" s="32"/>
      <c r="H418" s="32"/>
      <c r="I418" s="32"/>
      <c r="J418" s="34"/>
      <c r="K418" s="34"/>
      <c r="L418" s="34"/>
      <c r="M418" s="34"/>
      <c r="N418" s="34"/>
      <c r="O418" s="505"/>
      <c r="P418" s="505"/>
      <c r="Q418" s="505"/>
      <c r="R418" s="505"/>
      <c r="S418" s="505"/>
      <c r="T418" s="505"/>
      <c r="U418" s="505"/>
      <c r="V418" s="505"/>
      <c r="AG418" s="174"/>
      <c r="AH418" s="174"/>
      <c r="AI418" s="174"/>
      <c r="AJ418" s="175"/>
      <c r="AK418" s="175"/>
      <c r="AL418" s="175"/>
      <c r="AM418" s="175"/>
      <c r="AN418" s="175"/>
      <c r="AO418" s="175"/>
      <c r="AP418" s="175"/>
      <c r="AQ418" s="175"/>
      <c r="AR418" s="175"/>
      <c r="AS418" s="175"/>
      <c r="AT418" s="175"/>
      <c r="AU418" s="175"/>
      <c r="AV418" s="175"/>
      <c r="AW418" s="175"/>
      <c r="AX418" s="175"/>
      <c r="AY418" s="175"/>
      <c r="AZ418" s="175"/>
      <c r="BA418" s="175"/>
      <c r="BB418" s="175"/>
      <c r="BC418" s="175"/>
      <c r="BD418" s="175"/>
      <c r="BE418" s="175"/>
      <c r="BF418" s="175"/>
      <c r="BG418" s="175"/>
      <c r="BH418" s="175"/>
      <c r="BI418" s="175"/>
      <c r="BJ418" s="175"/>
      <c r="BK418" s="175"/>
      <c r="BL418" s="175"/>
      <c r="BM418" s="175"/>
      <c r="BN418" s="175"/>
      <c r="BO418" s="175"/>
      <c r="BP418" s="175"/>
      <c r="BQ418" s="32"/>
      <c r="BR418" s="32"/>
      <c r="BS418" s="32"/>
      <c r="BT418" s="32"/>
      <c r="BU418" s="32"/>
      <c r="BV418" s="32"/>
      <c r="BW418" s="32"/>
      <c r="BX418" s="32"/>
      <c r="BY418" s="32"/>
      <c r="BZ418" s="32"/>
      <c r="CA418" s="32"/>
    </row>
    <row r="419" spans="1:79" s="123" customFormat="1" ht="12.75" x14ac:dyDescent="0.2">
      <c r="A419" s="34"/>
      <c r="B419" s="33"/>
      <c r="C419" s="33"/>
      <c r="D419" s="33"/>
      <c r="E419" s="33"/>
      <c r="F419" s="33"/>
      <c r="G419" s="32"/>
      <c r="H419" s="32"/>
      <c r="I419" s="32"/>
      <c r="J419" s="34"/>
      <c r="K419" s="34"/>
      <c r="L419" s="34"/>
      <c r="M419" s="34"/>
      <c r="N419" s="34"/>
      <c r="O419" s="505"/>
      <c r="P419" s="505"/>
      <c r="Q419" s="505"/>
      <c r="R419" s="505"/>
      <c r="S419" s="505"/>
      <c r="T419" s="505"/>
      <c r="U419" s="505"/>
      <c r="V419" s="505"/>
      <c r="AG419" s="174"/>
      <c r="AH419" s="174"/>
      <c r="AI419" s="174"/>
      <c r="AJ419" s="175"/>
      <c r="AK419" s="175"/>
      <c r="AL419" s="175"/>
      <c r="AM419" s="175"/>
      <c r="AN419" s="175"/>
      <c r="AO419" s="175"/>
      <c r="AP419" s="175"/>
      <c r="AQ419" s="175"/>
      <c r="AR419" s="175"/>
      <c r="AS419" s="175"/>
      <c r="AT419" s="175"/>
      <c r="AU419" s="175"/>
      <c r="AV419" s="175"/>
      <c r="AW419" s="175"/>
      <c r="AX419" s="175"/>
      <c r="AY419" s="175"/>
      <c r="AZ419" s="175"/>
      <c r="BA419" s="175"/>
      <c r="BB419" s="175"/>
      <c r="BC419" s="175"/>
      <c r="BD419" s="175"/>
      <c r="BE419" s="175"/>
      <c r="BF419" s="175"/>
      <c r="BG419" s="175"/>
      <c r="BH419" s="175"/>
      <c r="BI419" s="175"/>
      <c r="BJ419" s="175"/>
      <c r="BK419" s="175"/>
      <c r="BL419" s="175"/>
      <c r="BM419" s="175"/>
      <c r="BN419" s="175"/>
      <c r="BO419" s="175"/>
      <c r="BP419" s="175"/>
      <c r="BQ419" s="32"/>
      <c r="BR419" s="32"/>
      <c r="BS419" s="32"/>
      <c r="BT419" s="32"/>
      <c r="BU419" s="32"/>
      <c r="BV419" s="32"/>
      <c r="BW419" s="32"/>
      <c r="BX419" s="32"/>
      <c r="BY419" s="32"/>
      <c r="BZ419" s="32"/>
      <c r="CA419" s="32"/>
    </row>
    <row r="420" spans="1:79" s="123" customFormat="1" ht="12.75" x14ac:dyDescent="0.2">
      <c r="A420" s="34"/>
      <c r="B420" s="33"/>
      <c r="C420" s="33"/>
      <c r="D420" s="33"/>
      <c r="E420" s="33"/>
      <c r="F420" s="33"/>
      <c r="G420" s="32"/>
      <c r="H420" s="32"/>
      <c r="I420" s="32"/>
      <c r="J420" s="34"/>
      <c r="K420" s="34"/>
      <c r="L420" s="34"/>
      <c r="M420" s="34"/>
      <c r="N420" s="34"/>
      <c r="O420" s="505"/>
      <c r="P420" s="505"/>
      <c r="Q420" s="505"/>
      <c r="R420" s="505"/>
      <c r="S420" s="505"/>
      <c r="T420" s="505"/>
      <c r="U420" s="505"/>
      <c r="V420" s="505"/>
      <c r="AG420" s="174"/>
      <c r="AH420" s="174"/>
      <c r="AI420" s="174"/>
      <c r="AJ420" s="175"/>
      <c r="AK420" s="175"/>
      <c r="AL420" s="175"/>
      <c r="AM420" s="175"/>
      <c r="AN420" s="175"/>
      <c r="AO420" s="175"/>
      <c r="AP420" s="175"/>
      <c r="AQ420" s="175"/>
      <c r="AR420" s="175"/>
      <c r="AS420" s="175"/>
      <c r="AT420" s="175"/>
      <c r="AU420" s="175"/>
      <c r="AV420" s="175"/>
      <c r="AW420" s="175"/>
      <c r="AX420" s="175"/>
      <c r="AY420" s="175"/>
      <c r="AZ420" s="175"/>
      <c r="BA420" s="175"/>
      <c r="BB420" s="175"/>
      <c r="BC420" s="175"/>
      <c r="BD420" s="175"/>
      <c r="BE420" s="175"/>
      <c r="BF420" s="175"/>
      <c r="BG420" s="175"/>
      <c r="BH420" s="175"/>
      <c r="BI420" s="175"/>
      <c r="BJ420" s="175"/>
      <c r="BK420" s="175"/>
      <c r="BL420" s="175"/>
      <c r="BM420" s="175"/>
      <c r="BN420" s="175"/>
      <c r="BO420" s="175"/>
      <c r="BP420" s="175"/>
      <c r="BQ420" s="32"/>
      <c r="BR420" s="32"/>
      <c r="BS420" s="32"/>
      <c r="BT420" s="32"/>
      <c r="BU420" s="32"/>
      <c r="BV420" s="32"/>
      <c r="BW420" s="32"/>
      <c r="BX420" s="32"/>
      <c r="BY420" s="32"/>
      <c r="BZ420" s="32"/>
      <c r="CA420" s="32"/>
    </row>
    <row r="421" spans="1:79" s="123" customFormat="1" ht="12.95" customHeight="1" x14ac:dyDescent="0.2">
      <c r="A421" s="34"/>
      <c r="B421" s="33"/>
      <c r="C421" s="33"/>
      <c r="D421" s="33"/>
      <c r="E421" s="33"/>
      <c r="F421" s="33"/>
      <c r="G421" s="32"/>
      <c r="H421" s="32"/>
      <c r="I421" s="32"/>
      <c r="J421" s="34"/>
      <c r="K421" s="34"/>
      <c r="L421" s="34"/>
      <c r="M421" s="34"/>
      <c r="N421" s="34"/>
      <c r="O421" s="505"/>
      <c r="P421" s="505"/>
      <c r="Q421" s="505"/>
      <c r="R421" s="505"/>
      <c r="S421" s="505"/>
      <c r="T421" s="505"/>
      <c r="U421" s="505"/>
      <c r="V421" s="505"/>
      <c r="AG421" s="174"/>
      <c r="AH421" s="174"/>
      <c r="AI421" s="174"/>
      <c r="AJ421" s="175"/>
      <c r="AK421" s="175"/>
      <c r="AL421" s="175"/>
      <c r="AM421" s="175"/>
      <c r="AN421" s="175"/>
      <c r="AO421" s="175"/>
      <c r="AP421" s="175"/>
      <c r="AQ421" s="175"/>
      <c r="AR421" s="175"/>
      <c r="AS421" s="175"/>
      <c r="AT421" s="175"/>
      <c r="AU421" s="175"/>
      <c r="AV421" s="175"/>
      <c r="AW421" s="175"/>
      <c r="AX421" s="175"/>
      <c r="AY421" s="175"/>
      <c r="AZ421" s="175"/>
      <c r="BA421" s="175"/>
      <c r="BB421" s="175"/>
      <c r="BC421" s="175"/>
      <c r="BD421" s="175"/>
      <c r="BE421" s="175"/>
      <c r="BF421" s="175"/>
      <c r="BG421" s="175"/>
      <c r="BH421" s="175"/>
      <c r="BI421" s="175"/>
      <c r="BJ421" s="175"/>
      <c r="BK421" s="175"/>
      <c r="BL421" s="175"/>
      <c r="BM421" s="175"/>
      <c r="BN421" s="175"/>
      <c r="BO421" s="175"/>
      <c r="BP421" s="175"/>
      <c r="BQ421" s="32"/>
      <c r="BR421" s="32"/>
      <c r="BS421" s="32"/>
      <c r="BT421" s="32"/>
      <c r="BU421" s="32"/>
      <c r="BV421" s="32"/>
      <c r="BW421" s="32"/>
      <c r="BX421" s="32"/>
      <c r="BY421" s="32"/>
      <c r="BZ421" s="32"/>
      <c r="CA421" s="32"/>
    </row>
  </sheetData>
  <sheetProtection algorithmName="SHA-512" hashValue="tTUun9HZefHd6XLxEFYM2qTLOmPJ3zPSWkZYE7vhpi3U5PZx2v9inDiD+KUVoPGvdD5CkVs72RTiv0pYYx6Lng==" saltValue="W4lOmHlagaD9ZRTjq/mtzg==" spinCount="100000" sheet="1" objects="1" scenarios="1" selectLockedCells="1"/>
  <mergeCells count="1069">
    <mergeCell ref="L5:M5"/>
    <mergeCell ref="G335:H335"/>
    <mergeCell ref="K335:L335"/>
    <mergeCell ref="G336:H336"/>
    <mergeCell ref="K336:L336"/>
    <mergeCell ref="G263:H263"/>
    <mergeCell ref="K263:L263"/>
    <mergeCell ref="G264:H264"/>
    <mergeCell ref="K264:L264"/>
    <mergeCell ref="G265:H265"/>
    <mergeCell ref="K265:L265"/>
    <mergeCell ref="G277:H277"/>
    <mergeCell ref="K277:L277"/>
    <mergeCell ref="G278:H278"/>
    <mergeCell ref="K278:L278"/>
    <mergeCell ref="K282:L282"/>
    <mergeCell ref="G258:H258"/>
    <mergeCell ref="K258:L258"/>
    <mergeCell ref="G259:H259"/>
    <mergeCell ref="K259:L259"/>
    <mergeCell ref="K329:L329"/>
    <mergeCell ref="G330:H330"/>
    <mergeCell ref="K330:L330"/>
    <mergeCell ref="G331:H331"/>
    <mergeCell ref="K331:L331"/>
    <mergeCell ref="G332:H332"/>
    <mergeCell ref="K332:L332"/>
    <mergeCell ref="G333:H333"/>
    <mergeCell ref="K333:L333"/>
    <mergeCell ref="G301:H301"/>
    <mergeCell ref="K301:L301"/>
    <mergeCell ref="G319:H319"/>
    <mergeCell ref="K327:L327"/>
    <mergeCell ref="B39:D39"/>
    <mergeCell ref="E39:F39"/>
    <mergeCell ref="G291:H291"/>
    <mergeCell ref="K291:L291"/>
    <mergeCell ref="G292:H292"/>
    <mergeCell ref="K292:L292"/>
    <mergeCell ref="G293:H293"/>
    <mergeCell ref="K293:L293"/>
    <mergeCell ref="G294:H294"/>
    <mergeCell ref="K294:L294"/>
    <mergeCell ref="G295:H295"/>
    <mergeCell ref="K295:L295"/>
    <mergeCell ref="G260:H260"/>
    <mergeCell ref="K260:L260"/>
    <mergeCell ref="G261:H261"/>
    <mergeCell ref="K261:L261"/>
    <mergeCell ref="G262:H262"/>
    <mergeCell ref="K262:L262"/>
    <mergeCell ref="G246:H246"/>
    <mergeCell ref="K246:L246"/>
    <mergeCell ref="G247:H247"/>
    <mergeCell ref="K247:L247"/>
    <mergeCell ref="G248:H248"/>
    <mergeCell ref="K248:L248"/>
    <mergeCell ref="G249:H249"/>
    <mergeCell ref="K249:L249"/>
    <mergeCell ref="G250:H250"/>
    <mergeCell ref="K250:L250"/>
    <mergeCell ref="G252:H252"/>
    <mergeCell ref="G203:H203"/>
    <mergeCell ref="K203:L203"/>
    <mergeCell ref="G204:H204"/>
    <mergeCell ref="K204:L204"/>
    <mergeCell ref="G205:H205"/>
    <mergeCell ref="K205:L205"/>
    <mergeCell ref="G213:H213"/>
    <mergeCell ref="K213:L213"/>
    <mergeCell ref="G214:H214"/>
    <mergeCell ref="K214:L214"/>
    <mergeCell ref="G199:H199"/>
    <mergeCell ref="K199:L199"/>
    <mergeCell ref="G200:H200"/>
    <mergeCell ref="K200:L200"/>
    <mergeCell ref="G201:H201"/>
    <mergeCell ref="K201:L201"/>
    <mergeCell ref="G202:H202"/>
    <mergeCell ref="K202:L202"/>
    <mergeCell ref="G173:H173"/>
    <mergeCell ref="K173:L173"/>
    <mergeCell ref="G174:H174"/>
    <mergeCell ref="K174:L174"/>
    <mergeCell ref="G175:H175"/>
    <mergeCell ref="K175:L175"/>
    <mergeCell ref="G183:H183"/>
    <mergeCell ref="K183:L183"/>
    <mergeCell ref="G184:H184"/>
    <mergeCell ref="K184:L184"/>
    <mergeCell ref="G160:H160"/>
    <mergeCell ref="K160:L160"/>
    <mergeCell ref="G172:H172"/>
    <mergeCell ref="K172:L172"/>
    <mergeCell ref="G162:H162"/>
    <mergeCell ref="K162:L162"/>
    <mergeCell ref="K152:L152"/>
    <mergeCell ref="G153:H153"/>
    <mergeCell ref="K153:L153"/>
    <mergeCell ref="G154:H154"/>
    <mergeCell ref="K154:L154"/>
    <mergeCell ref="G155:H155"/>
    <mergeCell ref="K155:L155"/>
    <mergeCell ref="G156:H156"/>
    <mergeCell ref="K156:L156"/>
    <mergeCell ref="K147:L147"/>
    <mergeCell ref="G107:H107"/>
    <mergeCell ref="K107:L107"/>
    <mergeCell ref="G108:H108"/>
    <mergeCell ref="K108:L108"/>
    <mergeCell ref="G109:H109"/>
    <mergeCell ref="K109:L109"/>
    <mergeCell ref="G110:H110"/>
    <mergeCell ref="K110:L110"/>
    <mergeCell ref="G111:H111"/>
    <mergeCell ref="K111:L111"/>
    <mergeCell ref="G157:H157"/>
    <mergeCell ref="K157:L157"/>
    <mergeCell ref="G158:H158"/>
    <mergeCell ref="K158:L158"/>
    <mergeCell ref="G159:H159"/>
    <mergeCell ref="K159:L159"/>
    <mergeCell ref="G67:H67"/>
    <mergeCell ref="K67:L67"/>
    <mergeCell ref="G68:H68"/>
    <mergeCell ref="K68:L68"/>
    <mergeCell ref="G78:H78"/>
    <mergeCell ref="K78:L78"/>
    <mergeCell ref="G79:H79"/>
    <mergeCell ref="K79:L79"/>
    <mergeCell ref="G80:H80"/>
    <mergeCell ref="K80:L80"/>
    <mergeCell ref="G112:H112"/>
    <mergeCell ref="K112:L112"/>
    <mergeCell ref="G113:H113"/>
    <mergeCell ref="K113:L113"/>
    <mergeCell ref="G114:H114"/>
    <mergeCell ref="K114:L114"/>
    <mergeCell ref="G115:H115"/>
    <mergeCell ref="K115:L115"/>
    <mergeCell ref="K11:M12"/>
    <mergeCell ref="B32:D32"/>
    <mergeCell ref="B33:D33"/>
    <mergeCell ref="B34:D34"/>
    <mergeCell ref="B35:D35"/>
    <mergeCell ref="B36:D36"/>
    <mergeCell ref="B21:D21"/>
    <mergeCell ref="B22:D22"/>
    <mergeCell ref="K38:L38"/>
    <mergeCell ref="E34:F34"/>
    <mergeCell ref="K34:L34"/>
    <mergeCell ref="E35:F35"/>
    <mergeCell ref="K35:L35"/>
    <mergeCell ref="E36:F36"/>
    <mergeCell ref="K36:L36"/>
    <mergeCell ref="K29:L29"/>
    <mergeCell ref="E30:F30"/>
    <mergeCell ref="K30:L30"/>
    <mergeCell ref="E27:F27"/>
    <mergeCell ref="K27:L27"/>
    <mergeCell ref="E23:F23"/>
    <mergeCell ref="K23:L23"/>
    <mergeCell ref="E24:F24"/>
    <mergeCell ref="K24:L24"/>
    <mergeCell ref="K404:L404"/>
    <mergeCell ref="E11:F12"/>
    <mergeCell ref="G11:H12"/>
    <mergeCell ref="I11:I13"/>
    <mergeCell ref="J11:J12"/>
    <mergeCell ref="E37:F37"/>
    <mergeCell ref="K31:L31"/>
    <mergeCell ref="E32:F32"/>
    <mergeCell ref="K32:L32"/>
    <mergeCell ref="E33:F33"/>
    <mergeCell ref="K33:L33"/>
    <mergeCell ref="E28:F28"/>
    <mergeCell ref="K28:L28"/>
    <mergeCell ref="E29:F29"/>
    <mergeCell ref="E21:F21"/>
    <mergeCell ref="K21:L21"/>
    <mergeCell ref="E22:F22"/>
    <mergeCell ref="K22:L22"/>
    <mergeCell ref="E25:F25"/>
    <mergeCell ref="K19:L19"/>
    <mergeCell ref="E20:F20"/>
    <mergeCell ref="K20:L20"/>
    <mergeCell ref="K398:L398"/>
    <mergeCell ref="E397:F397"/>
    <mergeCell ref="E387:F387"/>
    <mergeCell ref="E388:F388"/>
    <mergeCell ref="G375:H375"/>
    <mergeCell ref="E380:F380"/>
    <mergeCell ref="E31:F31"/>
    <mergeCell ref="K25:L25"/>
    <mergeCell ref="E26:F26"/>
    <mergeCell ref="K26:L26"/>
    <mergeCell ref="B386:D386"/>
    <mergeCell ref="E386:F386"/>
    <mergeCell ref="E399:F399"/>
    <mergeCell ref="B400:D400"/>
    <mergeCell ref="E400:F400"/>
    <mergeCell ref="B394:D394"/>
    <mergeCell ref="E394:F394"/>
    <mergeCell ref="B395:D395"/>
    <mergeCell ref="E395:F395"/>
    <mergeCell ref="E396:F396"/>
    <mergeCell ref="B23:D23"/>
    <mergeCell ref="B24:D24"/>
    <mergeCell ref="B25:D25"/>
    <mergeCell ref="B26:D26"/>
    <mergeCell ref="B27:D27"/>
    <mergeCell ref="B28:D28"/>
    <mergeCell ref="B29:D29"/>
    <mergeCell ref="B30:D30"/>
    <mergeCell ref="B31:D31"/>
    <mergeCell ref="B37:D37"/>
    <mergeCell ref="E38:F38"/>
    <mergeCell ref="B381:D381"/>
    <mergeCell ref="B397:D397"/>
    <mergeCell ref="B387:D387"/>
    <mergeCell ref="B388:D388"/>
    <mergeCell ref="B375:C375"/>
    <mergeCell ref="B384:D384"/>
    <mergeCell ref="E384:F384"/>
    <mergeCell ref="B385:D385"/>
    <mergeCell ref="E385:F385"/>
    <mergeCell ref="E381:F381"/>
    <mergeCell ref="B363:C363"/>
    <mergeCell ref="G404:H404"/>
    <mergeCell ref="B401:D401"/>
    <mergeCell ref="E401:F401"/>
    <mergeCell ref="B402:D402"/>
    <mergeCell ref="E402:F402"/>
    <mergeCell ref="E403:F403"/>
    <mergeCell ref="E404:F404"/>
    <mergeCell ref="B398:D398"/>
    <mergeCell ref="E398:F398"/>
    <mergeCell ref="G398:H398"/>
    <mergeCell ref="E389:F389"/>
    <mergeCell ref="B391:D391"/>
    <mergeCell ref="E391:F391"/>
    <mergeCell ref="B392:D392"/>
    <mergeCell ref="E392:F392"/>
    <mergeCell ref="B393:D393"/>
    <mergeCell ref="E393:F393"/>
    <mergeCell ref="G363:H363"/>
    <mergeCell ref="E368:F368"/>
    <mergeCell ref="E370:F370"/>
    <mergeCell ref="B374:C374"/>
    <mergeCell ref="G374:H374"/>
    <mergeCell ref="B353:D353"/>
    <mergeCell ref="E353:F353"/>
    <mergeCell ref="B354:D354"/>
    <mergeCell ref="E354:F354"/>
    <mergeCell ref="E358:F358"/>
    <mergeCell ref="B362:C362"/>
    <mergeCell ref="G353:H353"/>
    <mergeCell ref="G354:H354"/>
    <mergeCell ref="B350:D350"/>
    <mergeCell ref="E350:F350"/>
    <mergeCell ref="B351:D351"/>
    <mergeCell ref="E351:F351"/>
    <mergeCell ref="B352:D352"/>
    <mergeCell ref="E352:F352"/>
    <mergeCell ref="G362:H362"/>
    <mergeCell ref="B347:D347"/>
    <mergeCell ref="E347:F347"/>
    <mergeCell ref="B348:D348"/>
    <mergeCell ref="E348:F348"/>
    <mergeCell ref="B349:D349"/>
    <mergeCell ref="E349:F349"/>
    <mergeCell ref="B344:D344"/>
    <mergeCell ref="E344:F344"/>
    <mergeCell ref="B345:D345"/>
    <mergeCell ref="E345:F345"/>
    <mergeCell ref="B346:D346"/>
    <mergeCell ref="E346:F346"/>
    <mergeCell ref="G341:H341"/>
    <mergeCell ref="K341:L341"/>
    <mergeCell ref="B342:D342"/>
    <mergeCell ref="E342:F342"/>
    <mergeCell ref="B343:D343"/>
    <mergeCell ref="E343:F343"/>
    <mergeCell ref="B338:D338"/>
    <mergeCell ref="E338:F338"/>
    <mergeCell ref="B339:D339"/>
    <mergeCell ref="E339:F339"/>
    <mergeCell ref="E340:F340"/>
    <mergeCell ref="B341:D341"/>
    <mergeCell ref="E341:F341"/>
    <mergeCell ref="G338:H338"/>
    <mergeCell ref="K338:L338"/>
    <mergeCell ref="G339:H339"/>
    <mergeCell ref="K339:L339"/>
    <mergeCell ref="B335:D335"/>
    <mergeCell ref="E335:F335"/>
    <mergeCell ref="B336:D336"/>
    <mergeCell ref="E336:F336"/>
    <mergeCell ref="B337:D337"/>
    <mergeCell ref="E337:F337"/>
    <mergeCell ref="B340:D340"/>
    <mergeCell ref="G337:H337"/>
    <mergeCell ref="K337:L337"/>
    <mergeCell ref="B332:D332"/>
    <mergeCell ref="E332:F332"/>
    <mergeCell ref="B333:D333"/>
    <mergeCell ref="E333:F333"/>
    <mergeCell ref="E334:F334"/>
    <mergeCell ref="E328:F328"/>
    <mergeCell ref="B329:D329"/>
    <mergeCell ref="E329:F329"/>
    <mergeCell ref="B330:D330"/>
    <mergeCell ref="E330:F330"/>
    <mergeCell ref="B331:D331"/>
    <mergeCell ref="E331:F331"/>
    <mergeCell ref="B326:D326"/>
    <mergeCell ref="E326:F326"/>
    <mergeCell ref="B327:D327"/>
    <mergeCell ref="E327:F327"/>
    <mergeCell ref="G327:H327"/>
    <mergeCell ref="G329:H329"/>
    <mergeCell ref="B323:D323"/>
    <mergeCell ref="E323:F323"/>
    <mergeCell ref="B324:D324"/>
    <mergeCell ref="E324:F324"/>
    <mergeCell ref="B325:D325"/>
    <mergeCell ref="E325:F325"/>
    <mergeCell ref="G324:H324"/>
    <mergeCell ref="K324:L324"/>
    <mergeCell ref="G325:H325"/>
    <mergeCell ref="K325:L325"/>
    <mergeCell ref="B320:D320"/>
    <mergeCell ref="E320:F320"/>
    <mergeCell ref="B321:D321"/>
    <mergeCell ref="E321:F321"/>
    <mergeCell ref="B322:D322"/>
    <mergeCell ref="E322:F322"/>
    <mergeCell ref="K323:L323"/>
    <mergeCell ref="K320:L320"/>
    <mergeCell ref="G321:H321"/>
    <mergeCell ref="K321:L321"/>
    <mergeCell ref="G322:H322"/>
    <mergeCell ref="K322:L322"/>
    <mergeCell ref="G323:H323"/>
    <mergeCell ref="G320:H320"/>
    <mergeCell ref="B317:D317"/>
    <mergeCell ref="E317:F317"/>
    <mergeCell ref="B318:D318"/>
    <mergeCell ref="E318:F318"/>
    <mergeCell ref="B319:D319"/>
    <mergeCell ref="E319:F319"/>
    <mergeCell ref="B314:D314"/>
    <mergeCell ref="E314:F314"/>
    <mergeCell ref="B315:D315"/>
    <mergeCell ref="E315:F315"/>
    <mergeCell ref="B316:D316"/>
    <mergeCell ref="E316:F316"/>
    <mergeCell ref="B312:D312"/>
    <mergeCell ref="E312:F312"/>
    <mergeCell ref="G312:H312"/>
    <mergeCell ref="K312:L312"/>
    <mergeCell ref="B313:D313"/>
    <mergeCell ref="E313:F313"/>
    <mergeCell ref="G317:H317"/>
    <mergeCell ref="K317:L317"/>
    <mergeCell ref="G318:H318"/>
    <mergeCell ref="K318:L318"/>
    <mergeCell ref="K319:L319"/>
    <mergeCell ref="B309:D309"/>
    <mergeCell ref="E309:F309"/>
    <mergeCell ref="B310:D310"/>
    <mergeCell ref="E310:F310"/>
    <mergeCell ref="B311:D311"/>
    <mergeCell ref="E311:F311"/>
    <mergeCell ref="B306:D306"/>
    <mergeCell ref="E306:F306"/>
    <mergeCell ref="B307:D307"/>
    <mergeCell ref="E307:F307"/>
    <mergeCell ref="B308:D308"/>
    <mergeCell ref="E308:F308"/>
    <mergeCell ref="G306:H306"/>
    <mergeCell ref="K306:L306"/>
    <mergeCell ref="G307:H307"/>
    <mergeCell ref="K307:L307"/>
    <mergeCell ref="B303:D303"/>
    <mergeCell ref="E303:F303"/>
    <mergeCell ref="B304:D304"/>
    <mergeCell ref="E304:F304"/>
    <mergeCell ref="B305:D305"/>
    <mergeCell ref="E305:F305"/>
    <mergeCell ref="G305:H305"/>
    <mergeCell ref="K305:L305"/>
    <mergeCell ref="G308:H308"/>
    <mergeCell ref="K308:L308"/>
    <mergeCell ref="G309:H309"/>
    <mergeCell ref="K309:L309"/>
    <mergeCell ref="G310:H310"/>
    <mergeCell ref="K310:L310"/>
    <mergeCell ref="B300:D300"/>
    <mergeCell ref="E300:F300"/>
    <mergeCell ref="B301:D301"/>
    <mergeCell ref="E301:F301"/>
    <mergeCell ref="B302:D302"/>
    <mergeCell ref="E302:F302"/>
    <mergeCell ref="G297:H297"/>
    <mergeCell ref="K297:L297"/>
    <mergeCell ref="B298:D298"/>
    <mergeCell ref="E298:F298"/>
    <mergeCell ref="B299:D299"/>
    <mergeCell ref="E299:F299"/>
    <mergeCell ref="G302:H302"/>
    <mergeCell ref="K302:L302"/>
    <mergeCell ref="G303:H303"/>
    <mergeCell ref="K303:L303"/>
    <mergeCell ref="G304:H304"/>
    <mergeCell ref="K304:L304"/>
    <mergeCell ref="G298:H298"/>
    <mergeCell ref="K298:L298"/>
    <mergeCell ref="G299:H299"/>
    <mergeCell ref="K299:L299"/>
    <mergeCell ref="G300:H300"/>
    <mergeCell ref="K300:L300"/>
    <mergeCell ref="B295:D295"/>
    <mergeCell ref="E295:F295"/>
    <mergeCell ref="B296:D296"/>
    <mergeCell ref="E296:F296"/>
    <mergeCell ref="B297:D297"/>
    <mergeCell ref="E297:F297"/>
    <mergeCell ref="B292:D292"/>
    <mergeCell ref="E292:F292"/>
    <mergeCell ref="B293:D293"/>
    <mergeCell ref="E293:F293"/>
    <mergeCell ref="B294:D294"/>
    <mergeCell ref="E294:F294"/>
    <mergeCell ref="B289:D289"/>
    <mergeCell ref="E289:F289"/>
    <mergeCell ref="B290:D290"/>
    <mergeCell ref="E290:F290"/>
    <mergeCell ref="B291:D291"/>
    <mergeCell ref="E291:F291"/>
    <mergeCell ref="B286:D286"/>
    <mergeCell ref="E286:F286"/>
    <mergeCell ref="B287:D287"/>
    <mergeCell ref="E287:F287"/>
    <mergeCell ref="B288:D288"/>
    <mergeCell ref="E288:F288"/>
    <mergeCell ref="B283:D283"/>
    <mergeCell ref="E283:F283"/>
    <mergeCell ref="B284:D284"/>
    <mergeCell ref="E284:F284"/>
    <mergeCell ref="B285:D285"/>
    <mergeCell ref="E285:F285"/>
    <mergeCell ref="B281:D281"/>
    <mergeCell ref="E281:F281"/>
    <mergeCell ref="B282:D282"/>
    <mergeCell ref="E282:F282"/>
    <mergeCell ref="G282:H282"/>
    <mergeCell ref="B278:D278"/>
    <mergeCell ref="E278:F278"/>
    <mergeCell ref="B279:D279"/>
    <mergeCell ref="E279:F279"/>
    <mergeCell ref="B280:D280"/>
    <mergeCell ref="E280:F280"/>
    <mergeCell ref="B275:D275"/>
    <mergeCell ref="E275:F275"/>
    <mergeCell ref="B276:D276"/>
    <mergeCell ref="E276:F276"/>
    <mergeCell ref="B277:D277"/>
    <mergeCell ref="E277:F277"/>
    <mergeCell ref="G279:H279"/>
    <mergeCell ref="K279:L279"/>
    <mergeCell ref="G280:H280"/>
    <mergeCell ref="K280:L280"/>
    <mergeCell ref="B272:D272"/>
    <mergeCell ref="E272:F272"/>
    <mergeCell ref="B273:D273"/>
    <mergeCell ref="E273:F273"/>
    <mergeCell ref="B274:D274"/>
    <mergeCell ref="E274:F274"/>
    <mergeCell ref="B269:D269"/>
    <mergeCell ref="E269:F269"/>
    <mergeCell ref="B270:D270"/>
    <mergeCell ref="E270:F270"/>
    <mergeCell ref="B271:D271"/>
    <mergeCell ref="E271:F271"/>
    <mergeCell ref="B267:D267"/>
    <mergeCell ref="E267:F267"/>
    <mergeCell ref="G267:H267"/>
    <mergeCell ref="K267:L267"/>
    <mergeCell ref="B268:D268"/>
    <mergeCell ref="E268:F268"/>
    <mergeCell ref="B264:D264"/>
    <mergeCell ref="E264:F264"/>
    <mergeCell ref="B265:D265"/>
    <mergeCell ref="E265:F265"/>
    <mergeCell ref="B266:D266"/>
    <mergeCell ref="E266:F266"/>
    <mergeCell ref="B261:D261"/>
    <mergeCell ref="E261:F261"/>
    <mergeCell ref="B262:D262"/>
    <mergeCell ref="E262:F262"/>
    <mergeCell ref="B263:D263"/>
    <mergeCell ref="E263:F263"/>
    <mergeCell ref="B258:D258"/>
    <mergeCell ref="E258:F258"/>
    <mergeCell ref="B259:D259"/>
    <mergeCell ref="E259:F259"/>
    <mergeCell ref="B260:D260"/>
    <mergeCell ref="E260:F260"/>
    <mergeCell ref="B255:D255"/>
    <mergeCell ref="E255:F255"/>
    <mergeCell ref="B256:D256"/>
    <mergeCell ref="E256:F256"/>
    <mergeCell ref="B257:D257"/>
    <mergeCell ref="E257:F257"/>
    <mergeCell ref="B253:D253"/>
    <mergeCell ref="E253:F253"/>
    <mergeCell ref="B254:D254"/>
    <mergeCell ref="E254:F254"/>
    <mergeCell ref="G257:H257"/>
    <mergeCell ref="K257:L257"/>
    <mergeCell ref="B250:D250"/>
    <mergeCell ref="E250:F250"/>
    <mergeCell ref="B251:D251"/>
    <mergeCell ref="E251:F251"/>
    <mergeCell ref="B252:D252"/>
    <mergeCell ref="E252:F252"/>
    <mergeCell ref="B247:D247"/>
    <mergeCell ref="E247:F247"/>
    <mergeCell ref="B248:D248"/>
    <mergeCell ref="E248:F248"/>
    <mergeCell ref="B249:D249"/>
    <mergeCell ref="E249:F249"/>
    <mergeCell ref="K252:L252"/>
    <mergeCell ref="B244:D244"/>
    <mergeCell ref="E244:F244"/>
    <mergeCell ref="B245:D245"/>
    <mergeCell ref="E245:F245"/>
    <mergeCell ref="B246:D246"/>
    <mergeCell ref="E246:F246"/>
    <mergeCell ref="B241:D241"/>
    <mergeCell ref="E241:F241"/>
    <mergeCell ref="B242:D242"/>
    <mergeCell ref="E242:F242"/>
    <mergeCell ref="B243:D243"/>
    <mergeCell ref="E243:F243"/>
    <mergeCell ref="B238:D238"/>
    <mergeCell ref="E238:F238"/>
    <mergeCell ref="B239:D239"/>
    <mergeCell ref="E239:F239"/>
    <mergeCell ref="B240:D240"/>
    <mergeCell ref="E240:F240"/>
    <mergeCell ref="B236:D236"/>
    <mergeCell ref="E236:F236"/>
    <mergeCell ref="B237:D237"/>
    <mergeCell ref="E237:F237"/>
    <mergeCell ref="G237:H237"/>
    <mergeCell ref="K237:L237"/>
    <mergeCell ref="B233:D233"/>
    <mergeCell ref="E233:F233"/>
    <mergeCell ref="B234:D234"/>
    <mergeCell ref="E234:F234"/>
    <mergeCell ref="B235:D235"/>
    <mergeCell ref="E235:F235"/>
    <mergeCell ref="B230:D230"/>
    <mergeCell ref="E230:F230"/>
    <mergeCell ref="B231:D231"/>
    <mergeCell ref="E231:F231"/>
    <mergeCell ref="B232:D232"/>
    <mergeCell ref="E232:F232"/>
    <mergeCell ref="G232:H232"/>
    <mergeCell ref="K232:L232"/>
    <mergeCell ref="G233:H233"/>
    <mergeCell ref="K233:L233"/>
    <mergeCell ref="G234:H234"/>
    <mergeCell ref="K234:L234"/>
    <mergeCell ref="G235:H235"/>
    <mergeCell ref="K235:L235"/>
    <mergeCell ref="G230:H230"/>
    <mergeCell ref="K230:L230"/>
    <mergeCell ref="G231:H231"/>
    <mergeCell ref="K231:L231"/>
    <mergeCell ref="B227:D227"/>
    <mergeCell ref="E227:F227"/>
    <mergeCell ref="B228:D228"/>
    <mergeCell ref="E228:F228"/>
    <mergeCell ref="B229:D229"/>
    <mergeCell ref="E229:F229"/>
    <mergeCell ref="B224:D224"/>
    <mergeCell ref="E224:F224"/>
    <mergeCell ref="B225:D225"/>
    <mergeCell ref="E225:F225"/>
    <mergeCell ref="B226:D226"/>
    <mergeCell ref="E226:F226"/>
    <mergeCell ref="B222:D222"/>
    <mergeCell ref="E222:F222"/>
    <mergeCell ref="G222:H222"/>
    <mergeCell ref="K222:L222"/>
    <mergeCell ref="B223:D223"/>
    <mergeCell ref="E223:F223"/>
    <mergeCell ref="G227:H227"/>
    <mergeCell ref="K227:L227"/>
    <mergeCell ref="G228:H228"/>
    <mergeCell ref="K228:L228"/>
    <mergeCell ref="G229:H229"/>
    <mergeCell ref="K229:L229"/>
    <mergeCell ref="B219:D219"/>
    <mergeCell ref="E219:F219"/>
    <mergeCell ref="B220:D220"/>
    <mergeCell ref="E220:F220"/>
    <mergeCell ref="B221:D221"/>
    <mergeCell ref="E221:F221"/>
    <mergeCell ref="G220:H220"/>
    <mergeCell ref="K220:L220"/>
    <mergeCell ref="B216:D216"/>
    <mergeCell ref="E216:F216"/>
    <mergeCell ref="B217:D217"/>
    <mergeCell ref="E217:F217"/>
    <mergeCell ref="B218:D218"/>
    <mergeCell ref="E218:F218"/>
    <mergeCell ref="B213:D213"/>
    <mergeCell ref="E213:F213"/>
    <mergeCell ref="B214:D214"/>
    <mergeCell ref="E214:F214"/>
    <mergeCell ref="B215:D215"/>
    <mergeCell ref="E215:F215"/>
    <mergeCell ref="G215:H215"/>
    <mergeCell ref="K215:L215"/>
    <mergeCell ref="G216:H216"/>
    <mergeCell ref="K216:L216"/>
    <mergeCell ref="G217:H217"/>
    <mergeCell ref="K217:L217"/>
    <mergeCell ref="G218:H218"/>
    <mergeCell ref="K218:L218"/>
    <mergeCell ref="G219:H219"/>
    <mergeCell ref="K219:L219"/>
    <mergeCell ref="B210:D210"/>
    <mergeCell ref="E210:F210"/>
    <mergeCell ref="B211:D211"/>
    <mergeCell ref="E211:F211"/>
    <mergeCell ref="B212:D212"/>
    <mergeCell ref="E212:F212"/>
    <mergeCell ref="G207:H207"/>
    <mergeCell ref="K207:L207"/>
    <mergeCell ref="B208:D208"/>
    <mergeCell ref="E208:F208"/>
    <mergeCell ref="B209:D209"/>
    <mergeCell ref="E209:F209"/>
    <mergeCell ref="B205:D205"/>
    <mergeCell ref="E205:F205"/>
    <mergeCell ref="B206:D206"/>
    <mergeCell ref="E206:F206"/>
    <mergeCell ref="B207:D207"/>
    <mergeCell ref="E207:F207"/>
    <mergeCell ref="B202:D202"/>
    <mergeCell ref="E202:F202"/>
    <mergeCell ref="B203:D203"/>
    <mergeCell ref="E203:F203"/>
    <mergeCell ref="B204:D204"/>
    <mergeCell ref="E204:F204"/>
    <mergeCell ref="B199:D199"/>
    <mergeCell ref="E199:F199"/>
    <mergeCell ref="B200:D200"/>
    <mergeCell ref="E200:F200"/>
    <mergeCell ref="B201:D201"/>
    <mergeCell ref="E201:F201"/>
    <mergeCell ref="B196:D196"/>
    <mergeCell ref="E196:F196"/>
    <mergeCell ref="B197:D197"/>
    <mergeCell ref="E197:F197"/>
    <mergeCell ref="B198:D198"/>
    <mergeCell ref="E198:F198"/>
    <mergeCell ref="B193:D193"/>
    <mergeCell ref="E193:F193"/>
    <mergeCell ref="B194:D194"/>
    <mergeCell ref="E194:F194"/>
    <mergeCell ref="B195:D195"/>
    <mergeCell ref="E195:F195"/>
    <mergeCell ref="B191:D191"/>
    <mergeCell ref="E191:F191"/>
    <mergeCell ref="B192:D192"/>
    <mergeCell ref="E192:F192"/>
    <mergeCell ref="G192:H192"/>
    <mergeCell ref="K192:L192"/>
    <mergeCell ref="B188:D188"/>
    <mergeCell ref="E188:F188"/>
    <mergeCell ref="B189:D189"/>
    <mergeCell ref="E189:F189"/>
    <mergeCell ref="B190:D190"/>
    <mergeCell ref="E190:F190"/>
    <mergeCell ref="G190:H190"/>
    <mergeCell ref="K190:L190"/>
    <mergeCell ref="B185:D185"/>
    <mergeCell ref="E185:F185"/>
    <mergeCell ref="B186:D186"/>
    <mergeCell ref="E186:F186"/>
    <mergeCell ref="B187:D187"/>
    <mergeCell ref="E187:F187"/>
    <mergeCell ref="G185:H185"/>
    <mergeCell ref="K185:L185"/>
    <mergeCell ref="G186:H186"/>
    <mergeCell ref="K186:L186"/>
    <mergeCell ref="G187:H187"/>
    <mergeCell ref="K187:L187"/>
    <mergeCell ref="G188:H188"/>
    <mergeCell ref="K188:L188"/>
    <mergeCell ref="G189:H189"/>
    <mergeCell ref="K189:L189"/>
    <mergeCell ref="B182:D182"/>
    <mergeCell ref="E182:F182"/>
    <mergeCell ref="B183:D183"/>
    <mergeCell ref="E183:F183"/>
    <mergeCell ref="B184:D184"/>
    <mergeCell ref="E184:F184"/>
    <mergeCell ref="B179:D179"/>
    <mergeCell ref="E179:F179"/>
    <mergeCell ref="B180:D180"/>
    <mergeCell ref="E180:F180"/>
    <mergeCell ref="B181:D181"/>
    <mergeCell ref="E181:F181"/>
    <mergeCell ref="B177:D177"/>
    <mergeCell ref="E177:F177"/>
    <mergeCell ref="G177:H177"/>
    <mergeCell ref="K177:L177"/>
    <mergeCell ref="B178:D178"/>
    <mergeCell ref="E178:F178"/>
    <mergeCell ref="B174:D174"/>
    <mergeCell ref="E174:F174"/>
    <mergeCell ref="B175:D175"/>
    <mergeCell ref="E175:F175"/>
    <mergeCell ref="B176:D176"/>
    <mergeCell ref="E176:F176"/>
    <mergeCell ref="B171:D171"/>
    <mergeCell ref="E171:F171"/>
    <mergeCell ref="B172:D172"/>
    <mergeCell ref="E172:F172"/>
    <mergeCell ref="B173:D173"/>
    <mergeCell ref="E173:F173"/>
    <mergeCell ref="B168:D168"/>
    <mergeCell ref="E168:F168"/>
    <mergeCell ref="B169:D169"/>
    <mergeCell ref="E169:F169"/>
    <mergeCell ref="B170:D170"/>
    <mergeCell ref="E170:F170"/>
    <mergeCell ref="B165:D165"/>
    <mergeCell ref="E165:F165"/>
    <mergeCell ref="B166:D166"/>
    <mergeCell ref="E166:F166"/>
    <mergeCell ref="B167:D167"/>
    <mergeCell ref="E167:F167"/>
    <mergeCell ref="B163:D163"/>
    <mergeCell ref="E163:F163"/>
    <mergeCell ref="B164:D164"/>
    <mergeCell ref="E164:F164"/>
    <mergeCell ref="B160:D160"/>
    <mergeCell ref="E160:F160"/>
    <mergeCell ref="B161:D161"/>
    <mergeCell ref="E161:F161"/>
    <mergeCell ref="B162:D162"/>
    <mergeCell ref="E162:F162"/>
    <mergeCell ref="B157:D157"/>
    <mergeCell ref="E157:F157"/>
    <mergeCell ref="B158:D158"/>
    <mergeCell ref="E158:F158"/>
    <mergeCell ref="B159:D159"/>
    <mergeCell ref="E159:F159"/>
    <mergeCell ref="B154:D154"/>
    <mergeCell ref="E154:F154"/>
    <mergeCell ref="B155:D155"/>
    <mergeCell ref="E155:F155"/>
    <mergeCell ref="B156:D156"/>
    <mergeCell ref="E156:F156"/>
    <mergeCell ref="B151:D151"/>
    <mergeCell ref="E151:F151"/>
    <mergeCell ref="B152:D152"/>
    <mergeCell ref="E152:F152"/>
    <mergeCell ref="B153:D153"/>
    <mergeCell ref="E153:F153"/>
    <mergeCell ref="B148:D148"/>
    <mergeCell ref="E148:F148"/>
    <mergeCell ref="B149:D149"/>
    <mergeCell ref="E149:F149"/>
    <mergeCell ref="B150:D150"/>
    <mergeCell ref="E150:F150"/>
    <mergeCell ref="B146:D146"/>
    <mergeCell ref="E146:F146"/>
    <mergeCell ref="B147:D147"/>
    <mergeCell ref="E147:F147"/>
    <mergeCell ref="G147:H147"/>
    <mergeCell ref="G152:H152"/>
    <mergeCell ref="B143:D143"/>
    <mergeCell ref="E143:F143"/>
    <mergeCell ref="B144:D144"/>
    <mergeCell ref="E144:F144"/>
    <mergeCell ref="B145:D145"/>
    <mergeCell ref="E145:F145"/>
    <mergeCell ref="B140:D140"/>
    <mergeCell ref="E140:F140"/>
    <mergeCell ref="B141:D141"/>
    <mergeCell ref="E141:F141"/>
    <mergeCell ref="B142:D142"/>
    <mergeCell ref="E142:F142"/>
    <mergeCell ref="G142:H142"/>
    <mergeCell ref="K142:L142"/>
    <mergeCell ref="G143:H143"/>
    <mergeCell ref="K143:L143"/>
    <mergeCell ref="G144:H144"/>
    <mergeCell ref="K144:L144"/>
    <mergeCell ref="G145:H145"/>
    <mergeCell ref="K145:L145"/>
    <mergeCell ref="B137:D137"/>
    <mergeCell ref="E137:F137"/>
    <mergeCell ref="B138:D138"/>
    <mergeCell ref="E138:F138"/>
    <mergeCell ref="B139:D139"/>
    <mergeCell ref="E139:F139"/>
    <mergeCell ref="B134:D134"/>
    <mergeCell ref="E134:F134"/>
    <mergeCell ref="B135:D135"/>
    <mergeCell ref="E135:F135"/>
    <mergeCell ref="B136:D136"/>
    <mergeCell ref="E136:F136"/>
    <mergeCell ref="B132:D132"/>
    <mergeCell ref="E132:F132"/>
    <mergeCell ref="G132:H132"/>
    <mergeCell ref="K132:L132"/>
    <mergeCell ref="B133:D133"/>
    <mergeCell ref="E133:F133"/>
    <mergeCell ref="B129:D129"/>
    <mergeCell ref="E129:F129"/>
    <mergeCell ref="B130:D130"/>
    <mergeCell ref="E130:F130"/>
    <mergeCell ref="B131:D131"/>
    <mergeCell ref="E131:F131"/>
    <mergeCell ref="G129:H129"/>
    <mergeCell ref="K129:L129"/>
    <mergeCell ref="G130:H130"/>
    <mergeCell ref="K130:L130"/>
    <mergeCell ref="B126:D126"/>
    <mergeCell ref="E126:F126"/>
    <mergeCell ref="B127:D127"/>
    <mergeCell ref="E127:F127"/>
    <mergeCell ref="B128:D128"/>
    <mergeCell ref="E128:F128"/>
    <mergeCell ref="B123:D123"/>
    <mergeCell ref="E123:F123"/>
    <mergeCell ref="B124:D124"/>
    <mergeCell ref="E124:F124"/>
    <mergeCell ref="B125:D125"/>
    <mergeCell ref="E125:F125"/>
    <mergeCell ref="G128:H128"/>
    <mergeCell ref="K128:L128"/>
    <mergeCell ref="B120:D120"/>
    <mergeCell ref="E120:F120"/>
    <mergeCell ref="B121:D121"/>
    <mergeCell ref="E121:F121"/>
    <mergeCell ref="B122:D122"/>
    <mergeCell ref="E122:F122"/>
    <mergeCell ref="G117:H117"/>
    <mergeCell ref="K117:L117"/>
    <mergeCell ref="B118:D118"/>
    <mergeCell ref="E118:F118"/>
    <mergeCell ref="B119:D119"/>
    <mergeCell ref="E119:F119"/>
    <mergeCell ref="B115:D115"/>
    <mergeCell ref="E115:F115"/>
    <mergeCell ref="B116:D116"/>
    <mergeCell ref="E116:F116"/>
    <mergeCell ref="B117:D117"/>
    <mergeCell ref="E117:F117"/>
    <mergeCell ref="B112:D112"/>
    <mergeCell ref="E112:F112"/>
    <mergeCell ref="B113:D113"/>
    <mergeCell ref="E113:F113"/>
    <mergeCell ref="B114:D114"/>
    <mergeCell ref="E114:F114"/>
    <mergeCell ref="B109:D109"/>
    <mergeCell ref="E109:F109"/>
    <mergeCell ref="B110:D110"/>
    <mergeCell ref="E110:F110"/>
    <mergeCell ref="B111:D111"/>
    <mergeCell ref="E111:F111"/>
    <mergeCell ref="B106:D106"/>
    <mergeCell ref="E106:F106"/>
    <mergeCell ref="B107:D107"/>
    <mergeCell ref="E107:F107"/>
    <mergeCell ref="B108:D108"/>
    <mergeCell ref="E108:F108"/>
    <mergeCell ref="B103:D103"/>
    <mergeCell ref="E103:F103"/>
    <mergeCell ref="B104:D104"/>
    <mergeCell ref="E104:F104"/>
    <mergeCell ref="B105:D105"/>
    <mergeCell ref="E105:F105"/>
    <mergeCell ref="B101:D101"/>
    <mergeCell ref="E101:F101"/>
    <mergeCell ref="B102:D102"/>
    <mergeCell ref="E102:F102"/>
    <mergeCell ref="G102:H102"/>
    <mergeCell ref="K102:L102"/>
    <mergeCell ref="B96:D96"/>
    <mergeCell ref="E96:F96"/>
    <mergeCell ref="B99:D99"/>
    <mergeCell ref="E99:F99"/>
    <mergeCell ref="B100:D100"/>
    <mergeCell ref="E100:F100"/>
    <mergeCell ref="G99:H99"/>
    <mergeCell ref="K99:L99"/>
    <mergeCell ref="G100:H100"/>
    <mergeCell ref="K100:L100"/>
    <mergeCell ref="B93:D93"/>
    <mergeCell ref="E93:F93"/>
    <mergeCell ref="B94:D94"/>
    <mergeCell ref="E94:F94"/>
    <mergeCell ref="B95:D95"/>
    <mergeCell ref="E95:F95"/>
    <mergeCell ref="B97:D97"/>
    <mergeCell ref="E97:F97"/>
    <mergeCell ref="B98:D98"/>
    <mergeCell ref="E98:F98"/>
    <mergeCell ref="B90:D90"/>
    <mergeCell ref="E90:F90"/>
    <mergeCell ref="B91:D91"/>
    <mergeCell ref="E91:F91"/>
    <mergeCell ref="B92:D92"/>
    <mergeCell ref="E92:F92"/>
    <mergeCell ref="B87:D87"/>
    <mergeCell ref="E87:F87"/>
    <mergeCell ref="B88:D88"/>
    <mergeCell ref="E88:F88"/>
    <mergeCell ref="B89:D89"/>
    <mergeCell ref="E89:F89"/>
    <mergeCell ref="B85:D85"/>
    <mergeCell ref="E85:F85"/>
    <mergeCell ref="G85:H85"/>
    <mergeCell ref="K85:L85"/>
    <mergeCell ref="B86:D86"/>
    <mergeCell ref="E86:F86"/>
    <mergeCell ref="B82:D82"/>
    <mergeCell ref="E82:F82"/>
    <mergeCell ref="B83:D83"/>
    <mergeCell ref="E83:F83"/>
    <mergeCell ref="B84:D84"/>
    <mergeCell ref="E84:F84"/>
    <mergeCell ref="B79:D79"/>
    <mergeCell ref="E79:F79"/>
    <mergeCell ref="B80:D80"/>
    <mergeCell ref="E80:F80"/>
    <mergeCell ref="B81:D81"/>
    <mergeCell ref="E81:F81"/>
    <mergeCell ref="G81:H81"/>
    <mergeCell ref="K81:L81"/>
    <mergeCell ref="G82:H82"/>
    <mergeCell ref="K82:L82"/>
    <mergeCell ref="G83:H83"/>
    <mergeCell ref="K83:L83"/>
    <mergeCell ref="B76:D76"/>
    <mergeCell ref="E76:F76"/>
    <mergeCell ref="B77:D77"/>
    <mergeCell ref="E77:F77"/>
    <mergeCell ref="B78:D78"/>
    <mergeCell ref="E78:F78"/>
    <mergeCell ref="B73:D73"/>
    <mergeCell ref="E73:F73"/>
    <mergeCell ref="B74:D74"/>
    <mergeCell ref="E74:F74"/>
    <mergeCell ref="B75:D75"/>
    <mergeCell ref="E75:F75"/>
    <mergeCell ref="G70:H70"/>
    <mergeCell ref="K70:L70"/>
    <mergeCell ref="B71:D71"/>
    <mergeCell ref="E71:F71"/>
    <mergeCell ref="B72:D72"/>
    <mergeCell ref="E72:F72"/>
    <mergeCell ref="B68:D68"/>
    <mergeCell ref="E68:F68"/>
    <mergeCell ref="B69:D69"/>
    <mergeCell ref="E69:F69"/>
    <mergeCell ref="B70:D70"/>
    <mergeCell ref="E70:F70"/>
    <mergeCell ref="B65:D65"/>
    <mergeCell ref="E65:F65"/>
    <mergeCell ref="B66:D66"/>
    <mergeCell ref="E66:F66"/>
    <mergeCell ref="B67:D67"/>
    <mergeCell ref="E67:F67"/>
    <mergeCell ref="B62:D62"/>
    <mergeCell ref="E62:F62"/>
    <mergeCell ref="B63:D63"/>
    <mergeCell ref="E63:F63"/>
    <mergeCell ref="B64:D64"/>
    <mergeCell ref="E64:F64"/>
    <mergeCell ref="B59:D59"/>
    <mergeCell ref="E59:F59"/>
    <mergeCell ref="B60:D60"/>
    <mergeCell ref="E60:F60"/>
    <mergeCell ref="B61:D61"/>
    <mergeCell ref="E61:F61"/>
    <mergeCell ref="B56:D56"/>
    <mergeCell ref="E56:F56"/>
    <mergeCell ref="B57:D57"/>
    <mergeCell ref="E57:F57"/>
    <mergeCell ref="B58:D58"/>
    <mergeCell ref="E58:F58"/>
    <mergeCell ref="B54:D54"/>
    <mergeCell ref="E54:F54"/>
    <mergeCell ref="B55:D55"/>
    <mergeCell ref="E55:F55"/>
    <mergeCell ref="G55:H55"/>
    <mergeCell ref="K55:L55"/>
    <mergeCell ref="B51:D51"/>
    <mergeCell ref="E51:F51"/>
    <mergeCell ref="B52:D52"/>
    <mergeCell ref="E52:F52"/>
    <mergeCell ref="B53:D53"/>
    <mergeCell ref="E53:F53"/>
    <mergeCell ref="B48:D48"/>
    <mergeCell ref="E48:F48"/>
    <mergeCell ref="B49:D49"/>
    <mergeCell ref="E49:F49"/>
    <mergeCell ref="B50:D50"/>
    <mergeCell ref="E50:F50"/>
    <mergeCell ref="B45:D45"/>
    <mergeCell ref="E45:F45"/>
    <mergeCell ref="B46:D46"/>
    <mergeCell ref="E46:F46"/>
    <mergeCell ref="B47:D47"/>
    <mergeCell ref="E47:F47"/>
    <mergeCell ref="G48:H48"/>
    <mergeCell ref="G49:H49"/>
    <mergeCell ref="G50:H50"/>
    <mergeCell ref="G51:H51"/>
    <mergeCell ref="G52:H52"/>
    <mergeCell ref="G53:H53"/>
    <mergeCell ref="K48:L48"/>
    <mergeCell ref="K49:L49"/>
    <mergeCell ref="K50:L50"/>
    <mergeCell ref="K51:L51"/>
    <mergeCell ref="K52:L52"/>
    <mergeCell ref="K53:L53"/>
    <mergeCell ref="B42:D42"/>
    <mergeCell ref="E42:F42"/>
    <mergeCell ref="B43:D43"/>
    <mergeCell ref="E43:F43"/>
    <mergeCell ref="B44:D44"/>
    <mergeCell ref="E44:F44"/>
    <mergeCell ref="B40:D40"/>
    <mergeCell ref="E40:F40"/>
    <mergeCell ref="G40:H40"/>
    <mergeCell ref="K40:L40"/>
    <mergeCell ref="B41:D41"/>
    <mergeCell ref="E41:F41"/>
    <mergeCell ref="E13:F13"/>
    <mergeCell ref="G13:H13"/>
    <mergeCell ref="K13:L13"/>
    <mergeCell ref="E16:F16"/>
    <mergeCell ref="K16:L16"/>
    <mergeCell ref="E17:F17"/>
    <mergeCell ref="K17:L17"/>
    <mergeCell ref="E18:F18"/>
    <mergeCell ref="K18:L18"/>
    <mergeCell ref="A15:M15"/>
    <mergeCell ref="E19:F19"/>
    <mergeCell ref="B16:D16"/>
    <mergeCell ref="B17:D17"/>
    <mergeCell ref="B18:D18"/>
    <mergeCell ref="B19:D19"/>
    <mergeCell ref="B20:D20"/>
    <mergeCell ref="K37:L37"/>
  </mergeCells>
  <conditionalFormatting sqref="M41:M47 I342:I355">
    <cfRule type="expression" dxfId="940" priority="688">
      <formula>IF(ISBLANK(H41),FALSE,TRUE)</formula>
    </cfRule>
  </conditionalFormatting>
  <conditionalFormatting sqref="I41:I47">
    <cfRule type="expression" dxfId="939" priority="687">
      <formula>IF(ISBLANK(H41),FALSE,TRUE)</formula>
    </cfRule>
  </conditionalFormatting>
  <conditionalFormatting sqref="I178">
    <cfRule type="expression" dxfId="938" priority="270">
      <formula>IF(ISBLANK(H178),FALSE,TRUE)</formula>
    </cfRule>
  </conditionalFormatting>
  <conditionalFormatting sqref="M178">
    <cfRule type="expression" dxfId="937" priority="269">
      <formula>IF(ISBLANK(L178),FALSE,TRUE)</formula>
    </cfRule>
  </conditionalFormatting>
  <conditionalFormatting sqref="I163">
    <cfRule type="expression" dxfId="936" priority="292">
      <formula>IF(ISBLANK(H163),FALSE,TRUE)</formula>
    </cfRule>
  </conditionalFormatting>
  <conditionalFormatting sqref="I176">
    <cfRule type="expression" dxfId="935" priority="274">
      <formula>IF(ISBLANK(H176),FALSE,TRUE)</formula>
    </cfRule>
  </conditionalFormatting>
  <conditionalFormatting sqref="M176">
    <cfRule type="expression" dxfId="934" priority="273">
      <formula>IF(ISBLANK(L176),FALSE,TRUE)</formula>
    </cfRule>
  </conditionalFormatting>
  <conditionalFormatting sqref="I161">
    <cfRule type="expression" dxfId="933" priority="296">
      <formula>IF(ISBLANK(H161),FALSE,TRUE)</formula>
    </cfRule>
  </conditionalFormatting>
  <conditionalFormatting sqref="M163">
    <cfRule type="expression" dxfId="932" priority="295">
      <formula>IF(ISBLANK(L163),FALSE,TRUE)</formula>
    </cfRule>
  </conditionalFormatting>
  <conditionalFormatting sqref="I149:I151">
    <cfRule type="expression" dxfId="931" priority="310">
      <formula>IF(ISBLANK(H149),FALSE,TRUE)</formula>
    </cfRule>
  </conditionalFormatting>
  <conditionalFormatting sqref="M161">
    <cfRule type="expression" dxfId="930" priority="299">
      <formula>IF(ISBLANK(L161),FALSE,TRUE)</formula>
    </cfRule>
  </conditionalFormatting>
  <conditionalFormatting sqref="I142:I145">
    <cfRule type="expression" dxfId="929" priority="330">
      <formula>IF(ISBLANK(H142),FALSE,TRUE)</formula>
    </cfRule>
  </conditionalFormatting>
  <conditionalFormatting sqref="M148">
    <cfRule type="expression" dxfId="928" priority="319">
      <formula>IF(ISBLANK(L148),FALSE,TRUE)</formula>
    </cfRule>
  </conditionalFormatting>
  <conditionalFormatting sqref="I128:I130">
    <cfRule type="expression" dxfId="927" priority="350">
      <formula>IF(ISBLANK(H128),FALSE,TRUE)</formula>
    </cfRule>
  </conditionalFormatting>
  <conditionalFormatting sqref="I116">
    <cfRule type="expression" dxfId="926" priority="370">
      <formula>IF(ISBLANK(H116),FALSE,TRUE)</formula>
    </cfRule>
  </conditionalFormatting>
  <conditionalFormatting sqref="M116">
    <cfRule type="expression" dxfId="925" priority="369">
      <formula>IF(ISBLANK(L116),FALSE,TRUE)</formula>
    </cfRule>
  </conditionalFormatting>
  <conditionalFormatting sqref="M103">
    <cfRule type="expression" dxfId="924" priority="391">
      <formula>IF(ISBLANK(L103),FALSE,TRUE)</formula>
    </cfRule>
  </conditionalFormatting>
  <conditionalFormatting sqref="I103">
    <cfRule type="expression" dxfId="923" priority="390">
      <formula>IF(ISBLANK(H103),FALSE,TRUE)</formula>
    </cfRule>
  </conditionalFormatting>
  <conditionalFormatting sqref="I86">
    <cfRule type="expression" dxfId="922" priority="412">
      <formula>IF(ISBLANK(H86),FALSE,TRUE)</formula>
    </cfRule>
  </conditionalFormatting>
  <conditionalFormatting sqref="M72:M77">
    <cfRule type="expression" dxfId="921" priority="433">
      <formula>IF(ISBLANK(L72),FALSE,TRUE)</formula>
    </cfRule>
  </conditionalFormatting>
  <conditionalFormatting sqref="I72:I77">
    <cfRule type="expression" dxfId="920" priority="432">
      <formula>IF(ISBLANK(H72),FALSE,TRUE)</formula>
    </cfRule>
  </conditionalFormatting>
  <conditionalFormatting sqref="I57:I66">
    <cfRule type="expression" dxfId="919" priority="454">
      <formula>IF(ISBLANK(H57),FALSE,TRUE)</formula>
    </cfRule>
  </conditionalFormatting>
  <conditionalFormatting sqref="M69">
    <cfRule type="expression" dxfId="918" priority="443">
      <formula>IF(ISBLANK(L69),FALSE,TRUE)</formula>
    </cfRule>
  </conditionalFormatting>
  <conditionalFormatting sqref="M328">
    <cfRule type="expression" dxfId="917" priority="646">
      <formula>IF(ISBLANK(L328),FALSE,TRUE)</formula>
    </cfRule>
  </conditionalFormatting>
  <conditionalFormatting sqref="I328">
    <cfRule type="expression" dxfId="916" priority="645">
      <formula>IF(ISBLANK(H328),FALSE,TRUE)</formula>
    </cfRule>
  </conditionalFormatting>
  <conditionalFormatting sqref="M172:M175">
    <cfRule type="expression" dxfId="915" priority="283">
      <formula>IF(ISBLANK(L172),FALSE,TRUE)</formula>
    </cfRule>
  </conditionalFormatting>
  <conditionalFormatting sqref="I152:I160">
    <cfRule type="expression" dxfId="914" priority="306">
      <formula>IF(ISBLANK(H152),FALSE,TRUE)</formula>
    </cfRule>
  </conditionalFormatting>
  <conditionalFormatting sqref="I148">
    <cfRule type="expression" dxfId="913" priority="318">
      <formula>IF(ISBLANK(H148),FALSE,TRUE)</formula>
    </cfRule>
  </conditionalFormatting>
  <conditionalFormatting sqref="M142:M145">
    <cfRule type="expression" dxfId="912" priority="327">
      <formula>IF(ISBLANK(L142),FALSE,TRUE)</formula>
    </cfRule>
  </conditionalFormatting>
  <conditionalFormatting sqref="I133">
    <cfRule type="expression" dxfId="911" priority="340">
      <formula>IF(ISBLANK(H133),FALSE,TRUE)</formula>
    </cfRule>
  </conditionalFormatting>
  <conditionalFormatting sqref="M116">
    <cfRule type="expression" dxfId="910" priority="371">
      <formula>IF(ISBLANK(L116),FALSE,TRUE)</formula>
    </cfRule>
  </conditionalFormatting>
  <conditionalFormatting sqref="I101">
    <cfRule type="expression" dxfId="909" priority="394">
      <formula>IF(ISBLANK(H101),FALSE,TRUE)</formula>
    </cfRule>
  </conditionalFormatting>
  <conditionalFormatting sqref="M101">
    <cfRule type="expression" dxfId="908" priority="393">
      <formula>IF(ISBLANK(L101),FALSE,TRUE)</formula>
    </cfRule>
  </conditionalFormatting>
  <conditionalFormatting sqref="I84">
    <cfRule type="expression" dxfId="907" priority="416">
      <formula>IF(ISBLANK(H84),FALSE,TRUE)</formula>
    </cfRule>
  </conditionalFormatting>
  <conditionalFormatting sqref="M86">
    <cfRule type="expression" dxfId="906" priority="415">
      <formula>IF(ISBLANK(L86),FALSE,TRUE)</formula>
    </cfRule>
  </conditionalFormatting>
  <conditionalFormatting sqref="I71">
    <cfRule type="expression" dxfId="905" priority="438">
      <formula>IF(ISBLANK(H71),FALSE,TRUE)</formula>
    </cfRule>
  </conditionalFormatting>
  <conditionalFormatting sqref="M71">
    <cfRule type="expression" dxfId="904" priority="437">
      <formula>IF(ISBLANK(L71),FALSE,TRUE)</formula>
    </cfRule>
  </conditionalFormatting>
  <conditionalFormatting sqref="I56">
    <cfRule type="expression" dxfId="903" priority="460">
      <formula>IF(ISBLANK(H56),FALSE,TRUE)</formula>
    </cfRule>
  </conditionalFormatting>
  <conditionalFormatting sqref="I328">
    <cfRule type="expression" dxfId="902" priority="548">
      <formula>IF(ISBLANK(H328),FALSE,TRUE)</formula>
    </cfRule>
  </conditionalFormatting>
  <conditionalFormatting sqref="I239:I245">
    <cfRule type="expression" dxfId="901" priority="166">
      <formula>IF(ISBLANK(H239),FALSE,TRUE)</formula>
    </cfRule>
  </conditionalFormatting>
  <conditionalFormatting sqref="G239:G245">
    <cfRule type="expression" dxfId="900" priority="165">
      <formula>H239&lt;&gt;""</formula>
    </cfRule>
  </conditionalFormatting>
  <conditionalFormatting sqref="I251">
    <cfRule type="expression" dxfId="899" priority="154">
      <formula>IF(ISBLANK(H251),FALSE,TRUE)</formula>
    </cfRule>
  </conditionalFormatting>
  <conditionalFormatting sqref="M41:M47 I342:I355">
    <cfRule type="expression" dxfId="898" priority="591">
      <formula>IF(ISBLANK(H41),FALSE,TRUE)</formula>
    </cfRule>
  </conditionalFormatting>
  <conditionalFormatting sqref="I41:I47">
    <cfRule type="expression" dxfId="897" priority="590">
      <formula>IF(ISBLANK(H41),FALSE,TRUE)</formula>
    </cfRule>
  </conditionalFormatting>
  <conditionalFormatting sqref="M238">
    <cfRule type="expression" dxfId="896" priority="173">
      <formula>IF(ISBLANK(L238),FALSE,TRUE)</formula>
    </cfRule>
  </conditionalFormatting>
  <conditionalFormatting sqref="I238">
    <cfRule type="expression" dxfId="895" priority="172">
      <formula>IF(ISBLANK(H238),FALSE,TRUE)</formula>
    </cfRule>
  </conditionalFormatting>
  <conditionalFormatting sqref="M236">
    <cfRule type="expression" dxfId="894" priority="177">
      <formula>IF(ISBLANK(L236),FALSE,TRUE)</formula>
    </cfRule>
  </conditionalFormatting>
  <conditionalFormatting sqref="I236">
    <cfRule type="expression" dxfId="893" priority="176">
      <formula>IF(ISBLANK(H236),FALSE,TRUE)</formula>
    </cfRule>
  </conditionalFormatting>
  <conditionalFormatting sqref="M223">
    <cfRule type="expression" dxfId="892" priority="199">
      <formula>IF(ISBLANK(L223),FALSE,TRUE)</formula>
    </cfRule>
  </conditionalFormatting>
  <conditionalFormatting sqref="I223">
    <cfRule type="expression" dxfId="891" priority="198">
      <formula>IF(ISBLANK(H223),FALSE,TRUE)</formula>
    </cfRule>
  </conditionalFormatting>
  <conditionalFormatting sqref="M221">
    <cfRule type="expression" dxfId="890" priority="203">
      <formula>IF(ISBLANK(L221),FALSE,TRUE)</formula>
    </cfRule>
  </conditionalFormatting>
  <conditionalFormatting sqref="I221">
    <cfRule type="expression" dxfId="889" priority="202">
      <formula>IF(ISBLANK(H221),FALSE,TRUE)</formula>
    </cfRule>
  </conditionalFormatting>
  <conditionalFormatting sqref="M78:M83">
    <cfRule type="expression" dxfId="888" priority="427">
      <formula>IF(ISBLANK(L78),FALSE,TRUE)</formula>
    </cfRule>
  </conditionalFormatting>
  <conditionalFormatting sqref="M208">
    <cfRule type="expression" dxfId="887" priority="223">
      <formula>IF(ISBLANK(L208),FALSE,TRUE)</formula>
    </cfRule>
  </conditionalFormatting>
  <conditionalFormatting sqref="I208">
    <cfRule type="expression" dxfId="886" priority="222">
      <formula>IF(ISBLANK(H208),FALSE,TRUE)</formula>
    </cfRule>
  </conditionalFormatting>
  <conditionalFormatting sqref="M56">
    <cfRule type="expression" dxfId="885" priority="461">
      <formula>IF(ISBLANK(L56),FALSE,TRUE)</formula>
    </cfRule>
  </conditionalFormatting>
  <conditionalFormatting sqref="I67:I68">
    <cfRule type="expression" dxfId="884" priority="446">
      <formula>IF(ISBLANK(H67),FALSE,TRUE)</formula>
    </cfRule>
  </conditionalFormatting>
  <conditionalFormatting sqref="M179:M182">
    <cfRule type="expression" dxfId="883" priority="263">
      <formula>IF(ISBLANK(L179),FALSE,TRUE)</formula>
    </cfRule>
  </conditionalFormatting>
  <conditionalFormatting sqref="I176">
    <cfRule type="expression" dxfId="882" priority="272">
      <formula>IF(ISBLANK(H176),FALSE,TRUE)</formula>
    </cfRule>
  </conditionalFormatting>
  <conditionalFormatting sqref="I163">
    <cfRule type="expression" dxfId="881" priority="294">
      <formula>IF(ISBLANK(H163),FALSE,TRUE)</formula>
    </cfRule>
  </conditionalFormatting>
  <conditionalFormatting sqref="M163">
    <cfRule type="expression" dxfId="880" priority="293">
      <formula>IF(ISBLANK(L163),FALSE,TRUE)</formula>
    </cfRule>
  </conditionalFormatting>
  <conditionalFormatting sqref="I134:I141">
    <cfRule type="expression" dxfId="879" priority="336">
      <formula>IF(ISBLANK(H134),FALSE,TRUE)</formula>
    </cfRule>
  </conditionalFormatting>
  <conditionalFormatting sqref="M134:M141">
    <cfRule type="expression" dxfId="878" priority="335">
      <formula>IF(ISBLANK(L134),FALSE,TRUE)</formula>
    </cfRule>
  </conditionalFormatting>
  <conditionalFormatting sqref="M131">
    <cfRule type="expression" dxfId="877" priority="347">
      <formula>IF(ISBLANK(L131),FALSE,TRUE)</formula>
    </cfRule>
  </conditionalFormatting>
  <conditionalFormatting sqref="I131">
    <cfRule type="expression" dxfId="876" priority="346">
      <formula>IF(ISBLANK(H131),FALSE,TRUE)</formula>
    </cfRule>
  </conditionalFormatting>
  <conditionalFormatting sqref="I107:I115">
    <cfRule type="expression" dxfId="875" priority="378">
      <formula>IF(ISBLANK(H107),FALSE,TRUE)</formula>
    </cfRule>
  </conditionalFormatting>
  <conditionalFormatting sqref="M118">
    <cfRule type="expression" dxfId="874" priority="367">
      <formula>IF(ISBLANK(L118),FALSE,TRUE)</formula>
    </cfRule>
  </conditionalFormatting>
  <conditionalFormatting sqref="M99:M100">
    <cfRule type="expression" dxfId="873" priority="399">
      <formula>IF(ISBLANK(L99),FALSE,TRUE)</formula>
    </cfRule>
  </conditionalFormatting>
  <conditionalFormatting sqref="M328">
    <cfRule type="expression" dxfId="872" priority="549">
      <formula>IF(ISBLANK(L328),FALSE,TRUE)</formula>
    </cfRule>
  </conditionalFormatting>
  <conditionalFormatting sqref="M227:M235">
    <cfRule type="expression" dxfId="871" priority="187">
      <formula>IF(ISBLANK(L227),FALSE,TRUE)</formula>
    </cfRule>
  </conditionalFormatting>
  <conditionalFormatting sqref="I227:I235">
    <cfRule type="expression" dxfId="870" priority="186">
      <formula>IF(ISBLANK(H227),FALSE,TRUE)</formula>
    </cfRule>
  </conditionalFormatting>
  <conditionalFormatting sqref="M199:M205">
    <cfRule type="expression" dxfId="869" priority="231">
      <formula>IF(ISBLANK(L199),FALSE,TRUE)</formula>
    </cfRule>
  </conditionalFormatting>
  <conditionalFormatting sqref="I199:I205">
    <cfRule type="expression" dxfId="868" priority="230">
      <formula>IF(ISBLANK(H199),FALSE,TRUE)</formula>
    </cfRule>
  </conditionalFormatting>
  <conditionalFormatting sqref="M176">
    <cfRule type="expression" dxfId="867" priority="275">
      <formula>IF(ISBLANK(L176),FALSE,TRUE)</formula>
    </cfRule>
  </conditionalFormatting>
  <conditionalFormatting sqref="I179:I182">
    <cfRule type="expression" dxfId="866" priority="264">
      <formula>IF(ISBLANK(H179),FALSE,TRUE)</formula>
    </cfRule>
  </conditionalFormatting>
  <conditionalFormatting sqref="M161">
    <cfRule type="expression" dxfId="865" priority="297">
      <formula>IF(ISBLANK(L161),FALSE,TRUE)</formula>
    </cfRule>
  </conditionalFormatting>
  <conditionalFormatting sqref="I164:I171">
    <cfRule type="expression" dxfId="864" priority="286">
      <formula>IF(ISBLANK(H164),FALSE,TRUE)</formula>
    </cfRule>
  </conditionalFormatting>
  <conditionalFormatting sqref="M133">
    <cfRule type="expression" dxfId="863" priority="341">
      <formula>IF(ISBLANK(L133),FALSE,TRUE)</formula>
    </cfRule>
  </conditionalFormatting>
  <conditionalFormatting sqref="M104:M106">
    <cfRule type="expression" dxfId="862" priority="385">
      <formula>IF(ISBLANK(L104),FALSE,TRUE)</formula>
    </cfRule>
  </conditionalFormatting>
  <conditionalFormatting sqref="I104:I106">
    <cfRule type="expression" dxfId="861" priority="384">
      <formula>IF(ISBLANK(H104),FALSE,TRUE)</formula>
    </cfRule>
  </conditionalFormatting>
  <conditionalFormatting sqref="M87:M98">
    <cfRule type="expression" dxfId="860" priority="407">
      <formula>IF(ISBLANK(L87),FALSE,TRUE)</formula>
    </cfRule>
  </conditionalFormatting>
  <conditionalFormatting sqref="I87:I98">
    <cfRule type="expression" dxfId="859" priority="406">
      <formula>IF(ISBLANK(H87),FALSE,TRUE)</formula>
    </cfRule>
  </conditionalFormatting>
  <conditionalFormatting sqref="M84">
    <cfRule type="expression" dxfId="858" priority="419">
      <formula>IF(ISBLANK(L84),FALSE,TRUE)</formula>
    </cfRule>
  </conditionalFormatting>
  <conditionalFormatting sqref="I84">
    <cfRule type="expression" dxfId="857" priority="418">
      <formula>IF(ISBLANK(H84),FALSE,TRUE)</formula>
    </cfRule>
  </conditionalFormatting>
  <conditionalFormatting sqref="M67:M68">
    <cfRule type="expression" dxfId="856" priority="451">
      <formula>IF(ISBLANK(L67),FALSE,TRUE)</formula>
    </cfRule>
  </conditionalFormatting>
  <conditionalFormatting sqref="I67:I68">
    <cfRule type="expression" dxfId="855" priority="450">
      <formula>IF(ISBLANK(H67),FALSE,TRUE)</formula>
    </cfRule>
  </conditionalFormatting>
  <conditionalFormatting sqref="M56">
    <cfRule type="expression" dxfId="854" priority="463">
      <formula>IF(ISBLANK(L56),FALSE,TRUE)</formula>
    </cfRule>
  </conditionalFormatting>
  <conditionalFormatting sqref="I56">
    <cfRule type="expression" dxfId="853" priority="462">
      <formula>IF(ISBLANK(H56),FALSE,TRUE)</formula>
    </cfRule>
  </conditionalFormatting>
  <conditionalFormatting sqref="G41:G47">
    <cfRule type="expression" dxfId="852" priority="503">
      <formula>H41&lt;&gt;""</formula>
    </cfRule>
  </conditionalFormatting>
  <conditionalFormatting sqref="K41:K47">
    <cfRule type="expression" dxfId="851" priority="502">
      <formula>L41&lt;&gt;""</formula>
    </cfRule>
  </conditionalFormatting>
  <conditionalFormatting sqref="G193">
    <cfRule type="expression" dxfId="850" priority="243">
      <formula>H193&lt;&gt;""</formula>
    </cfRule>
  </conditionalFormatting>
  <conditionalFormatting sqref="K193">
    <cfRule type="expression" dxfId="849" priority="242">
      <formula>L193&lt;&gt;""</formula>
    </cfRule>
  </conditionalFormatting>
  <conditionalFormatting sqref="M269:M276">
    <cfRule type="expression" dxfId="848" priority="119">
      <formula>IF(ISBLANK(L269),FALSE,TRUE)</formula>
    </cfRule>
  </conditionalFormatting>
  <conditionalFormatting sqref="I269:I276">
    <cfRule type="expression" dxfId="847" priority="118">
      <formula>IF(ISBLANK(H269),FALSE,TRUE)</formula>
    </cfRule>
  </conditionalFormatting>
  <conditionalFormatting sqref="G283">
    <cfRule type="expression" dxfId="846" priority="99">
      <formula>H283&lt;&gt;""</formula>
    </cfRule>
  </conditionalFormatting>
  <conditionalFormatting sqref="K239:K245">
    <cfRule type="expression" dxfId="845" priority="164">
      <formula>L239&lt;&gt;""</formula>
    </cfRule>
  </conditionalFormatting>
  <conditionalFormatting sqref="G56">
    <cfRule type="expression" dxfId="844" priority="459">
      <formula>H56&lt;&gt;""</formula>
    </cfRule>
  </conditionalFormatting>
  <conditionalFormatting sqref="K56">
    <cfRule type="expression" dxfId="843" priority="458">
      <formula>L56&lt;&gt;""</formula>
    </cfRule>
  </conditionalFormatting>
  <conditionalFormatting sqref="M57:M66">
    <cfRule type="expression" dxfId="842" priority="457">
      <formula>IF(ISBLANK(L57),FALSE,TRUE)</formula>
    </cfRule>
  </conditionalFormatting>
  <conditionalFormatting sqref="I57:I66">
    <cfRule type="expression" dxfId="841" priority="456">
      <formula>IF(ISBLANK(H57),FALSE,TRUE)</formula>
    </cfRule>
  </conditionalFormatting>
  <conditionalFormatting sqref="M57:M66">
    <cfRule type="expression" dxfId="840" priority="455">
      <formula>IF(ISBLANK(L57),FALSE,TRUE)</formula>
    </cfRule>
  </conditionalFormatting>
  <conditionalFormatting sqref="G57:G66">
    <cfRule type="expression" dxfId="839" priority="453">
      <formula>H57&lt;&gt;""</formula>
    </cfRule>
  </conditionalFormatting>
  <conditionalFormatting sqref="K57:K66">
    <cfRule type="expression" dxfId="838" priority="452">
      <formula>L57&lt;&gt;""</formula>
    </cfRule>
  </conditionalFormatting>
  <conditionalFormatting sqref="M69">
    <cfRule type="expression" dxfId="837" priority="441">
      <formula>IF(ISBLANK(L69),FALSE,TRUE)</formula>
    </cfRule>
  </conditionalFormatting>
  <conditionalFormatting sqref="I69">
    <cfRule type="expression" dxfId="836" priority="440">
      <formula>IF(ISBLANK(H69),FALSE,TRUE)</formula>
    </cfRule>
  </conditionalFormatting>
  <conditionalFormatting sqref="M67:M68">
    <cfRule type="expression" dxfId="835" priority="447">
      <formula>IF(ISBLANK(L67),FALSE,TRUE)</formula>
    </cfRule>
  </conditionalFormatting>
  <conditionalFormatting sqref="I71">
    <cfRule type="expression" dxfId="834" priority="436">
      <formula>IF(ISBLANK(H71),FALSE,TRUE)</formula>
    </cfRule>
  </conditionalFormatting>
  <conditionalFormatting sqref="I69">
    <cfRule type="expression" dxfId="833" priority="442">
      <formula>IF(ISBLANK(H69),FALSE,TRUE)</formula>
    </cfRule>
  </conditionalFormatting>
  <conditionalFormatting sqref="M71">
    <cfRule type="expression" dxfId="832" priority="439">
      <formula>IF(ISBLANK(L71),FALSE,TRUE)</formula>
    </cfRule>
  </conditionalFormatting>
  <conditionalFormatting sqref="G71">
    <cfRule type="expression" dxfId="831" priority="435">
      <formula>H71&lt;&gt;""</formula>
    </cfRule>
  </conditionalFormatting>
  <conditionalFormatting sqref="K71">
    <cfRule type="expression" dxfId="830" priority="434">
      <formula>L71&lt;&gt;""</formula>
    </cfRule>
  </conditionalFormatting>
  <conditionalFormatting sqref="M78:M83">
    <cfRule type="expression" dxfId="829" priority="423">
      <formula>IF(ISBLANK(L78),FALSE,TRUE)</formula>
    </cfRule>
  </conditionalFormatting>
  <conditionalFormatting sqref="I78:I83">
    <cfRule type="expression" dxfId="828" priority="422">
      <formula>IF(ISBLANK(H78),FALSE,TRUE)</formula>
    </cfRule>
  </conditionalFormatting>
  <conditionalFormatting sqref="M72:M77">
    <cfRule type="expression" dxfId="827" priority="431">
      <formula>IF(ISBLANK(L72),FALSE,TRUE)</formula>
    </cfRule>
  </conditionalFormatting>
  <conditionalFormatting sqref="I72:I77">
    <cfRule type="expression" dxfId="826" priority="430">
      <formula>IF(ISBLANK(H72),FALSE,TRUE)</formula>
    </cfRule>
  </conditionalFormatting>
  <conditionalFormatting sqref="G72:G77">
    <cfRule type="expression" dxfId="825" priority="429">
      <formula>H72&lt;&gt;""</formula>
    </cfRule>
  </conditionalFormatting>
  <conditionalFormatting sqref="K72:K77">
    <cfRule type="expression" dxfId="824" priority="428">
      <formula>L72&lt;&gt;""</formula>
    </cfRule>
  </conditionalFormatting>
  <conditionalFormatting sqref="M84">
    <cfRule type="expression" dxfId="823" priority="417">
      <formula>IF(ISBLANK(L84),FALSE,TRUE)</formula>
    </cfRule>
  </conditionalFormatting>
  <conditionalFormatting sqref="I78:I83">
    <cfRule type="expression" dxfId="822" priority="426">
      <formula>IF(ISBLANK(H78),FALSE,TRUE)</formula>
    </cfRule>
  </conditionalFormatting>
  <conditionalFormatting sqref="I86">
    <cfRule type="expression" dxfId="821" priority="414">
      <formula>IF(ISBLANK(H86),FALSE,TRUE)</formula>
    </cfRule>
  </conditionalFormatting>
  <conditionalFormatting sqref="M86">
    <cfRule type="expression" dxfId="820" priority="413">
      <formula>IF(ISBLANK(L86),FALSE,TRUE)</formula>
    </cfRule>
  </conditionalFormatting>
  <conditionalFormatting sqref="I99:I100">
    <cfRule type="expression" dxfId="819" priority="402">
      <formula>IF(ISBLANK(H99),FALSE,TRUE)</formula>
    </cfRule>
  </conditionalFormatting>
  <conditionalFormatting sqref="G86">
    <cfRule type="expression" dxfId="818" priority="411">
      <formula>H86&lt;&gt;""</formula>
    </cfRule>
  </conditionalFormatting>
  <conditionalFormatting sqref="K86">
    <cfRule type="expression" dxfId="817" priority="410">
      <formula>L86&lt;&gt;""</formula>
    </cfRule>
  </conditionalFormatting>
  <conditionalFormatting sqref="M87:M98">
    <cfRule type="expression" dxfId="816" priority="409">
      <formula>IF(ISBLANK(L87),FALSE,TRUE)</formula>
    </cfRule>
  </conditionalFormatting>
  <conditionalFormatting sqref="I87:I98">
    <cfRule type="expression" dxfId="815" priority="408">
      <formula>IF(ISBLANK(H87),FALSE,TRUE)</formula>
    </cfRule>
  </conditionalFormatting>
  <conditionalFormatting sqref="G87:G98">
    <cfRule type="expression" dxfId="814" priority="405">
      <formula>H87&lt;&gt;""</formula>
    </cfRule>
  </conditionalFormatting>
  <conditionalFormatting sqref="K87:K98">
    <cfRule type="expression" dxfId="813" priority="404">
      <formula>L87&lt;&gt;""</formula>
    </cfRule>
  </conditionalFormatting>
  <conditionalFormatting sqref="M99:M100">
    <cfRule type="expression" dxfId="812" priority="403">
      <formula>IF(ISBLANK(L99),FALSE,TRUE)</formula>
    </cfRule>
  </conditionalFormatting>
  <conditionalFormatting sqref="M103">
    <cfRule type="expression" dxfId="811" priority="389">
      <formula>IF(ISBLANK(L103),FALSE,TRUE)</formula>
    </cfRule>
  </conditionalFormatting>
  <conditionalFormatting sqref="I99:I100">
    <cfRule type="expression" dxfId="810" priority="398">
      <formula>IF(ISBLANK(H99),FALSE,TRUE)</formula>
    </cfRule>
  </conditionalFormatting>
  <conditionalFormatting sqref="M101">
    <cfRule type="expression" dxfId="809" priority="395">
      <formula>IF(ISBLANK(L101),FALSE,TRUE)</formula>
    </cfRule>
  </conditionalFormatting>
  <conditionalFormatting sqref="M104:M106">
    <cfRule type="expression" dxfId="808" priority="383">
      <formula>IF(ISBLANK(L104),FALSE,TRUE)</formula>
    </cfRule>
  </conditionalFormatting>
  <conditionalFormatting sqref="I101">
    <cfRule type="expression" dxfId="807" priority="392">
      <formula>IF(ISBLANK(H101),FALSE,TRUE)</formula>
    </cfRule>
  </conditionalFormatting>
  <conditionalFormatting sqref="I103">
    <cfRule type="expression" dxfId="806" priority="388">
      <formula>IF(ISBLANK(H103),FALSE,TRUE)</formula>
    </cfRule>
  </conditionalFormatting>
  <conditionalFormatting sqref="G103">
    <cfRule type="expression" dxfId="805" priority="387">
      <formula>H103&lt;&gt;""</formula>
    </cfRule>
  </conditionalFormatting>
  <conditionalFormatting sqref="K103">
    <cfRule type="expression" dxfId="804" priority="386">
      <formula>L103&lt;&gt;""</formula>
    </cfRule>
  </conditionalFormatting>
  <conditionalFormatting sqref="M107:M115">
    <cfRule type="expression" dxfId="803" priority="375">
      <formula>IF(ISBLANK(L107),FALSE,TRUE)</formula>
    </cfRule>
  </conditionalFormatting>
  <conditionalFormatting sqref="I107:I115">
    <cfRule type="expression" dxfId="802" priority="374">
      <formula>IF(ISBLANK(H107),FALSE,TRUE)</formula>
    </cfRule>
  </conditionalFormatting>
  <conditionalFormatting sqref="I104:I106">
    <cfRule type="expression" dxfId="801" priority="382">
      <formula>IF(ISBLANK(H104),FALSE,TRUE)</formula>
    </cfRule>
  </conditionalFormatting>
  <conditionalFormatting sqref="G104:G106">
    <cfRule type="expression" dxfId="800" priority="381">
      <formula>H104&lt;&gt;""</formula>
    </cfRule>
  </conditionalFormatting>
  <conditionalFormatting sqref="K104:K106">
    <cfRule type="expression" dxfId="799" priority="380">
      <formula>L104&lt;&gt;""</formula>
    </cfRule>
  </conditionalFormatting>
  <conditionalFormatting sqref="M107:M115">
    <cfRule type="expression" dxfId="798" priority="379">
      <formula>IF(ISBLANK(L107),FALSE,TRUE)</formula>
    </cfRule>
  </conditionalFormatting>
  <conditionalFormatting sqref="I116">
    <cfRule type="expression" dxfId="797" priority="368">
      <formula>IF(ISBLANK(H116),FALSE,TRUE)</formula>
    </cfRule>
  </conditionalFormatting>
  <conditionalFormatting sqref="M119:M127">
    <cfRule type="expression" dxfId="796" priority="361">
      <formula>IF(ISBLANK(L119),FALSE,TRUE)</formula>
    </cfRule>
  </conditionalFormatting>
  <conditionalFormatting sqref="I119:I127">
    <cfRule type="expression" dxfId="795" priority="360">
      <formula>IF(ISBLANK(H119),FALSE,TRUE)</formula>
    </cfRule>
  </conditionalFormatting>
  <conditionalFormatting sqref="M119:M127">
    <cfRule type="expression" dxfId="794" priority="359">
      <formula>IF(ISBLANK(L119),FALSE,TRUE)</formula>
    </cfRule>
  </conditionalFormatting>
  <conditionalFormatting sqref="I118">
    <cfRule type="expression" dxfId="793" priority="366">
      <formula>IF(ISBLANK(H118),FALSE,TRUE)</formula>
    </cfRule>
  </conditionalFormatting>
  <conditionalFormatting sqref="M118">
    <cfRule type="expression" dxfId="792" priority="365">
      <formula>IF(ISBLANK(L118),FALSE,TRUE)</formula>
    </cfRule>
  </conditionalFormatting>
  <conditionalFormatting sqref="I118">
    <cfRule type="expression" dxfId="791" priority="364">
      <formula>IF(ISBLANK(H118),FALSE,TRUE)</formula>
    </cfRule>
  </conditionalFormatting>
  <conditionalFormatting sqref="G118">
    <cfRule type="expression" dxfId="790" priority="363">
      <formula>H118&lt;&gt;""</formula>
    </cfRule>
  </conditionalFormatting>
  <conditionalFormatting sqref="K118">
    <cfRule type="expression" dxfId="789" priority="362">
      <formula>L118&lt;&gt;""</formula>
    </cfRule>
  </conditionalFormatting>
  <conditionalFormatting sqref="I119:I127">
    <cfRule type="expression" dxfId="788" priority="358">
      <formula>IF(ISBLANK(H119),FALSE,TRUE)</formula>
    </cfRule>
  </conditionalFormatting>
  <conditionalFormatting sqref="G119:G127">
    <cfRule type="expression" dxfId="787" priority="357">
      <formula>H119&lt;&gt;""</formula>
    </cfRule>
  </conditionalFormatting>
  <conditionalFormatting sqref="K119:K127">
    <cfRule type="expression" dxfId="786" priority="356">
      <formula>L119&lt;&gt;""</formula>
    </cfRule>
  </conditionalFormatting>
  <conditionalFormatting sqref="M128:M130">
    <cfRule type="expression" dxfId="785" priority="355">
      <formula>IF(ISBLANK(L128),FALSE,TRUE)</formula>
    </cfRule>
  </conditionalFormatting>
  <conditionalFormatting sqref="I128:I130">
    <cfRule type="expression" dxfId="784" priority="354">
      <formula>IF(ISBLANK(H128),FALSE,TRUE)</formula>
    </cfRule>
  </conditionalFormatting>
  <conditionalFormatting sqref="M128:M130">
    <cfRule type="expression" dxfId="783" priority="351">
      <formula>IF(ISBLANK(L128),FALSE,TRUE)</formula>
    </cfRule>
  </conditionalFormatting>
  <conditionalFormatting sqref="M131">
    <cfRule type="expression" dxfId="782" priority="345">
      <formula>IF(ISBLANK(L131),FALSE,TRUE)</formula>
    </cfRule>
  </conditionalFormatting>
  <conditionalFormatting sqref="I131">
    <cfRule type="expression" dxfId="781" priority="344">
      <formula>IF(ISBLANK(H131),FALSE,TRUE)</formula>
    </cfRule>
  </conditionalFormatting>
  <conditionalFormatting sqref="M133">
    <cfRule type="expression" dxfId="780" priority="343">
      <formula>IF(ISBLANK(L133),FALSE,TRUE)</formula>
    </cfRule>
  </conditionalFormatting>
  <conditionalFormatting sqref="I133">
    <cfRule type="expression" dxfId="779" priority="342">
      <formula>IF(ISBLANK(H133),FALSE,TRUE)</formula>
    </cfRule>
  </conditionalFormatting>
  <conditionalFormatting sqref="M142:M145">
    <cfRule type="expression" dxfId="778" priority="331">
      <formula>IF(ISBLANK(L142),FALSE,TRUE)</formula>
    </cfRule>
  </conditionalFormatting>
  <conditionalFormatting sqref="G133">
    <cfRule type="expression" dxfId="777" priority="339">
      <formula>H133&lt;&gt;""</formula>
    </cfRule>
  </conditionalFormatting>
  <conditionalFormatting sqref="K133">
    <cfRule type="expression" dxfId="776" priority="338">
      <formula>L133&lt;&gt;""</formula>
    </cfRule>
  </conditionalFormatting>
  <conditionalFormatting sqref="M134:M141">
    <cfRule type="expression" dxfId="775" priority="337">
      <formula>IF(ISBLANK(L134),FALSE,TRUE)</formula>
    </cfRule>
  </conditionalFormatting>
  <conditionalFormatting sqref="I142:I145">
    <cfRule type="expression" dxfId="774" priority="326">
      <formula>IF(ISBLANK(H142),FALSE,TRUE)</formula>
    </cfRule>
  </conditionalFormatting>
  <conditionalFormatting sqref="I134:I141">
    <cfRule type="expression" dxfId="773" priority="334">
      <formula>IF(ISBLANK(H134),FALSE,TRUE)</formula>
    </cfRule>
  </conditionalFormatting>
  <conditionalFormatting sqref="G134:G141">
    <cfRule type="expression" dxfId="772" priority="333">
      <formula>H134&lt;&gt;""</formula>
    </cfRule>
  </conditionalFormatting>
  <conditionalFormatting sqref="K134:K141">
    <cfRule type="expression" dxfId="771" priority="332">
      <formula>L134&lt;&gt;""</formula>
    </cfRule>
  </conditionalFormatting>
  <conditionalFormatting sqref="I146">
    <cfRule type="expression" dxfId="770" priority="320">
      <formula>IF(ISBLANK(H146),FALSE,TRUE)</formula>
    </cfRule>
  </conditionalFormatting>
  <conditionalFormatting sqref="M148">
    <cfRule type="expression" dxfId="769" priority="317">
      <formula>IF(ISBLANK(L148),FALSE,TRUE)</formula>
    </cfRule>
  </conditionalFormatting>
  <conditionalFormatting sqref="M146">
    <cfRule type="expression" dxfId="768" priority="323">
      <formula>IF(ISBLANK(L146),FALSE,TRUE)</formula>
    </cfRule>
  </conditionalFormatting>
  <conditionalFormatting sqref="I146">
    <cfRule type="expression" dxfId="767" priority="322">
      <formula>IF(ISBLANK(H146),FALSE,TRUE)</formula>
    </cfRule>
  </conditionalFormatting>
  <conditionalFormatting sqref="M146">
    <cfRule type="expression" dxfId="766" priority="321">
      <formula>IF(ISBLANK(L146),FALSE,TRUE)</formula>
    </cfRule>
  </conditionalFormatting>
  <conditionalFormatting sqref="I148">
    <cfRule type="expression" dxfId="765" priority="316">
      <formula>IF(ISBLANK(H148),FALSE,TRUE)</formula>
    </cfRule>
  </conditionalFormatting>
  <conditionalFormatting sqref="G148">
    <cfRule type="expression" dxfId="764" priority="315">
      <formula>H148&lt;&gt;""</formula>
    </cfRule>
  </conditionalFormatting>
  <conditionalFormatting sqref="K148">
    <cfRule type="expression" dxfId="763" priority="314">
      <formula>L148&lt;&gt;""</formula>
    </cfRule>
  </conditionalFormatting>
  <conditionalFormatting sqref="M149:M151">
    <cfRule type="expression" dxfId="762" priority="313">
      <formula>IF(ISBLANK(L149),FALSE,TRUE)</formula>
    </cfRule>
  </conditionalFormatting>
  <conditionalFormatting sqref="I149:I151">
    <cfRule type="expression" dxfId="761" priority="312">
      <formula>IF(ISBLANK(H149),FALSE,TRUE)</formula>
    </cfRule>
  </conditionalFormatting>
  <conditionalFormatting sqref="M149:M151">
    <cfRule type="expression" dxfId="760" priority="311">
      <formula>IF(ISBLANK(L149),FALSE,TRUE)</formula>
    </cfRule>
  </conditionalFormatting>
  <conditionalFormatting sqref="G149:G151">
    <cfRule type="expression" dxfId="759" priority="309">
      <formula>H149&lt;&gt;""</formula>
    </cfRule>
  </conditionalFormatting>
  <conditionalFormatting sqref="K149:K151">
    <cfRule type="expression" dxfId="758" priority="308">
      <formula>L149&lt;&gt;""</formula>
    </cfRule>
  </conditionalFormatting>
  <conditionalFormatting sqref="M152:M160">
    <cfRule type="expression" dxfId="757" priority="307">
      <formula>IF(ISBLANK(L152),FALSE,TRUE)</formula>
    </cfRule>
  </conditionalFormatting>
  <conditionalFormatting sqref="M152:M160">
    <cfRule type="expression" dxfId="756" priority="303">
      <formula>IF(ISBLANK(L152),FALSE,TRUE)</formula>
    </cfRule>
  </conditionalFormatting>
  <conditionalFormatting sqref="I152:I160">
    <cfRule type="expression" dxfId="755" priority="302">
      <formula>IF(ISBLANK(H152),FALSE,TRUE)</formula>
    </cfRule>
  </conditionalFormatting>
  <conditionalFormatting sqref="I161">
    <cfRule type="expression" dxfId="754" priority="298">
      <formula>IF(ISBLANK(H161),FALSE,TRUE)</formula>
    </cfRule>
  </conditionalFormatting>
  <conditionalFormatting sqref="M164:M171">
    <cfRule type="expression" dxfId="753" priority="287">
      <formula>IF(ISBLANK(L164),FALSE,TRUE)</formula>
    </cfRule>
  </conditionalFormatting>
  <conditionalFormatting sqref="I172:I175">
    <cfRule type="expression" dxfId="752" priority="282">
      <formula>IF(ISBLANK(H172),FALSE,TRUE)</formula>
    </cfRule>
  </conditionalFormatting>
  <conditionalFormatting sqref="G163">
    <cfRule type="expression" dxfId="751" priority="291">
      <formula>H163&lt;&gt;""</formula>
    </cfRule>
  </conditionalFormatting>
  <conditionalFormatting sqref="K163">
    <cfRule type="expression" dxfId="750" priority="290">
      <formula>L163&lt;&gt;""</formula>
    </cfRule>
  </conditionalFormatting>
  <conditionalFormatting sqref="M164:M171">
    <cfRule type="expression" dxfId="749" priority="289">
      <formula>IF(ISBLANK(L164),FALSE,TRUE)</formula>
    </cfRule>
  </conditionalFormatting>
  <conditionalFormatting sqref="I164:I171">
    <cfRule type="expression" dxfId="748" priority="288">
      <formula>IF(ISBLANK(H164),FALSE,TRUE)</formula>
    </cfRule>
  </conditionalFormatting>
  <conditionalFormatting sqref="G164:G171">
    <cfRule type="expression" dxfId="747" priority="285">
      <formula>H164&lt;&gt;""</formula>
    </cfRule>
  </conditionalFormatting>
  <conditionalFormatting sqref="K164:K171">
    <cfRule type="expression" dxfId="746" priority="284">
      <formula>L164&lt;&gt;""</formula>
    </cfRule>
  </conditionalFormatting>
  <conditionalFormatting sqref="M172:M175">
    <cfRule type="expression" dxfId="745" priority="279">
      <formula>IF(ISBLANK(L172),FALSE,TRUE)</formula>
    </cfRule>
  </conditionalFormatting>
  <conditionalFormatting sqref="I172:I175">
    <cfRule type="expression" dxfId="744" priority="278">
      <formula>IF(ISBLANK(H172),FALSE,TRUE)</formula>
    </cfRule>
  </conditionalFormatting>
  <conditionalFormatting sqref="M179:M182">
    <cfRule type="expression" dxfId="743" priority="265">
      <formula>IF(ISBLANK(L179),FALSE,TRUE)</formula>
    </cfRule>
  </conditionalFormatting>
  <conditionalFormatting sqref="I179:I182">
    <cfRule type="expression" dxfId="742" priority="262">
      <formula>IF(ISBLANK(H179),FALSE,TRUE)</formula>
    </cfRule>
  </conditionalFormatting>
  <conditionalFormatting sqref="M178">
    <cfRule type="expression" dxfId="741" priority="271">
      <formula>IF(ISBLANK(L178),FALSE,TRUE)</formula>
    </cfRule>
  </conditionalFormatting>
  <conditionalFormatting sqref="M183:M190">
    <cfRule type="expression" dxfId="740" priority="259">
      <formula>IF(ISBLANK(L183),FALSE,TRUE)</formula>
    </cfRule>
  </conditionalFormatting>
  <conditionalFormatting sqref="I178">
    <cfRule type="expression" dxfId="739" priority="268">
      <formula>IF(ISBLANK(H178),FALSE,TRUE)</formula>
    </cfRule>
  </conditionalFormatting>
  <conditionalFormatting sqref="G178">
    <cfRule type="expression" dxfId="738" priority="267">
      <formula>H178&lt;&gt;""</formula>
    </cfRule>
  </conditionalFormatting>
  <conditionalFormatting sqref="K178">
    <cfRule type="expression" dxfId="737" priority="266">
      <formula>L178&lt;&gt;""</formula>
    </cfRule>
  </conditionalFormatting>
  <conditionalFormatting sqref="G179:G182">
    <cfRule type="expression" dxfId="736" priority="261">
      <formula>H179&lt;&gt;""</formula>
    </cfRule>
  </conditionalFormatting>
  <conditionalFormatting sqref="K179:K182">
    <cfRule type="expression" dxfId="735" priority="260">
      <formula>L179&lt;&gt;""</formula>
    </cfRule>
  </conditionalFormatting>
  <conditionalFormatting sqref="I183:I190">
    <cfRule type="expression" dxfId="734" priority="258">
      <formula>IF(ISBLANK(H183),FALSE,TRUE)</formula>
    </cfRule>
  </conditionalFormatting>
  <conditionalFormatting sqref="M183:M190">
    <cfRule type="expression" dxfId="733" priority="255">
      <formula>IF(ISBLANK(L183),FALSE,TRUE)</formula>
    </cfRule>
  </conditionalFormatting>
  <conditionalFormatting sqref="I183:I190">
    <cfRule type="expression" dxfId="732" priority="254">
      <formula>IF(ISBLANK(H183),FALSE,TRUE)</formula>
    </cfRule>
  </conditionalFormatting>
  <conditionalFormatting sqref="M191">
    <cfRule type="expression" dxfId="731" priority="251">
      <formula>IF(ISBLANK(L191),FALSE,TRUE)</formula>
    </cfRule>
  </conditionalFormatting>
  <conditionalFormatting sqref="I191">
    <cfRule type="expression" dxfId="730" priority="250">
      <formula>IF(ISBLANK(H191),FALSE,TRUE)</formula>
    </cfRule>
  </conditionalFormatting>
  <conditionalFormatting sqref="M191">
    <cfRule type="expression" dxfId="729" priority="249">
      <formula>IF(ISBLANK(L191),FALSE,TRUE)</formula>
    </cfRule>
  </conditionalFormatting>
  <conditionalFormatting sqref="I191">
    <cfRule type="expression" dxfId="728" priority="248">
      <formula>IF(ISBLANK(H191),FALSE,TRUE)</formula>
    </cfRule>
  </conditionalFormatting>
  <conditionalFormatting sqref="M193">
    <cfRule type="expression" dxfId="727" priority="247">
      <formula>IF(ISBLANK(L193),FALSE,TRUE)</formula>
    </cfRule>
  </conditionalFormatting>
  <conditionalFormatting sqref="I193">
    <cfRule type="expression" dxfId="726" priority="246">
      <formula>IF(ISBLANK(H193),FALSE,TRUE)</formula>
    </cfRule>
  </conditionalFormatting>
  <conditionalFormatting sqref="M193">
    <cfRule type="expression" dxfId="725" priority="245">
      <formula>IF(ISBLANK(L193),FALSE,TRUE)</formula>
    </cfRule>
  </conditionalFormatting>
  <conditionalFormatting sqref="I193">
    <cfRule type="expression" dxfId="724" priority="244">
      <formula>IF(ISBLANK(H193),FALSE,TRUE)</formula>
    </cfRule>
  </conditionalFormatting>
  <conditionalFormatting sqref="M194:M198">
    <cfRule type="expression" dxfId="723" priority="241">
      <formula>IF(ISBLANK(L194),FALSE,TRUE)</formula>
    </cfRule>
  </conditionalFormatting>
  <conditionalFormatting sqref="I194:I198">
    <cfRule type="expression" dxfId="722" priority="240">
      <formula>IF(ISBLANK(H194),FALSE,TRUE)</formula>
    </cfRule>
  </conditionalFormatting>
  <conditionalFormatting sqref="M194:M198">
    <cfRule type="expression" dxfId="721" priority="239">
      <formula>IF(ISBLANK(L194),FALSE,TRUE)</formula>
    </cfRule>
  </conditionalFormatting>
  <conditionalFormatting sqref="I194:I198">
    <cfRule type="expression" dxfId="720" priority="238">
      <formula>IF(ISBLANK(H194),FALSE,TRUE)</formula>
    </cfRule>
  </conditionalFormatting>
  <conditionalFormatting sqref="G194:G198">
    <cfRule type="expression" dxfId="719" priority="237">
      <formula>H194&lt;&gt;""</formula>
    </cfRule>
  </conditionalFormatting>
  <conditionalFormatting sqref="K194:K198">
    <cfRule type="expression" dxfId="718" priority="236">
      <formula>L194&lt;&gt;""</formula>
    </cfRule>
  </conditionalFormatting>
  <conditionalFormatting sqref="M199:M205">
    <cfRule type="expression" dxfId="717" priority="235">
      <formula>IF(ISBLANK(L199),FALSE,TRUE)</formula>
    </cfRule>
  </conditionalFormatting>
  <conditionalFormatting sqref="I199:I205">
    <cfRule type="expression" dxfId="716" priority="234">
      <formula>IF(ISBLANK(H199),FALSE,TRUE)</formula>
    </cfRule>
  </conditionalFormatting>
  <conditionalFormatting sqref="M208">
    <cfRule type="expression" dxfId="715" priority="221">
      <formula>IF(ISBLANK(L208),FALSE,TRUE)</formula>
    </cfRule>
  </conditionalFormatting>
  <conditionalFormatting sqref="I208">
    <cfRule type="expression" dxfId="714" priority="220">
      <formula>IF(ISBLANK(H208),FALSE,TRUE)</formula>
    </cfRule>
  </conditionalFormatting>
  <conditionalFormatting sqref="M206">
    <cfRule type="expression" dxfId="713" priority="227">
      <formula>IF(ISBLANK(L206),FALSE,TRUE)</formula>
    </cfRule>
  </conditionalFormatting>
  <conditionalFormatting sqref="I206">
    <cfRule type="expression" dxfId="712" priority="226">
      <formula>IF(ISBLANK(H206),FALSE,TRUE)</formula>
    </cfRule>
  </conditionalFormatting>
  <conditionalFormatting sqref="M206">
    <cfRule type="expression" dxfId="711" priority="225">
      <formula>IF(ISBLANK(L206),FALSE,TRUE)</formula>
    </cfRule>
  </conditionalFormatting>
  <conditionalFormatting sqref="I206">
    <cfRule type="expression" dxfId="710" priority="224">
      <formula>IF(ISBLANK(H206),FALSE,TRUE)</formula>
    </cfRule>
  </conditionalFormatting>
  <conditionalFormatting sqref="G208">
    <cfRule type="expression" dxfId="709" priority="219">
      <formula>H208&lt;&gt;""</formula>
    </cfRule>
  </conditionalFormatting>
  <conditionalFormatting sqref="K208">
    <cfRule type="expression" dxfId="708" priority="218">
      <formula>L208&lt;&gt;""</formula>
    </cfRule>
  </conditionalFormatting>
  <conditionalFormatting sqref="M209:M212">
    <cfRule type="expression" dxfId="707" priority="217">
      <formula>IF(ISBLANK(L209),FALSE,TRUE)</formula>
    </cfRule>
  </conditionalFormatting>
  <conditionalFormatting sqref="I209:I212">
    <cfRule type="expression" dxfId="706" priority="216">
      <formula>IF(ISBLANK(H209),FALSE,TRUE)</formula>
    </cfRule>
  </conditionalFormatting>
  <conditionalFormatting sqref="M209:M212">
    <cfRule type="expression" dxfId="705" priority="215">
      <formula>IF(ISBLANK(L209),FALSE,TRUE)</formula>
    </cfRule>
  </conditionalFormatting>
  <conditionalFormatting sqref="I209:I212">
    <cfRule type="expression" dxfId="704" priority="214">
      <formula>IF(ISBLANK(H209),FALSE,TRUE)</formula>
    </cfRule>
  </conditionalFormatting>
  <conditionalFormatting sqref="G209:G212">
    <cfRule type="expression" dxfId="703" priority="213">
      <formula>H209&lt;&gt;""</formula>
    </cfRule>
  </conditionalFormatting>
  <conditionalFormatting sqref="K209:K212">
    <cfRule type="expression" dxfId="702" priority="212">
      <formula>L209&lt;&gt;""</formula>
    </cfRule>
  </conditionalFormatting>
  <conditionalFormatting sqref="M213:M220">
    <cfRule type="expression" dxfId="701" priority="211">
      <formula>IF(ISBLANK(L213),FALSE,TRUE)</formula>
    </cfRule>
  </conditionalFormatting>
  <conditionalFormatting sqref="I213:I220">
    <cfRule type="expression" dxfId="700" priority="210">
      <formula>IF(ISBLANK(H213),FALSE,TRUE)</formula>
    </cfRule>
  </conditionalFormatting>
  <conditionalFormatting sqref="M213:M220">
    <cfRule type="expression" dxfId="699" priority="207">
      <formula>IF(ISBLANK(L213),FALSE,TRUE)</formula>
    </cfRule>
  </conditionalFormatting>
  <conditionalFormatting sqref="I213:I220">
    <cfRule type="expression" dxfId="698" priority="206">
      <formula>IF(ISBLANK(H213),FALSE,TRUE)</formula>
    </cfRule>
  </conditionalFormatting>
  <conditionalFormatting sqref="M221">
    <cfRule type="expression" dxfId="697" priority="201">
      <formula>IF(ISBLANK(L221),FALSE,TRUE)</formula>
    </cfRule>
  </conditionalFormatting>
  <conditionalFormatting sqref="I221">
    <cfRule type="expression" dxfId="696" priority="200">
      <formula>IF(ISBLANK(H221),FALSE,TRUE)</formula>
    </cfRule>
  </conditionalFormatting>
  <conditionalFormatting sqref="M223">
    <cfRule type="expression" dxfId="695" priority="197">
      <formula>IF(ISBLANK(L223),FALSE,TRUE)</formula>
    </cfRule>
  </conditionalFormatting>
  <conditionalFormatting sqref="I223">
    <cfRule type="expression" dxfId="694" priority="196">
      <formula>IF(ISBLANK(H223),FALSE,TRUE)</formula>
    </cfRule>
  </conditionalFormatting>
  <conditionalFormatting sqref="G223">
    <cfRule type="expression" dxfId="693" priority="195">
      <formula>H223&lt;&gt;""</formula>
    </cfRule>
  </conditionalFormatting>
  <conditionalFormatting sqref="K223">
    <cfRule type="expression" dxfId="692" priority="194">
      <formula>L223&lt;&gt;""</formula>
    </cfRule>
  </conditionalFormatting>
  <conditionalFormatting sqref="M224:M226">
    <cfRule type="expression" dxfId="691" priority="193">
      <formula>IF(ISBLANK(L224),FALSE,TRUE)</formula>
    </cfRule>
  </conditionalFormatting>
  <conditionalFormatting sqref="I224:I226">
    <cfRule type="expression" dxfId="690" priority="192">
      <formula>IF(ISBLANK(H224),FALSE,TRUE)</formula>
    </cfRule>
  </conditionalFormatting>
  <conditionalFormatting sqref="M224:M226">
    <cfRule type="expression" dxfId="689" priority="191">
      <formula>IF(ISBLANK(L224),FALSE,TRUE)</formula>
    </cfRule>
  </conditionalFormatting>
  <conditionalFormatting sqref="I224:I226">
    <cfRule type="expression" dxfId="688" priority="190">
      <formula>IF(ISBLANK(H224),FALSE,TRUE)</formula>
    </cfRule>
  </conditionalFormatting>
  <conditionalFormatting sqref="G224:G226">
    <cfRule type="expression" dxfId="687" priority="189">
      <formula>H224&lt;&gt;""</formula>
    </cfRule>
  </conditionalFormatting>
  <conditionalFormatting sqref="K224:K226">
    <cfRule type="expression" dxfId="686" priority="188">
      <formula>L224&lt;&gt;""</formula>
    </cfRule>
  </conditionalFormatting>
  <conditionalFormatting sqref="M227:M235">
    <cfRule type="expression" dxfId="685" priority="183">
      <formula>IF(ISBLANK(L227),FALSE,TRUE)</formula>
    </cfRule>
  </conditionalFormatting>
  <conditionalFormatting sqref="I227:I235">
    <cfRule type="expression" dxfId="684" priority="182">
      <formula>IF(ISBLANK(H227),FALSE,TRUE)</formula>
    </cfRule>
  </conditionalFormatting>
  <conditionalFormatting sqref="M236">
    <cfRule type="expression" dxfId="683" priority="179">
      <formula>IF(ISBLANK(L236),FALSE,TRUE)</formula>
    </cfRule>
  </conditionalFormatting>
  <conditionalFormatting sqref="I236">
    <cfRule type="expression" dxfId="682" priority="178">
      <formula>IF(ISBLANK(H236),FALSE,TRUE)</formula>
    </cfRule>
  </conditionalFormatting>
  <conditionalFormatting sqref="M239:M245">
    <cfRule type="expression" dxfId="681" priority="167">
      <formula>IF(ISBLANK(L239),FALSE,TRUE)</formula>
    </cfRule>
  </conditionalFormatting>
  <conditionalFormatting sqref="M238">
    <cfRule type="expression" dxfId="680" priority="175">
      <formula>IF(ISBLANK(L238),FALSE,TRUE)</formula>
    </cfRule>
  </conditionalFormatting>
  <conditionalFormatting sqref="I238">
    <cfRule type="expression" dxfId="679" priority="174">
      <formula>IF(ISBLANK(H238),FALSE,TRUE)</formula>
    </cfRule>
  </conditionalFormatting>
  <conditionalFormatting sqref="M246:M250">
    <cfRule type="expression" dxfId="678" priority="163">
      <formula>IF(ISBLANK(L246),FALSE,TRUE)</formula>
    </cfRule>
  </conditionalFormatting>
  <conditionalFormatting sqref="I246:I250">
    <cfRule type="expression" dxfId="677" priority="162">
      <formula>IF(ISBLANK(H246),FALSE,TRUE)</formula>
    </cfRule>
  </conditionalFormatting>
  <conditionalFormatting sqref="G238">
    <cfRule type="expression" dxfId="676" priority="171">
      <formula>H238&lt;&gt;""</formula>
    </cfRule>
  </conditionalFormatting>
  <conditionalFormatting sqref="K238">
    <cfRule type="expression" dxfId="675" priority="170">
      <formula>L238&lt;&gt;""</formula>
    </cfRule>
  </conditionalFormatting>
  <conditionalFormatting sqref="M239:M245">
    <cfRule type="expression" dxfId="674" priority="169">
      <formula>IF(ISBLANK(L239),FALSE,TRUE)</formula>
    </cfRule>
  </conditionalFormatting>
  <conditionalFormatting sqref="I239:I245">
    <cfRule type="expression" dxfId="673" priority="168">
      <formula>IF(ISBLANK(H239),FALSE,TRUE)</formula>
    </cfRule>
  </conditionalFormatting>
  <conditionalFormatting sqref="M246:M250">
    <cfRule type="expression" dxfId="672" priority="159">
      <formula>IF(ISBLANK(L246),FALSE,TRUE)</formula>
    </cfRule>
  </conditionalFormatting>
  <conditionalFormatting sqref="I246:I250">
    <cfRule type="expression" dxfId="671" priority="158">
      <formula>IF(ISBLANK(H246),FALSE,TRUE)</formula>
    </cfRule>
  </conditionalFormatting>
  <conditionalFormatting sqref="M251">
    <cfRule type="expression" dxfId="670" priority="155">
      <formula>IF(ISBLANK(L251),FALSE,TRUE)</formula>
    </cfRule>
  </conditionalFormatting>
  <conditionalFormatting sqref="M251">
    <cfRule type="expression" dxfId="669" priority="153">
      <formula>IF(ISBLANK(L251),FALSE,TRUE)</formula>
    </cfRule>
  </conditionalFormatting>
  <conditionalFormatting sqref="I251">
    <cfRule type="expression" dxfId="668" priority="152">
      <formula>IF(ISBLANK(H251),FALSE,TRUE)</formula>
    </cfRule>
  </conditionalFormatting>
  <conditionalFormatting sqref="M253">
    <cfRule type="expression" dxfId="667" priority="151">
      <formula>IF(ISBLANK(L253),FALSE,TRUE)</formula>
    </cfRule>
  </conditionalFormatting>
  <conditionalFormatting sqref="I253">
    <cfRule type="expression" dxfId="666" priority="150">
      <formula>IF(ISBLANK(H253),FALSE,TRUE)</formula>
    </cfRule>
  </conditionalFormatting>
  <conditionalFormatting sqref="M253">
    <cfRule type="expression" dxfId="665" priority="149">
      <formula>IF(ISBLANK(L253),FALSE,TRUE)</formula>
    </cfRule>
  </conditionalFormatting>
  <conditionalFormatting sqref="I253">
    <cfRule type="expression" dxfId="664" priority="148">
      <formula>IF(ISBLANK(H253),FALSE,TRUE)</formula>
    </cfRule>
  </conditionalFormatting>
  <conditionalFormatting sqref="G253">
    <cfRule type="expression" dxfId="663" priority="147">
      <formula>H253&lt;&gt;""</formula>
    </cfRule>
  </conditionalFormatting>
  <conditionalFormatting sqref="K253">
    <cfRule type="expression" dxfId="662" priority="146">
      <formula>L253&lt;&gt;""</formula>
    </cfRule>
  </conditionalFormatting>
  <conditionalFormatting sqref="M254:M256">
    <cfRule type="expression" dxfId="661" priority="145">
      <formula>IF(ISBLANK(L254),FALSE,TRUE)</formula>
    </cfRule>
  </conditionalFormatting>
  <conditionalFormatting sqref="I254:I256">
    <cfRule type="expression" dxfId="660" priority="144">
      <formula>IF(ISBLANK(H254),FALSE,TRUE)</formula>
    </cfRule>
  </conditionalFormatting>
  <conditionalFormatting sqref="M254:M256">
    <cfRule type="expression" dxfId="659" priority="143">
      <formula>IF(ISBLANK(L254),FALSE,TRUE)</formula>
    </cfRule>
  </conditionalFormatting>
  <conditionalFormatting sqref="I254:I256">
    <cfRule type="expression" dxfId="658" priority="142">
      <formula>IF(ISBLANK(H254),FALSE,TRUE)</formula>
    </cfRule>
  </conditionalFormatting>
  <conditionalFormatting sqref="G254:G256">
    <cfRule type="expression" dxfId="657" priority="141">
      <formula>H254&lt;&gt;""</formula>
    </cfRule>
  </conditionalFormatting>
  <conditionalFormatting sqref="K254:K256">
    <cfRule type="expression" dxfId="656" priority="140">
      <formula>L254&lt;&gt;""</formula>
    </cfRule>
  </conditionalFormatting>
  <conditionalFormatting sqref="M257:M265">
    <cfRule type="expression" dxfId="655" priority="139">
      <formula>IF(ISBLANK(L257),FALSE,TRUE)</formula>
    </cfRule>
  </conditionalFormatting>
  <conditionalFormatting sqref="I257:I265">
    <cfRule type="expression" dxfId="654" priority="138">
      <formula>IF(ISBLANK(H257),FALSE,TRUE)</formula>
    </cfRule>
  </conditionalFormatting>
  <conditionalFormatting sqref="M257:M265">
    <cfRule type="expression" dxfId="653" priority="135">
      <formula>IF(ISBLANK(L257),FALSE,TRUE)</formula>
    </cfRule>
  </conditionalFormatting>
  <conditionalFormatting sqref="I257:I265">
    <cfRule type="expression" dxfId="652" priority="134">
      <formula>IF(ISBLANK(H257),FALSE,TRUE)</formula>
    </cfRule>
  </conditionalFormatting>
  <conditionalFormatting sqref="M266">
    <cfRule type="expression" dxfId="651" priority="131">
      <formula>IF(ISBLANK(L266),FALSE,TRUE)</formula>
    </cfRule>
  </conditionalFormatting>
  <conditionalFormatting sqref="I266">
    <cfRule type="expression" dxfId="650" priority="130">
      <formula>IF(ISBLANK(H266),FALSE,TRUE)</formula>
    </cfRule>
  </conditionalFormatting>
  <conditionalFormatting sqref="M266">
    <cfRule type="expression" dxfId="649" priority="129">
      <formula>IF(ISBLANK(L266),FALSE,TRUE)</formula>
    </cfRule>
  </conditionalFormatting>
  <conditionalFormatting sqref="I266">
    <cfRule type="expression" dxfId="648" priority="128">
      <formula>IF(ISBLANK(H266),FALSE,TRUE)</formula>
    </cfRule>
  </conditionalFormatting>
  <conditionalFormatting sqref="M268">
    <cfRule type="expression" dxfId="647" priority="127">
      <formula>IF(ISBLANK(L268),FALSE,TRUE)</formula>
    </cfRule>
  </conditionalFormatting>
  <conditionalFormatting sqref="I268">
    <cfRule type="expression" dxfId="646" priority="126">
      <formula>IF(ISBLANK(H268),FALSE,TRUE)</formula>
    </cfRule>
  </conditionalFormatting>
  <conditionalFormatting sqref="M268">
    <cfRule type="expression" dxfId="645" priority="125">
      <formula>IF(ISBLANK(L268),FALSE,TRUE)</formula>
    </cfRule>
  </conditionalFormatting>
  <conditionalFormatting sqref="I268">
    <cfRule type="expression" dxfId="644" priority="124">
      <formula>IF(ISBLANK(H268),FALSE,TRUE)</formula>
    </cfRule>
  </conditionalFormatting>
  <conditionalFormatting sqref="G268">
    <cfRule type="expression" dxfId="643" priority="123">
      <formula>H268&lt;&gt;""</formula>
    </cfRule>
  </conditionalFormatting>
  <conditionalFormatting sqref="K268">
    <cfRule type="expression" dxfId="642" priority="122">
      <formula>L268&lt;&gt;""</formula>
    </cfRule>
  </conditionalFormatting>
  <conditionalFormatting sqref="M269:M276">
    <cfRule type="expression" dxfId="641" priority="121">
      <formula>IF(ISBLANK(L269),FALSE,TRUE)</formula>
    </cfRule>
  </conditionalFormatting>
  <conditionalFormatting sqref="I269:I276">
    <cfRule type="expression" dxfId="640" priority="120">
      <formula>IF(ISBLANK(H269),FALSE,TRUE)</formula>
    </cfRule>
  </conditionalFormatting>
  <conditionalFormatting sqref="G269:G276">
    <cfRule type="expression" dxfId="639" priority="117">
      <formula>H269&lt;&gt;""</formula>
    </cfRule>
  </conditionalFormatting>
  <conditionalFormatting sqref="K269:K276">
    <cfRule type="expression" dxfId="638" priority="116">
      <formula>L269&lt;&gt;""</formula>
    </cfRule>
  </conditionalFormatting>
  <conditionalFormatting sqref="M277:M280">
    <cfRule type="expression" dxfId="637" priority="115">
      <formula>IF(ISBLANK(L277),FALSE,TRUE)</formula>
    </cfRule>
  </conditionalFormatting>
  <conditionalFormatting sqref="I277:I280">
    <cfRule type="expression" dxfId="636" priority="114">
      <formula>IF(ISBLANK(H277),FALSE,TRUE)</formula>
    </cfRule>
  </conditionalFormatting>
  <conditionalFormatting sqref="M277:M280">
    <cfRule type="expression" dxfId="635" priority="111">
      <formula>IF(ISBLANK(L277),FALSE,TRUE)</formula>
    </cfRule>
  </conditionalFormatting>
  <conditionalFormatting sqref="I277:I280">
    <cfRule type="expression" dxfId="634" priority="110">
      <formula>IF(ISBLANK(H277),FALSE,TRUE)</formula>
    </cfRule>
  </conditionalFormatting>
  <conditionalFormatting sqref="K283">
    <cfRule type="expression" dxfId="633" priority="98">
      <formula>L283&lt;&gt;""</formula>
    </cfRule>
  </conditionalFormatting>
  <conditionalFormatting sqref="M281">
    <cfRule type="expression" dxfId="632" priority="107">
      <formula>IF(ISBLANK(L281),FALSE,TRUE)</formula>
    </cfRule>
  </conditionalFormatting>
  <conditionalFormatting sqref="I281">
    <cfRule type="expression" dxfId="631" priority="106">
      <formula>IF(ISBLANK(H281),FALSE,TRUE)</formula>
    </cfRule>
  </conditionalFormatting>
  <conditionalFormatting sqref="M281">
    <cfRule type="expression" dxfId="630" priority="105">
      <formula>IF(ISBLANK(L281),FALSE,TRUE)</formula>
    </cfRule>
  </conditionalFormatting>
  <conditionalFormatting sqref="I281">
    <cfRule type="expression" dxfId="629" priority="104">
      <formula>IF(ISBLANK(H281),FALSE,TRUE)</formula>
    </cfRule>
  </conditionalFormatting>
  <conditionalFormatting sqref="M283">
    <cfRule type="expression" dxfId="628" priority="103">
      <formula>IF(ISBLANK(L283),FALSE,TRUE)</formula>
    </cfRule>
  </conditionalFormatting>
  <conditionalFormatting sqref="I283">
    <cfRule type="expression" dxfId="627" priority="102">
      <formula>IF(ISBLANK(H283),FALSE,TRUE)</formula>
    </cfRule>
  </conditionalFormatting>
  <conditionalFormatting sqref="M283">
    <cfRule type="expression" dxfId="626" priority="101">
      <formula>IF(ISBLANK(L283),FALSE,TRUE)</formula>
    </cfRule>
  </conditionalFormatting>
  <conditionalFormatting sqref="I283">
    <cfRule type="expression" dxfId="625" priority="100">
      <formula>IF(ISBLANK(H283),FALSE,TRUE)</formula>
    </cfRule>
  </conditionalFormatting>
  <conditionalFormatting sqref="M284:M290">
    <cfRule type="expression" dxfId="624" priority="97">
      <formula>IF(ISBLANK(L284),FALSE,TRUE)</formula>
    </cfRule>
  </conditionalFormatting>
  <conditionalFormatting sqref="I284:I290">
    <cfRule type="expression" dxfId="623" priority="96">
      <formula>IF(ISBLANK(H284),FALSE,TRUE)</formula>
    </cfRule>
  </conditionalFormatting>
  <conditionalFormatting sqref="M284:M290">
    <cfRule type="expression" dxfId="622" priority="95">
      <formula>IF(ISBLANK(L284),FALSE,TRUE)</formula>
    </cfRule>
  </conditionalFormatting>
  <conditionalFormatting sqref="I284:I290">
    <cfRule type="expression" dxfId="621" priority="94">
      <formula>IF(ISBLANK(H284),FALSE,TRUE)</formula>
    </cfRule>
  </conditionalFormatting>
  <conditionalFormatting sqref="G284:G290">
    <cfRule type="expression" dxfId="620" priority="93">
      <formula>H284&lt;&gt;""</formula>
    </cfRule>
  </conditionalFormatting>
  <conditionalFormatting sqref="K284:K290">
    <cfRule type="expression" dxfId="619" priority="92">
      <formula>L284&lt;&gt;""</formula>
    </cfRule>
  </conditionalFormatting>
  <conditionalFormatting sqref="M291:M295">
    <cfRule type="expression" dxfId="618" priority="91">
      <formula>IF(ISBLANK(L291),FALSE,TRUE)</formula>
    </cfRule>
  </conditionalFormatting>
  <conditionalFormatting sqref="I291:I295">
    <cfRule type="expression" dxfId="617" priority="90">
      <formula>IF(ISBLANK(H291),FALSE,TRUE)</formula>
    </cfRule>
  </conditionalFormatting>
  <conditionalFormatting sqref="M291:M295">
    <cfRule type="expression" dxfId="616" priority="87">
      <formula>IF(ISBLANK(L291),FALSE,TRUE)</formula>
    </cfRule>
  </conditionalFormatting>
  <conditionalFormatting sqref="I291:I295">
    <cfRule type="expression" dxfId="615" priority="86">
      <formula>IF(ISBLANK(H291),FALSE,TRUE)</formula>
    </cfRule>
  </conditionalFormatting>
  <conditionalFormatting sqref="I326">
    <cfRule type="expression" dxfId="614" priority="36">
      <formula>IF(ISBLANK(H326),FALSE,TRUE)</formula>
    </cfRule>
  </conditionalFormatting>
  <conditionalFormatting sqref="M296">
    <cfRule type="expression" dxfId="613" priority="83">
      <formula>IF(ISBLANK(L296),FALSE,TRUE)</formula>
    </cfRule>
  </conditionalFormatting>
  <conditionalFormatting sqref="I296">
    <cfRule type="expression" dxfId="612" priority="82">
      <formula>IF(ISBLANK(H296),FALSE,TRUE)</formula>
    </cfRule>
  </conditionalFormatting>
  <conditionalFormatting sqref="M296">
    <cfRule type="expression" dxfId="611" priority="81">
      <formula>IF(ISBLANK(L296),FALSE,TRUE)</formula>
    </cfRule>
  </conditionalFormatting>
  <conditionalFormatting sqref="I296">
    <cfRule type="expression" dxfId="610" priority="80">
      <formula>IF(ISBLANK(H296),FALSE,TRUE)</formula>
    </cfRule>
  </conditionalFormatting>
  <conditionalFormatting sqref="M317:M325">
    <cfRule type="expression" dxfId="609" priority="43">
      <formula>IF(ISBLANK(L317),FALSE,TRUE)</formula>
    </cfRule>
  </conditionalFormatting>
  <conditionalFormatting sqref="I317:I325">
    <cfRule type="expression" dxfId="608" priority="42">
      <formula>IF(ISBLANK(H317),FALSE,TRUE)</formula>
    </cfRule>
  </conditionalFormatting>
  <conditionalFormatting sqref="M326">
    <cfRule type="expression" dxfId="607" priority="39">
      <formula>IF(ISBLANK(L326),FALSE,TRUE)</formula>
    </cfRule>
  </conditionalFormatting>
  <conditionalFormatting sqref="I326">
    <cfRule type="expression" dxfId="606" priority="38">
      <formula>IF(ISBLANK(H326),FALSE,TRUE)</formula>
    </cfRule>
  </conditionalFormatting>
  <conditionalFormatting sqref="M298:M310">
    <cfRule type="expression" dxfId="605" priority="71">
      <formula>IF(ISBLANK(L298),FALSE,TRUE)</formula>
    </cfRule>
  </conditionalFormatting>
  <conditionalFormatting sqref="I298:I310">
    <cfRule type="expression" dxfId="604" priority="70">
      <formula>IF(ISBLANK(H298),FALSE,TRUE)</formula>
    </cfRule>
  </conditionalFormatting>
  <conditionalFormatting sqref="M298:M310">
    <cfRule type="expression" dxfId="603" priority="67">
      <formula>IF(ISBLANK(L298),FALSE,TRUE)</formula>
    </cfRule>
  </conditionalFormatting>
  <conditionalFormatting sqref="I298:I310">
    <cfRule type="expression" dxfId="602" priority="66">
      <formula>IF(ISBLANK(H298),FALSE,TRUE)</formula>
    </cfRule>
  </conditionalFormatting>
  <conditionalFormatting sqref="M311">
    <cfRule type="expression" dxfId="601" priority="63">
      <formula>IF(ISBLANK(L311),FALSE,TRUE)</formula>
    </cfRule>
  </conditionalFormatting>
  <conditionalFormatting sqref="I311">
    <cfRule type="expression" dxfId="600" priority="62">
      <formula>IF(ISBLANK(H311),FALSE,TRUE)</formula>
    </cfRule>
  </conditionalFormatting>
  <conditionalFormatting sqref="M311">
    <cfRule type="expression" dxfId="599" priority="61">
      <formula>IF(ISBLANK(L311),FALSE,TRUE)</formula>
    </cfRule>
  </conditionalFormatting>
  <conditionalFormatting sqref="I311">
    <cfRule type="expression" dxfId="598" priority="60">
      <formula>IF(ISBLANK(H311),FALSE,TRUE)</formula>
    </cfRule>
  </conditionalFormatting>
  <conditionalFormatting sqref="M313">
    <cfRule type="expression" dxfId="597" priority="59">
      <formula>IF(ISBLANK(L313),FALSE,TRUE)</formula>
    </cfRule>
  </conditionalFormatting>
  <conditionalFormatting sqref="I313">
    <cfRule type="expression" dxfId="596" priority="58">
      <formula>IF(ISBLANK(H313),FALSE,TRUE)</formula>
    </cfRule>
  </conditionalFormatting>
  <conditionalFormatting sqref="M313">
    <cfRule type="expression" dxfId="595" priority="57">
      <formula>IF(ISBLANK(L313),FALSE,TRUE)</formula>
    </cfRule>
  </conditionalFormatting>
  <conditionalFormatting sqref="I313">
    <cfRule type="expression" dxfId="594" priority="56">
      <formula>IF(ISBLANK(H313),FALSE,TRUE)</formula>
    </cfRule>
  </conditionalFormatting>
  <conditionalFormatting sqref="G313">
    <cfRule type="expression" dxfId="593" priority="55">
      <formula>H313&lt;&gt;""</formula>
    </cfRule>
  </conditionalFormatting>
  <conditionalFormatting sqref="K313">
    <cfRule type="expression" dxfId="592" priority="54">
      <formula>L313&lt;&gt;""</formula>
    </cfRule>
  </conditionalFormatting>
  <conditionalFormatting sqref="M314:M316">
    <cfRule type="expression" dxfId="591" priority="53">
      <formula>IF(ISBLANK(L314),FALSE,TRUE)</formula>
    </cfRule>
  </conditionalFormatting>
  <conditionalFormatting sqref="I314:I316">
    <cfRule type="expression" dxfId="590" priority="52">
      <formula>IF(ISBLANK(H314),FALSE,TRUE)</formula>
    </cfRule>
  </conditionalFormatting>
  <conditionalFormatting sqref="M314:M316">
    <cfRule type="expression" dxfId="589" priority="51">
      <formula>IF(ISBLANK(L314),FALSE,TRUE)</formula>
    </cfRule>
  </conditionalFormatting>
  <conditionalFormatting sqref="I314:I316">
    <cfRule type="expression" dxfId="588" priority="50">
      <formula>IF(ISBLANK(H314),FALSE,TRUE)</formula>
    </cfRule>
  </conditionalFormatting>
  <conditionalFormatting sqref="G314:G316">
    <cfRule type="expression" dxfId="587" priority="49">
      <formula>H314&lt;&gt;""</formula>
    </cfRule>
  </conditionalFormatting>
  <conditionalFormatting sqref="K314:K316">
    <cfRule type="expression" dxfId="586" priority="48">
      <formula>L314&lt;&gt;""</formula>
    </cfRule>
  </conditionalFormatting>
  <conditionalFormatting sqref="M317:M325">
    <cfRule type="expression" dxfId="585" priority="47">
      <formula>IF(ISBLANK(L317),FALSE,TRUE)</formula>
    </cfRule>
  </conditionalFormatting>
  <conditionalFormatting sqref="I317:I325">
    <cfRule type="expression" dxfId="584" priority="46">
      <formula>IF(ISBLANK(H317),FALSE,TRUE)</formula>
    </cfRule>
  </conditionalFormatting>
  <conditionalFormatting sqref="M329:M333">
    <cfRule type="expression" dxfId="583" priority="33">
      <formula>IF(ISBLANK(L329),FALSE,TRUE)</formula>
    </cfRule>
  </conditionalFormatting>
  <conditionalFormatting sqref="I329:I333">
    <cfRule type="expression" dxfId="582" priority="32">
      <formula>IF(ISBLANK(H329),FALSE,TRUE)</formula>
    </cfRule>
  </conditionalFormatting>
  <conditionalFormatting sqref="M329:M333">
    <cfRule type="expression" dxfId="581" priority="29">
      <formula>IF(ISBLANK(L329),FALSE,TRUE)</formula>
    </cfRule>
  </conditionalFormatting>
  <conditionalFormatting sqref="I329:I333">
    <cfRule type="expression" dxfId="580" priority="28">
      <formula>IF(ISBLANK(H329),FALSE,TRUE)</formula>
    </cfRule>
  </conditionalFormatting>
  <conditionalFormatting sqref="M326">
    <cfRule type="expression" dxfId="579" priority="37">
      <formula>IF(ISBLANK(L326),FALSE,TRUE)</formula>
    </cfRule>
  </conditionalFormatting>
  <conditionalFormatting sqref="G328">
    <cfRule type="expression" dxfId="578" priority="35">
      <formula>H328&lt;&gt;""</formula>
    </cfRule>
  </conditionalFormatting>
  <conditionalFormatting sqref="K328">
    <cfRule type="expression" dxfId="577" priority="34">
      <formula>L328&lt;&gt;""</formula>
    </cfRule>
  </conditionalFormatting>
  <conditionalFormatting sqref="M334">
    <cfRule type="expression" dxfId="576" priority="25">
      <formula>IF(ISBLANK(L334),FALSE,TRUE)</formula>
    </cfRule>
  </conditionalFormatting>
  <conditionalFormatting sqref="I334">
    <cfRule type="expression" dxfId="575" priority="24">
      <formula>IF(ISBLANK(H334),FALSE,TRUE)</formula>
    </cfRule>
  </conditionalFormatting>
  <conditionalFormatting sqref="I334">
    <cfRule type="expression" dxfId="574" priority="22">
      <formula>IF(ISBLANK(H334),FALSE,TRUE)</formula>
    </cfRule>
  </conditionalFormatting>
  <conditionalFormatting sqref="M334">
    <cfRule type="expression" dxfId="573" priority="23">
      <formula>IF(ISBLANK(L334),FALSE,TRUE)</formula>
    </cfRule>
  </conditionalFormatting>
  <conditionalFormatting sqref="M335:M339">
    <cfRule type="expression" dxfId="572" priority="19">
      <formula>IF(ISBLANK(L335),FALSE,TRUE)</formula>
    </cfRule>
  </conditionalFormatting>
  <conditionalFormatting sqref="I335:I339">
    <cfRule type="expression" dxfId="571" priority="18">
      <formula>IF(ISBLANK(H335),FALSE,TRUE)</formula>
    </cfRule>
  </conditionalFormatting>
  <conditionalFormatting sqref="M335:M339">
    <cfRule type="expression" dxfId="570" priority="15">
      <formula>IF(ISBLANK(L335),FALSE,TRUE)</formula>
    </cfRule>
  </conditionalFormatting>
  <conditionalFormatting sqref="I335:I339">
    <cfRule type="expression" dxfId="569" priority="14">
      <formula>IF(ISBLANK(H335),FALSE,TRUE)</formula>
    </cfRule>
  </conditionalFormatting>
  <conditionalFormatting sqref="G334">
    <cfRule type="expression" dxfId="568" priority="21">
      <formula>H334&lt;&gt;""</formula>
    </cfRule>
  </conditionalFormatting>
  <conditionalFormatting sqref="K334">
    <cfRule type="expression" dxfId="567" priority="20">
      <formula>L334&lt;&gt;""</formula>
    </cfRule>
  </conditionalFormatting>
  <conditionalFormatting sqref="I340">
    <cfRule type="expression" dxfId="566" priority="8">
      <formula>IF(ISBLANK(H340),FALSE,TRUE)</formula>
    </cfRule>
  </conditionalFormatting>
  <conditionalFormatting sqref="M340">
    <cfRule type="expression" dxfId="565" priority="11">
      <formula>IF(ISBLANK(L340),FALSE,TRUE)</formula>
    </cfRule>
  </conditionalFormatting>
  <conditionalFormatting sqref="I340">
    <cfRule type="expression" dxfId="564" priority="10">
      <formula>IF(ISBLANK(H340),FALSE,TRUE)</formula>
    </cfRule>
  </conditionalFormatting>
  <conditionalFormatting sqref="M340">
    <cfRule type="expression" dxfId="563" priority="9">
      <formula>IF(ISBLANK(L340),FALSE,TRUE)</formula>
    </cfRule>
  </conditionalFormatting>
  <conditionalFormatting sqref="G342">
    <cfRule type="expression" dxfId="562" priority="7">
      <formula>H342&lt;&gt;""</formula>
    </cfRule>
  </conditionalFormatting>
  <conditionalFormatting sqref="G343">
    <cfRule type="expression" dxfId="561" priority="6">
      <formula>H343&lt;&gt;""</formula>
    </cfRule>
  </conditionalFormatting>
  <conditionalFormatting sqref="G344:G352">
    <cfRule type="expression" dxfId="560" priority="5">
      <formula>H344&lt;&gt;""</formula>
    </cfRule>
  </conditionalFormatting>
  <hyperlinks>
    <hyperlink ref="F2" location="Neu_in_Version" display="i" xr:uid="{00000000-0004-0000-0B00-000000000000}"/>
  </hyperlinks>
  <printOptions horizontalCentered="1"/>
  <pageMargins left="0.5" right="0.4" top="0.39370078740157483" bottom="0.62992125984251968" header="0.39370078740157483" footer="0.31496062992125984"/>
  <pageSetup paperSize="9" scale="89" firstPageNumber="3" fitToHeight="0" orientation="portrait" r:id="rId1"/>
  <headerFooter scaleWithDoc="0">
    <oddFooter>&amp;L&amp;8Druckdatum  &amp;D&amp;C&amp;8&amp;F/&amp;A&amp;R&amp;8Seite &amp;P / &amp;N</oddFooter>
  </headerFooter>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theme="9" tint="0.39997558519241921"/>
    <outlinePr summaryBelow="0"/>
  </sheetPr>
  <dimension ref="A1:BV167"/>
  <sheetViews>
    <sheetView showGridLines="0" showZeros="0" zoomScaleNormal="100" zoomScaleSheetLayoutView="100" workbookViewId="0">
      <selection activeCell="B11" sqref="B11:D11"/>
    </sheetView>
  </sheetViews>
  <sheetFormatPr baseColWidth="10" defaultColWidth="11.42578125" defaultRowHeight="12.95" customHeight="1" x14ac:dyDescent="0.2"/>
  <cols>
    <col min="1" max="1" width="15.42578125" style="34" customWidth="1"/>
    <col min="2" max="2" width="13.7109375" style="34" customWidth="1"/>
    <col min="3" max="3" width="9.42578125" style="33" customWidth="1"/>
    <col min="4" max="5" width="6.5703125" style="33" customWidth="1"/>
    <col min="6" max="6" width="6.28515625" style="33" customWidth="1"/>
    <col min="7" max="7" width="8.5703125" style="33" customWidth="1"/>
    <col min="8" max="9" width="4.42578125" style="32" customWidth="1"/>
    <col min="10" max="10" width="10.7109375" style="32" customWidth="1"/>
    <col min="11" max="11" width="4.85546875" style="34" customWidth="1"/>
    <col min="12" max="13" width="4.28515625" style="34" customWidth="1"/>
    <col min="14" max="14" width="9.7109375" style="34" customWidth="1"/>
    <col min="15" max="15" width="4.28515625" style="34" customWidth="1"/>
    <col min="16" max="16" width="15.7109375" style="34" customWidth="1"/>
    <col min="17" max="19" width="8.7109375" style="123" customWidth="1"/>
    <col min="20" max="20" width="8.7109375" style="127" customWidth="1"/>
    <col min="21" max="33" width="8.7109375" style="123" customWidth="1"/>
    <col min="34" max="36" width="8.7109375" style="174" customWidth="1"/>
    <col min="37" max="69" width="8.7109375" style="175" customWidth="1"/>
    <col min="70" max="70" width="5" style="32" customWidth="1"/>
    <col min="71" max="16384" width="11.42578125" style="32"/>
  </cols>
  <sheetData>
    <row r="1" spans="1:69" s="1571" customFormat="1" ht="54" customHeight="1" x14ac:dyDescent="0.2">
      <c r="D1" s="1556"/>
      <c r="E1" s="1556"/>
      <c r="F1" s="1556"/>
      <c r="G1" s="1556"/>
      <c r="H1" s="67"/>
      <c r="I1" s="67"/>
      <c r="J1" s="67"/>
    </row>
    <row r="2" spans="1:69" s="1571" customFormat="1" ht="15" customHeight="1" x14ac:dyDescent="0.25">
      <c r="A2" s="1565" t="str">
        <f>CONCATENATE("Variantenvergleich Energiesysteme - Version ",Versionsinfo!$B$4)</f>
        <v>Variantenvergleich Energiesysteme - Version 3.0</v>
      </c>
      <c r="B2" s="716"/>
      <c r="C2" s="716"/>
      <c r="D2" s="717"/>
      <c r="E2" s="717"/>
      <c r="F2" s="651"/>
      <c r="G2" s="652" t="s">
        <v>586</v>
      </c>
      <c r="J2" s="67"/>
      <c r="M2" s="1376"/>
    </row>
    <row r="3" spans="1:69" s="425" customFormat="1" ht="12.75" customHeight="1" x14ac:dyDescent="0.2">
      <c r="A3" s="1557" t="s">
        <v>781</v>
      </c>
      <c r="D3" s="427"/>
      <c r="E3" s="427"/>
      <c r="F3" s="427"/>
      <c r="G3" s="427"/>
      <c r="I3" s="903">
        <f>Projektdaten!$C$8</f>
        <v>0</v>
      </c>
      <c r="J3" s="903"/>
      <c r="K3" s="903"/>
      <c r="L3" s="903"/>
      <c r="M3" s="903"/>
      <c r="N3" s="903"/>
      <c r="O3" s="428"/>
    </row>
    <row r="4" spans="1:69" s="425" customFormat="1" ht="16.5" customHeight="1" x14ac:dyDescent="0.2">
      <c r="A4" s="430"/>
      <c r="I4" s="903">
        <f>Projektdaten!$J$8</f>
        <v>0</v>
      </c>
      <c r="J4" s="903"/>
      <c r="K4" s="904"/>
      <c r="L4" s="905"/>
      <c r="M4" s="905"/>
      <c r="N4" s="905"/>
    </row>
    <row r="5" spans="1:69" s="50" customFormat="1" ht="16.5" customHeight="1" x14ac:dyDescent="0.25">
      <c r="A5" s="1581" t="s">
        <v>715</v>
      </c>
      <c r="B5" s="601"/>
      <c r="I5" s="1435" t="str">
        <f>CONCATENATE("Version: ",Projektdaten!$F$13)</f>
        <v>Version: 1</v>
      </c>
      <c r="J5" s="1435"/>
      <c r="K5" s="1435"/>
      <c r="L5" s="1435"/>
      <c r="M5" s="2199">
        <f ca="1">Projektdaten!$F$15</f>
        <v>45372</v>
      </c>
      <c r="N5" s="2199"/>
      <c r="O5" s="901"/>
      <c r="P5" s="145"/>
      <c r="Q5" s="123"/>
      <c r="R5" s="126"/>
      <c r="S5" s="1376"/>
      <c r="T5" s="127"/>
      <c r="U5" s="123"/>
      <c r="V5" s="123"/>
      <c r="W5" s="123"/>
      <c r="X5" s="123"/>
      <c r="Y5" s="123"/>
      <c r="Z5" s="123"/>
      <c r="AA5" s="123"/>
      <c r="AB5" s="123"/>
      <c r="AC5" s="123"/>
      <c r="AD5" s="123"/>
      <c r="AE5" s="123"/>
      <c r="AF5" s="123"/>
      <c r="AG5" s="123"/>
      <c r="AH5" s="174"/>
      <c r="AI5" s="174"/>
      <c r="AJ5" s="174"/>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c r="BN5" s="175"/>
      <c r="BO5" s="175"/>
      <c r="BP5" s="175"/>
      <c r="BQ5" s="175"/>
    </row>
    <row r="6" spans="1:69" ht="13.5" customHeight="1" x14ac:dyDescent="0.2"/>
    <row r="7" spans="1:69" s="48" customFormat="1" ht="15" customHeight="1" x14ac:dyDescent="0.25">
      <c r="A7" s="280" t="s">
        <v>18</v>
      </c>
      <c r="B7" s="78">
        <f>EV_Var3!$C$7</f>
        <v>0</v>
      </c>
      <c r="C7" s="696"/>
      <c r="D7" s="167"/>
      <c r="E7" s="167"/>
      <c r="F7" s="1582">
        <f>EV_Var3!$J$7</f>
        <v>0</v>
      </c>
      <c r="G7" s="1582"/>
      <c r="H7" s="517"/>
      <c r="I7" s="517"/>
      <c r="J7" s="518"/>
      <c r="K7" s="518"/>
      <c r="L7" s="518"/>
      <c r="M7" s="518"/>
      <c r="N7" s="518"/>
      <c r="P7" s="146"/>
      <c r="Q7" s="144"/>
      <c r="R7" s="128"/>
      <c r="S7" s="216"/>
      <c r="T7" s="125"/>
      <c r="U7" s="217"/>
      <c r="V7" s="183"/>
      <c r="W7" s="217"/>
      <c r="X7" s="217"/>
      <c r="Y7" s="217"/>
      <c r="Z7" s="217"/>
      <c r="AA7" s="217"/>
      <c r="AB7" s="218"/>
      <c r="AC7" s="218"/>
      <c r="AD7" s="218"/>
      <c r="AE7" s="218"/>
      <c r="AF7" s="218"/>
      <c r="AG7" s="218"/>
      <c r="AH7" s="219"/>
      <c r="AI7" s="219"/>
      <c r="AJ7" s="219"/>
      <c r="AK7" s="220"/>
      <c r="AL7" s="220"/>
      <c r="AM7" s="221"/>
      <c r="AN7" s="221"/>
      <c r="AO7" s="221"/>
      <c r="AP7" s="221"/>
      <c r="AQ7" s="221"/>
      <c r="AR7" s="221"/>
      <c r="AS7" s="221"/>
      <c r="AT7" s="221"/>
      <c r="AU7" s="221"/>
      <c r="AV7" s="221"/>
      <c r="AW7" s="221"/>
      <c r="AX7" s="221"/>
      <c r="AY7" s="221"/>
      <c r="AZ7" s="221"/>
      <c r="BA7" s="221"/>
      <c r="BB7" s="221"/>
      <c r="BC7" s="221"/>
      <c r="BD7" s="221"/>
      <c r="BE7" s="221"/>
      <c r="BF7" s="221"/>
      <c r="BG7" s="221"/>
      <c r="BH7" s="221"/>
      <c r="BI7" s="221"/>
      <c r="BJ7" s="221"/>
      <c r="BK7" s="221"/>
      <c r="BL7" s="221"/>
      <c r="BM7" s="221"/>
      <c r="BN7" s="221"/>
      <c r="BO7" s="221"/>
      <c r="BP7" s="221"/>
      <c r="BQ7" s="221"/>
    </row>
    <row r="8" spans="1:69" s="46" customFormat="1" ht="6" customHeight="1" x14ac:dyDescent="0.25">
      <c r="A8" s="47"/>
      <c r="B8" s="47"/>
      <c r="H8" s="23" t="s">
        <v>11</v>
      </c>
      <c r="I8" s="23"/>
      <c r="J8" s="33"/>
      <c r="K8" s="33"/>
      <c r="L8" s="33"/>
      <c r="M8" s="33"/>
      <c r="N8" s="33"/>
      <c r="O8" s="33"/>
      <c r="P8" s="33"/>
      <c r="Q8" s="123"/>
      <c r="R8" s="129" t="s">
        <v>11</v>
      </c>
      <c r="S8" s="130" t="s">
        <v>11</v>
      </c>
      <c r="T8" s="125"/>
      <c r="U8" s="124"/>
      <c r="V8" s="124"/>
      <c r="W8" s="124"/>
      <c r="X8" s="124"/>
      <c r="Y8" s="124"/>
      <c r="Z8" s="124"/>
      <c r="AA8" s="124"/>
      <c r="AB8" s="123"/>
      <c r="AC8" s="123"/>
      <c r="AD8" s="123"/>
      <c r="AE8" s="123"/>
      <c r="AF8" s="123"/>
      <c r="AG8" s="123"/>
      <c r="AH8" s="174"/>
      <c r="AI8" s="174"/>
      <c r="AJ8" s="174"/>
      <c r="AK8" s="175"/>
      <c r="AL8" s="175"/>
      <c r="AM8" s="175"/>
      <c r="AN8" s="175"/>
      <c r="AO8" s="175"/>
      <c r="AP8" s="175"/>
      <c r="AQ8" s="175"/>
      <c r="AR8" s="175"/>
      <c r="AS8" s="175"/>
      <c r="AT8" s="175"/>
      <c r="AU8" s="175"/>
      <c r="AV8" s="175"/>
      <c r="AW8" s="175"/>
      <c r="AX8" s="175"/>
      <c r="AY8" s="175"/>
      <c r="AZ8" s="175"/>
      <c r="BA8" s="175"/>
      <c r="BB8" s="175"/>
      <c r="BC8" s="175"/>
      <c r="BD8" s="175"/>
      <c r="BE8" s="175"/>
      <c r="BF8" s="175"/>
      <c r="BG8" s="175"/>
      <c r="BH8" s="175"/>
      <c r="BI8" s="175"/>
      <c r="BJ8" s="175"/>
      <c r="BK8" s="175"/>
      <c r="BL8" s="175"/>
      <c r="BM8" s="175"/>
      <c r="BN8" s="175"/>
      <c r="BO8" s="175"/>
      <c r="BP8" s="175"/>
      <c r="BQ8" s="175"/>
    </row>
    <row r="9" spans="1:69" ht="17.25" customHeight="1" x14ac:dyDescent="0.25">
      <c r="A9" s="504" t="s">
        <v>629</v>
      </c>
      <c r="B9" s="504"/>
      <c r="I9" s="148" t="s">
        <v>651</v>
      </c>
      <c r="J9" s="149">
        <f>IF(ISBLANK(Grunddaten!$O$8),Grunddaten!$N$8,Grunddaten!$O$8)</f>
        <v>2.2499999999999999E-2</v>
      </c>
      <c r="K9" s="510" t="s">
        <v>494</v>
      </c>
      <c r="L9" s="45"/>
      <c r="M9" s="45"/>
      <c r="N9" s="45"/>
      <c r="O9" s="45"/>
      <c r="P9" s="2525" t="s">
        <v>489</v>
      </c>
      <c r="Q9" s="2525"/>
      <c r="R9" s="2525"/>
      <c r="S9" s="2525"/>
      <c r="T9" s="125"/>
      <c r="U9" s="124"/>
      <c r="V9" s="124"/>
      <c r="W9" s="124"/>
      <c r="X9" s="124"/>
      <c r="Y9" s="124"/>
      <c r="Z9" s="124"/>
      <c r="AA9" s="124"/>
    </row>
    <row r="10" spans="1:69" ht="2.25" customHeight="1" x14ac:dyDescent="0.2">
      <c r="O10" s="505"/>
      <c r="P10" s="509"/>
      <c r="Q10" s="511"/>
      <c r="R10" s="511"/>
      <c r="S10" s="511"/>
      <c r="T10" s="125"/>
      <c r="U10" s="124"/>
      <c r="V10" s="124"/>
      <c r="W10" s="124"/>
      <c r="X10" s="124"/>
      <c r="Y10" s="124"/>
      <c r="Z10" s="124"/>
      <c r="AA10" s="124"/>
    </row>
    <row r="11" spans="1:69" s="176" customFormat="1" ht="11.25" customHeight="1" x14ac:dyDescent="0.2">
      <c r="A11" s="1049" t="s">
        <v>258</v>
      </c>
      <c r="B11" s="2367" t="s">
        <v>504</v>
      </c>
      <c r="C11" s="2368"/>
      <c r="D11" s="2369"/>
      <c r="E11" s="2378" t="s">
        <v>563</v>
      </c>
      <c r="F11" s="2379"/>
      <c r="G11" s="2376" t="s">
        <v>565</v>
      </c>
      <c r="H11" s="2378" t="s">
        <v>578</v>
      </c>
      <c r="I11" s="2379"/>
      <c r="J11" s="2376" t="s">
        <v>630</v>
      </c>
      <c r="K11" s="2378" t="s">
        <v>631</v>
      </c>
      <c r="L11" s="2405"/>
      <c r="M11" s="2405"/>
      <c r="N11" s="2379"/>
      <c r="O11" s="505"/>
      <c r="P11" s="512" t="s">
        <v>490</v>
      </c>
      <c r="Q11" s="2533" t="s">
        <v>497</v>
      </c>
      <c r="R11" s="2533"/>
      <c r="S11" s="2533"/>
      <c r="T11" s="129"/>
      <c r="U11" s="587" t="s">
        <v>508</v>
      </c>
      <c r="V11" s="588"/>
      <c r="W11" s="589"/>
      <c r="X11" s="593" t="b">
        <f>(U11=B11)</f>
        <v>0</v>
      </c>
      <c r="Y11" s="124"/>
      <c r="Z11" s="124"/>
      <c r="AA11" s="123"/>
      <c r="AB11" s="123"/>
      <c r="AC11" s="123"/>
      <c r="AD11" s="123"/>
      <c r="AE11" s="123"/>
      <c r="AF11" s="123"/>
      <c r="AG11" s="174"/>
      <c r="AH11" s="174"/>
      <c r="AI11" s="174"/>
      <c r="AJ11" s="175"/>
      <c r="AK11" s="175"/>
    </row>
    <row r="12" spans="1:69" s="176" customFormat="1" ht="11.25" customHeight="1" x14ac:dyDescent="0.2">
      <c r="A12" s="1050"/>
      <c r="B12" s="1196"/>
      <c r="C12" s="1197"/>
      <c r="D12" s="1197"/>
      <c r="E12" s="2380"/>
      <c r="F12" s="2381"/>
      <c r="G12" s="2377"/>
      <c r="H12" s="2380"/>
      <c r="I12" s="2381"/>
      <c r="J12" s="2377"/>
      <c r="K12" s="2380"/>
      <c r="L12" s="2406"/>
      <c r="M12" s="2406"/>
      <c r="N12" s="2381"/>
      <c r="O12" s="505"/>
      <c r="P12" s="513"/>
      <c r="Q12" s="2533"/>
      <c r="R12" s="2533"/>
      <c r="S12" s="2533"/>
      <c r="T12" s="129"/>
      <c r="U12" s="590" t="s">
        <v>504</v>
      </c>
      <c r="V12" s="591"/>
      <c r="W12" s="592"/>
      <c r="X12" s="594" t="b">
        <f>(U12=B11)</f>
        <v>1</v>
      </c>
      <c r="Y12" s="124"/>
      <c r="Z12" s="124"/>
      <c r="AA12" s="123"/>
      <c r="AB12" s="123"/>
      <c r="AC12" s="123"/>
      <c r="AD12" s="123"/>
      <c r="AE12" s="123"/>
      <c r="AF12" s="123"/>
      <c r="AG12" s="174"/>
      <c r="AH12" s="174"/>
      <c r="AI12" s="174"/>
      <c r="AJ12" s="175"/>
      <c r="AK12" s="175"/>
    </row>
    <row r="13" spans="1:69" s="176" customFormat="1" ht="11.25" customHeight="1" x14ac:dyDescent="0.2">
      <c r="A13" s="1050"/>
      <c r="B13" s="1196"/>
      <c r="C13" s="1197"/>
      <c r="D13" s="1197"/>
      <c r="E13" s="2382" t="s">
        <v>564</v>
      </c>
      <c r="F13" s="2383"/>
      <c r="G13" s="1198" t="s">
        <v>20</v>
      </c>
      <c r="H13" s="2512" t="s">
        <v>555</v>
      </c>
      <c r="I13" s="2430"/>
      <c r="J13" s="1198" t="s">
        <v>567</v>
      </c>
      <c r="K13" s="1261" t="s">
        <v>580</v>
      </c>
      <c r="L13" s="2554" t="s">
        <v>579</v>
      </c>
      <c r="M13" s="2554"/>
      <c r="N13" s="1262" t="s">
        <v>567</v>
      </c>
      <c r="O13" s="505"/>
      <c r="P13" s="513"/>
      <c r="Q13" s="2533"/>
      <c r="R13" s="2533"/>
      <c r="S13" s="2533"/>
      <c r="T13" s="129"/>
      <c r="U13" s="124"/>
      <c r="V13" s="124"/>
      <c r="W13" s="124"/>
      <c r="X13" s="124"/>
      <c r="Y13" s="124"/>
      <c r="Z13" s="124"/>
      <c r="AA13" s="123"/>
      <c r="AB13" s="123"/>
      <c r="AC13" s="123"/>
      <c r="AD13" s="123"/>
      <c r="AE13" s="123"/>
      <c r="AF13" s="123"/>
      <c r="AG13" s="174"/>
      <c r="AH13" s="174"/>
      <c r="AI13" s="174"/>
      <c r="AJ13" s="175"/>
      <c r="AK13" s="175"/>
    </row>
    <row r="14" spans="1:69" s="36" customFormat="1" ht="12" customHeight="1" x14ac:dyDescent="0.2">
      <c r="A14" s="2370" t="s">
        <v>498</v>
      </c>
      <c r="B14" s="2371"/>
      <c r="C14" s="2371"/>
      <c r="D14" s="2722"/>
      <c r="E14" s="2384">
        <f>DK_Var3!E404</f>
        <v>0</v>
      </c>
      <c r="F14" s="2385"/>
      <c r="G14" s="974">
        <f>DK_Var3!G404</f>
        <v>0</v>
      </c>
      <c r="H14" s="2372">
        <f>DK_Var3!I404</f>
        <v>0</v>
      </c>
      <c r="I14" s="2373"/>
      <c r="J14" s="975">
        <f>DK_Var3!J404</f>
        <v>0</v>
      </c>
      <c r="K14" s="976">
        <f>IF(E14=0,0,N14/E14*100)</f>
        <v>0</v>
      </c>
      <c r="L14" s="2548"/>
      <c r="M14" s="2548"/>
      <c r="N14" s="977">
        <f>DK_Var3!M404</f>
        <v>0</v>
      </c>
      <c r="O14" s="505"/>
      <c r="P14" s="2534" t="s">
        <v>495</v>
      </c>
      <c r="Q14" s="2534"/>
      <c r="R14" s="2534"/>
      <c r="S14" s="2534"/>
      <c r="T14" s="129"/>
      <c r="U14" s="129"/>
      <c r="V14" s="129"/>
      <c r="W14" s="129"/>
      <c r="X14" s="129"/>
      <c r="Y14" s="129"/>
      <c r="Z14" s="129"/>
      <c r="AA14" s="133"/>
      <c r="AB14" s="133"/>
      <c r="AC14" s="133"/>
      <c r="AD14" s="133"/>
      <c r="AE14" s="133"/>
      <c r="AF14" s="133"/>
      <c r="AG14" s="222"/>
      <c r="AH14" s="222"/>
      <c r="AI14" s="222"/>
      <c r="AJ14" s="176"/>
      <c r="AK14" s="176"/>
      <c r="AL14" s="176"/>
      <c r="AM14" s="176"/>
      <c r="AN14" s="176"/>
      <c r="AO14" s="176"/>
      <c r="AP14" s="176"/>
      <c r="AQ14" s="176"/>
      <c r="AR14" s="176"/>
      <c r="AS14" s="176"/>
      <c r="AT14" s="176"/>
      <c r="AU14" s="176"/>
      <c r="AV14" s="176"/>
      <c r="AW14" s="176"/>
      <c r="AX14" s="176"/>
      <c r="AY14" s="176"/>
      <c r="AZ14" s="176"/>
      <c r="BA14" s="176"/>
      <c r="BB14" s="176"/>
      <c r="BC14" s="176"/>
      <c r="BD14" s="176"/>
      <c r="BE14" s="176"/>
      <c r="BF14" s="176"/>
      <c r="BG14" s="176"/>
      <c r="BH14" s="176"/>
      <c r="BI14" s="176"/>
      <c r="BJ14" s="176"/>
      <c r="BK14" s="176"/>
      <c r="BL14" s="176"/>
      <c r="BM14" s="176"/>
      <c r="BN14" s="176"/>
      <c r="BO14" s="176"/>
      <c r="BP14" s="176"/>
    </row>
    <row r="15" spans="1:69" s="36" customFormat="1" ht="11.25" customHeight="1" x14ac:dyDescent="0.2">
      <c r="A15" s="1597"/>
      <c r="B15" s="1598"/>
      <c r="C15" s="1599"/>
      <c r="D15" s="1599"/>
      <c r="E15" s="2723"/>
      <c r="F15" s="2724"/>
      <c r="G15" s="1600"/>
      <c r="H15" s="2781">
        <f t="shared" ref="H15:H38" si="0">IF($G15&gt;0,-PMT(($J$9),$G15,1),0)</f>
        <v>0</v>
      </c>
      <c r="I15" s="2782"/>
      <c r="J15" s="1329">
        <f t="shared" ref="J15:J38" si="1">ROUND(E15*H15,-1)</f>
        <v>0</v>
      </c>
      <c r="K15" s="1280"/>
      <c r="L15" s="2783"/>
      <c r="M15" s="2783"/>
      <c r="N15" s="1332">
        <f>IF(L15,L15,ROUND(E15/100*K15,-1))</f>
        <v>0</v>
      </c>
      <c r="O15" s="506"/>
      <c r="P15" s="513"/>
      <c r="Q15" s="514"/>
      <c r="R15" s="515"/>
      <c r="S15" s="516"/>
      <c r="T15" s="129"/>
      <c r="U15" s="129"/>
      <c r="V15" s="129"/>
      <c r="W15" s="129"/>
      <c r="X15" s="129"/>
      <c r="Y15" s="129"/>
      <c r="Z15" s="129"/>
      <c r="AA15" s="133"/>
      <c r="AB15" s="133"/>
      <c r="AC15" s="133"/>
      <c r="AD15" s="133"/>
      <c r="AE15" s="133"/>
      <c r="AF15" s="133"/>
      <c r="AG15" s="222"/>
      <c r="AH15" s="222"/>
      <c r="AI15" s="222"/>
      <c r="AJ15" s="176"/>
      <c r="AK15" s="176"/>
      <c r="AL15" s="176"/>
      <c r="AM15" s="176"/>
      <c r="AN15" s="176"/>
      <c r="AO15" s="176"/>
      <c r="AP15" s="176"/>
      <c r="AQ15" s="176"/>
      <c r="AR15" s="176"/>
      <c r="AS15" s="176"/>
      <c r="AT15" s="176"/>
      <c r="AU15" s="176"/>
      <c r="AV15" s="176"/>
      <c r="AW15" s="176"/>
      <c r="AX15" s="176"/>
      <c r="AY15" s="176"/>
      <c r="AZ15" s="176"/>
      <c r="BA15" s="176"/>
      <c r="BB15" s="176"/>
      <c r="BC15" s="176"/>
      <c r="BD15" s="176"/>
      <c r="BE15" s="176"/>
      <c r="BF15" s="176"/>
      <c r="BG15" s="176"/>
      <c r="BH15" s="176"/>
      <c r="BI15" s="176"/>
      <c r="BJ15" s="176"/>
      <c r="BK15" s="176"/>
      <c r="BL15" s="176"/>
      <c r="BM15" s="176"/>
      <c r="BN15" s="176"/>
      <c r="BO15" s="176"/>
      <c r="BP15" s="176"/>
    </row>
    <row r="16" spans="1:69" s="36" customFormat="1" ht="11.25" customHeight="1" x14ac:dyDescent="0.2">
      <c r="A16" s="1597"/>
      <c r="B16" s="705"/>
      <c r="C16" s="706"/>
      <c r="D16" s="706"/>
      <c r="E16" s="2725"/>
      <c r="F16" s="2726"/>
      <c r="G16" s="1601"/>
      <c r="H16" s="2764">
        <f t="shared" si="0"/>
        <v>0</v>
      </c>
      <c r="I16" s="2765"/>
      <c r="J16" s="1330">
        <f t="shared" si="1"/>
        <v>0</v>
      </c>
      <c r="K16" s="1281"/>
      <c r="L16" s="2762"/>
      <c r="M16" s="2763"/>
      <c r="N16" s="1333">
        <f t="shared" ref="N16:N38" si="2">IF(L16,L16,ROUND(E16/100*K16,-1))</f>
        <v>0</v>
      </c>
      <c r="O16" s="506"/>
      <c r="P16" s="512"/>
      <c r="Q16" s="514"/>
      <c r="R16" s="515"/>
      <c r="S16" s="516"/>
      <c r="T16" s="129"/>
      <c r="U16" s="129"/>
      <c r="V16" s="129"/>
      <c r="W16" s="129"/>
      <c r="X16" s="129"/>
      <c r="Y16" s="129"/>
      <c r="Z16" s="129"/>
      <c r="AA16" s="133"/>
      <c r="AB16" s="133"/>
      <c r="AC16" s="133"/>
      <c r="AD16" s="133"/>
      <c r="AE16" s="133"/>
      <c r="AF16" s="133"/>
      <c r="AG16" s="222"/>
      <c r="AH16" s="222"/>
      <c r="AI16" s="222"/>
      <c r="AJ16" s="176"/>
      <c r="AK16" s="176"/>
      <c r="AL16" s="176"/>
      <c r="AM16" s="176"/>
      <c r="AN16" s="176"/>
      <c r="AO16" s="176"/>
      <c r="AP16" s="176"/>
      <c r="AQ16" s="176"/>
      <c r="AR16" s="176"/>
      <c r="AS16" s="176"/>
      <c r="AT16" s="176"/>
      <c r="AU16" s="176"/>
      <c r="AV16" s="176"/>
      <c r="AW16" s="176"/>
      <c r="AX16" s="176"/>
      <c r="AY16" s="176"/>
      <c r="AZ16" s="176"/>
      <c r="BA16" s="176"/>
      <c r="BB16" s="176"/>
      <c r="BC16" s="176"/>
      <c r="BD16" s="176"/>
      <c r="BE16" s="176"/>
      <c r="BF16" s="176"/>
      <c r="BG16" s="176"/>
      <c r="BH16" s="176"/>
      <c r="BI16" s="176"/>
      <c r="BJ16" s="176"/>
      <c r="BK16" s="176"/>
      <c r="BL16" s="176"/>
      <c r="BM16" s="176"/>
      <c r="BN16" s="176"/>
      <c r="BO16" s="176"/>
      <c r="BP16" s="176"/>
    </row>
    <row r="17" spans="1:68" s="36" customFormat="1" ht="11.25" customHeight="1" x14ac:dyDescent="0.2">
      <c r="A17" s="1597"/>
      <c r="B17" s="705"/>
      <c r="C17" s="706"/>
      <c r="D17" s="706"/>
      <c r="E17" s="2725"/>
      <c r="F17" s="2726"/>
      <c r="G17" s="1601"/>
      <c r="H17" s="2764">
        <f t="shared" si="0"/>
        <v>0</v>
      </c>
      <c r="I17" s="2765"/>
      <c r="J17" s="1330">
        <f t="shared" si="1"/>
        <v>0</v>
      </c>
      <c r="K17" s="1281"/>
      <c r="L17" s="2762"/>
      <c r="M17" s="2763"/>
      <c r="N17" s="1333">
        <f t="shared" si="2"/>
        <v>0</v>
      </c>
      <c r="O17" s="506"/>
      <c r="P17" s="513"/>
      <c r="Q17" s="514"/>
      <c r="R17" s="515"/>
      <c r="S17" s="516"/>
      <c r="T17" s="129"/>
      <c r="U17" s="129"/>
      <c r="V17" s="129"/>
      <c r="W17" s="129"/>
      <c r="X17" s="129"/>
      <c r="Y17" s="129"/>
      <c r="Z17" s="129"/>
      <c r="AA17" s="133"/>
      <c r="AB17" s="133"/>
      <c r="AC17" s="133"/>
      <c r="AD17" s="133"/>
      <c r="AE17" s="133"/>
      <c r="AF17" s="133"/>
      <c r="AG17" s="222"/>
      <c r="AH17" s="222"/>
      <c r="AI17" s="222"/>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c r="BP17" s="176"/>
    </row>
    <row r="18" spans="1:68" s="36" customFormat="1" ht="11.25" customHeight="1" x14ac:dyDescent="0.2">
      <c r="A18" s="985"/>
      <c r="B18" s="986"/>
      <c r="C18" s="987"/>
      <c r="D18" s="987"/>
      <c r="E18" s="2395"/>
      <c r="F18" s="2396"/>
      <c r="G18" s="988"/>
      <c r="H18" s="2764">
        <f t="shared" si="0"/>
        <v>0</v>
      </c>
      <c r="I18" s="2765"/>
      <c r="J18" s="1330">
        <f t="shared" si="1"/>
        <v>0</v>
      </c>
      <c r="K18" s="1281"/>
      <c r="L18" s="2762"/>
      <c r="M18" s="2763"/>
      <c r="N18" s="1333">
        <f t="shared" si="2"/>
        <v>0</v>
      </c>
      <c r="O18" s="506"/>
      <c r="P18" s="513"/>
      <c r="Q18" s="514"/>
      <c r="R18" s="515"/>
      <c r="S18" s="516"/>
      <c r="T18" s="129"/>
      <c r="U18" s="129"/>
      <c r="V18" s="129"/>
      <c r="W18" s="129"/>
      <c r="X18" s="129"/>
      <c r="Y18" s="129"/>
      <c r="Z18" s="129"/>
      <c r="AA18" s="133"/>
      <c r="AB18" s="133"/>
      <c r="AC18" s="133"/>
      <c r="AD18" s="133"/>
      <c r="AE18" s="133"/>
      <c r="AF18" s="133"/>
      <c r="AG18" s="222"/>
      <c r="AH18" s="222"/>
      <c r="AI18" s="222"/>
      <c r="AJ18" s="176"/>
      <c r="AK18" s="176"/>
      <c r="AL18" s="176"/>
      <c r="AM18" s="176"/>
      <c r="AN18" s="176"/>
      <c r="AO18" s="176"/>
      <c r="AP18" s="176"/>
      <c r="AQ18" s="176"/>
      <c r="AR18" s="176"/>
      <c r="AS18" s="176"/>
      <c r="AT18" s="176"/>
      <c r="AU18" s="176"/>
      <c r="AV18" s="176"/>
      <c r="AW18" s="176"/>
      <c r="AX18" s="176"/>
      <c r="AY18" s="176"/>
      <c r="AZ18" s="176"/>
      <c r="BA18" s="176"/>
      <c r="BB18" s="176"/>
      <c r="BC18" s="176"/>
      <c r="BD18" s="176"/>
      <c r="BE18" s="176"/>
      <c r="BF18" s="176"/>
      <c r="BG18" s="176"/>
      <c r="BH18" s="176"/>
      <c r="BI18" s="176"/>
      <c r="BJ18" s="176"/>
      <c r="BK18" s="176"/>
      <c r="BL18" s="176"/>
      <c r="BM18" s="176"/>
      <c r="BN18" s="176"/>
      <c r="BO18" s="176"/>
      <c r="BP18" s="176"/>
    </row>
    <row r="19" spans="1:68" s="36" customFormat="1" ht="11.25" customHeight="1" x14ac:dyDescent="0.2">
      <c r="A19" s="1264"/>
      <c r="B19" s="705"/>
      <c r="C19" s="706"/>
      <c r="D19" s="1265"/>
      <c r="E19" s="2768"/>
      <c r="F19" s="2769"/>
      <c r="G19" s="1271"/>
      <c r="H19" s="2764">
        <f t="shared" si="0"/>
        <v>0</v>
      </c>
      <c r="I19" s="2765"/>
      <c r="J19" s="1330">
        <f t="shared" si="1"/>
        <v>0</v>
      </c>
      <c r="K19" s="1273"/>
      <c r="L19" s="2762"/>
      <c r="M19" s="2763"/>
      <c r="N19" s="1333">
        <f t="shared" si="2"/>
        <v>0</v>
      </c>
      <c r="O19" s="506"/>
      <c r="P19" s="513"/>
      <c r="Q19" s="514"/>
      <c r="R19" s="515"/>
      <c r="S19" s="516"/>
      <c r="T19" s="129"/>
      <c r="U19" s="129"/>
      <c r="V19" s="129"/>
      <c r="W19" s="129"/>
      <c r="X19" s="129"/>
      <c r="Y19" s="129"/>
      <c r="Z19" s="129"/>
      <c r="AA19" s="133"/>
      <c r="AB19" s="133"/>
      <c r="AC19" s="133"/>
      <c r="AD19" s="133"/>
      <c r="AE19" s="133"/>
      <c r="AF19" s="133"/>
      <c r="AG19" s="222"/>
      <c r="AH19" s="222"/>
      <c r="AI19" s="222"/>
      <c r="AJ19" s="176"/>
      <c r="AK19" s="176"/>
      <c r="AL19" s="176"/>
      <c r="AM19" s="176"/>
      <c r="AN19" s="176"/>
      <c r="AO19" s="176"/>
      <c r="AP19" s="176"/>
      <c r="AQ19" s="176"/>
      <c r="AR19" s="176"/>
      <c r="AS19" s="176"/>
      <c r="AT19" s="176"/>
      <c r="AU19" s="176"/>
      <c r="AV19" s="176"/>
      <c r="AW19" s="176"/>
      <c r="AX19" s="176"/>
      <c r="AY19" s="176"/>
      <c r="AZ19" s="176"/>
      <c r="BA19" s="176"/>
      <c r="BB19" s="176"/>
      <c r="BC19" s="176"/>
      <c r="BD19" s="176"/>
      <c r="BE19" s="176"/>
      <c r="BF19" s="176"/>
      <c r="BG19" s="176"/>
      <c r="BH19" s="176"/>
      <c r="BI19" s="176"/>
      <c r="BJ19" s="176"/>
      <c r="BK19" s="176"/>
      <c r="BL19" s="176"/>
      <c r="BM19" s="176"/>
      <c r="BN19" s="176"/>
      <c r="BO19" s="176"/>
      <c r="BP19" s="176"/>
    </row>
    <row r="20" spans="1:68" s="36" customFormat="1" ht="11.25" customHeight="1" x14ac:dyDescent="0.2">
      <c r="A20" s="1597"/>
      <c r="B20" s="705"/>
      <c r="C20" s="706"/>
      <c r="D20" s="706"/>
      <c r="E20" s="2725"/>
      <c r="F20" s="2726"/>
      <c r="G20" s="1601"/>
      <c r="H20" s="2764">
        <f t="shared" si="0"/>
        <v>0</v>
      </c>
      <c r="I20" s="2765"/>
      <c r="J20" s="1330">
        <f t="shared" si="1"/>
        <v>0</v>
      </c>
      <c r="K20" s="1273"/>
      <c r="L20" s="2762"/>
      <c r="M20" s="2763"/>
      <c r="N20" s="1333">
        <f t="shared" si="2"/>
        <v>0</v>
      </c>
      <c r="O20" s="506"/>
      <c r="P20" s="513"/>
      <c r="Q20" s="514"/>
      <c r="R20" s="515"/>
      <c r="S20" s="516"/>
      <c r="T20" s="129"/>
      <c r="U20" s="129"/>
      <c r="V20" s="129"/>
      <c r="W20" s="129"/>
      <c r="X20" s="129"/>
      <c r="Y20" s="129"/>
      <c r="Z20" s="129"/>
      <c r="AA20" s="133"/>
      <c r="AB20" s="133"/>
      <c r="AC20" s="133"/>
      <c r="AD20" s="133"/>
      <c r="AE20" s="133"/>
      <c r="AF20" s="133"/>
      <c r="AG20" s="222"/>
      <c r="AH20" s="222"/>
      <c r="AI20" s="222"/>
      <c r="AJ20" s="176"/>
      <c r="AK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BG20" s="176"/>
      <c r="BH20" s="176"/>
      <c r="BI20" s="176"/>
      <c r="BJ20" s="176"/>
      <c r="BK20" s="176"/>
      <c r="BL20" s="176"/>
      <c r="BM20" s="176"/>
      <c r="BN20" s="176"/>
      <c r="BO20" s="176"/>
      <c r="BP20" s="176"/>
    </row>
    <row r="21" spans="1:68" s="36" customFormat="1" ht="11.25" customHeight="1" x14ac:dyDescent="0.2">
      <c r="A21" s="1264"/>
      <c r="B21" s="705"/>
      <c r="C21" s="706"/>
      <c r="D21" s="1265"/>
      <c r="E21" s="2768"/>
      <c r="F21" s="2769"/>
      <c r="G21" s="1271"/>
      <c r="H21" s="2764">
        <f t="shared" si="0"/>
        <v>0</v>
      </c>
      <c r="I21" s="2765"/>
      <c r="J21" s="1330">
        <f t="shared" si="1"/>
        <v>0</v>
      </c>
      <c r="K21" s="1273"/>
      <c r="L21" s="2762"/>
      <c r="M21" s="2763"/>
      <c r="N21" s="1333">
        <f t="shared" si="2"/>
        <v>0</v>
      </c>
      <c r="O21" s="506"/>
      <c r="P21" s="513"/>
      <c r="Q21" s="514"/>
      <c r="R21" s="515"/>
      <c r="S21" s="516"/>
      <c r="T21" s="129"/>
      <c r="U21" s="129"/>
      <c r="V21" s="129"/>
      <c r="W21" s="129"/>
      <c r="X21" s="129"/>
      <c r="Y21" s="129"/>
      <c r="Z21" s="129"/>
      <c r="AA21" s="133"/>
      <c r="AB21" s="133"/>
      <c r="AC21" s="133"/>
      <c r="AD21" s="133"/>
      <c r="AE21" s="133"/>
      <c r="AF21" s="133"/>
      <c r="AG21" s="222"/>
      <c r="AH21" s="222"/>
      <c r="AI21" s="222"/>
      <c r="AJ21" s="176"/>
      <c r="AK21" s="176"/>
      <c r="AL21" s="176"/>
      <c r="AM21" s="176"/>
      <c r="AN21" s="176"/>
      <c r="AO21" s="176"/>
      <c r="AP21" s="176"/>
      <c r="AQ21" s="176"/>
      <c r="AR21" s="176"/>
      <c r="AS21" s="176"/>
      <c r="AT21" s="176"/>
      <c r="AU21" s="176"/>
      <c r="AV21" s="176"/>
      <c r="AW21" s="176"/>
      <c r="AX21" s="176"/>
      <c r="AY21" s="176"/>
      <c r="AZ21" s="176"/>
      <c r="BA21" s="176"/>
      <c r="BB21" s="176"/>
      <c r="BC21" s="176"/>
      <c r="BD21" s="176"/>
      <c r="BE21" s="176"/>
      <c r="BF21" s="176"/>
      <c r="BG21" s="176"/>
      <c r="BH21" s="176"/>
      <c r="BI21" s="176"/>
      <c r="BJ21" s="176"/>
      <c r="BK21" s="176"/>
      <c r="BL21" s="176"/>
      <c r="BM21" s="176"/>
      <c r="BN21" s="176"/>
      <c r="BO21" s="176"/>
      <c r="BP21" s="176"/>
    </row>
    <row r="22" spans="1:68" s="36" customFormat="1" ht="11.25" customHeight="1" x14ac:dyDescent="0.2">
      <c r="A22" s="1264"/>
      <c r="B22" s="705"/>
      <c r="C22" s="706"/>
      <c r="D22" s="1265"/>
      <c r="E22" s="2768"/>
      <c r="F22" s="2769"/>
      <c r="G22" s="1271"/>
      <c r="H22" s="2764">
        <f t="shared" si="0"/>
        <v>0</v>
      </c>
      <c r="I22" s="2765"/>
      <c r="J22" s="1330">
        <f t="shared" si="1"/>
        <v>0</v>
      </c>
      <c r="K22" s="1273"/>
      <c r="L22" s="2762"/>
      <c r="M22" s="2763"/>
      <c r="N22" s="1333">
        <f t="shared" si="2"/>
        <v>0</v>
      </c>
      <c r="O22" s="506"/>
      <c r="P22" s="513"/>
      <c r="Q22" s="514"/>
      <c r="R22" s="515"/>
      <c r="S22" s="516"/>
      <c r="T22" s="129"/>
      <c r="U22" s="129"/>
      <c r="V22" s="129"/>
      <c r="W22" s="129"/>
      <c r="X22" s="129"/>
      <c r="Y22" s="129"/>
      <c r="Z22" s="129"/>
      <c r="AA22" s="133"/>
      <c r="AB22" s="133"/>
      <c r="AC22" s="133"/>
      <c r="AD22" s="133"/>
      <c r="AE22" s="133"/>
      <c r="AF22" s="133"/>
      <c r="AG22" s="222"/>
      <c r="AH22" s="222"/>
      <c r="AI22" s="222"/>
      <c r="AJ22" s="176"/>
      <c r="AK22" s="176"/>
      <c r="AL22" s="176"/>
      <c r="AM22" s="176"/>
      <c r="AN22" s="176"/>
      <c r="AO22" s="176"/>
      <c r="AP22" s="176"/>
      <c r="AQ22" s="176"/>
      <c r="AR22" s="176"/>
      <c r="AS22" s="176"/>
      <c r="AT22" s="176"/>
      <c r="AU22" s="176"/>
      <c r="AV22" s="176"/>
      <c r="AW22" s="176"/>
      <c r="AX22" s="176"/>
      <c r="AY22" s="176"/>
      <c r="AZ22" s="176"/>
      <c r="BA22" s="176"/>
      <c r="BB22" s="176"/>
      <c r="BC22" s="176"/>
      <c r="BD22" s="176"/>
      <c r="BE22" s="176"/>
      <c r="BF22" s="176"/>
      <c r="BG22" s="176"/>
      <c r="BH22" s="176"/>
      <c r="BI22" s="176"/>
      <c r="BJ22" s="176"/>
      <c r="BK22" s="176"/>
      <c r="BL22" s="176"/>
      <c r="BM22" s="176"/>
      <c r="BN22" s="176"/>
      <c r="BO22" s="176"/>
      <c r="BP22" s="176"/>
    </row>
    <row r="23" spans="1:68" s="36" customFormat="1" ht="11.25" customHeight="1" x14ac:dyDescent="0.2">
      <c r="A23" s="1266"/>
      <c r="B23" s="707"/>
      <c r="C23" s="707"/>
      <c r="D23" s="1267"/>
      <c r="E23" s="2768"/>
      <c r="F23" s="2769"/>
      <c r="G23" s="1271"/>
      <c r="H23" s="2764">
        <f t="shared" si="0"/>
        <v>0</v>
      </c>
      <c r="I23" s="2765"/>
      <c r="J23" s="1330">
        <f t="shared" si="1"/>
        <v>0</v>
      </c>
      <c r="K23" s="1273"/>
      <c r="L23" s="2762"/>
      <c r="M23" s="2763"/>
      <c r="N23" s="1333">
        <f t="shared" si="2"/>
        <v>0</v>
      </c>
      <c r="O23" s="506"/>
      <c r="P23" s="513"/>
      <c r="Q23" s="514"/>
      <c r="R23" s="515"/>
      <c r="S23" s="516"/>
      <c r="T23" s="129"/>
      <c r="U23" s="129"/>
      <c r="V23" s="129"/>
      <c r="W23" s="129"/>
      <c r="X23" s="129"/>
      <c r="Y23" s="129"/>
      <c r="Z23" s="129"/>
      <c r="AA23" s="133"/>
      <c r="AB23" s="133"/>
      <c r="AC23" s="133"/>
      <c r="AD23" s="133"/>
      <c r="AE23" s="133"/>
      <c r="AF23" s="133"/>
      <c r="AG23" s="222"/>
      <c r="AH23" s="222"/>
      <c r="AI23" s="222"/>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row>
    <row r="24" spans="1:68" s="36" customFormat="1" ht="11.25" customHeight="1" x14ac:dyDescent="0.2">
      <c r="A24" s="1266"/>
      <c r="B24" s="707"/>
      <c r="C24" s="707"/>
      <c r="D24" s="1267"/>
      <c r="E24" s="2768"/>
      <c r="F24" s="2769"/>
      <c r="G24" s="1271"/>
      <c r="H24" s="2764">
        <f t="shared" si="0"/>
        <v>0</v>
      </c>
      <c r="I24" s="2765"/>
      <c r="J24" s="1330">
        <f t="shared" si="1"/>
        <v>0</v>
      </c>
      <c r="K24" s="1273"/>
      <c r="L24" s="2762"/>
      <c r="M24" s="2763"/>
      <c r="N24" s="1333">
        <f t="shared" si="2"/>
        <v>0</v>
      </c>
      <c r="O24" s="506"/>
      <c r="P24" s="513"/>
      <c r="Q24" s="514"/>
      <c r="R24" s="515"/>
      <c r="S24" s="516"/>
      <c r="T24" s="129"/>
      <c r="U24" s="129"/>
      <c r="V24" s="129"/>
      <c r="W24" s="129"/>
      <c r="X24" s="129"/>
      <c r="Y24" s="129"/>
      <c r="Z24" s="129"/>
      <c r="AA24" s="133"/>
      <c r="AB24" s="133"/>
      <c r="AC24" s="133"/>
      <c r="AD24" s="133"/>
      <c r="AE24" s="133"/>
      <c r="AF24" s="133"/>
      <c r="AG24" s="222"/>
      <c r="AH24" s="222"/>
      <c r="AI24" s="222"/>
      <c r="AJ24" s="176"/>
      <c r="AK24" s="176"/>
      <c r="AL24" s="176"/>
      <c r="AM24" s="176"/>
      <c r="AN24" s="176"/>
      <c r="AO24" s="176"/>
      <c r="AP24" s="176"/>
      <c r="AQ24" s="176"/>
      <c r="AR24" s="176"/>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c r="BP24" s="176"/>
    </row>
    <row r="25" spans="1:68" s="36" customFormat="1" ht="11.25" customHeight="1" x14ac:dyDescent="0.2">
      <c r="A25" s="1266"/>
      <c r="B25" s="707"/>
      <c r="C25" s="707"/>
      <c r="D25" s="1267"/>
      <c r="E25" s="2768"/>
      <c r="F25" s="2769"/>
      <c r="G25" s="1271"/>
      <c r="H25" s="2764">
        <f t="shared" si="0"/>
        <v>0</v>
      </c>
      <c r="I25" s="2765"/>
      <c r="J25" s="1330">
        <f t="shared" si="1"/>
        <v>0</v>
      </c>
      <c r="K25" s="1273"/>
      <c r="L25" s="2762"/>
      <c r="M25" s="2763"/>
      <c r="N25" s="1333">
        <f t="shared" si="2"/>
        <v>0</v>
      </c>
      <c r="O25" s="506"/>
      <c r="P25" s="513"/>
      <c r="Q25" s="514"/>
      <c r="R25" s="515"/>
      <c r="S25" s="516"/>
      <c r="T25" s="129"/>
      <c r="U25" s="129"/>
      <c r="V25" s="129"/>
      <c r="W25" s="129"/>
      <c r="X25" s="129"/>
      <c r="Y25" s="129"/>
      <c r="Z25" s="129"/>
      <c r="AA25" s="133"/>
      <c r="AB25" s="133"/>
      <c r="AC25" s="133"/>
      <c r="AD25" s="133"/>
      <c r="AE25" s="133"/>
      <c r="AF25" s="133"/>
      <c r="AG25" s="222"/>
      <c r="AH25" s="222"/>
      <c r="AI25" s="222"/>
      <c r="AJ25" s="176"/>
      <c r="AK25" s="176"/>
      <c r="AL25" s="176"/>
      <c r="AM25" s="176"/>
      <c r="AN25" s="176"/>
      <c r="AO25" s="176"/>
      <c r="AP25" s="176"/>
      <c r="AQ25" s="176"/>
      <c r="AR25" s="176"/>
      <c r="AS25" s="176"/>
      <c r="AT25" s="176"/>
      <c r="AU25" s="176"/>
      <c r="AV25" s="176"/>
      <c r="AW25" s="176"/>
      <c r="AX25" s="176"/>
      <c r="AY25" s="176"/>
      <c r="AZ25" s="176"/>
      <c r="BA25" s="176"/>
      <c r="BB25" s="176"/>
      <c r="BC25" s="176"/>
      <c r="BD25" s="176"/>
      <c r="BE25" s="176"/>
      <c r="BF25" s="176"/>
      <c r="BG25" s="176"/>
      <c r="BH25" s="176"/>
      <c r="BI25" s="176"/>
      <c r="BJ25" s="176"/>
      <c r="BK25" s="176"/>
      <c r="BL25" s="176"/>
      <c r="BM25" s="176"/>
      <c r="BN25" s="176"/>
      <c r="BO25" s="176"/>
      <c r="BP25" s="176"/>
    </row>
    <row r="26" spans="1:68" s="36" customFormat="1" ht="11.25" customHeight="1" x14ac:dyDescent="0.2">
      <c r="A26" s="1266"/>
      <c r="B26" s="707"/>
      <c r="C26" s="707"/>
      <c r="D26" s="1267"/>
      <c r="E26" s="2768"/>
      <c r="F26" s="2769"/>
      <c r="G26" s="1271"/>
      <c r="H26" s="2764">
        <f t="shared" si="0"/>
        <v>0</v>
      </c>
      <c r="I26" s="2765"/>
      <c r="J26" s="1330">
        <f t="shared" si="1"/>
        <v>0</v>
      </c>
      <c r="K26" s="1273"/>
      <c r="L26" s="2762"/>
      <c r="M26" s="2763"/>
      <c r="N26" s="1333">
        <f t="shared" si="2"/>
        <v>0</v>
      </c>
      <c r="O26" s="506"/>
      <c r="P26" s="2535" t="s">
        <v>492</v>
      </c>
      <c r="Q26" s="2536" t="s">
        <v>493</v>
      </c>
      <c r="R26" s="2536"/>
      <c r="S26" s="2536"/>
      <c r="T26" s="129"/>
      <c r="U26" s="129"/>
      <c r="V26" s="129"/>
      <c r="W26" s="129"/>
      <c r="X26" s="129"/>
      <c r="Y26" s="129"/>
      <c r="Z26" s="129"/>
      <c r="AA26" s="133"/>
      <c r="AB26" s="133"/>
      <c r="AC26" s="133"/>
      <c r="AD26" s="133"/>
      <c r="AE26" s="133"/>
      <c r="AF26" s="133"/>
      <c r="AG26" s="222"/>
      <c r="AH26" s="222"/>
      <c r="AI26" s="222"/>
      <c r="AJ26" s="176"/>
      <c r="AK26" s="176"/>
      <c r="AL26" s="176"/>
      <c r="AM26" s="176"/>
      <c r="AN26" s="176"/>
      <c r="AO26" s="176"/>
      <c r="AP26" s="176"/>
      <c r="AQ26" s="176"/>
      <c r="AR26" s="176"/>
      <c r="AS26" s="176"/>
      <c r="AT26" s="176"/>
      <c r="AU26" s="176"/>
      <c r="AV26" s="176"/>
      <c r="AW26" s="176"/>
      <c r="AX26" s="176"/>
      <c r="AY26" s="176"/>
      <c r="AZ26" s="176"/>
      <c r="BA26" s="176"/>
      <c r="BB26" s="176"/>
      <c r="BC26" s="176"/>
      <c r="BD26" s="176"/>
      <c r="BE26" s="176"/>
      <c r="BF26" s="176"/>
      <c r="BG26" s="176"/>
      <c r="BH26" s="176"/>
      <c r="BI26" s="176"/>
      <c r="BJ26" s="176"/>
      <c r="BK26" s="176"/>
      <c r="BL26" s="176"/>
      <c r="BM26" s="176"/>
      <c r="BN26" s="176"/>
      <c r="BO26" s="176"/>
      <c r="BP26" s="176"/>
    </row>
    <row r="27" spans="1:68" s="36" customFormat="1" ht="11.25" customHeight="1" x14ac:dyDescent="0.2">
      <c r="A27" s="1266"/>
      <c r="B27" s="707"/>
      <c r="C27" s="707"/>
      <c r="D27" s="1267"/>
      <c r="E27" s="2768"/>
      <c r="F27" s="2769"/>
      <c r="G27" s="1271"/>
      <c r="H27" s="2764">
        <f t="shared" si="0"/>
        <v>0</v>
      </c>
      <c r="I27" s="2765"/>
      <c r="J27" s="1330">
        <f t="shared" si="1"/>
        <v>0</v>
      </c>
      <c r="K27" s="1273"/>
      <c r="L27" s="2762"/>
      <c r="M27" s="2763"/>
      <c r="N27" s="1333">
        <f t="shared" si="2"/>
        <v>0</v>
      </c>
      <c r="O27" s="506"/>
      <c r="P27" s="2535"/>
      <c r="Q27" s="2536"/>
      <c r="R27" s="2536"/>
      <c r="S27" s="2536"/>
      <c r="T27" s="129"/>
      <c r="U27" s="129"/>
      <c r="V27" s="129"/>
      <c r="W27" s="129"/>
      <c r="X27" s="129"/>
      <c r="Y27" s="129"/>
      <c r="Z27" s="129"/>
      <c r="AA27" s="133"/>
      <c r="AB27" s="133"/>
      <c r="AC27" s="133"/>
      <c r="AD27" s="133"/>
      <c r="AE27" s="133"/>
      <c r="AF27" s="133"/>
      <c r="AG27" s="222"/>
      <c r="AH27" s="222"/>
      <c r="AI27" s="222"/>
      <c r="AJ27" s="176"/>
      <c r="AK27" s="176"/>
      <c r="AL27" s="176"/>
      <c r="AM27" s="176"/>
      <c r="AN27" s="176"/>
      <c r="AO27" s="176"/>
      <c r="AP27" s="176"/>
      <c r="AQ27" s="176"/>
      <c r="AR27" s="176"/>
      <c r="AS27" s="176"/>
      <c r="AT27" s="176"/>
      <c r="AU27" s="176"/>
      <c r="AV27" s="176"/>
      <c r="AW27" s="176"/>
      <c r="AX27" s="176"/>
      <c r="AY27" s="176"/>
      <c r="AZ27" s="176"/>
      <c r="BA27" s="176"/>
      <c r="BB27" s="176"/>
      <c r="BC27" s="176"/>
      <c r="BD27" s="176"/>
      <c r="BE27" s="176"/>
      <c r="BF27" s="176"/>
      <c r="BG27" s="176"/>
      <c r="BH27" s="176"/>
      <c r="BI27" s="176"/>
      <c r="BJ27" s="176"/>
      <c r="BK27" s="176"/>
      <c r="BL27" s="176"/>
      <c r="BM27" s="176"/>
      <c r="BN27" s="176"/>
      <c r="BO27" s="176"/>
      <c r="BP27" s="176"/>
    </row>
    <row r="28" spans="1:68" s="36" customFormat="1" ht="11.25" customHeight="1" x14ac:dyDescent="0.2">
      <c r="A28" s="1266"/>
      <c r="B28" s="707"/>
      <c r="C28" s="707"/>
      <c r="D28" s="1267"/>
      <c r="E28" s="2768"/>
      <c r="F28" s="2769"/>
      <c r="G28" s="1271"/>
      <c r="H28" s="2764">
        <f t="shared" si="0"/>
        <v>0</v>
      </c>
      <c r="I28" s="2765"/>
      <c r="J28" s="1330">
        <f t="shared" si="1"/>
        <v>0</v>
      </c>
      <c r="K28" s="1273"/>
      <c r="L28" s="2762"/>
      <c r="M28" s="2763"/>
      <c r="N28" s="1333">
        <f t="shared" si="2"/>
        <v>0</v>
      </c>
      <c r="O28" s="506"/>
      <c r="P28" s="513"/>
      <c r="Q28" s="514"/>
      <c r="R28" s="515"/>
      <c r="S28" s="516"/>
      <c r="T28" s="129"/>
      <c r="U28" s="129"/>
      <c r="V28" s="129"/>
      <c r="W28" s="129"/>
      <c r="X28" s="129"/>
      <c r="Y28" s="129"/>
      <c r="Z28" s="129"/>
      <c r="AA28" s="133"/>
      <c r="AB28" s="133"/>
      <c r="AC28" s="133"/>
      <c r="AD28" s="133"/>
      <c r="AE28" s="133"/>
      <c r="AF28" s="133"/>
      <c r="AG28" s="222"/>
      <c r="AH28" s="222"/>
      <c r="AI28" s="222"/>
      <c r="AJ28" s="176"/>
      <c r="AK28" s="176"/>
      <c r="AL28" s="176"/>
      <c r="AM28" s="176"/>
      <c r="AN28" s="176"/>
      <c r="AO28" s="176"/>
      <c r="AP28" s="176"/>
      <c r="AQ28" s="176"/>
      <c r="AR28" s="176"/>
      <c r="AS28" s="176"/>
      <c r="AT28" s="176"/>
      <c r="AU28" s="176"/>
      <c r="AV28" s="176"/>
      <c r="AW28" s="176"/>
      <c r="AX28" s="176"/>
      <c r="AY28" s="176"/>
      <c r="AZ28" s="176"/>
      <c r="BA28" s="176"/>
      <c r="BB28" s="176"/>
      <c r="BC28" s="176"/>
      <c r="BD28" s="176"/>
      <c r="BE28" s="176"/>
      <c r="BF28" s="176"/>
      <c r="BG28" s="176"/>
      <c r="BH28" s="176"/>
      <c r="BI28" s="176"/>
      <c r="BJ28" s="176"/>
      <c r="BK28" s="176"/>
      <c r="BL28" s="176"/>
      <c r="BM28" s="176"/>
      <c r="BN28" s="176"/>
      <c r="BO28" s="176"/>
      <c r="BP28" s="176"/>
    </row>
    <row r="29" spans="1:68" s="36" customFormat="1" ht="11.25" customHeight="1" x14ac:dyDescent="0.2">
      <c r="A29" s="1266"/>
      <c r="B29" s="707"/>
      <c r="C29" s="707"/>
      <c r="D29" s="1267"/>
      <c r="E29" s="2768"/>
      <c r="F29" s="2769"/>
      <c r="G29" s="1271"/>
      <c r="H29" s="2764">
        <f t="shared" si="0"/>
        <v>0</v>
      </c>
      <c r="I29" s="2765"/>
      <c r="J29" s="1330">
        <f t="shared" si="1"/>
        <v>0</v>
      </c>
      <c r="K29" s="1273"/>
      <c r="L29" s="2762"/>
      <c r="M29" s="2763"/>
      <c r="N29" s="1333">
        <f t="shared" si="2"/>
        <v>0</v>
      </c>
      <c r="O29" s="506"/>
      <c r="P29" s="513"/>
      <c r="Q29" s="514"/>
      <c r="R29" s="515"/>
      <c r="S29" s="516"/>
      <c r="T29" s="129"/>
      <c r="U29" s="129"/>
      <c r="V29" s="129"/>
      <c r="W29" s="129"/>
      <c r="X29" s="129"/>
      <c r="Y29" s="129"/>
      <c r="Z29" s="129"/>
      <c r="AA29" s="133"/>
      <c r="AB29" s="133"/>
      <c r="AC29" s="133"/>
      <c r="AD29" s="133"/>
      <c r="AE29" s="133"/>
      <c r="AF29" s="133"/>
      <c r="AG29" s="222"/>
      <c r="AH29" s="222"/>
      <c r="AI29" s="222"/>
      <c r="AJ29" s="176"/>
      <c r="AK29" s="176"/>
      <c r="AL29" s="176"/>
      <c r="AM29" s="176"/>
      <c r="AN29" s="176"/>
      <c r="AO29" s="176"/>
      <c r="AP29" s="176"/>
      <c r="AQ29" s="176"/>
      <c r="AR29" s="176"/>
      <c r="AS29" s="176"/>
      <c r="AT29" s="176"/>
      <c r="AU29" s="176"/>
      <c r="AV29" s="176"/>
      <c r="AW29" s="176"/>
      <c r="AX29" s="176"/>
      <c r="AY29" s="176"/>
      <c r="AZ29" s="176"/>
      <c r="BA29" s="176"/>
      <c r="BB29" s="176"/>
      <c r="BC29" s="176"/>
      <c r="BD29" s="176"/>
      <c r="BE29" s="176"/>
      <c r="BF29" s="176"/>
      <c r="BG29" s="176"/>
      <c r="BH29" s="176"/>
      <c r="BI29" s="176"/>
      <c r="BJ29" s="176"/>
      <c r="BK29" s="176"/>
      <c r="BL29" s="176"/>
      <c r="BM29" s="176"/>
      <c r="BN29" s="176"/>
      <c r="BO29" s="176"/>
      <c r="BP29" s="176"/>
    </row>
    <row r="30" spans="1:68" s="36" customFormat="1" ht="11.25" customHeight="1" x14ac:dyDescent="0.2">
      <c r="A30" s="1266"/>
      <c r="B30" s="707"/>
      <c r="C30" s="707"/>
      <c r="D30" s="1267"/>
      <c r="E30" s="2768"/>
      <c r="F30" s="2769"/>
      <c r="G30" s="1271"/>
      <c r="H30" s="2764">
        <f t="shared" si="0"/>
        <v>0</v>
      </c>
      <c r="I30" s="2765"/>
      <c r="J30" s="1330">
        <f t="shared" si="1"/>
        <v>0</v>
      </c>
      <c r="K30" s="1273"/>
      <c r="L30" s="2762"/>
      <c r="M30" s="2763"/>
      <c r="N30" s="1333">
        <f t="shared" si="2"/>
        <v>0</v>
      </c>
      <c r="O30" s="506"/>
      <c r="P30" s="513"/>
      <c r="Q30" s="514"/>
      <c r="R30" s="515"/>
      <c r="S30" s="516"/>
      <c r="T30" s="129"/>
      <c r="U30" s="129"/>
      <c r="V30" s="129"/>
      <c r="W30" s="129"/>
      <c r="X30" s="129"/>
      <c r="Y30" s="129"/>
      <c r="Z30" s="129"/>
      <c r="AA30" s="133"/>
      <c r="AB30" s="133"/>
      <c r="AC30" s="133"/>
      <c r="AD30" s="133"/>
      <c r="AE30" s="133"/>
      <c r="AF30" s="133"/>
      <c r="AG30" s="222"/>
      <c r="AH30" s="222"/>
      <c r="AI30" s="222"/>
      <c r="AJ30" s="176"/>
      <c r="AK30" s="176"/>
      <c r="AL30" s="176"/>
      <c r="AM30" s="176"/>
      <c r="AN30" s="176"/>
      <c r="AO30" s="176"/>
      <c r="AP30" s="176"/>
      <c r="AQ30" s="176"/>
      <c r="AR30" s="176"/>
      <c r="AS30" s="176"/>
      <c r="AT30" s="176"/>
      <c r="AU30" s="176"/>
      <c r="AV30" s="176"/>
      <c r="AW30" s="176"/>
      <c r="AX30" s="176"/>
      <c r="AY30" s="176"/>
      <c r="AZ30" s="176"/>
      <c r="BA30" s="176"/>
      <c r="BB30" s="176"/>
      <c r="BC30" s="176"/>
      <c r="BD30" s="176"/>
      <c r="BE30" s="176"/>
      <c r="BF30" s="176"/>
      <c r="BG30" s="176"/>
      <c r="BH30" s="176"/>
      <c r="BI30" s="176"/>
      <c r="BJ30" s="176"/>
      <c r="BK30" s="176"/>
      <c r="BL30" s="176"/>
      <c r="BM30" s="176"/>
      <c r="BN30" s="176"/>
      <c r="BO30" s="176"/>
      <c r="BP30" s="176"/>
    </row>
    <row r="31" spans="1:68" s="36" customFormat="1" ht="11.25" customHeight="1" x14ac:dyDescent="0.2">
      <c r="A31" s="1266"/>
      <c r="B31" s="707"/>
      <c r="C31" s="707"/>
      <c r="D31" s="1267"/>
      <c r="E31" s="2768"/>
      <c r="F31" s="2769"/>
      <c r="G31" s="1271"/>
      <c r="H31" s="2764">
        <f t="shared" si="0"/>
        <v>0</v>
      </c>
      <c r="I31" s="2765"/>
      <c r="J31" s="1330">
        <f t="shared" si="1"/>
        <v>0</v>
      </c>
      <c r="K31" s="1273"/>
      <c r="L31" s="2762"/>
      <c r="M31" s="2763"/>
      <c r="N31" s="1333">
        <f t="shared" si="2"/>
        <v>0</v>
      </c>
      <c r="O31" s="506"/>
      <c r="P31" s="513"/>
      <c r="Q31" s="514"/>
      <c r="R31" s="515"/>
      <c r="S31" s="516"/>
      <c r="T31" s="129"/>
      <c r="U31" s="129"/>
      <c r="V31" s="129"/>
      <c r="W31" s="129"/>
      <c r="X31" s="129"/>
      <c r="Y31" s="129"/>
      <c r="Z31" s="129"/>
      <c r="AA31" s="133"/>
      <c r="AB31" s="133"/>
      <c r="AC31" s="133"/>
      <c r="AD31" s="133"/>
      <c r="AE31" s="133"/>
      <c r="AF31" s="133"/>
      <c r="AG31" s="222"/>
      <c r="AH31" s="222"/>
      <c r="AI31" s="222"/>
      <c r="AJ31" s="176"/>
      <c r="AK31" s="176"/>
      <c r="AL31" s="176"/>
      <c r="AM31" s="176"/>
      <c r="AN31" s="176"/>
      <c r="AO31" s="176"/>
      <c r="AP31" s="176"/>
      <c r="AQ31" s="176"/>
      <c r="AR31" s="176"/>
      <c r="AS31" s="176"/>
      <c r="AT31" s="176"/>
      <c r="AU31" s="176"/>
      <c r="AV31" s="176"/>
      <c r="AW31" s="176"/>
      <c r="AX31" s="176"/>
      <c r="AY31" s="176"/>
      <c r="AZ31" s="176"/>
      <c r="BA31" s="176"/>
      <c r="BB31" s="176"/>
      <c r="BC31" s="176"/>
      <c r="BD31" s="176"/>
      <c r="BE31" s="176"/>
      <c r="BF31" s="176"/>
      <c r="BG31" s="176"/>
      <c r="BH31" s="176"/>
      <c r="BI31" s="176"/>
      <c r="BJ31" s="176"/>
      <c r="BK31" s="176"/>
      <c r="BL31" s="176"/>
      <c r="BM31" s="176"/>
      <c r="BN31" s="176"/>
      <c r="BO31" s="176"/>
      <c r="BP31" s="176"/>
    </row>
    <row r="32" spans="1:68" s="36" customFormat="1" ht="11.25" customHeight="1" x14ac:dyDescent="0.2">
      <c r="A32" s="1266"/>
      <c r="B32" s="707"/>
      <c r="C32" s="707"/>
      <c r="D32" s="1267"/>
      <c r="E32" s="2768"/>
      <c r="F32" s="2769"/>
      <c r="G32" s="1271"/>
      <c r="H32" s="2764">
        <f t="shared" si="0"/>
        <v>0</v>
      </c>
      <c r="I32" s="2765"/>
      <c r="J32" s="1330">
        <f t="shared" si="1"/>
        <v>0</v>
      </c>
      <c r="K32" s="1273"/>
      <c r="L32" s="2762"/>
      <c r="M32" s="2763"/>
      <c r="N32" s="1333">
        <f t="shared" si="2"/>
        <v>0</v>
      </c>
      <c r="O32" s="506"/>
      <c r="P32" s="513"/>
      <c r="Q32" s="514"/>
      <c r="R32" s="515"/>
      <c r="S32" s="516"/>
      <c r="T32" s="129"/>
      <c r="U32" s="129"/>
      <c r="V32" s="129"/>
      <c r="W32" s="129"/>
      <c r="X32" s="129"/>
      <c r="Y32" s="129"/>
      <c r="Z32" s="129"/>
      <c r="AA32" s="133"/>
      <c r="AB32" s="133"/>
      <c r="AC32" s="133"/>
      <c r="AD32" s="133"/>
      <c r="AE32" s="133"/>
      <c r="AF32" s="133"/>
      <c r="AG32" s="222"/>
      <c r="AH32" s="222"/>
      <c r="AI32" s="222"/>
      <c r="AJ32" s="176"/>
      <c r="AK32" s="176"/>
      <c r="AL32" s="176"/>
      <c r="AM32" s="176"/>
      <c r="AN32" s="176"/>
      <c r="AO32" s="176"/>
      <c r="AP32" s="176"/>
      <c r="AQ32" s="176"/>
      <c r="AR32" s="176"/>
      <c r="AS32" s="176"/>
      <c r="AT32" s="176"/>
      <c r="AU32" s="176"/>
      <c r="AV32" s="176"/>
      <c r="AW32" s="176"/>
      <c r="AX32" s="176"/>
      <c r="AY32" s="176"/>
      <c r="AZ32" s="176"/>
      <c r="BA32" s="176"/>
      <c r="BB32" s="176"/>
      <c r="BC32" s="176"/>
      <c r="BD32" s="176"/>
      <c r="BE32" s="176"/>
      <c r="BF32" s="176"/>
      <c r="BG32" s="176"/>
      <c r="BH32" s="176"/>
      <c r="BI32" s="176"/>
      <c r="BJ32" s="176"/>
      <c r="BK32" s="176"/>
      <c r="BL32" s="176"/>
      <c r="BM32" s="176"/>
      <c r="BN32" s="176"/>
      <c r="BO32" s="176"/>
      <c r="BP32" s="176"/>
    </row>
    <row r="33" spans="1:69" s="36" customFormat="1" ht="11.25" customHeight="1" x14ac:dyDescent="0.2">
      <c r="A33" s="1266"/>
      <c r="B33" s="707"/>
      <c r="C33" s="707"/>
      <c r="D33" s="1267"/>
      <c r="E33" s="2768"/>
      <c r="F33" s="2769"/>
      <c r="G33" s="1271"/>
      <c r="H33" s="2764">
        <f t="shared" si="0"/>
        <v>0</v>
      </c>
      <c r="I33" s="2765"/>
      <c r="J33" s="1330">
        <f t="shared" si="1"/>
        <v>0</v>
      </c>
      <c r="K33" s="1273"/>
      <c r="L33" s="2762"/>
      <c r="M33" s="2763"/>
      <c r="N33" s="1333">
        <f t="shared" si="2"/>
        <v>0</v>
      </c>
      <c r="O33" s="506"/>
      <c r="P33" s="513"/>
      <c r="Q33" s="514"/>
      <c r="R33" s="515"/>
      <c r="S33" s="516"/>
      <c r="T33" s="129"/>
      <c r="U33" s="129"/>
      <c r="V33" s="129"/>
      <c r="W33" s="129"/>
      <c r="X33" s="129"/>
      <c r="Y33" s="129"/>
      <c r="Z33" s="129"/>
      <c r="AA33" s="133"/>
      <c r="AB33" s="133"/>
      <c r="AC33" s="133"/>
      <c r="AD33" s="133"/>
      <c r="AE33" s="133"/>
      <c r="AF33" s="133"/>
      <c r="AG33" s="222"/>
      <c r="AH33" s="222"/>
      <c r="AI33" s="222"/>
      <c r="AJ33" s="176"/>
      <c r="AK33" s="176"/>
      <c r="AL33" s="176"/>
      <c r="AM33" s="176"/>
      <c r="AN33" s="176"/>
      <c r="AO33" s="176"/>
      <c r="AP33" s="176"/>
      <c r="AQ33" s="176"/>
      <c r="AR33" s="176"/>
      <c r="AS33" s="176"/>
      <c r="AT33" s="176"/>
      <c r="AU33" s="176"/>
      <c r="AV33" s="176"/>
      <c r="AW33" s="176"/>
      <c r="AX33" s="176"/>
      <c r="AY33" s="176"/>
      <c r="AZ33" s="176"/>
      <c r="BA33" s="176"/>
      <c r="BB33" s="176"/>
      <c r="BC33" s="176"/>
      <c r="BD33" s="176"/>
      <c r="BE33" s="176"/>
      <c r="BF33" s="176"/>
      <c r="BG33" s="176"/>
      <c r="BH33" s="176"/>
      <c r="BI33" s="176"/>
      <c r="BJ33" s="176"/>
      <c r="BK33" s="176"/>
      <c r="BL33" s="176"/>
      <c r="BM33" s="176"/>
      <c r="BN33" s="176"/>
      <c r="BO33" s="176"/>
      <c r="BP33" s="176"/>
    </row>
    <row r="34" spans="1:69" s="36" customFormat="1" ht="11.25" customHeight="1" x14ac:dyDescent="0.2">
      <c r="A34" s="1266"/>
      <c r="B34" s="707"/>
      <c r="C34" s="707"/>
      <c r="D34" s="1267"/>
      <c r="E34" s="2768"/>
      <c r="F34" s="2769"/>
      <c r="G34" s="1271"/>
      <c r="H34" s="2764">
        <f t="shared" si="0"/>
        <v>0</v>
      </c>
      <c r="I34" s="2765"/>
      <c r="J34" s="1330">
        <f t="shared" si="1"/>
        <v>0</v>
      </c>
      <c r="K34" s="1273"/>
      <c r="L34" s="2762"/>
      <c r="M34" s="2763"/>
      <c r="N34" s="1333">
        <f t="shared" si="2"/>
        <v>0</v>
      </c>
      <c r="O34" s="506"/>
      <c r="P34" s="513"/>
      <c r="Q34" s="514"/>
      <c r="R34" s="515"/>
      <c r="S34" s="516"/>
      <c r="T34" s="129"/>
      <c r="U34" s="129"/>
      <c r="V34" s="129"/>
      <c r="W34" s="129"/>
      <c r="X34" s="129"/>
      <c r="Y34" s="129"/>
      <c r="Z34" s="129"/>
      <c r="AA34" s="133"/>
      <c r="AB34" s="133"/>
      <c r="AC34" s="133"/>
      <c r="AD34" s="133"/>
      <c r="AE34" s="133"/>
      <c r="AF34" s="133"/>
      <c r="AG34" s="222"/>
      <c r="AH34" s="222"/>
      <c r="AI34" s="222"/>
      <c r="AJ34" s="176"/>
      <c r="AK34" s="176"/>
      <c r="AL34" s="176"/>
      <c r="AM34" s="176"/>
      <c r="AN34" s="176"/>
      <c r="AO34" s="176"/>
      <c r="AP34" s="176"/>
      <c r="AQ34" s="176"/>
      <c r="AR34" s="176"/>
      <c r="AS34" s="176"/>
      <c r="AT34" s="176"/>
      <c r="AU34" s="176"/>
      <c r="AV34" s="176"/>
      <c r="AW34" s="176"/>
      <c r="AX34" s="176"/>
      <c r="AY34" s="176"/>
      <c r="AZ34" s="176"/>
      <c r="BA34" s="176"/>
      <c r="BB34" s="176"/>
      <c r="BC34" s="176"/>
      <c r="BD34" s="176"/>
      <c r="BE34" s="176"/>
      <c r="BF34" s="176"/>
      <c r="BG34" s="176"/>
      <c r="BH34" s="176"/>
      <c r="BI34" s="176"/>
      <c r="BJ34" s="176"/>
      <c r="BK34" s="176"/>
      <c r="BL34" s="176"/>
      <c r="BM34" s="176"/>
      <c r="BN34" s="176"/>
      <c r="BO34" s="176"/>
      <c r="BP34" s="176"/>
    </row>
    <row r="35" spans="1:69" s="36" customFormat="1" ht="11.25" customHeight="1" x14ac:dyDescent="0.2">
      <c r="A35" s="1266"/>
      <c r="B35" s="707"/>
      <c r="C35" s="707"/>
      <c r="D35" s="1267"/>
      <c r="E35" s="2768"/>
      <c r="F35" s="2769"/>
      <c r="G35" s="1271"/>
      <c r="H35" s="2764">
        <f t="shared" si="0"/>
        <v>0</v>
      </c>
      <c r="I35" s="2765"/>
      <c r="J35" s="1330">
        <f t="shared" si="1"/>
        <v>0</v>
      </c>
      <c r="K35" s="1273"/>
      <c r="L35" s="2762"/>
      <c r="M35" s="2763"/>
      <c r="N35" s="1333">
        <f t="shared" si="2"/>
        <v>0</v>
      </c>
      <c r="O35" s="506"/>
      <c r="P35" s="513"/>
      <c r="Q35" s="514"/>
      <c r="R35" s="515"/>
      <c r="S35" s="516"/>
      <c r="T35" s="129"/>
      <c r="U35" s="129"/>
      <c r="V35" s="129"/>
      <c r="W35" s="129"/>
      <c r="X35" s="129"/>
      <c r="Y35" s="129"/>
      <c r="Z35" s="129"/>
      <c r="AA35" s="133"/>
      <c r="AB35" s="133"/>
      <c r="AC35" s="133"/>
      <c r="AD35" s="133"/>
      <c r="AE35" s="133"/>
      <c r="AF35" s="133"/>
      <c r="AG35" s="222"/>
      <c r="AH35" s="222"/>
      <c r="AI35" s="222"/>
      <c r="AJ35" s="176"/>
      <c r="AK35" s="176"/>
      <c r="AL35" s="176"/>
      <c r="AM35" s="176"/>
      <c r="AN35" s="176"/>
      <c r="AO35" s="176"/>
      <c r="AP35" s="176"/>
      <c r="AQ35" s="176"/>
      <c r="AR35" s="176"/>
      <c r="AS35" s="176"/>
      <c r="AT35" s="176"/>
      <c r="AU35" s="176"/>
      <c r="AV35" s="176"/>
      <c r="AW35" s="176"/>
      <c r="AX35" s="176"/>
      <c r="AY35" s="176"/>
      <c r="AZ35" s="176"/>
      <c r="BA35" s="176"/>
      <c r="BB35" s="176"/>
      <c r="BC35" s="176"/>
      <c r="BD35" s="176"/>
      <c r="BE35" s="176"/>
      <c r="BF35" s="176"/>
      <c r="BG35" s="176"/>
      <c r="BH35" s="176"/>
      <c r="BI35" s="176"/>
      <c r="BJ35" s="176"/>
      <c r="BK35" s="176"/>
      <c r="BL35" s="176"/>
      <c r="BM35" s="176"/>
      <c r="BN35" s="176"/>
      <c r="BO35" s="176"/>
      <c r="BP35" s="176"/>
    </row>
    <row r="36" spans="1:69" s="36" customFormat="1" ht="11.25" customHeight="1" x14ac:dyDescent="0.2">
      <c r="A36" s="1266"/>
      <c r="B36" s="707"/>
      <c r="C36" s="707"/>
      <c r="D36" s="1267"/>
      <c r="E36" s="2768"/>
      <c r="F36" s="2769"/>
      <c r="G36" s="1271"/>
      <c r="H36" s="2764">
        <f t="shared" si="0"/>
        <v>0</v>
      </c>
      <c r="I36" s="2765"/>
      <c r="J36" s="1330">
        <f t="shared" si="1"/>
        <v>0</v>
      </c>
      <c r="K36" s="1273"/>
      <c r="L36" s="2762"/>
      <c r="M36" s="2763"/>
      <c r="N36" s="1333">
        <f t="shared" si="2"/>
        <v>0</v>
      </c>
      <c r="O36" s="506"/>
      <c r="P36" s="513"/>
      <c r="Q36" s="514"/>
      <c r="R36" s="515"/>
      <c r="S36" s="516"/>
      <c r="T36" s="129"/>
      <c r="U36" s="129"/>
      <c r="V36" s="129"/>
      <c r="W36" s="129"/>
      <c r="X36" s="129"/>
      <c r="Y36" s="129"/>
      <c r="Z36" s="129"/>
      <c r="AA36" s="133"/>
      <c r="AB36" s="133"/>
      <c r="AC36" s="133"/>
      <c r="AD36" s="133"/>
      <c r="AE36" s="133"/>
      <c r="AF36" s="133"/>
      <c r="AG36" s="222"/>
      <c r="AH36" s="222"/>
      <c r="AI36" s="222"/>
      <c r="AJ36" s="176"/>
      <c r="AK36" s="176"/>
      <c r="AL36" s="176"/>
      <c r="AM36" s="176"/>
      <c r="AN36" s="176"/>
      <c r="AO36" s="176"/>
      <c r="AP36" s="176"/>
      <c r="AQ36" s="176"/>
      <c r="AR36" s="176"/>
      <c r="AS36" s="176"/>
      <c r="AT36" s="176"/>
      <c r="AU36" s="176"/>
      <c r="AV36" s="176"/>
      <c r="AW36" s="176"/>
      <c r="AX36" s="176"/>
      <c r="AY36" s="176"/>
      <c r="AZ36" s="176"/>
      <c r="BA36" s="176"/>
      <c r="BB36" s="176"/>
      <c r="BC36" s="176"/>
      <c r="BD36" s="176"/>
      <c r="BE36" s="176"/>
      <c r="BF36" s="176"/>
      <c r="BG36" s="176"/>
      <c r="BH36" s="176"/>
      <c r="BI36" s="176"/>
      <c r="BJ36" s="176"/>
      <c r="BK36" s="176"/>
      <c r="BL36" s="176"/>
      <c r="BM36" s="176"/>
      <c r="BN36" s="176"/>
      <c r="BO36" s="176"/>
      <c r="BP36" s="176"/>
    </row>
    <row r="37" spans="1:69" s="36" customFormat="1" ht="11.25" customHeight="1" x14ac:dyDescent="0.2">
      <c r="A37" s="1266"/>
      <c r="B37" s="707"/>
      <c r="C37" s="707"/>
      <c r="D37" s="1267"/>
      <c r="E37" s="2768"/>
      <c r="F37" s="2769"/>
      <c r="G37" s="1271"/>
      <c r="H37" s="2764">
        <f t="shared" si="0"/>
        <v>0</v>
      </c>
      <c r="I37" s="2765"/>
      <c r="J37" s="1330">
        <f t="shared" si="1"/>
        <v>0</v>
      </c>
      <c r="K37" s="1273"/>
      <c r="L37" s="2762"/>
      <c r="M37" s="2763"/>
      <c r="N37" s="1333">
        <f t="shared" si="2"/>
        <v>0</v>
      </c>
      <c r="O37" s="506"/>
      <c r="P37" s="513"/>
      <c r="Q37" s="514"/>
      <c r="R37" s="515"/>
      <c r="S37" s="516"/>
      <c r="T37" s="129"/>
      <c r="U37" s="129"/>
      <c r="V37" s="129"/>
      <c r="W37" s="129"/>
      <c r="X37" s="129"/>
      <c r="Y37" s="129"/>
      <c r="Z37" s="129"/>
      <c r="AA37" s="133"/>
      <c r="AB37" s="133"/>
      <c r="AC37" s="133"/>
      <c r="AD37" s="133"/>
      <c r="AE37" s="133"/>
      <c r="AF37" s="133"/>
      <c r="AG37" s="222"/>
      <c r="AH37" s="222"/>
      <c r="AI37" s="222"/>
      <c r="AJ37" s="176"/>
      <c r="AK37" s="176"/>
      <c r="AL37" s="176"/>
      <c r="AM37" s="176"/>
      <c r="AN37" s="176"/>
      <c r="AO37" s="176"/>
      <c r="AP37" s="176"/>
      <c r="AQ37" s="176"/>
      <c r="AR37" s="176"/>
      <c r="AS37" s="176"/>
      <c r="AT37" s="176"/>
      <c r="AU37" s="176"/>
      <c r="AV37" s="176"/>
      <c r="AW37" s="176"/>
      <c r="AX37" s="176"/>
      <c r="AY37" s="176"/>
      <c r="AZ37" s="176"/>
      <c r="BA37" s="176"/>
      <c r="BB37" s="176"/>
      <c r="BC37" s="176"/>
      <c r="BD37" s="176"/>
      <c r="BE37" s="176"/>
      <c r="BF37" s="176"/>
      <c r="BG37" s="176"/>
      <c r="BH37" s="176"/>
      <c r="BI37" s="176"/>
      <c r="BJ37" s="176"/>
      <c r="BK37" s="176"/>
      <c r="BL37" s="176"/>
      <c r="BM37" s="176"/>
      <c r="BN37" s="176"/>
      <c r="BO37" s="176"/>
      <c r="BP37" s="176"/>
    </row>
    <row r="38" spans="1:69" s="36" customFormat="1" ht="11.25" customHeight="1" x14ac:dyDescent="0.2">
      <c r="A38" s="1268"/>
      <c r="B38" s="1269"/>
      <c r="C38" s="1269"/>
      <c r="D38" s="1270"/>
      <c r="E38" s="2770"/>
      <c r="F38" s="2771"/>
      <c r="G38" s="1272"/>
      <c r="H38" s="2784">
        <f t="shared" si="0"/>
        <v>0</v>
      </c>
      <c r="I38" s="2785"/>
      <c r="J38" s="1331">
        <f t="shared" si="1"/>
        <v>0</v>
      </c>
      <c r="K38" s="1274"/>
      <c r="L38" s="2786"/>
      <c r="M38" s="2787"/>
      <c r="N38" s="1334">
        <f t="shared" si="2"/>
        <v>0</v>
      </c>
      <c r="O38" s="506"/>
      <c r="P38" s="513"/>
      <c r="Q38" s="514"/>
      <c r="R38" s="515"/>
      <c r="S38" s="516"/>
      <c r="T38" s="129"/>
      <c r="U38" s="129"/>
      <c r="V38" s="129"/>
      <c r="W38" s="129"/>
      <c r="X38" s="129"/>
      <c r="Y38" s="129"/>
      <c r="Z38" s="129"/>
      <c r="AA38" s="133"/>
      <c r="AB38" s="133"/>
      <c r="AC38" s="133"/>
      <c r="AD38" s="133"/>
      <c r="AE38" s="133"/>
      <c r="AF38" s="133"/>
      <c r="AG38" s="222"/>
      <c r="AH38" s="222"/>
      <c r="AI38" s="222"/>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row>
    <row r="39" spans="1:69" s="36" customFormat="1" ht="14.1" customHeight="1" x14ac:dyDescent="0.2">
      <c r="A39" s="1051" t="s">
        <v>13</v>
      </c>
      <c r="B39" s="1201"/>
      <c r="C39" s="1202"/>
      <c r="D39" s="1286"/>
      <c r="E39" s="2539">
        <f>IF($X$11,E14,ROUND(SUM(E15:E38),-2))</f>
        <v>0</v>
      </c>
      <c r="F39" s="2540"/>
      <c r="G39" s="1203">
        <f>IF($X$11,G14,IF($E$39&gt;0,SUMPRODUCT($E$15:$E$38,$G$15:$G$38)/$E$39,0))</f>
        <v>0</v>
      </c>
      <c r="H39" s="2357">
        <f>IF(E39=0,0,J39/E39)</f>
        <v>0</v>
      </c>
      <c r="I39" s="2358"/>
      <c r="J39" s="1052">
        <f>IF($X$11,J14,ROUND(SUM(J15:J38),0))</f>
        <v>0</v>
      </c>
      <c r="K39" s="1204">
        <f>IF(E39=0,0,N39/E39*100)</f>
        <v>0</v>
      </c>
      <c r="L39" s="2537"/>
      <c r="M39" s="2537"/>
      <c r="N39" s="1205">
        <f>IF($X$11,N14,ROUND(SUM(N15:N38),-1))</f>
        <v>0</v>
      </c>
      <c r="O39" s="122"/>
      <c r="P39" s="150"/>
      <c r="Q39" s="137"/>
      <c r="R39" s="129"/>
      <c r="S39" s="136"/>
      <c r="T39" s="138"/>
      <c r="U39" s="124"/>
      <c r="V39" s="124"/>
      <c r="W39" s="124"/>
      <c r="X39" s="124"/>
      <c r="Y39" s="124"/>
      <c r="Z39" s="124"/>
      <c r="AA39" s="123"/>
      <c r="AB39" s="123"/>
      <c r="AC39" s="123"/>
      <c r="AD39" s="123"/>
      <c r="AE39" s="123"/>
      <c r="AF39" s="123"/>
      <c r="AG39" s="174"/>
      <c r="AH39" s="174"/>
      <c r="AI39" s="174"/>
      <c r="AJ39" s="175"/>
      <c r="AK39" s="175"/>
      <c r="AL39" s="176"/>
      <c r="AM39" s="176"/>
      <c r="AN39" s="176"/>
      <c r="AO39" s="176"/>
      <c r="AP39" s="176"/>
      <c r="AQ39" s="176"/>
      <c r="AR39" s="176"/>
      <c r="AS39" s="176"/>
      <c r="AT39" s="176"/>
      <c r="AU39" s="176"/>
      <c r="AV39" s="176"/>
      <c r="AW39" s="176"/>
      <c r="AX39" s="176"/>
      <c r="AY39" s="176"/>
      <c r="AZ39" s="176"/>
      <c r="BA39" s="176"/>
      <c r="BB39" s="176"/>
      <c r="BC39" s="176"/>
      <c r="BD39" s="176"/>
      <c r="BE39" s="176"/>
      <c r="BF39" s="176"/>
      <c r="BG39" s="176"/>
      <c r="BH39" s="176"/>
      <c r="BI39" s="176"/>
      <c r="BJ39" s="176"/>
      <c r="BK39" s="176"/>
      <c r="BL39" s="176"/>
      <c r="BM39" s="176"/>
      <c r="BN39" s="176"/>
      <c r="BO39" s="176"/>
      <c r="BP39" s="176"/>
    </row>
    <row r="40" spans="1:69" ht="6" customHeight="1" x14ac:dyDescent="0.2">
      <c r="A40" s="34" t="s">
        <v>11</v>
      </c>
      <c r="B40" s="43"/>
      <c r="C40" s="43"/>
      <c r="D40" s="43"/>
      <c r="E40" s="43"/>
      <c r="F40" s="43"/>
      <c r="G40" s="32"/>
      <c r="J40" s="34"/>
      <c r="O40" s="123"/>
      <c r="P40" s="301"/>
      <c r="Q40" s="301"/>
      <c r="R40" s="125"/>
      <c r="S40" s="124"/>
      <c r="T40" s="124"/>
      <c r="U40" s="124"/>
      <c r="V40" s="124"/>
      <c r="W40" s="124"/>
      <c r="X40" s="124"/>
      <c r="Y40" s="124"/>
      <c r="AF40" s="174"/>
      <c r="AG40" s="174"/>
      <c r="AI40" s="175"/>
      <c r="AJ40" s="175"/>
      <c r="BP40" s="32"/>
      <c r="BQ40" s="32"/>
    </row>
    <row r="41" spans="1:69" ht="17.25" customHeight="1" x14ac:dyDescent="0.25">
      <c r="A41" s="49" t="s">
        <v>91</v>
      </c>
      <c r="B41" s="33"/>
      <c r="E41" s="44"/>
      <c r="F41" s="44"/>
      <c r="G41" s="122"/>
      <c r="H41" s="122"/>
      <c r="I41" s="122"/>
      <c r="J41" s="122"/>
      <c r="K41" s="122"/>
      <c r="L41" s="43"/>
      <c r="M41" s="43"/>
      <c r="N41" s="43"/>
      <c r="O41" s="122"/>
      <c r="P41" s="122"/>
      <c r="Q41" s="300"/>
      <c r="R41" s="300"/>
      <c r="S41" s="300"/>
      <c r="T41" s="123"/>
      <c r="U41" s="124"/>
      <c r="V41" s="124"/>
      <c r="AC41" s="174"/>
      <c r="AD41" s="174"/>
      <c r="AE41" s="174"/>
      <c r="AF41" s="175"/>
      <c r="AG41" s="175"/>
      <c r="AH41" s="175"/>
      <c r="AI41" s="175"/>
      <c r="AJ41" s="175"/>
      <c r="BP41" s="32"/>
      <c r="BQ41" s="32"/>
    </row>
    <row r="42" spans="1:69" ht="2.25" customHeight="1" x14ac:dyDescent="0.2">
      <c r="B42" s="43"/>
      <c r="C42" s="43"/>
      <c r="D42" s="43"/>
      <c r="E42" s="43"/>
      <c r="F42" s="43"/>
      <c r="G42" s="122"/>
      <c r="H42" s="122"/>
      <c r="I42" s="122"/>
      <c r="J42" s="122"/>
      <c r="K42" s="122"/>
      <c r="O42" s="122"/>
      <c r="P42" s="122"/>
      <c r="Q42" s="301"/>
      <c r="R42" s="124"/>
      <c r="S42" s="124"/>
      <c r="T42" s="124"/>
      <c r="U42" s="124"/>
      <c r="V42" s="124"/>
      <c r="AC42" s="174"/>
      <c r="AD42" s="174"/>
      <c r="AE42" s="174"/>
      <c r="AF42" s="175"/>
      <c r="AG42" s="175"/>
      <c r="AH42" s="175"/>
      <c r="AI42" s="175"/>
      <c r="AJ42" s="175"/>
      <c r="BP42" s="32"/>
      <c r="BQ42" s="32"/>
    </row>
    <row r="43" spans="1:69" s="176" customFormat="1" ht="12" customHeight="1" x14ac:dyDescent="0.2">
      <c r="A43" s="1051" t="s">
        <v>471</v>
      </c>
      <c r="B43" s="2566" t="s">
        <v>472</v>
      </c>
      <c r="C43" s="2567"/>
      <c r="D43" s="2568"/>
      <c r="E43" s="2564" t="s">
        <v>568</v>
      </c>
      <c r="F43" s="2565"/>
      <c r="G43" s="1206" t="s">
        <v>259</v>
      </c>
      <c r="H43" s="1207"/>
      <c r="I43" s="1207"/>
      <c r="J43" s="1207"/>
      <c r="K43" s="1207"/>
      <c r="L43" s="1207"/>
      <c r="M43" s="1207"/>
      <c r="N43" s="1208"/>
      <c r="O43" s="122"/>
      <c r="P43" s="122"/>
      <c r="Q43" s="122"/>
      <c r="R43" s="134"/>
      <c r="S43" s="134"/>
      <c r="T43" s="129"/>
      <c r="U43" s="124"/>
      <c r="V43" s="124"/>
      <c r="W43" s="124"/>
      <c r="X43" s="124"/>
      <c r="Y43" s="124"/>
      <c r="Z43" s="124"/>
      <c r="AA43" s="123"/>
      <c r="AB43" s="123"/>
      <c r="AC43" s="123"/>
      <c r="AD43" s="123"/>
      <c r="AE43" s="123"/>
      <c r="AF43" s="123"/>
      <c r="AG43" s="174"/>
      <c r="AH43" s="174"/>
      <c r="AI43" s="174"/>
      <c r="AJ43" s="175"/>
      <c r="AK43" s="175"/>
    </row>
    <row r="44" spans="1:69" s="176" customFormat="1" ht="11.25" customHeight="1" x14ac:dyDescent="0.2">
      <c r="A44" s="1000" t="s">
        <v>718</v>
      </c>
      <c r="B44" s="2577"/>
      <c r="C44" s="2578"/>
      <c r="D44" s="2579"/>
      <c r="E44" s="2586"/>
      <c r="F44" s="2587"/>
      <c r="G44" s="2569"/>
      <c r="H44" s="2569"/>
      <c r="I44" s="2569"/>
      <c r="J44" s="2569"/>
      <c r="K44" s="2569"/>
      <c r="L44" s="2569"/>
      <c r="M44" s="2569"/>
      <c r="N44" s="2570"/>
      <c r="O44" s="122"/>
      <c r="P44" s="122"/>
      <c r="Q44" s="122"/>
      <c r="T44" s="129"/>
      <c r="U44" s="124"/>
      <c r="V44" s="124"/>
      <c r="W44" s="124"/>
      <c r="X44" s="124"/>
      <c r="Y44" s="124"/>
      <c r="Z44" s="124"/>
      <c r="AA44" s="123"/>
      <c r="AB44" s="123"/>
      <c r="AC44" s="123"/>
      <c r="AD44" s="123"/>
      <c r="AE44" s="123"/>
      <c r="AF44" s="123"/>
      <c r="AG44" s="174"/>
      <c r="AH44" s="174"/>
      <c r="AI44" s="174"/>
      <c r="AJ44" s="175"/>
      <c r="AK44" s="175"/>
    </row>
    <row r="45" spans="1:69" s="176" customFormat="1" ht="11.25" customHeight="1" x14ac:dyDescent="0.2">
      <c r="A45" s="1001" t="s">
        <v>473</v>
      </c>
      <c r="B45" s="2580"/>
      <c r="C45" s="2581"/>
      <c r="D45" s="2582"/>
      <c r="E45" s="2558"/>
      <c r="F45" s="2559"/>
      <c r="G45" s="2571"/>
      <c r="H45" s="2571"/>
      <c r="I45" s="2571"/>
      <c r="J45" s="2571"/>
      <c r="K45" s="2571"/>
      <c r="L45" s="2571"/>
      <c r="M45" s="2571"/>
      <c r="N45" s="2572"/>
      <c r="O45" s="122"/>
      <c r="T45" s="129"/>
      <c r="U45" s="124"/>
      <c r="V45" s="124"/>
      <c r="W45" s="124"/>
      <c r="X45" s="124"/>
      <c r="Y45" s="124"/>
      <c r="Z45" s="124"/>
      <c r="AA45" s="123"/>
      <c r="AB45" s="123"/>
      <c r="AC45" s="123"/>
      <c r="AD45" s="123"/>
      <c r="AE45" s="123"/>
      <c r="AF45" s="123"/>
      <c r="AG45" s="174"/>
      <c r="AH45" s="174"/>
      <c r="AI45" s="174"/>
      <c r="AJ45" s="175"/>
      <c r="AK45" s="175"/>
    </row>
    <row r="46" spans="1:69" s="176" customFormat="1" ht="11.25" customHeight="1" x14ac:dyDescent="0.2">
      <c r="A46" s="1002" t="s">
        <v>474</v>
      </c>
      <c r="B46" s="2583"/>
      <c r="C46" s="2584"/>
      <c r="D46" s="2585"/>
      <c r="E46" s="2560"/>
      <c r="F46" s="2561"/>
      <c r="G46" s="2573"/>
      <c r="H46" s="2573"/>
      <c r="I46" s="2573"/>
      <c r="J46" s="2573"/>
      <c r="K46" s="2573"/>
      <c r="L46" s="2573"/>
      <c r="M46" s="2573"/>
      <c r="N46" s="2574"/>
      <c r="O46" s="122"/>
      <c r="T46" s="129"/>
      <c r="U46" s="124"/>
      <c r="V46" s="124"/>
      <c r="W46" s="124"/>
      <c r="X46" s="124"/>
      <c r="Y46" s="124"/>
      <c r="Z46" s="124"/>
      <c r="AA46" s="123"/>
      <c r="AB46" s="123"/>
      <c r="AC46" s="123"/>
      <c r="AD46" s="123"/>
      <c r="AE46" s="123"/>
      <c r="AF46" s="123"/>
      <c r="AG46" s="174"/>
      <c r="AH46" s="174"/>
      <c r="AI46" s="174"/>
      <c r="AJ46" s="175"/>
      <c r="AK46" s="175"/>
    </row>
    <row r="47" spans="1:69" s="176" customFormat="1" ht="13.5" customHeight="1" x14ac:dyDescent="0.2">
      <c r="A47" s="1053" t="s">
        <v>13</v>
      </c>
      <c r="B47" s="1054"/>
      <c r="C47" s="1054"/>
      <c r="D47" s="1054"/>
      <c r="E47" s="2562">
        <f>SUM(E44:F46)</f>
        <v>0</v>
      </c>
      <c r="F47" s="2563"/>
      <c r="G47" s="1209"/>
      <c r="H47" s="1209"/>
      <c r="I47" s="1209"/>
      <c r="J47" s="1209"/>
      <c r="K47" s="1209"/>
      <c r="L47" s="1209"/>
      <c r="M47" s="1209"/>
      <c r="N47" s="1210"/>
      <c r="O47" s="122"/>
      <c r="R47" s="134"/>
      <c r="S47" s="134"/>
      <c r="T47" s="129"/>
      <c r="U47" s="124"/>
      <c r="V47" s="124"/>
      <c r="W47" s="124"/>
      <c r="X47" s="124"/>
      <c r="Y47" s="124"/>
      <c r="Z47" s="124"/>
      <c r="AA47" s="123"/>
      <c r="AB47" s="123"/>
      <c r="AC47" s="123"/>
      <c r="AD47" s="123"/>
      <c r="AE47" s="123"/>
      <c r="AF47" s="123"/>
      <c r="AG47" s="174"/>
      <c r="AH47" s="174"/>
      <c r="AI47" s="174"/>
      <c r="AJ47" s="175"/>
      <c r="AK47" s="175"/>
    </row>
    <row r="48" spans="1:69" ht="6" customHeight="1" x14ac:dyDescent="0.2">
      <c r="A48" s="34" t="s">
        <v>11</v>
      </c>
      <c r="C48" s="43"/>
      <c r="D48" s="43"/>
      <c r="E48" s="43"/>
      <c r="F48" s="43"/>
      <c r="G48" s="43"/>
      <c r="P48" s="122"/>
      <c r="Q48" s="122"/>
      <c r="R48" s="301"/>
      <c r="S48" s="125"/>
      <c r="T48" s="124"/>
      <c r="U48" s="124"/>
      <c r="V48" s="124"/>
      <c r="W48" s="124"/>
      <c r="X48" s="124"/>
      <c r="Y48" s="124"/>
      <c r="Z48" s="124"/>
      <c r="AG48" s="174"/>
      <c r="AJ48" s="175"/>
      <c r="BQ48" s="32"/>
    </row>
    <row r="49" spans="1:69" ht="17.25" customHeight="1" x14ac:dyDescent="0.25">
      <c r="A49" s="504" t="s">
        <v>632</v>
      </c>
      <c r="B49" s="49"/>
      <c r="F49" s="44"/>
      <c r="G49" s="44"/>
      <c r="H49" s="122"/>
      <c r="I49" s="122"/>
      <c r="J49" s="122"/>
      <c r="K49" s="122"/>
      <c r="L49" s="122"/>
      <c r="M49" s="43"/>
      <c r="N49" s="43"/>
      <c r="O49" s="43"/>
      <c r="P49" s="122"/>
      <c r="Q49" s="122"/>
      <c r="R49" s="122"/>
      <c r="S49" s="122"/>
      <c r="T49" s="300"/>
      <c r="V49" s="124"/>
      <c r="W49" s="124"/>
      <c r="AD49" s="174"/>
      <c r="AE49" s="174"/>
      <c r="AF49" s="174"/>
      <c r="AG49" s="175"/>
      <c r="AH49" s="175"/>
      <c r="AI49" s="175"/>
      <c r="AJ49" s="175"/>
      <c r="BQ49" s="32"/>
    </row>
    <row r="50" spans="1:69" ht="2.25" customHeight="1" x14ac:dyDescent="0.2">
      <c r="C50" s="43"/>
      <c r="D50" s="43"/>
      <c r="E50" s="43"/>
      <c r="F50" s="43"/>
      <c r="G50" s="43"/>
      <c r="H50" s="122"/>
      <c r="I50" s="122"/>
      <c r="J50" s="122"/>
      <c r="K50" s="122"/>
      <c r="L50" s="122"/>
      <c r="P50" s="122"/>
      <c r="Q50" s="122"/>
      <c r="R50" s="122"/>
      <c r="S50" s="122"/>
      <c r="T50" s="124"/>
      <c r="U50" s="124"/>
      <c r="V50" s="124"/>
      <c r="W50" s="124"/>
      <c r="AD50" s="174"/>
      <c r="AE50" s="174"/>
      <c r="AF50" s="174"/>
      <c r="AG50" s="175"/>
      <c r="AH50" s="175"/>
      <c r="AI50" s="175"/>
      <c r="AJ50" s="175"/>
      <c r="BQ50" s="32"/>
    </row>
    <row r="51" spans="1:69" s="176" customFormat="1" ht="11.25" customHeight="1" x14ac:dyDescent="0.2">
      <c r="A51" s="1049" t="s">
        <v>258</v>
      </c>
      <c r="B51" s="1211"/>
      <c r="C51" s="1100"/>
      <c r="D51" s="1100"/>
      <c r="E51" s="2378" t="s">
        <v>563</v>
      </c>
      <c r="F51" s="2379"/>
      <c r="G51" s="2376" t="s">
        <v>565</v>
      </c>
      <c r="H51" s="2378" t="s">
        <v>578</v>
      </c>
      <c r="I51" s="2379"/>
      <c r="J51" s="2376" t="s">
        <v>630</v>
      </c>
      <c r="K51" s="2405" t="s">
        <v>631</v>
      </c>
      <c r="L51" s="2405"/>
      <c r="M51" s="2405"/>
      <c r="N51" s="2379"/>
      <c r="O51" s="122"/>
      <c r="P51" s="122"/>
      <c r="Q51" s="122"/>
      <c r="R51" s="122"/>
      <c r="S51" s="122"/>
      <c r="T51" s="129"/>
      <c r="U51" s="124"/>
      <c r="V51" s="124"/>
      <c r="W51" s="124"/>
      <c r="X51" s="124"/>
      <c r="Y51" s="124"/>
      <c r="Z51" s="124"/>
      <c r="AA51" s="123"/>
      <c r="AB51" s="123"/>
      <c r="AC51" s="123"/>
      <c r="AD51" s="123"/>
      <c r="AE51" s="123"/>
      <c r="AF51" s="123"/>
      <c r="AG51" s="174"/>
      <c r="AH51" s="174"/>
      <c r="AI51" s="174"/>
      <c r="AJ51" s="175"/>
      <c r="AK51" s="175"/>
    </row>
    <row r="52" spans="1:69" s="176" customFormat="1" ht="11.25" customHeight="1" x14ac:dyDescent="0.2">
      <c r="A52" s="1050"/>
      <c r="B52" s="1196"/>
      <c r="C52" s="1101"/>
      <c r="D52" s="1101"/>
      <c r="E52" s="2380"/>
      <c r="F52" s="2381"/>
      <c r="G52" s="2377"/>
      <c r="H52" s="2380"/>
      <c r="I52" s="2381"/>
      <c r="J52" s="2377"/>
      <c r="K52" s="2406"/>
      <c r="L52" s="2406"/>
      <c r="M52" s="2406"/>
      <c r="N52" s="2381"/>
      <c r="O52" s="122"/>
      <c r="P52" s="122"/>
      <c r="Q52" s="122"/>
      <c r="R52" s="122"/>
      <c r="S52" s="122"/>
      <c r="T52" s="129"/>
      <c r="U52" s="124"/>
      <c r="V52" s="124"/>
      <c r="W52" s="124"/>
      <c r="X52" s="124"/>
      <c r="Y52" s="124"/>
      <c r="Z52" s="124"/>
      <c r="AA52" s="123"/>
      <c r="AB52" s="123"/>
      <c r="AC52" s="123"/>
      <c r="AD52" s="123"/>
      <c r="AE52" s="123"/>
      <c r="AF52" s="123"/>
      <c r="AG52" s="174"/>
      <c r="AH52" s="174"/>
      <c r="AI52" s="174"/>
      <c r="AJ52" s="175"/>
      <c r="AK52" s="175"/>
    </row>
    <row r="53" spans="1:69" s="176" customFormat="1" ht="11.25" customHeight="1" x14ac:dyDescent="0.2">
      <c r="A53" s="1050"/>
      <c r="B53" s="1196"/>
      <c r="C53" s="1212"/>
      <c r="D53" s="1212"/>
      <c r="E53" s="2382" t="s">
        <v>564</v>
      </c>
      <c r="F53" s="2383"/>
      <c r="G53" s="1198" t="s">
        <v>20</v>
      </c>
      <c r="H53" s="2512" t="s">
        <v>555</v>
      </c>
      <c r="I53" s="2430"/>
      <c r="J53" s="1198" t="s">
        <v>567</v>
      </c>
      <c r="K53" s="1261" t="s">
        <v>580</v>
      </c>
      <c r="L53" s="2554" t="s">
        <v>579</v>
      </c>
      <c r="M53" s="2554"/>
      <c r="N53" s="1262" t="s">
        <v>567</v>
      </c>
      <c r="O53" s="122"/>
      <c r="P53" s="122"/>
      <c r="Q53" s="122"/>
      <c r="R53" s="122"/>
      <c r="S53" s="122"/>
      <c r="T53" s="129"/>
      <c r="U53" s="124"/>
      <c r="V53" s="124"/>
      <c r="W53" s="124"/>
      <c r="X53" s="124"/>
      <c r="Y53" s="124"/>
      <c r="Z53" s="124"/>
      <c r="AA53" s="123"/>
      <c r="AB53" s="123"/>
      <c r="AC53" s="123"/>
      <c r="AD53" s="123"/>
      <c r="AE53" s="123"/>
      <c r="AF53" s="123"/>
      <c r="AG53" s="174"/>
      <c r="AH53" s="174"/>
      <c r="AI53" s="174"/>
      <c r="AJ53" s="175"/>
      <c r="AK53" s="175"/>
    </row>
    <row r="54" spans="1:69" s="36" customFormat="1" ht="14.1" customHeight="1" x14ac:dyDescent="0.2">
      <c r="A54" s="1051" t="s">
        <v>13</v>
      </c>
      <c r="B54" s="1201"/>
      <c r="C54" s="1202"/>
      <c r="D54" s="1202"/>
      <c r="E54" s="2539">
        <f>E39-E47</f>
        <v>0</v>
      </c>
      <c r="F54" s="2540"/>
      <c r="G54" s="1203">
        <f>G39</f>
        <v>0</v>
      </c>
      <c r="H54" s="2357">
        <f>H39</f>
        <v>0</v>
      </c>
      <c r="I54" s="2358"/>
      <c r="J54" s="1052">
        <f>ROUND(E54*H54,-1)</f>
        <v>0</v>
      </c>
      <c r="K54" s="1263">
        <f>IF(E54=0,0,N54/E54*100)</f>
        <v>0</v>
      </c>
      <c r="L54" s="2555"/>
      <c r="M54" s="2555"/>
      <c r="N54" s="1107">
        <f>N39</f>
        <v>0</v>
      </c>
      <c r="O54" s="122"/>
      <c r="P54" s="150"/>
      <c r="Q54" s="137"/>
      <c r="R54" s="129"/>
      <c r="S54" s="136"/>
      <c r="T54" s="138"/>
      <c r="U54" s="124"/>
      <c r="V54" s="124"/>
      <c r="W54" s="124"/>
      <c r="X54" s="124"/>
      <c r="Y54" s="124"/>
      <c r="Z54" s="124"/>
      <c r="AA54" s="123"/>
      <c r="AB54" s="123"/>
      <c r="AC54" s="123"/>
      <c r="AD54" s="123"/>
      <c r="AE54" s="123"/>
      <c r="AF54" s="123"/>
      <c r="AG54" s="174"/>
      <c r="AH54" s="174"/>
      <c r="AI54" s="174"/>
      <c r="AJ54" s="175"/>
      <c r="AK54" s="175"/>
      <c r="AL54" s="176"/>
      <c r="AM54" s="176"/>
      <c r="AN54" s="176"/>
      <c r="AO54" s="176"/>
      <c r="AP54" s="176"/>
      <c r="AQ54" s="176"/>
      <c r="AR54" s="176"/>
      <c r="AS54" s="176"/>
      <c r="AT54" s="176"/>
      <c r="AU54" s="176"/>
      <c r="AV54" s="176"/>
      <c r="AW54" s="176"/>
      <c r="AX54" s="176"/>
      <c r="AY54" s="176"/>
      <c r="AZ54" s="176"/>
      <c r="BA54" s="176"/>
      <c r="BB54" s="176"/>
      <c r="BC54" s="176"/>
      <c r="BD54" s="176"/>
      <c r="BE54" s="176"/>
      <c r="BF54" s="176"/>
      <c r="BG54" s="176"/>
      <c r="BH54" s="176"/>
      <c r="BI54" s="176"/>
      <c r="BJ54" s="176"/>
      <c r="BK54" s="176"/>
      <c r="BL54" s="176"/>
      <c r="BM54" s="176"/>
      <c r="BN54" s="176"/>
      <c r="BO54" s="176"/>
      <c r="BP54" s="176"/>
    </row>
    <row r="55" spans="1:69" s="390" customFormat="1" ht="6" customHeight="1" x14ac:dyDescent="0.2">
      <c r="A55" s="485"/>
      <c r="B55" s="485"/>
      <c r="C55" s="2766"/>
      <c r="D55" s="2766"/>
      <c r="E55" s="2766"/>
      <c r="F55" s="2767"/>
      <c r="G55" s="2767"/>
      <c r="H55" s="418"/>
      <c r="I55" s="418"/>
      <c r="J55" s="418"/>
      <c r="K55" s="418"/>
      <c r="L55" s="418"/>
      <c r="M55" s="418"/>
      <c r="N55" s="418"/>
      <c r="O55" s="418"/>
      <c r="P55" s="391">
        <f>IF(ISBLANK(I55),H55,I55)</f>
        <v>0</v>
      </c>
      <c r="Q55" s="392"/>
      <c r="R55" s="135"/>
      <c r="S55" s="393"/>
      <c r="T55" s="140"/>
      <c r="U55" s="140"/>
      <c r="V55" s="140"/>
      <c r="W55" s="140"/>
      <c r="X55" s="140"/>
      <c r="Y55" s="140"/>
      <c r="Z55" s="140"/>
      <c r="AA55" s="394"/>
      <c r="AB55" s="394"/>
      <c r="AC55" s="394"/>
      <c r="AD55" s="394"/>
      <c r="AE55" s="394"/>
      <c r="AF55" s="394"/>
      <c r="AG55" s="395"/>
      <c r="AH55" s="395"/>
      <c r="AI55" s="395"/>
      <c r="AJ55" s="298"/>
      <c r="AK55" s="298"/>
      <c r="AL55" s="298"/>
      <c r="AM55" s="298"/>
      <c r="AN55" s="298"/>
      <c r="AO55" s="298"/>
      <c r="AP55" s="298"/>
      <c r="AQ55" s="298"/>
      <c r="AR55" s="298"/>
      <c r="AS55" s="298"/>
      <c r="AT55" s="298"/>
      <c r="AU55" s="298"/>
      <c r="AV55" s="298"/>
      <c r="AW55" s="298"/>
      <c r="AX55" s="298"/>
      <c r="AY55" s="298"/>
      <c r="AZ55" s="298"/>
      <c r="BA55" s="298"/>
      <c r="BB55" s="298"/>
      <c r="BC55" s="298"/>
      <c r="BD55" s="298"/>
      <c r="BE55" s="298"/>
      <c r="BF55" s="298"/>
      <c r="BG55" s="298"/>
      <c r="BH55" s="298"/>
      <c r="BI55" s="298"/>
      <c r="BJ55" s="298"/>
      <c r="BK55" s="298"/>
      <c r="BL55" s="298"/>
      <c r="BM55" s="298"/>
      <c r="BN55" s="298"/>
      <c r="BO55" s="298"/>
      <c r="BP55" s="298"/>
    </row>
    <row r="56" spans="1:69" ht="17.25" customHeight="1" x14ac:dyDescent="0.25">
      <c r="A56" s="49" t="s">
        <v>21</v>
      </c>
      <c r="B56" s="49"/>
      <c r="C56" s="2538" t="str">
        <f>IF(R109=TRUE,"(inkl. externe Kosten)","(ohne externe Kosten)")</f>
        <v>(ohne externe Kosten)</v>
      </c>
      <c r="D56" s="2538"/>
      <c r="F56" s="44"/>
      <c r="G56" s="44"/>
      <c r="K56" s="43"/>
      <c r="L56" s="43"/>
      <c r="M56" s="43"/>
      <c r="N56" s="43"/>
      <c r="O56" s="43"/>
      <c r="P56" s="123"/>
      <c r="Q56" s="302"/>
      <c r="R56" s="300"/>
      <c r="S56" s="300"/>
      <c r="T56" s="300"/>
      <c r="V56" s="124"/>
      <c r="W56" s="124"/>
      <c r="AD56" s="174"/>
      <c r="AE56" s="174"/>
      <c r="AF56" s="174"/>
      <c r="AG56" s="175"/>
      <c r="AH56" s="175"/>
      <c r="AI56" s="175"/>
      <c r="AJ56" s="175"/>
      <c r="BQ56" s="32"/>
    </row>
    <row r="57" spans="1:69" ht="2.25" customHeight="1" x14ac:dyDescent="0.2">
      <c r="C57" s="43"/>
      <c r="D57" s="43"/>
      <c r="E57" s="43"/>
      <c r="F57" s="43"/>
      <c r="G57" s="43"/>
      <c r="H57" s="34"/>
      <c r="I57" s="34"/>
      <c r="J57" s="34"/>
      <c r="P57" s="125"/>
      <c r="Q57" s="301"/>
      <c r="R57" s="301"/>
      <c r="S57" s="124"/>
      <c r="T57" s="124"/>
      <c r="U57" s="124"/>
      <c r="V57" s="124"/>
      <c r="W57" s="124"/>
      <c r="AD57" s="174"/>
      <c r="AE57" s="174"/>
      <c r="AF57" s="174"/>
      <c r="AG57" s="175"/>
      <c r="AH57" s="175"/>
      <c r="AI57" s="175"/>
      <c r="AJ57" s="175"/>
      <c r="BQ57" s="32"/>
    </row>
    <row r="58" spans="1:69" s="36" customFormat="1" ht="11.25" customHeight="1" x14ac:dyDescent="0.2">
      <c r="A58" s="1049" t="s">
        <v>12</v>
      </c>
      <c r="B58" s="1211"/>
      <c r="C58" s="1211"/>
      <c r="D58" s="1213"/>
      <c r="E58" s="2378" t="s">
        <v>547</v>
      </c>
      <c r="F58" s="2379"/>
      <c r="G58" s="2378" t="s">
        <v>22</v>
      </c>
      <c r="H58" s="2405"/>
      <c r="I58" s="2379"/>
      <c r="J58" s="2378" t="s">
        <v>238</v>
      </c>
      <c r="K58" s="2379"/>
      <c r="L58" s="2378" t="s">
        <v>570</v>
      </c>
      <c r="M58" s="2405"/>
      <c r="N58" s="2379"/>
      <c r="S58" s="215" t="s">
        <v>409</v>
      </c>
      <c r="T58" s="134"/>
      <c r="U58" s="129"/>
      <c r="V58" s="124"/>
      <c r="W58" s="124"/>
      <c r="X58" s="124"/>
      <c r="Y58" s="124"/>
      <c r="Z58" s="124"/>
      <c r="AA58" s="123"/>
      <c r="AB58" s="123"/>
      <c r="AC58" s="123"/>
      <c r="AD58" s="123"/>
      <c r="AE58" s="123"/>
      <c r="AF58" s="123"/>
      <c r="AG58" s="174"/>
      <c r="AH58" s="174"/>
      <c r="AI58" s="174"/>
      <c r="AJ58" s="175"/>
      <c r="AK58" s="175"/>
      <c r="AL58" s="176"/>
      <c r="AM58" s="176"/>
      <c r="AN58" s="176"/>
      <c r="AO58" s="176"/>
      <c r="AP58" s="176"/>
      <c r="AQ58" s="176"/>
      <c r="AR58" s="176"/>
      <c r="AS58" s="176"/>
      <c r="AT58" s="176"/>
      <c r="AU58" s="176"/>
      <c r="AV58" s="176"/>
      <c r="AW58" s="176"/>
      <c r="AX58" s="176"/>
      <c r="AY58" s="176"/>
      <c r="AZ58" s="176"/>
      <c r="BA58" s="176"/>
      <c r="BB58" s="176"/>
      <c r="BC58" s="176"/>
      <c r="BD58" s="176"/>
      <c r="BE58" s="176"/>
      <c r="BF58" s="176"/>
      <c r="BG58" s="176"/>
      <c r="BH58" s="176"/>
      <c r="BI58" s="176"/>
      <c r="BJ58" s="176"/>
      <c r="BK58" s="176"/>
      <c r="BL58" s="176"/>
      <c r="BM58" s="176"/>
      <c r="BN58" s="176"/>
      <c r="BO58" s="176"/>
      <c r="BP58" s="176"/>
      <c r="BQ58" s="176"/>
    </row>
    <row r="59" spans="1:69" s="36" customFormat="1" ht="11.25" customHeight="1" x14ac:dyDescent="0.2">
      <c r="A59" s="1050"/>
      <c r="B59" s="1196"/>
      <c r="C59" s="1196"/>
      <c r="D59" s="1214"/>
      <c r="E59" s="2380"/>
      <c r="F59" s="2381"/>
      <c r="G59" s="2380"/>
      <c r="H59" s="2406"/>
      <c r="I59" s="2381"/>
      <c r="J59" s="2380"/>
      <c r="K59" s="2381"/>
      <c r="L59" s="2380"/>
      <c r="M59" s="2406"/>
      <c r="N59" s="2381"/>
      <c r="S59" s="210">
        <f ca="1">Grunddaten!$AS$16</f>
        <v>2024</v>
      </c>
      <c r="T59" s="200">
        <f ca="1">S59+1</f>
        <v>2025</v>
      </c>
      <c r="U59" s="200">
        <f t="shared" ref="U59:BP59" ca="1" si="3">T59+1</f>
        <v>2026</v>
      </c>
      <c r="V59" s="200">
        <f t="shared" ca="1" si="3"/>
        <v>2027</v>
      </c>
      <c r="W59" s="200">
        <f t="shared" ca="1" si="3"/>
        <v>2028</v>
      </c>
      <c r="X59" s="200">
        <f t="shared" ca="1" si="3"/>
        <v>2029</v>
      </c>
      <c r="Y59" s="200">
        <f t="shared" ca="1" si="3"/>
        <v>2030</v>
      </c>
      <c r="Z59" s="200">
        <f t="shared" ca="1" si="3"/>
        <v>2031</v>
      </c>
      <c r="AA59" s="200">
        <f t="shared" ca="1" si="3"/>
        <v>2032</v>
      </c>
      <c r="AB59" s="200">
        <f t="shared" ca="1" si="3"/>
        <v>2033</v>
      </c>
      <c r="AC59" s="200">
        <f t="shared" ca="1" si="3"/>
        <v>2034</v>
      </c>
      <c r="AD59" s="200">
        <f t="shared" ca="1" si="3"/>
        <v>2035</v>
      </c>
      <c r="AE59" s="200">
        <f t="shared" ca="1" si="3"/>
        <v>2036</v>
      </c>
      <c r="AF59" s="200">
        <f t="shared" ca="1" si="3"/>
        <v>2037</v>
      </c>
      <c r="AG59" s="200">
        <f t="shared" ca="1" si="3"/>
        <v>2038</v>
      </c>
      <c r="AH59" s="200">
        <f t="shared" ca="1" si="3"/>
        <v>2039</v>
      </c>
      <c r="AI59" s="200">
        <f t="shared" ca="1" si="3"/>
        <v>2040</v>
      </c>
      <c r="AJ59" s="200">
        <f t="shared" ca="1" si="3"/>
        <v>2041</v>
      </c>
      <c r="AK59" s="200">
        <f t="shared" ca="1" si="3"/>
        <v>2042</v>
      </c>
      <c r="AL59" s="200">
        <f t="shared" ca="1" si="3"/>
        <v>2043</v>
      </c>
      <c r="AM59" s="200">
        <f t="shared" ca="1" si="3"/>
        <v>2044</v>
      </c>
      <c r="AN59" s="200">
        <f t="shared" ca="1" si="3"/>
        <v>2045</v>
      </c>
      <c r="AO59" s="200">
        <f t="shared" ca="1" si="3"/>
        <v>2046</v>
      </c>
      <c r="AP59" s="200">
        <f t="shared" ca="1" si="3"/>
        <v>2047</v>
      </c>
      <c r="AQ59" s="200">
        <f t="shared" ca="1" si="3"/>
        <v>2048</v>
      </c>
      <c r="AR59" s="200">
        <f t="shared" ca="1" si="3"/>
        <v>2049</v>
      </c>
      <c r="AS59" s="200">
        <f t="shared" ca="1" si="3"/>
        <v>2050</v>
      </c>
      <c r="AT59" s="200">
        <f t="shared" ca="1" si="3"/>
        <v>2051</v>
      </c>
      <c r="AU59" s="200">
        <f t="shared" ca="1" si="3"/>
        <v>2052</v>
      </c>
      <c r="AV59" s="200">
        <f t="shared" ca="1" si="3"/>
        <v>2053</v>
      </c>
      <c r="AW59" s="200">
        <f t="shared" ca="1" si="3"/>
        <v>2054</v>
      </c>
      <c r="AX59" s="200">
        <f t="shared" ca="1" si="3"/>
        <v>2055</v>
      </c>
      <c r="AY59" s="200">
        <f t="shared" ca="1" si="3"/>
        <v>2056</v>
      </c>
      <c r="AZ59" s="200">
        <f t="shared" ca="1" si="3"/>
        <v>2057</v>
      </c>
      <c r="BA59" s="200">
        <f t="shared" ca="1" si="3"/>
        <v>2058</v>
      </c>
      <c r="BB59" s="200">
        <f t="shared" ca="1" si="3"/>
        <v>2059</v>
      </c>
      <c r="BC59" s="200">
        <f t="shared" ca="1" si="3"/>
        <v>2060</v>
      </c>
      <c r="BD59" s="200">
        <f t="shared" ca="1" si="3"/>
        <v>2061</v>
      </c>
      <c r="BE59" s="200">
        <f t="shared" ca="1" si="3"/>
        <v>2062</v>
      </c>
      <c r="BF59" s="200">
        <f t="shared" ca="1" si="3"/>
        <v>2063</v>
      </c>
      <c r="BG59" s="200">
        <f t="shared" ca="1" si="3"/>
        <v>2064</v>
      </c>
      <c r="BH59" s="200">
        <f t="shared" ca="1" si="3"/>
        <v>2065</v>
      </c>
      <c r="BI59" s="200">
        <f t="shared" ca="1" si="3"/>
        <v>2066</v>
      </c>
      <c r="BJ59" s="200">
        <f t="shared" ca="1" si="3"/>
        <v>2067</v>
      </c>
      <c r="BK59" s="200">
        <f t="shared" ca="1" si="3"/>
        <v>2068</v>
      </c>
      <c r="BL59" s="200">
        <f t="shared" ca="1" si="3"/>
        <v>2069</v>
      </c>
      <c r="BM59" s="200">
        <f t="shared" ca="1" si="3"/>
        <v>2070</v>
      </c>
      <c r="BN59" s="200">
        <f t="shared" ca="1" si="3"/>
        <v>2071</v>
      </c>
      <c r="BO59" s="200">
        <f t="shared" ca="1" si="3"/>
        <v>2072</v>
      </c>
      <c r="BP59" s="200">
        <f t="shared" ca="1" si="3"/>
        <v>2073</v>
      </c>
      <c r="BQ59" s="205">
        <f ca="1">BP59+1</f>
        <v>2074</v>
      </c>
    </row>
    <row r="60" spans="1:69" s="36" customFormat="1" ht="11.25" customHeight="1" x14ac:dyDescent="0.2">
      <c r="A60" s="1053"/>
      <c r="B60" s="1215"/>
      <c r="C60" s="1215"/>
      <c r="D60" s="1216"/>
      <c r="E60" s="2551" t="s">
        <v>567</v>
      </c>
      <c r="F60" s="2552"/>
      <c r="G60" s="2551" t="s">
        <v>23</v>
      </c>
      <c r="H60" s="2553"/>
      <c r="I60" s="2552"/>
      <c r="J60" s="2551" t="s">
        <v>569</v>
      </c>
      <c r="K60" s="2552"/>
      <c r="L60" s="2551" t="s">
        <v>567</v>
      </c>
      <c r="M60" s="2553"/>
      <c r="N60" s="2552"/>
      <c r="S60" s="640"/>
      <c r="T60" s="300"/>
      <c r="U60" s="300"/>
      <c r="V60" s="300"/>
      <c r="W60" s="300"/>
      <c r="X60" s="300"/>
      <c r="Y60" s="300"/>
      <c r="Z60" s="300"/>
      <c r="AA60" s="300"/>
      <c r="AB60" s="300"/>
      <c r="AC60" s="300"/>
      <c r="AD60" s="300"/>
      <c r="AE60" s="300"/>
      <c r="AF60" s="300"/>
      <c r="AG60" s="300"/>
      <c r="AH60" s="300"/>
      <c r="AI60" s="300"/>
      <c r="AJ60" s="300"/>
      <c r="AK60" s="300"/>
      <c r="AL60" s="300"/>
      <c r="AM60" s="300"/>
      <c r="AN60" s="300"/>
      <c r="AO60" s="300"/>
      <c r="AP60" s="300"/>
      <c r="AQ60" s="300"/>
      <c r="AR60" s="300"/>
      <c r="AS60" s="300"/>
      <c r="AT60" s="300"/>
      <c r="AU60" s="300"/>
      <c r="AV60" s="300"/>
      <c r="AW60" s="300"/>
      <c r="AX60" s="300"/>
      <c r="AY60" s="300"/>
      <c r="AZ60" s="300"/>
      <c r="BA60" s="300"/>
      <c r="BB60" s="300"/>
      <c r="BC60" s="300"/>
      <c r="BD60" s="300"/>
      <c r="BE60" s="300"/>
      <c r="BF60" s="300"/>
      <c r="BG60" s="300"/>
      <c r="BH60" s="300"/>
      <c r="BI60" s="300"/>
      <c r="BJ60" s="300"/>
      <c r="BK60" s="300"/>
      <c r="BL60" s="300"/>
      <c r="BM60" s="300"/>
      <c r="BN60" s="300"/>
      <c r="BO60" s="300"/>
      <c r="BP60" s="300"/>
      <c r="BQ60" s="641"/>
    </row>
    <row r="61" spans="1:69" s="36" customFormat="1" ht="11.25" customHeight="1" x14ac:dyDescent="0.2">
      <c r="A61" s="1005" t="s">
        <v>24</v>
      </c>
      <c r="B61" s="1006" t="str">
        <f>Projektdaten!H20</f>
        <v>Stadt Zürich - Verwaltungsmix</v>
      </c>
      <c r="C61" s="1006"/>
      <c r="D61" s="1006"/>
      <c r="E61" s="2397">
        <f xml:space="preserve"> VLOOKUP(Projektdaten!H20,Grunddaten!C17:AI44,33,FALSE) * EV_Var3!I68</f>
        <v>0</v>
      </c>
      <c r="F61" s="2398"/>
      <c r="G61" s="2402" t="s">
        <v>25</v>
      </c>
      <c r="H61" s="2403"/>
      <c r="I61" s="2404"/>
      <c r="J61" s="2402" t="s">
        <v>26</v>
      </c>
      <c r="K61" s="2404"/>
      <c r="L61" s="2402" t="s">
        <v>26</v>
      </c>
      <c r="M61" s="2403"/>
      <c r="N61" s="2404"/>
      <c r="S61" s="201"/>
      <c r="T61" s="202"/>
      <c r="U61" s="202"/>
      <c r="V61" s="202"/>
      <c r="W61" s="202"/>
      <c r="X61" s="202"/>
      <c r="Y61" s="202"/>
      <c r="Z61" s="202"/>
      <c r="AA61" s="202"/>
      <c r="AB61" s="202"/>
      <c r="AC61" s="202"/>
      <c r="AD61" s="202"/>
      <c r="AE61" s="202"/>
      <c r="AF61" s="202"/>
      <c r="AG61" s="202"/>
      <c r="AH61" s="202"/>
      <c r="AI61" s="202"/>
      <c r="AJ61" s="202"/>
      <c r="AK61" s="202"/>
      <c r="AL61" s="202"/>
      <c r="AM61" s="202"/>
      <c r="AN61" s="202"/>
      <c r="AO61" s="202"/>
      <c r="AP61" s="202"/>
      <c r="AQ61" s="202"/>
      <c r="AR61" s="202"/>
      <c r="AS61" s="202"/>
      <c r="AT61" s="202"/>
      <c r="AU61" s="202"/>
      <c r="AV61" s="202"/>
      <c r="AW61" s="202"/>
      <c r="AX61" s="202"/>
      <c r="AY61" s="202"/>
      <c r="AZ61" s="202"/>
      <c r="BA61" s="202"/>
      <c r="BB61" s="202"/>
      <c r="BC61" s="202"/>
      <c r="BD61" s="202"/>
      <c r="BE61" s="202"/>
      <c r="BF61" s="202"/>
      <c r="BG61" s="202"/>
      <c r="BH61" s="202"/>
      <c r="BI61" s="202"/>
      <c r="BJ61" s="202"/>
      <c r="BK61" s="202"/>
      <c r="BL61" s="202"/>
      <c r="BM61" s="202"/>
      <c r="BN61" s="202"/>
      <c r="BO61" s="202"/>
      <c r="BP61" s="202"/>
      <c r="BQ61" s="203"/>
    </row>
    <row r="62" spans="1:69" s="36" customFormat="1" ht="11.25" customHeight="1" x14ac:dyDescent="0.2">
      <c r="A62" s="1007" t="s">
        <v>41</v>
      </c>
      <c r="B62" s="1004"/>
      <c r="C62" s="2423">
        <v>0.7</v>
      </c>
      <c r="D62" s="2423"/>
      <c r="E62" s="2400">
        <f>IF(G62,E$61*G62/SUM(G$62:G$65),0)</f>
        <v>0</v>
      </c>
      <c r="F62" s="2401"/>
      <c r="G62" s="2544">
        <f>IF(EV_Var3!$E$68&gt;0,IF(EV_Var3!$E$68&gt;=(EV_Var3!$E$34 + EV_Var3!$E$38),EV_Var3!$E$68-(EV_Var3!$E$34 + EV_Var3!$E$38),0),EV_Var3!$E$68)*C62</f>
        <v>0</v>
      </c>
      <c r="H62" s="2545"/>
      <c r="I62" s="2546"/>
      <c r="J62" s="2388">
        <f ca="1">OFFSET(Grunddaten!$AJ$17,El_Produkt,0)-(1-$R$109)*OFFSET(Grunddaten!$Q$17,El_Produkt,0)</f>
        <v>26.638089320000002</v>
      </c>
      <c r="K62" s="2389"/>
      <c r="L62" s="2319">
        <f t="shared" ref="L62:L76" ca="1" si="4">ROUND(E62+G62*J62/100,-1)</f>
        <v>0</v>
      </c>
      <c r="M62" s="2320"/>
      <c r="N62" s="2321"/>
      <c r="S62" s="206">
        <f ca="1">IF($G62=0,0,ROUND(OFFSET(Grunddaten!AS17,El_Produkt,0)*((OFFSET(Grunddaten!$AJ$17,El_Produkt,0)-OFFSET(Grunddaten!$Q$17,El_Produkt,0))/100*$G62+$E62),-1))</f>
        <v>0</v>
      </c>
      <c r="T62" s="207">
        <f ca="1">IF($G62=0,0,ROUND(OFFSET(Grunddaten!AT17,El_Produkt,0)*((OFFSET(Grunddaten!$AJ$17,El_Produkt,0)-OFFSET(Grunddaten!$Q$17,El_Produkt,0))/100*$G62+$E62),-1))</f>
        <v>0</v>
      </c>
      <c r="U62" s="207">
        <f ca="1">IF($G62=0,0,ROUND(OFFSET(Grunddaten!AU17,El_Produkt,0)*((OFFSET(Grunddaten!$AJ$17,El_Produkt,0)-OFFSET(Grunddaten!$Q$17,El_Produkt,0))/100*$G62+$E62),-1))</f>
        <v>0</v>
      </c>
      <c r="V62" s="207">
        <f ca="1">IF($G62=0,0,ROUND(OFFSET(Grunddaten!AV17,El_Produkt,0)*((OFFSET(Grunddaten!$AJ$17,El_Produkt,0)-OFFSET(Grunddaten!$Q$17,El_Produkt,0))/100*$G62+$E62),-1))</f>
        <v>0</v>
      </c>
      <c r="W62" s="207">
        <f ca="1">IF($G62=0,0,ROUND(OFFSET(Grunddaten!AW17,El_Produkt,0)*((OFFSET(Grunddaten!$AJ$17,El_Produkt,0)-OFFSET(Grunddaten!$Q$17,El_Produkt,0))/100*$G62+$E62),-1))</f>
        <v>0</v>
      </c>
      <c r="X62" s="207">
        <f ca="1">IF($G62=0,0,ROUND(OFFSET(Grunddaten!AX17,El_Produkt,0)*((OFFSET(Grunddaten!$AJ$17,El_Produkt,0)-OFFSET(Grunddaten!$Q$17,El_Produkt,0))/100*$G62+$E62),-1))</f>
        <v>0</v>
      </c>
      <c r="Y62" s="207">
        <f ca="1">IF($G62=0,0,ROUND(OFFSET(Grunddaten!AY17,El_Produkt,0)*((OFFSET(Grunddaten!$AJ$17,El_Produkt,0)-OFFSET(Grunddaten!$Q$17,El_Produkt,0))/100*$G62+$E62),-1))</f>
        <v>0</v>
      </c>
      <c r="Z62" s="207">
        <f ca="1">IF($G62=0,0,ROUND(OFFSET(Grunddaten!AZ17,El_Produkt,0)*((OFFSET(Grunddaten!$AJ$17,El_Produkt,0)-OFFSET(Grunddaten!$Q$17,El_Produkt,0))/100*$G62+$E62),-1))</f>
        <v>0</v>
      </c>
      <c r="AA62" s="207">
        <f ca="1">IF($G62=0,0,ROUND(OFFSET(Grunddaten!BA17,El_Produkt,0)*((OFFSET(Grunddaten!$AJ$17,El_Produkt,0)-OFFSET(Grunddaten!$Q$17,El_Produkt,0))/100*$G62+$E62),-1))</f>
        <v>0</v>
      </c>
      <c r="AB62" s="246">
        <f ca="1">IF($G62=0,0,ROUND(OFFSET(Grunddaten!BB17,El_Produkt,0)*((OFFSET(Grunddaten!$AJ$17,El_Produkt,0)-OFFSET(Grunddaten!$Q$17,El_Produkt,0))/100*$G62+$E62),-1))</f>
        <v>0</v>
      </c>
      <c r="AC62" s="246">
        <f ca="1">IF($G62=0,0,ROUND(OFFSET(Grunddaten!BC17,El_Produkt,0)*((OFFSET(Grunddaten!$AJ$17,El_Produkt,0)-OFFSET(Grunddaten!$Q$17,El_Produkt,0))/100*$G62+$E62),-1))</f>
        <v>0</v>
      </c>
      <c r="AD62" s="246">
        <f ca="1">IF($G62=0,0,ROUND(OFFSET(Grunddaten!BD17,El_Produkt,0)*((OFFSET(Grunddaten!$AJ$17,El_Produkt,0)-OFFSET(Grunddaten!$Q$17,El_Produkt,0))/100*$G62+$E62),-1))</f>
        <v>0</v>
      </c>
      <c r="AE62" s="246">
        <f ca="1">IF($G62=0,0,ROUND(OFFSET(Grunddaten!BE17,El_Produkt,0)*((OFFSET(Grunddaten!$AJ$17,El_Produkt,0)-OFFSET(Grunddaten!$Q$17,El_Produkt,0))/100*$G62+$E62),-1))</f>
        <v>0</v>
      </c>
      <c r="AF62" s="246">
        <f ca="1">IF($G62=0,0,ROUND(OFFSET(Grunddaten!BF17,El_Produkt,0)*((OFFSET(Grunddaten!$AJ$17,El_Produkt,0)-OFFSET(Grunddaten!$Q$17,El_Produkt,0))/100*$G62+$E62),-1))</f>
        <v>0</v>
      </c>
      <c r="AG62" s="246">
        <f ca="1">IF($G62=0,0,ROUND(OFFSET(Grunddaten!BG17,El_Produkt,0)*((OFFSET(Grunddaten!$AJ$17,El_Produkt,0)-OFFSET(Grunddaten!$Q$17,El_Produkt,0))/100*$G62+$E62),-1))</f>
        <v>0</v>
      </c>
      <c r="AH62" s="247">
        <f ca="1">IF($G62=0,0,ROUND(OFFSET(Grunddaten!BH17,El_Produkt,0)*((OFFSET(Grunddaten!$AJ$17,El_Produkt,0)-OFFSET(Grunddaten!$Q$17,El_Produkt,0))/100*$G62+$E62),-1))</f>
        <v>0</v>
      </c>
      <c r="AI62" s="247">
        <f ca="1">IF($G62=0,0,ROUND(OFFSET(Grunddaten!BI17,El_Produkt,0)*((OFFSET(Grunddaten!$AJ$17,El_Produkt,0)-OFFSET(Grunddaten!$Q$17,El_Produkt,0))/100*$G62+$E62),-1))</f>
        <v>0</v>
      </c>
      <c r="AJ62" s="247">
        <f ca="1">IF($G62=0,0,ROUND(OFFSET(Grunddaten!BJ17,El_Produkt,0)*((OFFSET(Grunddaten!$AJ$17,El_Produkt,0)-OFFSET(Grunddaten!$Q$17,El_Produkt,0))/100*$G62+$E62),-1))</f>
        <v>0</v>
      </c>
      <c r="AK62" s="247">
        <f ca="1">IF($G62=0,0,ROUND(OFFSET(Grunddaten!BK17,El_Produkt,0)*((OFFSET(Grunddaten!$AJ$17,El_Produkt,0)-OFFSET(Grunddaten!$Q$17,El_Produkt,0))/100*$G62+$E62),-1))</f>
        <v>0</v>
      </c>
      <c r="AL62" s="247">
        <f ca="1">IF($G62=0,0,ROUND(OFFSET(Grunddaten!BL17,El_Produkt,0)*((OFFSET(Grunddaten!$AJ$17,El_Produkt,0)-OFFSET(Grunddaten!$Q$17,El_Produkt,0))/100*$G62+$E62),-1))</f>
        <v>0</v>
      </c>
      <c r="AM62" s="247">
        <f ca="1">IF($G62=0,0,ROUND(OFFSET(Grunddaten!BM17,El_Produkt,0)*((OFFSET(Grunddaten!$AJ$17,El_Produkt,0)-OFFSET(Grunddaten!$Q$17,El_Produkt,0))/100*$G62+$E62),-1))</f>
        <v>0</v>
      </c>
      <c r="AN62" s="247">
        <f ca="1">IF($G62=0,0,ROUND(OFFSET(Grunddaten!BN17,El_Produkt,0)*((OFFSET(Grunddaten!$AJ$17,El_Produkt,0)-OFFSET(Grunddaten!$Q$17,El_Produkt,0))/100*$G62+$E62),-1))</f>
        <v>0</v>
      </c>
      <c r="AO62" s="247">
        <f ca="1">IF($G62=0,0,ROUND(OFFSET(Grunddaten!BO17,El_Produkt,0)*((OFFSET(Grunddaten!$AJ$17,El_Produkt,0)-OFFSET(Grunddaten!$Q$17,El_Produkt,0))/100*$G62+$E62),-1))</f>
        <v>0</v>
      </c>
      <c r="AP62" s="247">
        <f ca="1">IF($G62=0,0,ROUND(OFFSET(Grunddaten!BP17,El_Produkt,0)*((OFFSET(Grunddaten!$AJ$17,El_Produkt,0)-OFFSET(Grunddaten!$Q$17,El_Produkt,0))/100*$G62+$E62),-1))</f>
        <v>0</v>
      </c>
      <c r="AQ62" s="247">
        <f ca="1">IF($G62=0,0,ROUND(OFFSET(Grunddaten!BQ17,El_Produkt,0)*((OFFSET(Grunddaten!$AJ$17,El_Produkt,0)-OFFSET(Grunddaten!$Q$17,El_Produkt,0))/100*$G62+$E62),-1))</f>
        <v>0</v>
      </c>
      <c r="AR62" s="247">
        <f ca="1">IF($G62=0,0,ROUND(OFFSET(Grunddaten!BR17,El_Produkt,0)*((OFFSET(Grunddaten!$AJ$17,El_Produkt,0)-OFFSET(Grunddaten!$Q$17,El_Produkt,0))/100*$G62+$E62),-1))</f>
        <v>0</v>
      </c>
      <c r="AS62" s="247">
        <f ca="1">IF($G62=0,0,ROUND(OFFSET(Grunddaten!BS17,El_Produkt,0)*((OFFSET(Grunddaten!$AJ$17,El_Produkt,0)-OFFSET(Grunddaten!$Q$17,El_Produkt,0))/100*$G62+$E62),-1))</f>
        <v>0</v>
      </c>
      <c r="AT62" s="247">
        <f ca="1">IF($G62=0,0,ROUND(OFFSET(Grunddaten!BT17,El_Produkt,0)*((OFFSET(Grunddaten!$AJ$17,El_Produkt,0)-OFFSET(Grunddaten!$Q$17,El_Produkt,0))/100*$G62+$E62),-1))</f>
        <v>0</v>
      </c>
      <c r="AU62" s="247">
        <f ca="1">IF($G62=0,0,ROUND(OFFSET(Grunddaten!BU17,El_Produkt,0)*((OFFSET(Grunddaten!$AJ$17,El_Produkt,0)-OFFSET(Grunddaten!$Q$17,El_Produkt,0))/100*$G62+$E62),-1))</f>
        <v>0</v>
      </c>
      <c r="AV62" s="247">
        <f ca="1">IF($G62=0,0,ROUND(OFFSET(Grunddaten!BV17,El_Produkt,0)*((OFFSET(Grunddaten!$AJ$17,El_Produkt,0)-OFFSET(Grunddaten!$Q$17,El_Produkt,0))/100*$G62+$E62),-1))</f>
        <v>0</v>
      </c>
      <c r="AW62" s="247">
        <f ca="1">IF($G62=0,0,ROUND(OFFSET(Grunddaten!BW17,El_Produkt,0)*((OFFSET(Grunddaten!$AJ$17,El_Produkt,0)-OFFSET(Grunddaten!$Q$17,El_Produkt,0))/100*$G62+$E62),-1))</f>
        <v>0</v>
      </c>
      <c r="AX62" s="247">
        <f ca="1">IF($G62=0,0,ROUND(OFFSET(Grunddaten!BX17,El_Produkt,0)*((OFFSET(Grunddaten!$AJ$17,El_Produkt,0)-OFFSET(Grunddaten!$Q$17,El_Produkt,0))/100*$G62+$E62),-1))</f>
        <v>0</v>
      </c>
      <c r="AY62" s="247">
        <f ca="1">IF($G62=0,0,ROUND(OFFSET(Grunddaten!BY17,El_Produkt,0)*((OFFSET(Grunddaten!$AJ$17,El_Produkt,0)-OFFSET(Grunddaten!$Q$17,El_Produkt,0))/100*$G62+$E62),-1))</f>
        <v>0</v>
      </c>
      <c r="AZ62" s="247">
        <f ca="1">IF($G62=0,0,ROUND(OFFSET(Grunddaten!BZ17,El_Produkt,0)*((OFFSET(Grunddaten!$AJ$17,El_Produkt,0)-OFFSET(Grunddaten!$Q$17,El_Produkt,0))/100*$G62+$E62),-1))</f>
        <v>0</v>
      </c>
      <c r="BA62" s="247">
        <f ca="1">IF($G62=0,0,ROUND(OFFSET(Grunddaten!CA17,El_Produkt,0)*((OFFSET(Grunddaten!$AJ$17,El_Produkt,0)-OFFSET(Grunddaten!$Q$17,El_Produkt,0))/100*$G62+$E62),-1))</f>
        <v>0</v>
      </c>
      <c r="BB62" s="247">
        <f ca="1">IF($G62=0,0,ROUND(OFFSET(Grunddaten!CB17,El_Produkt,0)*((OFFSET(Grunddaten!$AJ$17,El_Produkt,0)-OFFSET(Grunddaten!$Q$17,El_Produkt,0))/100*$G62+$E62),-1))</f>
        <v>0</v>
      </c>
      <c r="BC62" s="247">
        <f ca="1">IF($G62=0,0,ROUND(OFFSET(Grunddaten!CC17,El_Produkt,0)*((OFFSET(Grunddaten!$AJ$17,El_Produkt,0)-OFFSET(Grunddaten!$Q$17,El_Produkt,0))/100*$G62+$E62),-1))</f>
        <v>0</v>
      </c>
      <c r="BD62" s="247">
        <f ca="1">IF($G62=0,0,ROUND(OFFSET(Grunddaten!CD17,El_Produkt,0)*((OFFSET(Grunddaten!$AJ$17,El_Produkt,0)-OFFSET(Grunddaten!$Q$17,El_Produkt,0))/100*$G62+$E62),-1))</f>
        <v>0</v>
      </c>
      <c r="BE62" s="247">
        <f ca="1">IF($G62=0,0,ROUND(OFFSET(Grunddaten!CE17,El_Produkt,0)*((OFFSET(Grunddaten!$AJ$17,El_Produkt,0)-OFFSET(Grunddaten!$Q$17,El_Produkt,0))/100*$G62+$E62),-1))</f>
        <v>0</v>
      </c>
      <c r="BF62" s="247">
        <f ca="1">IF($G62=0,0,ROUND(OFFSET(Grunddaten!CF17,El_Produkt,0)*((OFFSET(Grunddaten!$AJ$17,El_Produkt,0)-OFFSET(Grunddaten!$Q$17,El_Produkt,0))/100*$G62+$E62),-1))</f>
        <v>0</v>
      </c>
      <c r="BG62" s="247">
        <f ca="1">IF($G62=0,0,ROUND(OFFSET(Grunddaten!CG17,El_Produkt,0)*((OFFSET(Grunddaten!$AJ$17,El_Produkt,0)-OFFSET(Grunddaten!$Q$17,El_Produkt,0))/100*$G62+$E62),-1))</f>
        <v>0</v>
      </c>
      <c r="BH62" s="247">
        <f ca="1">IF($G62=0,0,ROUND(OFFSET(Grunddaten!CH17,El_Produkt,0)*((OFFSET(Grunddaten!$AJ$17,El_Produkt,0)-OFFSET(Grunddaten!$Q$17,El_Produkt,0))/100*$G62+$E62),-1))</f>
        <v>0</v>
      </c>
      <c r="BI62" s="247">
        <f ca="1">IF($G62=0,0,ROUND(OFFSET(Grunddaten!CI17,El_Produkt,0)*((OFFSET(Grunddaten!$AJ$17,El_Produkt,0)-OFFSET(Grunddaten!$Q$17,El_Produkt,0))/100*$G62+$E62),-1))</f>
        <v>0</v>
      </c>
      <c r="BJ62" s="247">
        <f ca="1">IF($G62=0,0,ROUND(OFFSET(Grunddaten!CJ17,El_Produkt,0)*((OFFSET(Grunddaten!$AJ$17,El_Produkt,0)-OFFSET(Grunddaten!$Q$17,El_Produkt,0))/100*$G62+$E62),-1))</f>
        <v>0</v>
      </c>
      <c r="BK62" s="247">
        <f ca="1">IF($G62=0,0,ROUND(OFFSET(Grunddaten!CK17,El_Produkt,0)*((OFFSET(Grunddaten!$AJ$17,El_Produkt,0)-OFFSET(Grunddaten!$Q$17,El_Produkt,0))/100*$G62+$E62),-1))</f>
        <v>0</v>
      </c>
      <c r="BL62" s="247">
        <f ca="1">IF($G62=0,0,ROUND(OFFSET(Grunddaten!CL17,El_Produkt,0)*((OFFSET(Grunddaten!$AJ$17,El_Produkt,0)-OFFSET(Grunddaten!$Q$17,El_Produkt,0))/100*$G62+$E62),-1))</f>
        <v>0</v>
      </c>
      <c r="BM62" s="247">
        <f ca="1">IF($G62=0,0,ROUND(OFFSET(Grunddaten!CM17,El_Produkt,0)*((OFFSET(Grunddaten!$AJ$17,El_Produkt,0)-OFFSET(Grunddaten!$Q$17,El_Produkt,0))/100*$G62+$E62),-1))</f>
        <v>0</v>
      </c>
      <c r="BN62" s="247">
        <f ca="1">IF($G62=0,0,ROUND(OFFSET(Grunddaten!CN17,El_Produkt,0)*((OFFSET(Grunddaten!$AJ$17,El_Produkt,0)-OFFSET(Grunddaten!$Q$17,El_Produkt,0))/100*$G62+$E62),-1))</f>
        <v>0</v>
      </c>
      <c r="BO62" s="247">
        <f ca="1">IF($G62=0,0,ROUND(OFFSET(Grunddaten!CO17,El_Produkt,0)*((OFFSET(Grunddaten!$AJ$17,El_Produkt,0)-OFFSET(Grunddaten!$Q$17,El_Produkt,0))/100*$G62+$E62),-1))</f>
        <v>0</v>
      </c>
      <c r="BP62" s="247">
        <f ca="1">IF($G62=0,0,ROUND(OFFSET(Grunddaten!CP17,El_Produkt,0)*((OFFSET(Grunddaten!$AJ$17,El_Produkt,0)-OFFSET(Grunddaten!$Q$17,El_Produkt,0))/100*$G62+$E62),-1))</f>
        <v>0</v>
      </c>
      <c r="BQ62" s="248">
        <f ca="1">IF($G62=0,0,ROUND(OFFSET(Grunddaten!CQ17,El_Produkt,0)*((OFFSET(Grunddaten!$AJ$17,El_Produkt,0)-OFFSET(Grunddaten!$Q$17,El_Produkt,0))/100*$G62+$E62),-1))</f>
        <v>0</v>
      </c>
    </row>
    <row r="63" spans="1:69" s="36" customFormat="1" ht="11.25" customHeight="1" x14ac:dyDescent="0.2">
      <c r="A63" s="1008" t="s">
        <v>42</v>
      </c>
      <c r="B63" s="1009"/>
      <c r="C63" s="2524">
        <f>1-C62</f>
        <v>0.30000000000000004</v>
      </c>
      <c r="D63" s="2524"/>
      <c r="E63" s="2397">
        <f>IF(G63,E$61*G63/SUM(G$62:G$65),0)</f>
        <v>0</v>
      </c>
      <c r="F63" s="2398"/>
      <c r="G63" s="2392">
        <f>IF(EV_Var3!$E$68&gt;0,IF(EV_Var3!$E$68&gt;=(EV_Var3!$E$34 + EV_Var3!$E$38),EV_Var3!$E$68-(EV_Var3!$E$34 + EV_Var3!$E$38),0),EV_Var3!$E$68)*C63</f>
        <v>0</v>
      </c>
      <c r="H63" s="2393"/>
      <c r="I63" s="2394"/>
      <c r="J63" s="2390">
        <f ca="1">OFFSET(Grunddaten!$AK17,El_Produkt,0)-(1-$R$109)*OFFSET(Grunddaten!$Q$17,El_Produkt,0)</f>
        <v>17.706284570000001</v>
      </c>
      <c r="K63" s="2391"/>
      <c r="L63" s="2424">
        <f t="shared" ca="1" si="4"/>
        <v>0</v>
      </c>
      <c r="M63" s="2425"/>
      <c r="N63" s="2426"/>
      <c r="S63" s="208">
        <f ca="1">IF($G63=0,0,ROUND(OFFSET(Grunddaten!AS17,El_Produkt,0)*((OFFSET(Grunddaten!$AK$17,El_Produkt,0)-OFFSET(Grunddaten!$Q$17,El_Produkt,0))/100*$G63+$E63),-1))</f>
        <v>0</v>
      </c>
      <c r="T63" s="209">
        <f ca="1">IF($G63=0,0,ROUND(OFFSET(Grunddaten!AT17,El_Produkt,0)*((OFFSET(Grunddaten!$AK$17,El_Produkt,0)-OFFSET(Grunddaten!$Q$17,El_Produkt,0))/100*$G63+$E63),-1))</f>
        <v>0</v>
      </c>
      <c r="U63" s="209">
        <f ca="1">IF($G63=0,0,ROUND(OFFSET(Grunddaten!AU17,El_Produkt,0)*((OFFSET(Grunddaten!$AK$17,El_Produkt,0)-OFFSET(Grunddaten!$Q$17,El_Produkt,0))/100*$G63+$E63),-1))</f>
        <v>0</v>
      </c>
      <c r="V63" s="209">
        <f ca="1">IF($G63=0,0,ROUND(OFFSET(Grunddaten!AV17,El_Produkt,0)*((OFFSET(Grunddaten!$AK$17,El_Produkt,0)-OFFSET(Grunddaten!$Q$17,El_Produkt,0))/100*$G63+$E63),-1))</f>
        <v>0</v>
      </c>
      <c r="W63" s="209">
        <f ca="1">IF($G63=0,0,ROUND(OFFSET(Grunddaten!AW17,El_Produkt,0)*((OFFSET(Grunddaten!$AK$17,El_Produkt,0)-OFFSET(Grunddaten!$Q$17,El_Produkt,0))/100*$G63+$E63),-1))</f>
        <v>0</v>
      </c>
      <c r="X63" s="209">
        <f ca="1">IF($G63=0,0,ROUND(OFFSET(Grunddaten!AX17,El_Produkt,0)*((OFFSET(Grunddaten!$AK$17,El_Produkt,0)-OFFSET(Grunddaten!$Q$17,El_Produkt,0))/100*$G63+$E63),-1))</f>
        <v>0</v>
      </c>
      <c r="Y63" s="209">
        <f ca="1">IF($G63=0,0,ROUND(OFFSET(Grunddaten!AY17,El_Produkt,0)*((OFFSET(Grunddaten!$AK$17,El_Produkt,0)-OFFSET(Grunddaten!$Q$17,El_Produkt,0))/100*$G63+$E63),-1))</f>
        <v>0</v>
      </c>
      <c r="Z63" s="209">
        <f ca="1">IF($G63=0,0,ROUND(OFFSET(Grunddaten!AZ17,El_Produkt,0)*((OFFSET(Grunddaten!$AK$17,El_Produkt,0)-OFFSET(Grunddaten!$Q$17,El_Produkt,0))/100*$G63+$E63),-1))</f>
        <v>0</v>
      </c>
      <c r="AA63" s="209">
        <f ca="1">IF($G63=0,0,ROUND(OFFSET(Grunddaten!BA17,El_Produkt,0)*((OFFSET(Grunddaten!$AK$17,El_Produkt,0)-OFFSET(Grunddaten!$Q$17,El_Produkt,0))/100*$G63+$E63),-1))</f>
        <v>0</v>
      </c>
      <c r="AB63" s="249">
        <f ca="1">IF($G63=0,0,ROUND(OFFSET(Grunddaten!BB17,El_Produkt,0)*((OFFSET(Grunddaten!$AK$17,El_Produkt,0)-OFFSET(Grunddaten!$Q$17,El_Produkt,0))/100*$G63+$E63),-1))</f>
        <v>0</v>
      </c>
      <c r="AC63" s="249">
        <f ca="1">IF($G63=0,0,ROUND(OFFSET(Grunddaten!BC17,El_Produkt,0)*((OFFSET(Grunddaten!$AK$17,El_Produkt,0)-OFFSET(Grunddaten!$Q$17,El_Produkt,0))/100*$G63+$E63),-1))</f>
        <v>0</v>
      </c>
      <c r="AD63" s="249">
        <f ca="1">IF($G63=0,0,ROUND(OFFSET(Grunddaten!BD17,El_Produkt,0)*((OFFSET(Grunddaten!$AK$17,El_Produkt,0)-OFFSET(Grunddaten!$Q$17,El_Produkt,0))/100*$G63+$E63),-1))</f>
        <v>0</v>
      </c>
      <c r="AE63" s="249">
        <f ca="1">IF($G63=0,0,ROUND(OFFSET(Grunddaten!BE17,El_Produkt,0)*((OFFSET(Grunddaten!$AK$17,El_Produkt,0)-OFFSET(Grunddaten!$Q$17,El_Produkt,0))/100*$G63+$E63),-1))</f>
        <v>0</v>
      </c>
      <c r="AF63" s="249">
        <f ca="1">IF($G63=0,0,ROUND(OFFSET(Grunddaten!BF17,El_Produkt,0)*((OFFSET(Grunddaten!$AK$17,El_Produkt,0)-OFFSET(Grunddaten!$Q$17,El_Produkt,0))/100*$G63+$E63),-1))</f>
        <v>0</v>
      </c>
      <c r="AG63" s="249">
        <f ca="1">IF($G63=0,0,ROUND(OFFSET(Grunddaten!BG17,El_Produkt,0)*((OFFSET(Grunddaten!$AK$17,El_Produkt,0)-OFFSET(Grunddaten!$Q$17,El_Produkt,0))/100*$G63+$E63),-1))</f>
        <v>0</v>
      </c>
      <c r="AH63" s="250">
        <f ca="1">IF($G63=0,0,ROUND(OFFSET(Grunddaten!BH17,El_Produkt,0)*((OFFSET(Grunddaten!$AK$17,El_Produkt,0)-OFFSET(Grunddaten!$Q$17,El_Produkt,0))/100*$G63+$E63),-1))</f>
        <v>0</v>
      </c>
      <c r="AI63" s="250">
        <f ca="1">IF($G63=0,0,ROUND(OFFSET(Grunddaten!BI17,El_Produkt,0)*((OFFSET(Grunddaten!$AK$17,El_Produkt,0)-OFFSET(Grunddaten!$Q$17,El_Produkt,0))/100*$G63+$E63),-1))</f>
        <v>0</v>
      </c>
      <c r="AJ63" s="250">
        <f ca="1">IF($G63=0,0,ROUND(OFFSET(Grunddaten!BJ17,El_Produkt,0)*((OFFSET(Grunddaten!$AK$17,El_Produkt,0)-OFFSET(Grunddaten!$Q$17,El_Produkt,0))/100*$G63+$E63),-1))</f>
        <v>0</v>
      </c>
      <c r="AK63" s="250">
        <f ca="1">IF($G63=0,0,ROUND(OFFSET(Grunddaten!BK17,El_Produkt,0)*((OFFSET(Grunddaten!$AK$17,El_Produkt,0)-OFFSET(Grunddaten!$Q$17,El_Produkt,0))/100*$G63+$E63),-1))</f>
        <v>0</v>
      </c>
      <c r="AL63" s="250">
        <f ca="1">IF($G63=0,0,ROUND(OFFSET(Grunddaten!BL17,El_Produkt,0)*((OFFSET(Grunddaten!$AK$17,El_Produkt,0)-OFFSET(Grunddaten!$Q$17,El_Produkt,0))/100*$G63+$E63),-1))</f>
        <v>0</v>
      </c>
      <c r="AM63" s="250">
        <f ca="1">IF($G63=0,0,ROUND(OFFSET(Grunddaten!BM17,El_Produkt,0)*((OFFSET(Grunddaten!$AK$17,El_Produkt,0)-OFFSET(Grunddaten!$Q$17,El_Produkt,0))/100*$G63+$E63),-1))</f>
        <v>0</v>
      </c>
      <c r="AN63" s="250">
        <f ca="1">IF($G63=0,0,ROUND(OFFSET(Grunddaten!BN17,El_Produkt,0)*((OFFSET(Grunddaten!$AK$17,El_Produkt,0)-OFFSET(Grunddaten!$Q$17,El_Produkt,0))/100*$G63+$E63),-1))</f>
        <v>0</v>
      </c>
      <c r="AO63" s="250">
        <f ca="1">IF($G63=0,0,ROUND(OFFSET(Grunddaten!BO17,El_Produkt,0)*((OFFSET(Grunddaten!$AK$17,El_Produkt,0)-OFFSET(Grunddaten!$Q$17,El_Produkt,0))/100*$G63+$E63),-1))</f>
        <v>0</v>
      </c>
      <c r="AP63" s="250">
        <f ca="1">IF($G63=0,0,ROUND(OFFSET(Grunddaten!BP17,El_Produkt,0)*((OFFSET(Grunddaten!$AK$17,El_Produkt,0)-OFFSET(Grunddaten!$Q$17,El_Produkt,0))/100*$G63+$E63),-1))</f>
        <v>0</v>
      </c>
      <c r="AQ63" s="250">
        <f ca="1">IF($G63=0,0,ROUND(OFFSET(Grunddaten!BQ17,El_Produkt,0)*((OFFSET(Grunddaten!$AK$17,El_Produkt,0)-OFFSET(Grunddaten!$Q$17,El_Produkt,0))/100*$G63+$E63),-1))</f>
        <v>0</v>
      </c>
      <c r="AR63" s="250">
        <f ca="1">IF($G63=0,0,ROUND(OFFSET(Grunddaten!BR17,El_Produkt,0)*((OFFSET(Grunddaten!$AK$17,El_Produkt,0)-OFFSET(Grunddaten!$Q$17,El_Produkt,0))/100*$G63+$E63),-1))</f>
        <v>0</v>
      </c>
      <c r="AS63" s="250">
        <f ca="1">IF($G63=0,0,ROUND(OFFSET(Grunddaten!BS17,El_Produkt,0)*((OFFSET(Grunddaten!$AK$17,El_Produkt,0)-OFFSET(Grunddaten!$Q$17,El_Produkt,0))/100*$G63+$E63),-1))</f>
        <v>0</v>
      </c>
      <c r="AT63" s="250">
        <f ca="1">IF($G63=0,0,ROUND(OFFSET(Grunddaten!BT17,El_Produkt,0)*((OFFSET(Grunddaten!$AK$17,El_Produkt,0)-OFFSET(Grunddaten!$Q$17,El_Produkt,0))/100*$G63+$E63),-1))</f>
        <v>0</v>
      </c>
      <c r="AU63" s="250">
        <f ca="1">IF($G63=0,0,ROUND(OFFSET(Grunddaten!BU17,El_Produkt,0)*((OFFSET(Grunddaten!$AK$17,El_Produkt,0)-OFFSET(Grunddaten!$Q$17,El_Produkt,0))/100*$G63+$E63),-1))</f>
        <v>0</v>
      </c>
      <c r="AV63" s="250">
        <f ca="1">IF($G63=0,0,ROUND(OFFSET(Grunddaten!BV17,El_Produkt,0)*((OFFSET(Grunddaten!$AK$17,El_Produkt,0)-OFFSET(Grunddaten!$Q$17,El_Produkt,0))/100*$G63+$E63),-1))</f>
        <v>0</v>
      </c>
      <c r="AW63" s="250">
        <f ca="1">IF($G63=0,0,ROUND(OFFSET(Grunddaten!BW17,El_Produkt,0)*((OFFSET(Grunddaten!$AK$17,El_Produkt,0)-OFFSET(Grunddaten!$Q$17,El_Produkt,0))/100*$G63+$E63),-1))</f>
        <v>0</v>
      </c>
      <c r="AX63" s="250">
        <f ca="1">IF($G63=0,0,ROUND(OFFSET(Grunddaten!BX17,El_Produkt,0)*((OFFSET(Grunddaten!$AK$17,El_Produkt,0)-OFFSET(Grunddaten!$Q$17,El_Produkt,0))/100*$G63+$E63),-1))</f>
        <v>0</v>
      </c>
      <c r="AY63" s="250">
        <f ca="1">IF($G63=0,0,ROUND(OFFSET(Grunddaten!BY17,El_Produkt,0)*((OFFSET(Grunddaten!$AK$17,El_Produkt,0)-OFFSET(Grunddaten!$Q$17,El_Produkt,0))/100*$G63+$E63),-1))</f>
        <v>0</v>
      </c>
      <c r="AZ63" s="250">
        <f ca="1">IF($G63=0,0,ROUND(OFFSET(Grunddaten!BZ17,El_Produkt,0)*((OFFSET(Grunddaten!$AK$17,El_Produkt,0)-OFFSET(Grunddaten!$Q$17,El_Produkt,0))/100*$G63+$E63),-1))</f>
        <v>0</v>
      </c>
      <c r="BA63" s="250">
        <f ca="1">IF($G63=0,0,ROUND(OFFSET(Grunddaten!CA17,El_Produkt,0)*((OFFSET(Grunddaten!$AK$17,El_Produkt,0)-OFFSET(Grunddaten!$Q$17,El_Produkt,0))/100*$G63+$E63),-1))</f>
        <v>0</v>
      </c>
      <c r="BB63" s="250">
        <f ca="1">IF($G63=0,0,ROUND(OFFSET(Grunddaten!CB17,El_Produkt,0)*((OFFSET(Grunddaten!$AK$17,El_Produkt,0)-OFFSET(Grunddaten!$Q$17,El_Produkt,0))/100*$G63+$E63),-1))</f>
        <v>0</v>
      </c>
      <c r="BC63" s="250">
        <f ca="1">IF($G63=0,0,ROUND(OFFSET(Grunddaten!CC17,El_Produkt,0)*((OFFSET(Grunddaten!$AK$17,El_Produkt,0)-OFFSET(Grunddaten!$Q$17,El_Produkt,0))/100*$G63+$E63),-1))</f>
        <v>0</v>
      </c>
      <c r="BD63" s="250">
        <f ca="1">IF($G63=0,0,ROUND(OFFSET(Grunddaten!CD17,El_Produkt,0)*((OFFSET(Grunddaten!$AK$17,El_Produkt,0)-OFFSET(Grunddaten!$Q$17,El_Produkt,0))/100*$G63+$E63),-1))</f>
        <v>0</v>
      </c>
      <c r="BE63" s="250">
        <f ca="1">IF($G63=0,0,ROUND(OFFSET(Grunddaten!CE17,El_Produkt,0)*((OFFSET(Grunddaten!$AK$17,El_Produkt,0)-OFFSET(Grunddaten!$Q$17,El_Produkt,0))/100*$G63+$E63),-1))</f>
        <v>0</v>
      </c>
      <c r="BF63" s="250">
        <f ca="1">IF($G63=0,0,ROUND(OFFSET(Grunddaten!CF17,El_Produkt,0)*((OFFSET(Grunddaten!$AK$17,El_Produkt,0)-OFFSET(Grunddaten!$Q$17,El_Produkt,0))/100*$G63+$E63),-1))</f>
        <v>0</v>
      </c>
      <c r="BG63" s="250">
        <f ca="1">IF($G63=0,0,ROUND(OFFSET(Grunddaten!CG17,El_Produkt,0)*((OFFSET(Grunddaten!$AK$17,El_Produkt,0)-OFFSET(Grunddaten!$Q$17,El_Produkt,0))/100*$G63+$E63),-1))</f>
        <v>0</v>
      </c>
      <c r="BH63" s="250">
        <f ca="1">IF($G63=0,0,ROUND(OFFSET(Grunddaten!CH17,El_Produkt,0)*((OFFSET(Grunddaten!$AK$17,El_Produkt,0)-OFFSET(Grunddaten!$Q$17,El_Produkt,0))/100*$G63+$E63),-1))</f>
        <v>0</v>
      </c>
      <c r="BI63" s="250">
        <f ca="1">IF($G63=0,0,ROUND(OFFSET(Grunddaten!CI17,El_Produkt,0)*((OFFSET(Grunddaten!$AK$17,El_Produkt,0)-OFFSET(Grunddaten!$Q$17,El_Produkt,0))/100*$G63+$E63),-1))</f>
        <v>0</v>
      </c>
      <c r="BJ63" s="250">
        <f ca="1">IF($G63=0,0,ROUND(OFFSET(Grunddaten!CJ17,El_Produkt,0)*((OFFSET(Grunddaten!$AK$17,El_Produkt,0)-OFFSET(Grunddaten!$Q$17,El_Produkt,0))/100*$G63+$E63),-1))</f>
        <v>0</v>
      </c>
      <c r="BK63" s="250">
        <f ca="1">IF($G63=0,0,ROUND(OFFSET(Grunddaten!CK17,El_Produkt,0)*((OFFSET(Grunddaten!$AK$17,El_Produkt,0)-OFFSET(Grunddaten!$Q$17,El_Produkt,0))/100*$G63+$E63),-1))</f>
        <v>0</v>
      </c>
      <c r="BL63" s="250">
        <f ca="1">IF($G63=0,0,ROUND(OFFSET(Grunddaten!CL17,El_Produkt,0)*((OFFSET(Grunddaten!$AK$17,El_Produkt,0)-OFFSET(Grunddaten!$Q$17,El_Produkt,0))/100*$G63+$E63),-1))</f>
        <v>0</v>
      </c>
      <c r="BM63" s="250">
        <f ca="1">IF($G63=0,0,ROUND(OFFSET(Grunddaten!CM17,El_Produkt,0)*((OFFSET(Grunddaten!$AK$17,El_Produkt,0)-OFFSET(Grunddaten!$Q$17,El_Produkt,0))/100*$G63+$E63),-1))</f>
        <v>0</v>
      </c>
      <c r="BN63" s="250">
        <f ca="1">IF($G63=0,0,ROUND(OFFSET(Grunddaten!CN17,El_Produkt,0)*((OFFSET(Grunddaten!$AK$17,El_Produkt,0)-OFFSET(Grunddaten!$Q$17,El_Produkt,0))/100*$G63+$E63),-1))</f>
        <v>0</v>
      </c>
      <c r="BO63" s="250">
        <f ca="1">IF($G63=0,0,ROUND(OFFSET(Grunddaten!CO17,El_Produkt,0)*((OFFSET(Grunddaten!$AK$17,El_Produkt,0)-OFFSET(Grunddaten!$Q$17,El_Produkt,0))/100*$G63+$E63),-1))</f>
        <v>0</v>
      </c>
      <c r="BP63" s="250">
        <f ca="1">IF($G63=0,0,ROUND(OFFSET(Grunddaten!CP17,El_Produkt,0)*((OFFSET(Grunddaten!$AK$17,El_Produkt,0)-OFFSET(Grunddaten!$Q$17,El_Produkt,0))/100*$G63+$E63),-1))</f>
        <v>0</v>
      </c>
      <c r="BQ63" s="251">
        <f ca="1">IF($G63=0,0,ROUND(OFFSET(Grunddaten!CQ17,El_Produkt,0)*((OFFSET(Grunddaten!$AK$17,El_Produkt,0)-OFFSET(Grunddaten!$Q$17,El_Produkt,0))/100*$G63+$E63),-1))</f>
        <v>0</v>
      </c>
    </row>
    <row r="64" spans="1:69" s="36" customFormat="1" ht="11.25" customHeight="1" x14ac:dyDescent="0.2">
      <c r="A64" s="1010" t="s">
        <v>392</v>
      </c>
      <c r="B64" s="1003"/>
      <c r="C64" s="2423">
        <v>0.7</v>
      </c>
      <c r="D64" s="2423"/>
      <c r="E64" s="2400">
        <f>IF(G64,E$61*G64/SUM(G$62:G$65),0)</f>
        <v>0</v>
      </c>
      <c r="F64" s="2401"/>
      <c r="G64" s="2544">
        <f>IF(EV_Var3!$E$68&gt;=0,IF(EV_Var3!$E$68&gt;=(EV_Var3!$E$34 + EV_Var3!$E$38),(EV_Var3!$E$34 + EV_Var3!$E$38),EV_Var3!$E$68),0)*C64</f>
        <v>0</v>
      </c>
      <c r="H64" s="2545"/>
      <c r="I64" s="2546"/>
      <c r="J64" s="2388">
        <f ca="1">OFFSET(Grunddaten!$AL$17,El_Produkt,0)-(1-$R$109)*OFFSET(Grunddaten!$Q$17,El_Produkt,0)</f>
        <v>26.638089320000002</v>
      </c>
      <c r="K64" s="2389"/>
      <c r="L64" s="2319">
        <f t="shared" ca="1" si="4"/>
        <v>0</v>
      </c>
      <c r="M64" s="2320"/>
      <c r="N64" s="2321"/>
      <c r="S64" s="206">
        <f ca="1">IF($G64=0,0,ROUND(OFFSET(Grunddaten!AS17,El_Produkt,0)*((OFFSET(Grunddaten!$AL$17,El_Produkt,0)-OFFSET(Grunddaten!$Q$17,El_Produkt,0))/100*$G64+$E64),-1))</f>
        <v>0</v>
      </c>
      <c r="T64" s="207">
        <f ca="1">IF($G64=0,0,ROUND(OFFSET(Grunddaten!AT17,El_Produkt,0)*((OFFSET(Grunddaten!$AL$17,El_Produkt,0)-OFFSET(Grunddaten!$Q$17,El_Produkt,0))/100*$G64+$E64),-1))</f>
        <v>0</v>
      </c>
      <c r="U64" s="207">
        <f ca="1">IF($G64=0,0,ROUND(OFFSET(Grunddaten!AU17,El_Produkt,0)*((OFFSET(Grunddaten!$AL$17,El_Produkt,0)-OFFSET(Grunddaten!$Q$17,El_Produkt,0))/100*$G64+$E64),-1))</f>
        <v>0</v>
      </c>
      <c r="V64" s="207">
        <f ca="1">IF($G64=0,0,ROUND(OFFSET(Grunddaten!AV17,El_Produkt,0)*((OFFSET(Grunddaten!$AL$17,El_Produkt,0)-OFFSET(Grunddaten!$Q$17,El_Produkt,0))/100*$G64+$E64),-1))</f>
        <v>0</v>
      </c>
      <c r="W64" s="207">
        <f ca="1">IF($G64=0,0,ROUND(OFFSET(Grunddaten!AW17,El_Produkt,0)*((OFFSET(Grunddaten!$AL$17,El_Produkt,0)-OFFSET(Grunddaten!$Q$17,El_Produkt,0))/100*$G64+$E64),-1))</f>
        <v>0</v>
      </c>
      <c r="X64" s="207">
        <f ca="1">IF($G64=0,0,ROUND(OFFSET(Grunddaten!AX17,El_Produkt,0)*((OFFSET(Grunddaten!$AL$17,El_Produkt,0)-OFFSET(Grunddaten!$Q$17,El_Produkt,0))/100*$G64+$E64),-1))</f>
        <v>0</v>
      </c>
      <c r="Y64" s="207">
        <f ca="1">IF($G64=0,0,ROUND(OFFSET(Grunddaten!AY17,El_Produkt,0)*((OFFSET(Grunddaten!$AL$17,El_Produkt,0)-OFFSET(Grunddaten!$Q$17,El_Produkt,0))/100*$G64+$E64),-1))</f>
        <v>0</v>
      </c>
      <c r="Z64" s="207">
        <f ca="1">IF($G64=0,0,ROUND(OFFSET(Grunddaten!AZ17,El_Produkt,0)*((OFFSET(Grunddaten!$AL$17,El_Produkt,0)-OFFSET(Grunddaten!$Q$17,El_Produkt,0))/100*$G64+$E64),-1))</f>
        <v>0</v>
      </c>
      <c r="AA64" s="207">
        <f ca="1">IF($G64=0,0,ROUND(OFFSET(Grunddaten!BA17,El_Produkt,0)*((OFFSET(Grunddaten!$AL$17,El_Produkt,0)-OFFSET(Grunddaten!$Q$17,El_Produkt,0))/100*$G64+$E64),-1))</f>
        <v>0</v>
      </c>
      <c r="AB64" s="246">
        <f ca="1">IF($G64=0,0,ROUND(OFFSET(Grunddaten!BB17,El_Produkt,0)*((OFFSET(Grunddaten!$AL$17,El_Produkt,0)-OFFSET(Grunddaten!$Q$17,El_Produkt,0))/100*$G64+$E64),-1))</f>
        <v>0</v>
      </c>
      <c r="AC64" s="246">
        <f ca="1">IF($G64=0,0,ROUND(OFFSET(Grunddaten!BC17,El_Produkt,0)*((OFFSET(Grunddaten!$AL$17,El_Produkt,0)-OFFSET(Grunddaten!$Q$17,El_Produkt,0))/100*$G64+$E64),-1))</f>
        <v>0</v>
      </c>
      <c r="AD64" s="246">
        <f ca="1">IF($G64=0,0,ROUND(OFFSET(Grunddaten!BD17,El_Produkt,0)*((OFFSET(Grunddaten!$AL$17,El_Produkt,0)-OFFSET(Grunddaten!$Q$17,El_Produkt,0))/100*$G64+$E64),-1))</f>
        <v>0</v>
      </c>
      <c r="AE64" s="246">
        <f ca="1">IF($G64=0,0,ROUND(OFFSET(Grunddaten!BE17,El_Produkt,0)*((OFFSET(Grunddaten!$AL$17,El_Produkt,0)-OFFSET(Grunddaten!$Q$17,El_Produkt,0))/100*$G64+$E64),-1))</f>
        <v>0</v>
      </c>
      <c r="AF64" s="246">
        <f ca="1">IF($G64=0,0,ROUND(OFFSET(Grunddaten!BF17,El_Produkt,0)*((OFFSET(Grunddaten!$AL$17,El_Produkt,0)-OFFSET(Grunddaten!$Q$17,El_Produkt,0))/100*$G64+$E64),-1))</f>
        <v>0</v>
      </c>
      <c r="AG64" s="246">
        <f ca="1">IF($G64=0,0,ROUND(OFFSET(Grunddaten!BG17,El_Produkt,0)*((OFFSET(Grunddaten!$AL$17,El_Produkt,0)-OFFSET(Grunddaten!$Q$17,El_Produkt,0))/100*$G64+$E64),-1))</f>
        <v>0</v>
      </c>
      <c r="AH64" s="247">
        <f ca="1">IF($G64=0,0,ROUND(OFFSET(Grunddaten!BH17,El_Produkt,0)*((OFFSET(Grunddaten!$AL$17,El_Produkt,0)-OFFSET(Grunddaten!$Q$17,El_Produkt,0))/100*$G64+$E64),-1))</f>
        <v>0</v>
      </c>
      <c r="AI64" s="247">
        <f ca="1">IF($G64=0,0,ROUND(OFFSET(Grunddaten!BI17,El_Produkt,0)*((OFFSET(Grunddaten!$AL$17,El_Produkt,0)-OFFSET(Grunddaten!$Q$17,El_Produkt,0))/100*$G64+$E64),-1))</f>
        <v>0</v>
      </c>
      <c r="AJ64" s="247">
        <f ca="1">IF($G64=0,0,ROUND(OFFSET(Grunddaten!BJ17,El_Produkt,0)*((OFFSET(Grunddaten!$AL$17,El_Produkt,0)-OFFSET(Grunddaten!$Q$17,El_Produkt,0))/100*$G64+$E64),-1))</f>
        <v>0</v>
      </c>
      <c r="AK64" s="247">
        <f ca="1">IF($G64=0,0,ROUND(OFFSET(Grunddaten!BK17,El_Produkt,0)*((OFFSET(Grunddaten!$AL$17,El_Produkt,0)-OFFSET(Grunddaten!$Q$17,El_Produkt,0))/100*$G64+$E64),-1))</f>
        <v>0</v>
      </c>
      <c r="AL64" s="247">
        <f ca="1">IF($G64=0,0,ROUND(OFFSET(Grunddaten!BL17,El_Produkt,0)*((OFFSET(Grunddaten!$AL$17,El_Produkt,0)-OFFSET(Grunddaten!$Q$17,El_Produkt,0))/100*$G64+$E64),-1))</f>
        <v>0</v>
      </c>
      <c r="AM64" s="247">
        <f ca="1">IF($G64=0,0,ROUND(OFFSET(Grunddaten!BM17,El_Produkt,0)*((OFFSET(Grunddaten!$AL$17,El_Produkt,0)-OFFSET(Grunddaten!$Q$17,El_Produkt,0))/100*$G64+$E64),-1))</f>
        <v>0</v>
      </c>
      <c r="AN64" s="247">
        <f ca="1">IF($G64=0,0,ROUND(OFFSET(Grunddaten!BN17,El_Produkt,0)*((OFFSET(Grunddaten!$AL$17,El_Produkt,0)-OFFSET(Grunddaten!$Q$17,El_Produkt,0))/100*$G64+$E64),-1))</f>
        <v>0</v>
      </c>
      <c r="AO64" s="247">
        <f ca="1">IF($G64=0,0,ROUND(OFFSET(Grunddaten!BO17,El_Produkt,0)*((OFFSET(Grunddaten!$AL$17,El_Produkt,0)-OFFSET(Grunddaten!$Q$17,El_Produkt,0))/100*$G64+$E64),-1))</f>
        <v>0</v>
      </c>
      <c r="AP64" s="247">
        <f ca="1">IF($G64=0,0,ROUND(OFFSET(Grunddaten!BP17,El_Produkt,0)*((OFFSET(Grunddaten!$AL$17,El_Produkt,0)-OFFSET(Grunddaten!$Q$17,El_Produkt,0))/100*$G64+$E64),-1))</f>
        <v>0</v>
      </c>
      <c r="AQ64" s="247">
        <f ca="1">IF($G64=0,0,ROUND(OFFSET(Grunddaten!BQ17,El_Produkt,0)*((OFFSET(Grunddaten!$AL$17,El_Produkt,0)-OFFSET(Grunddaten!$Q$17,El_Produkt,0))/100*$G64+$E64),-1))</f>
        <v>0</v>
      </c>
      <c r="AR64" s="247">
        <f ca="1">IF($G64=0,0,ROUND(OFFSET(Grunddaten!BR17,El_Produkt,0)*((OFFSET(Grunddaten!$AL$17,El_Produkt,0)-OFFSET(Grunddaten!$Q$17,El_Produkt,0))/100*$G64+$E64),-1))</f>
        <v>0</v>
      </c>
      <c r="AS64" s="247">
        <f ca="1">IF($G64=0,0,ROUND(OFFSET(Grunddaten!BS17,El_Produkt,0)*((OFFSET(Grunddaten!$AL$17,El_Produkt,0)-OFFSET(Grunddaten!$Q$17,El_Produkt,0))/100*$G64+$E64),-1))</f>
        <v>0</v>
      </c>
      <c r="AT64" s="247">
        <f ca="1">IF($G64=0,0,ROUND(OFFSET(Grunddaten!BT17,El_Produkt,0)*((OFFSET(Grunddaten!$AL$17,El_Produkt,0)-OFFSET(Grunddaten!$Q$17,El_Produkt,0))/100*$G64+$E64),-1))</f>
        <v>0</v>
      </c>
      <c r="AU64" s="247">
        <f ca="1">IF($G64=0,0,ROUND(OFFSET(Grunddaten!BU17,El_Produkt,0)*((OFFSET(Grunddaten!$AL$17,El_Produkt,0)-OFFSET(Grunddaten!$Q$17,El_Produkt,0))/100*$G64+$E64),-1))</f>
        <v>0</v>
      </c>
      <c r="AV64" s="247">
        <f ca="1">IF($G64=0,0,ROUND(OFFSET(Grunddaten!BV17,El_Produkt,0)*((OFFSET(Grunddaten!$AL$17,El_Produkt,0)-OFFSET(Grunddaten!$Q$17,El_Produkt,0))/100*$G64+$E64),-1))</f>
        <v>0</v>
      </c>
      <c r="AW64" s="247">
        <f ca="1">IF($G64=0,0,ROUND(OFFSET(Grunddaten!BW17,El_Produkt,0)*((OFFSET(Grunddaten!$AL$17,El_Produkt,0)-OFFSET(Grunddaten!$Q$17,El_Produkt,0))/100*$G64+$E64),-1))</f>
        <v>0</v>
      </c>
      <c r="AX64" s="247">
        <f ca="1">IF($G64=0,0,ROUND(OFFSET(Grunddaten!BX17,El_Produkt,0)*((OFFSET(Grunddaten!$AL$17,El_Produkt,0)-OFFSET(Grunddaten!$Q$17,El_Produkt,0))/100*$G64+$E64),-1))</f>
        <v>0</v>
      </c>
      <c r="AY64" s="247">
        <f ca="1">IF($G64=0,0,ROUND(OFFSET(Grunddaten!BY17,El_Produkt,0)*((OFFSET(Grunddaten!$AL$17,El_Produkt,0)-OFFSET(Grunddaten!$Q$17,El_Produkt,0))/100*$G64+$E64),-1))</f>
        <v>0</v>
      </c>
      <c r="AZ64" s="247">
        <f ca="1">IF($G64=0,0,ROUND(OFFSET(Grunddaten!BZ17,El_Produkt,0)*((OFFSET(Grunddaten!$AL$17,El_Produkt,0)-OFFSET(Grunddaten!$Q$17,El_Produkt,0))/100*$G64+$E64),-1))</f>
        <v>0</v>
      </c>
      <c r="BA64" s="247">
        <f ca="1">IF($G64=0,0,ROUND(OFFSET(Grunddaten!CA17,El_Produkt,0)*((OFFSET(Grunddaten!$AL$17,El_Produkt,0)-OFFSET(Grunddaten!$Q$17,El_Produkt,0))/100*$G64+$E64),-1))</f>
        <v>0</v>
      </c>
      <c r="BB64" s="247">
        <f ca="1">IF($G64=0,0,ROUND(OFFSET(Grunddaten!CB17,El_Produkt,0)*((OFFSET(Grunddaten!$AL$17,El_Produkt,0)-OFFSET(Grunddaten!$Q$17,El_Produkt,0))/100*$G64+$E64),-1))</f>
        <v>0</v>
      </c>
      <c r="BC64" s="247">
        <f ca="1">IF($G64=0,0,ROUND(OFFSET(Grunddaten!CC17,El_Produkt,0)*((OFFSET(Grunddaten!$AL$17,El_Produkt,0)-OFFSET(Grunddaten!$Q$17,El_Produkt,0))/100*$G64+$E64),-1))</f>
        <v>0</v>
      </c>
      <c r="BD64" s="247">
        <f ca="1">IF($G64=0,0,ROUND(OFFSET(Grunddaten!CD17,El_Produkt,0)*((OFFSET(Grunddaten!$AL$17,El_Produkt,0)-OFFSET(Grunddaten!$Q$17,El_Produkt,0))/100*$G64+$E64),-1))</f>
        <v>0</v>
      </c>
      <c r="BE64" s="247">
        <f ca="1">IF($G64=0,0,ROUND(OFFSET(Grunddaten!CE17,El_Produkt,0)*((OFFSET(Grunddaten!$AL$17,El_Produkt,0)-OFFSET(Grunddaten!$Q$17,El_Produkt,0))/100*$G64+$E64),-1))</f>
        <v>0</v>
      </c>
      <c r="BF64" s="247">
        <f ca="1">IF($G64=0,0,ROUND(OFFSET(Grunddaten!CF17,El_Produkt,0)*((OFFSET(Grunddaten!$AL$17,El_Produkt,0)-OFFSET(Grunddaten!$Q$17,El_Produkt,0))/100*$G64+$E64),-1))</f>
        <v>0</v>
      </c>
      <c r="BG64" s="247">
        <f ca="1">IF($G64=0,0,ROUND(OFFSET(Grunddaten!CG17,El_Produkt,0)*((OFFSET(Grunddaten!$AL$17,El_Produkt,0)-OFFSET(Grunddaten!$Q$17,El_Produkt,0))/100*$G64+$E64),-1))</f>
        <v>0</v>
      </c>
      <c r="BH64" s="247">
        <f ca="1">IF($G64=0,0,ROUND(OFFSET(Grunddaten!CH17,El_Produkt,0)*((OFFSET(Grunddaten!$AL$17,El_Produkt,0)-OFFSET(Grunddaten!$Q$17,El_Produkt,0))/100*$G64+$E64),-1))</f>
        <v>0</v>
      </c>
      <c r="BI64" s="247">
        <f ca="1">IF($G64=0,0,ROUND(OFFSET(Grunddaten!CI17,El_Produkt,0)*((OFFSET(Grunddaten!$AL$17,El_Produkt,0)-OFFSET(Grunddaten!$Q$17,El_Produkt,0))/100*$G64+$E64),-1))</f>
        <v>0</v>
      </c>
      <c r="BJ64" s="247">
        <f ca="1">IF($G64=0,0,ROUND(OFFSET(Grunddaten!CJ17,El_Produkt,0)*((OFFSET(Grunddaten!$AL$17,El_Produkt,0)-OFFSET(Grunddaten!$Q$17,El_Produkt,0))/100*$G64+$E64),-1))</f>
        <v>0</v>
      </c>
      <c r="BK64" s="247">
        <f ca="1">IF($G64=0,0,ROUND(OFFSET(Grunddaten!CK17,El_Produkt,0)*((OFFSET(Grunddaten!$AL$17,El_Produkt,0)-OFFSET(Grunddaten!$Q$17,El_Produkt,0))/100*$G64+$E64),-1))</f>
        <v>0</v>
      </c>
      <c r="BL64" s="247">
        <f ca="1">IF($G64=0,0,ROUND(OFFSET(Grunddaten!CL17,El_Produkt,0)*((OFFSET(Grunddaten!$AL$17,El_Produkt,0)-OFFSET(Grunddaten!$Q$17,El_Produkt,0))/100*$G64+$E64),-1))</f>
        <v>0</v>
      </c>
      <c r="BM64" s="247">
        <f ca="1">IF($G64=0,0,ROUND(OFFSET(Grunddaten!CM17,El_Produkt,0)*((OFFSET(Grunddaten!$AL$17,El_Produkt,0)-OFFSET(Grunddaten!$Q$17,El_Produkt,0))/100*$G64+$E64),-1))</f>
        <v>0</v>
      </c>
      <c r="BN64" s="247">
        <f ca="1">IF($G64=0,0,ROUND(OFFSET(Grunddaten!CN17,El_Produkt,0)*((OFFSET(Grunddaten!$AL$17,El_Produkt,0)-OFFSET(Grunddaten!$Q$17,El_Produkt,0))/100*$G64+$E64),-1))</f>
        <v>0</v>
      </c>
      <c r="BO64" s="247">
        <f ca="1">IF($G64=0,0,ROUND(OFFSET(Grunddaten!CO17,El_Produkt,0)*((OFFSET(Grunddaten!$AL$17,El_Produkt,0)-OFFSET(Grunddaten!$Q$17,El_Produkt,0))/100*$G64+$E64),-1))</f>
        <v>0</v>
      </c>
      <c r="BP64" s="247">
        <f ca="1">IF($G64=0,0,ROUND(OFFSET(Grunddaten!CP17,El_Produkt,0)*((OFFSET(Grunddaten!$AL$17,El_Produkt,0)-OFFSET(Grunddaten!$Q$17,El_Produkt,0))/100*$G64+$E64),-1))</f>
        <v>0</v>
      </c>
      <c r="BQ64" s="248">
        <f ca="1">IF($G64=0,0,ROUND(OFFSET(Grunddaten!CQ17,El_Produkt,0)*((OFFSET(Grunddaten!$AL$17,El_Produkt,0)-OFFSET(Grunddaten!$Q$17,El_Produkt,0))/100*$G64+$E64),-1))</f>
        <v>0</v>
      </c>
    </row>
    <row r="65" spans="1:69" s="36" customFormat="1" ht="11.25" customHeight="1" x14ac:dyDescent="0.2">
      <c r="A65" s="1005" t="s">
        <v>393</v>
      </c>
      <c r="B65" s="1006"/>
      <c r="C65" s="2524">
        <f>1-C64</f>
        <v>0.30000000000000004</v>
      </c>
      <c r="D65" s="2524"/>
      <c r="E65" s="2397">
        <f>IF(G65,E$61*G65/SUM(G$62:G$65),0)</f>
        <v>0</v>
      </c>
      <c r="F65" s="2398"/>
      <c r="G65" s="2392">
        <f>IF(EV_Var3!$E$68&gt;=0,IF(EV_Var3!$E$68&gt;=(EV_Var3!$E$34 + EV_Var3!$E$38),(EV_Var3!$E$34 + EV_Var3!$E$38),EV_Var3!$E$68),0)*C65</f>
        <v>0</v>
      </c>
      <c r="H65" s="2393"/>
      <c r="I65" s="2394"/>
      <c r="J65" s="2390">
        <f ca="1">OFFSET(Grunddaten!$AM$17,El_Produkt,0)-(1-$R$109)*OFFSET(Grunddaten!$Q$17,El_Produkt,0)</f>
        <v>17.706284570000001</v>
      </c>
      <c r="K65" s="2391"/>
      <c r="L65" s="2424">
        <f t="shared" ca="1" si="4"/>
        <v>0</v>
      </c>
      <c r="M65" s="2425"/>
      <c r="N65" s="2426"/>
      <c r="S65" s="208">
        <f ca="1">IF($G65=0,0,ROUND(OFFSET(Grunddaten!AS17,El_Produkt,0)*((OFFSET(Grunddaten!$AM$17,El_Produkt,0)-OFFSET(Grunddaten!$Q$17,El_Produkt,0))/100*$G65+$E65),-1))</f>
        <v>0</v>
      </c>
      <c r="T65" s="209">
        <f ca="1">IF($G65=0,0,ROUND(OFFSET(Grunddaten!AT17,El_Produkt,0)*((OFFSET(Grunddaten!$AM$17,El_Produkt,0)-OFFSET(Grunddaten!$Q$17,El_Produkt,0))/100*$G65+$E65),-1))</f>
        <v>0</v>
      </c>
      <c r="U65" s="209">
        <f ca="1">IF($G65=0,0,ROUND(OFFSET(Grunddaten!AU17,El_Produkt,0)*((OFFSET(Grunddaten!$AM$17,El_Produkt,0)-OFFSET(Grunddaten!$Q$17,El_Produkt,0))/100*$G65+$E65),-1))</f>
        <v>0</v>
      </c>
      <c r="V65" s="209">
        <f ca="1">IF($G65=0,0,ROUND(OFFSET(Grunddaten!AV17,El_Produkt,0)*((OFFSET(Grunddaten!$AM$17,El_Produkt,0)-OFFSET(Grunddaten!$Q$17,El_Produkt,0))/100*$G65+$E65),-1))</f>
        <v>0</v>
      </c>
      <c r="W65" s="209">
        <f ca="1">IF($G65=0,0,ROUND(OFFSET(Grunddaten!AW17,El_Produkt,0)*((OFFSET(Grunddaten!$AM$17,El_Produkt,0)-OFFSET(Grunddaten!$Q$17,El_Produkt,0))/100*$G65+$E65),-1))</f>
        <v>0</v>
      </c>
      <c r="X65" s="209">
        <f ca="1">IF($G65=0,0,ROUND(OFFSET(Grunddaten!AX17,El_Produkt,0)*((OFFSET(Grunddaten!$AM$17,El_Produkt,0)-OFFSET(Grunddaten!$Q$17,El_Produkt,0))/100*$G65+$E65),-1))</f>
        <v>0</v>
      </c>
      <c r="Y65" s="209">
        <f ca="1">IF($G65=0,0,ROUND(OFFSET(Grunddaten!AY17,El_Produkt,0)*((OFFSET(Grunddaten!$AM$17,El_Produkt,0)-OFFSET(Grunddaten!$Q$17,El_Produkt,0))/100*$G65+$E65),-1))</f>
        <v>0</v>
      </c>
      <c r="Z65" s="209">
        <f ca="1">IF($G65=0,0,ROUND(OFFSET(Grunddaten!AZ17,El_Produkt,0)*((OFFSET(Grunddaten!$AM$17,El_Produkt,0)-OFFSET(Grunddaten!$Q$17,El_Produkt,0))/100*$G65+$E65),-1))</f>
        <v>0</v>
      </c>
      <c r="AA65" s="209">
        <f ca="1">IF($G65=0,0,ROUND(OFFSET(Grunddaten!BA17,El_Produkt,0)*((OFFSET(Grunddaten!$AM$17,El_Produkt,0)-OFFSET(Grunddaten!$Q$17,El_Produkt,0))/100*$G65+$E65),-1))</f>
        <v>0</v>
      </c>
      <c r="AB65" s="249">
        <f ca="1">IF($G65=0,0,ROUND(OFFSET(Grunddaten!BB17,El_Produkt,0)*((OFFSET(Grunddaten!$AM$17,El_Produkt,0)-OFFSET(Grunddaten!$Q$17,El_Produkt,0))/100*$G65+$E65),-1))</f>
        <v>0</v>
      </c>
      <c r="AC65" s="249">
        <f ca="1">IF($G65=0,0,ROUND(OFFSET(Grunddaten!BC17,El_Produkt,0)*((OFFSET(Grunddaten!$AM$17,El_Produkt,0)-OFFSET(Grunddaten!$Q$17,El_Produkt,0))/100*$G65+$E65),-1))</f>
        <v>0</v>
      </c>
      <c r="AD65" s="249">
        <f ca="1">IF($G65=0,0,ROUND(OFFSET(Grunddaten!BD17,El_Produkt,0)*((OFFSET(Grunddaten!$AM$17,El_Produkt,0)-OFFSET(Grunddaten!$Q$17,El_Produkt,0))/100*$G65+$E65),-1))</f>
        <v>0</v>
      </c>
      <c r="AE65" s="249">
        <f ca="1">IF($G65=0,0,ROUND(OFFSET(Grunddaten!BE17,El_Produkt,0)*((OFFSET(Grunddaten!$AM$17,El_Produkt,0)-OFFSET(Grunddaten!$Q$17,El_Produkt,0))/100*$G65+$E65),-1))</f>
        <v>0</v>
      </c>
      <c r="AF65" s="249">
        <f ca="1">IF($G65=0,0,ROUND(OFFSET(Grunddaten!BF17,El_Produkt,0)*((OFFSET(Grunddaten!$AM$17,El_Produkt,0)-OFFSET(Grunddaten!$Q$17,El_Produkt,0))/100*$G65+$E65),-1))</f>
        <v>0</v>
      </c>
      <c r="AG65" s="249">
        <f ca="1">IF($G65=0,0,ROUND(OFFSET(Grunddaten!BG17,El_Produkt,0)*((OFFSET(Grunddaten!$AM$17,El_Produkt,0)-OFFSET(Grunddaten!$Q$17,El_Produkt,0))/100*$G65+$E65),-1))</f>
        <v>0</v>
      </c>
      <c r="AH65" s="250">
        <f ca="1">IF($G65=0,0,ROUND(OFFSET(Grunddaten!BH17,El_Produkt,0)*((OFFSET(Grunddaten!$AM$17,El_Produkt,0)-OFFSET(Grunddaten!$Q$17,El_Produkt,0))/100*$G65+$E65),-1))</f>
        <v>0</v>
      </c>
      <c r="AI65" s="250">
        <f ca="1">IF($G65=0,0,ROUND(OFFSET(Grunddaten!BI17,El_Produkt,0)*((OFFSET(Grunddaten!$AM$17,El_Produkt,0)-OFFSET(Grunddaten!$Q$17,El_Produkt,0))/100*$G65+$E65),-1))</f>
        <v>0</v>
      </c>
      <c r="AJ65" s="250">
        <f ca="1">IF($G65=0,0,ROUND(OFFSET(Grunddaten!BJ17,El_Produkt,0)*((OFFSET(Grunddaten!$AM$17,El_Produkt,0)-OFFSET(Grunddaten!$Q$17,El_Produkt,0))/100*$G65+$E65),-1))</f>
        <v>0</v>
      </c>
      <c r="AK65" s="250">
        <f ca="1">IF($G65=0,0,ROUND(OFFSET(Grunddaten!BK17,El_Produkt,0)*((OFFSET(Grunddaten!$AM$17,El_Produkt,0)-OFFSET(Grunddaten!$Q$17,El_Produkt,0))/100*$G65+$E65),-1))</f>
        <v>0</v>
      </c>
      <c r="AL65" s="250">
        <f ca="1">IF($G65=0,0,ROUND(OFFSET(Grunddaten!BL17,El_Produkt,0)*((OFFSET(Grunddaten!$AM$17,El_Produkt,0)-OFFSET(Grunddaten!$Q$17,El_Produkt,0))/100*$G65+$E65),-1))</f>
        <v>0</v>
      </c>
      <c r="AM65" s="250">
        <f ca="1">IF($G65=0,0,ROUND(OFFSET(Grunddaten!BM17,El_Produkt,0)*((OFFSET(Grunddaten!$AM$17,El_Produkt,0)-OFFSET(Grunddaten!$Q$17,El_Produkt,0))/100*$G65+$E65),-1))</f>
        <v>0</v>
      </c>
      <c r="AN65" s="250">
        <f ca="1">IF($G65=0,0,ROUND(OFFSET(Grunddaten!BN17,El_Produkt,0)*((OFFSET(Grunddaten!$AM$17,El_Produkt,0)-OFFSET(Grunddaten!$Q$17,El_Produkt,0))/100*$G65+$E65),-1))</f>
        <v>0</v>
      </c>
      <c r="AO65" s="250">
        <f ca="1">IF($G65=0,0,ROUND(OFFSET(Grunddaten!BO17,El_Produkt,0)*((OFFSET(Grunddaten!$AM$17,El_Produkt,0)-OFFSET(Grunddaten!$Q$17,El_Produkt,0))/100*$G65+$E65),-1))</f>
        <v>0</v>
      </c>
      <c r="AP65" s="250">
        <f ca="1">IF($G65=0,0,ROUND(OFFSET(Grunddaten!BP17,El_Produkt,0)*((OFFSET(Grunddaten!$AM$17,El_Produkt,0)-OFFSET(Grunddaten!$Q$17,El_Produkt,0))/100*$G65+$E65),-1))</f>
        <v>0</v>
      </c>
      <c r="AQ65" s="250">
        <f ca="1">IF($G65=0,0,ROUND(OFFSET(Grunddaten!BQ17,El_Produkt,0)*((OFFSET(Grunddaten!$AM$17,El_Produkt,0)-OFFSET(Grunddaten!$Q$17,El_Produkt,0))/100*$G65+$E65),-1))</f>
        <v>0</v>
      </c>
      <c r="AR65" s="250">
        <f ca="1">IF($G65=0,0,ROUND(OFFSET(Grunddaten!BR17,El_Produkt,0)*((OFFSET(Grunddaten!$AM$17,El_Produkt,0)-OFFSET(Grunddaten!$Q$17,El_Produkt,0))/100*$G65+$E65),-1))</f>
        <v>0</v>
      </c>
      <c r="AS65" s="250">
        <f ca="1">IF($G65=0,0,ROUND(OFFSET(Grunddaten!BS17,El_Produkt,0)*((OFFSET(Grunddaten!$AM$17,El_Produkt,0)-OFFSET(Grunddaten!$Q$17,El_Produkt,0))/100*$G65+$E65),-1))</f>
        <v>0</v>
      </c>
      <c r="AT65" s="250">
        <f ca="1">IF($G65=0,0,ROUND(OFFSET(Grunddaten!BT17,El_Produkt,0)*((OFFSET(Grunddaten!$AM$17,El_Produkt,0)-OFFSET(Grunddaten!$Q$17,El_Produkt,0))/100*$G65+$E65),-1))</f>
        <v>0</v>
      </c>
      <c r="AU65" s="250">
        <f ca="1">IF($G65=0,0,ROUND(OFFSET(Grunddaten!BU17,El_Produkt,0)*((OFFSET(Grunddaten!$AM$17,El_Produkt,0)-OFFSET(Grunddaten!$Q$17,El_Produkt,0))/100*$G65+$E65),-1))</f>
        <v>0</v>
      </c>
      <c r="AV65" s="250">
        <f ca="1">IF($G65=0,0,ROUND(OFFSET(Grunddaten!BV17,El_Produkt,0)*((OFFSET(Grunddaten!$AM$17,El_Produkt,0)-OFFSET(Grunddaten!$Q$17,El_Produkt,0))/100*$G65+$E65),-1))</f>
        <v>0</v>
      </c>
      <c r="AW65" s="250">
        <f ca="1">IF($G65=0,0,ROUND(OFFSET(Grunddaten!BW17,El_Produkt,0)*((OFFSET(Grunddaten!$AM$17,El_Produkt,0)-OFFSET(Grunddaten!$Q$17,El_Produkt,0))/100*$G65+$E65),-1))</f>
        <v>0</v>
      </c>
      <c r="AX65" s="250">
        <f ca="1">IF($G65=0,0,ROUND(OFFSET(Grunddaten!BX17,El_Produkt,0)*((OFFSET(Grunddaten!$AM$17,El_Produkt,0)-OFFSET(Grunddaten!$Q$17,El_Produkt,0))/100*$G65+$E65),-1))</f>
        <v>0</v>
      </c>
      <c r="AY65" s="250">
        <f ca="1">IF($G65=0,0,ROUND(OFFSET(Grunddaten!BY17,El_Produkt,0)*((OFFSET(Grunddaten!$AM$17,El_Produkt,0)-OFFSET(Grunddaten!$Q$17,El_Produkt,0))/100*$G65+$E65),-1))</f>
        <v>0</v>
      </c>
      <c r="AZ65" s="250">
        <f ca="1">IF($G65=0,0,ROUND(OFFSET(Grunddaten!BZ17,El_Produkt,0)*((OFFSET(Grunddaten!$AM$17,El_Produkt,0)-OFFSET(Grunddaten!$Q$17,El_Produkt,0))/100*$G65+$E65),-1))</f>
        <v>0</v>
      </c>
      <c r="BA65" s="250">
        <f ca="1">IF($G65=0,0,ROUND(OFFSET(Grunddaten!CA17,El_Produkt,0)*((OFFSET(Grunddaten!$AM$17,El_Produkt,0)-OFFSET(Grunddaten!$Q$17,El_Produkt,0))/100*$G65+$E65),-1))</f>
        <v>0</v>
      </c>
      <c r="BB65" s="250">
        <f ca="1">IF($G65=0,0,ROUND(OFFSET(Grunddaten!CB17,El_Produkt,0)*((OFFSET(Grunddaten!$AM$17,El_Produkt,0)-OFFSET(Grunddaten!$Q$17,El_Produkt,0))/100*$G65+$E65),-1))</f>
        <v>0</v>
      </c>
      <c r="BC65" s="250">
        <f ca="1">IF($G65=0,0,ROUND(OFFSET(Grunddaten!CC17,El_Produkt,0)*((OFFSET(Grunddaten!$AM$17,El_Produkt,0)-OFFSET(Grunddaten!$Q$17,El_Produkt,0))/100*$G65+$E65),-1))</f>
        <v>0</v>
      </c>
      <c r="BD65" s="250">
        <f ca="1">IF($G65=0,0,ROUND(OFFSET(Grunddaten!CD17,El_Produkt,0)*((OFFSET(Grunddaten!$AM$17,El_Produkt,0)-OFFSET(Grunddaten!$Q$17,El_Produkt,0))/100*$G65+$E65),-1))</f>
        <v>0</v>
      </c>
      <c r="BE65" s="250">
        <f ca="1">IF($G65=0,0,ROUND(OFFSET(Grunddaten!CE17,El_Produkt,0)*((OFFSET(Grunddaten!$AM$17,El_Produkt,0)-OFFSET(Grunddaten!$Q$17,El_Produkt,0))/100*$G65+$E65),-1))</f>
        <v>0</v>
      </c>
      <c r="BF65" s="250">
        <f ca="1">IF($G65=0,0,ROUND(OFFSET(Grunddaten!CF17,El_Produkt,0)*((OFFSET(Grunddaten!$AM$17,El_Produkt,0)-OFFSET(Grunddaten!$Q$17,El_Produkt,0))/100*$G65+$E65),-1))</f>
        <v>0</v>
      </c>
      <c r="BG65" s="250">
        <f ca="1">IF($G65=0,0,ROUND(OFFSET(Grunddaten!CG17,El_Produkt,0)*((OFFSET(Grunddaten!$AM$17,El_Produkt,0)-OFFSET(Grunddaten!$Q$17,El_Produkt,0))/100*$G65+$E65),-1))</f>
        <v>0</v>
      </c>
      <c r="BH65" s="250">
        <f ca="1">IF($G65=0,0,ROUND(OFFSET(Grunddaten!CH17,El_Produkt,0)*((OFFSET(Grunddaten!$AM$17,El_Produkt,0)-OFFSET(Grunddaten!$Q$17,El_Produkt,0))/100*$G65+$E65),-1))</f>
        <v>0</v>
      </c>
      <c r="BI65" s="250">
        <f ca="1">IF($G65=0,0,ROUND(OFFSET(Grunddaten!CI17,El_Produkt,0)*((OFFSET(Grunddaten!$AM$17,El_Produkt,0)-OFFSET(Grunddaten!$Q$17,El_Produkt,0))/100*$G65+$E65),-1))</f>
        <v>0</v>
      </c>
      <c r="BJ65" s="250">
        <f ca="1">IF($G65=0,0,ROUND(OFFSET(Grunddaten!CJ17,El_Produkt,0)*((OFFSET(Grunddaten!$AM$17,El_Produkt,0)-OFFSET(Grunddaten!$Q$17,El_Produkt,0))/100*$G65+$E65),-1))</f>
        <v>0</v>
      </c>
      <c r="BK65" s="250">
        <f ca="1">IF($G65=0,0,ROUND(OFFSET(Grunddaten!CK17,El_Produkt,0)*((OFFSET(Grunddaten!$AM$17,El_Produkt,0)-OFFSET(Grunddaten!$Q$17,El_Produkt,0))/100*$G65+$E65),-1))</f>
        <v>0</v>
      </c>
      <c r="BL65" s="250">
        <f ca="1">IF($G65=0,0,ROUND(OFFSET(Grunddaten!CL17,El_Produkt,0)*((OFFSET(Grunddaten!$AM$17,El_Produkt,0)-OFFSET(Grunddaten!$Q$17,El_Produkt,0))/100*$G65+$E65),-1))</f>
        <v>0</v>
      </c>
      <c r="BM65" s="250">
        <f ca="1">IF($G65=0,0,ROUND(OFFSET(Grunddaten!CM17,El_Produkt,0)*((OFFSET(Grunddaten!$AM$17,El_Produkt,0)-OFFSET(Grunddaten!$Q$17,El_Produkt,0))/100*$G65+$E65),-1))</f>
        <v>0</v>
      </c>
      <c r="BN65" s="250">
        <f ca="1">IF($G65=0,0,ROUND(OFFSET(Grunddaten!CN17,El_Produkt,0)*((OFFSET(Grunddaten!$AM$17,El_Produkt,0)-OFFSET(Grunddaten!$Q$17,El_Produkt,0))/100*$G65+$E65),-1))</f>
        <v>0</v>
      </c>
      <c r="BO65" s="250">
        <f ca="1">IF($G65=0,0,ROUND(OFFSET(Grunddaten!CO17,El_Produkt,0)*((OFFSET(Grunddaten!$AM$17,El_Produkt,0)-OFFSET(Grunddaten!$Q$17,El_Produkt,0))/100*$G65+$E65),-1))</f>
        <v>0</v>
      </c>
      <c r="BP65" s="250">
        <f ca="1">IF($G65=0,0,ROUND(OFFSET(Grunddaten!CP17,El_Produkt,0)*((OFFSET(Grunddaten!$AM$17,El_Produkt,0)-OFFSET(Grunddaten!$Q$17,El_Produkt,0))/100*$G65+$E65),-1))</f>
        <v>0</v>
      </c>
      <c r="BQ65" s="251">
        <f ca="1">IF($G65=0,0,ROUND(OFFSET(Grunddaten!CQ17,El_Produkt,0)*((OFFSET(Grunddaten!$AM$17,El_Produkt,0)-OFFSET(Grunddaten!$Q$17,El_Produkt,0))/100*$G65+$E65),-1))</f>
        <v>0</v>
      </c>
    </row>
    <row r="66" spans="1:69" s="36" customFormat="1" ht="11.25" customHeight="1" x14ac:dyDescent="0.2">
      <c r="A66" s="1010" t="s">
        <v>543</v>
      </c>
      <c r="B66" s="1003"/>
      <c r="C66" s="2423">
        <v>0.9</v>
      </c>
      <c r="D66" s="2423"/>
      <c r="E66" s="2400"/>
      <c r="F66" s="2401"/>
      <c r="G66" s="2544">
        <f>-Berechnungen!$H$48*C66</f>
        <v>0</v>
      </c>
      <c r="H66" s="2545"/>
      <c r="I66" s="2546"/>
      <c r="J66" s="2388">
        <f>Grunddaten!$S$41-(1-$R$109)*Grunddaten!$Q$41</f>
        <v>14.5985</v>
      </c>
      <c r="K66" s="2389"/>
      <c r="L66" s="2319">
        <f t="shared" si="4"/>
        <v>0</v>
      </c>
      <c r="M66" s="2320"/>
      <c r="N66" s="2321"/>
      <c r="S66" s="206">
        <f ca="1">ROUND(Grunddaten!AS41*((Grunddaten!$S41-Grunddaten!$Q41)/100*$G66+$E66),-1)</f>
        <v>0</v>
      </c>
      <c r="T66" s="207">
        <f ca="1">ROUND(Grunddaten!AT41*((Grunddaten!$S41-Grunddaten!$Q41)/100*$G66+$E66),-1)</f>
        <v>0</v>
      </c>
      <c r="U66" s="207">
        <f ca="1">ROUND(Grunddaten!AU41*((Grunddaten!$S41-Grunddaten!$Q41)/100*$G66+$E66),-1)</f>
        <v>0</v>
      </c>
      <c r="V66" s="207">
        <f ca="1">ROUND(Grunddaten!AV41*((Grunddaten!$S41-Grunddaten!$Q41)/100*$G66+$E66),-1)</f>
        <v>0</v>
      </c>
      <c r="W66" s="207">
        <f ca="1">ROUND(Grunddaten!AW41*((Grunddaten!$S41-Grunddaten!$Q41)/100*$G66+$E66),-1)</f>
        <v>0</v>
      </c>
      <c r="X66" s="207">
        <f ca="1">ROUND(Grunddaten!AX41*((Grunddaten!$S41-Grunddaten!$Q41)/100*$G66+$E66),-1)</f>
        <v>0</v>
      </c>
      <c r="Y66" s="207">
        <f ca="1">ROUND(Grunddaten!AY41*((Grunddaten!$S41-Grunddaten!$Q41)/100*$G66+$E66),-1)</f>
        <v>0</v>
      </c>
      <c r="Z66" s="207">
        <f ca="1">ROUND(Grunddaten!AZ41*((Grunddaten!$S41-Grunddaten!$Q41)/100*$G66+$E66),-1)</f>
        <v>0</v>
      </c>
      <c r="AA66" s="207">
        <f ca="1">ROUND(Grunddaten!BA41*((Grunddaten!$S41-Grunddaten!$Q41)/100*$G66+$E66),-1)</f>
        <v>0</v>
      </c>
      <c r="AB66" s="246">
        <f ca="1">ROUND(Grunddaten!BB41*((Grunddaten!$S41-Grunddaten!$Q41)/100*$G66+$E66),-1)</f>
        <v>0</v>
      </c>
      <c r="AC66" s="246">
        <f ca="1">ROUND(Grunddaten!BC41*((Grunddaten!$S41-Grunddaten!$Q41)/100*$G66+$E66),-1)</f>
        <v>0</v>
      </c>
      <c r="AD66" s="246">
        <f ca="1">ROUND(Grunddaten!BD41*((Grunddaten!$S41-Grunddaten!$Q41)/100*$G66+$E66),-1)</f>
        <v>0</v>
      </c>
      <c r="AE66" s="246">
        <f ca="1">ROUND(Grunddaten!BE41*((Grunddaten!$S41-Grunddaten!$Q41)/100*$G66+$E66),-1)</f>
        <v>0</v>
      </c>
      <c r="AF66" s="246">
        <f ca="1">ROUND(Grunddaten!BF41*((Grunddaten!$S41-Grunddaten!$Q41)/100*$G66+$E66),-1)</f>
        <v>0</v>
      </c>
      <c r="AG66" s="246">
        <f ca="1">ROUND(Grunddaten!BG41*((Grunddaten!$S41-Grunddaten!$Q41)/100*$G66+$E66),-1)</f>
        <v>0</v>
      </c>
      <c r="AH66" s="247">
        <f ca="1">ROUND(Grunddaten!BH41*((Grunddaten!$S41-Grunddaten!$Q41)/100*$G66+$E66),-1)</f>
        <v>0</v>
      </c>
      <c r="AI66" s="247">
        <f ca="1">ROUND(Grunddaten!BI41*((Grunddaten!$S41-Grunddaten!$Q41)/100*$G66+$E66),-1)</f>
        <v>0</v>
      </c>
      <c r="AJ66" s="247">
        <f ca="1">ROUND(Grunddaten!BJ41*((Grunddaten!$S41-Grunddaten!$Q41)/100*$G66+$E66),-1)</f>
        <v>0</v>
      </c>
      <c r="AK66" s="247">
        <f ca="1">ROUND(Grunddaten!BK41*((Grunddaten!$S41-Grunddaten!$Q41)/100*$G66+$E66),-1)</f>
        <v>0</v>
      </c>
      <c r="AL66" s="247">
        <f ca="1">ROUND(Grunddaten!BL41*((Grunddaten!$S41-Grunddaten!$Q41)/100*$G66+$E66),-1)</f>
        <v>0</v>
      </c>
      <c r="AM66" s="247">
        <f ca="1">ROUND(Grunddaten!BM41*((Grunddaten!$S41-Grunddaten!$Q41)/100*$G66+$E66),-1)</f>
        <v>0</v>
      </c>
      <c r="AN66" s="247">
        <f ca="1">ROUND(Grunddaten!BN41*((Grunddaten!$S41-Grunddaten!$Q41)/100*$G66+$E66),-1)</f>
        <v>0</v>
      </c>
      <c r="AO66" s="247">
        <f ca="1">ROUND(Grunddaten!BO41*((Grunddaten!$S41-Grunddaten!$Q41)/100*$G66+$E66),-1)</f>
        <v>0</v>
      </c>
      <c r="AP66" s="247">
        <f ca="1">ROUND(Grunddaten!BP41*((Grunddaten!$S41-Grunddaten!$Q41)/100*$G66+$E66),-1)</f>
        <v>0</v>
      </c>
      <c r="AQ66" s="247">
        <f ca="1">ROUND(Grunddaten!BQ41*((Grunddaten!$S41-Grunddaten!$Q41)/100*$G66+$E66),-1)</f>
        <v>0</v>
      </c>
      <c r="AR66" s="247">
        <f ca="1">ROUND(Grunddaten!BR41*((Grunddaten!$S41-Grunddaten!$Q41)/100*$G66+$E66),-1)</f>
        <v>0</v>
      </c>
      <c r="AS66" s="247">
        <f ca="1">ROUND(Grunddaten!BS41*((Grunddaten!$S41-Grunddaten!$Q41)/100*$G66+$E66),-1)</f>
        <v>0</v>
      </c>
      <c r="AT66" s="247">
        <f ca="1">ROUND(Grunddaten!BT41*((Grunddaten!$S41-Grunddaten!$Q41)/100*$G66+$E66),-1)</f>
        <v>0</v>
      </c>
      <c r="AU66" s="247">
        <f ca="1">ROUND(Grunddaten!BU41*((Grunddaten!$S41-Grunddaten!$Q41)/100*$G66+$E66),-1)</f>
        <v>0</v>
      </c>
      <c r="AV66" s="247">
        <f ca="1">ROUND(Grunddaten!BV41*((Grunddaten!$S41-Grunddaten!$Q41)/100*$G66+$E66),-1)</f>
        <v>0</v>
      </c>
      <c r="AW66" s="247">
        <f ca="1">ROUND(Grunddaten!BW41*((Grunddaten!$S41-Grunddaten!$Q41)/100*$G66+$E66),-1)</f>
        <v>0</v>
      </c>
      <c r="AX66" s="247">
        <f ca="1">ROUND(Grunddaten!BX41*((Grunddaten!$S41-Grunddaten!$Q41)/100*$G66+$E66),-1)</f>
        <v>0</v>
      </c>
      <c r="AY66" s="247">
        <f ca="1">ROUND(Grunddaten!BY41*((Grunddaten!$S41-Grunddaten!$Q41)/100*$G66+$E66),-1)</f>
        <v>0</v>
      </c>
      <c r="AZ66" s="247">
        <f ca="1">ROUND(Grunddaten!BZ41*((Grunddaten!$S41-Grunddaten!$Q41)/100*$G66+$E66),-1)</f>
        <v>0</v>
      </c>
      <c r="BA66" s="247">
        <f ca="1">ROUND(Grunddaten!CA41*((Grunddaten!$S41-Grunddaten!$Q41)/100*$G66+$E66),-1)</f>
        <v>0</v>
      </c>
      <c r="BB66" s="247">
        <f ca="1">ROUND(Grunddaten!CB41*((Grunddaten!$S41-Grunddaten!$Q41)/100*$G66+$E66),-1)</f>
        <v>0</v>
      </c>
      <c r="BC66" s="247">
        <f ca="1">ROUND(Grunddaten!CC41*((Grunddaten!$S41-Grunddaten!$Q41)/100*$G66+$E66),-1)</f>
        <v>0</v>
      </c>
      <c r="BD66" s="247">
        <f ca="1">ROUND(Grunddaten!CD41*((Grunddaten!$S41-Grunddaten!$Q41)/100*$G66+$E66),-1)</f>
        <v>0</v>
      </c>
      <c r="BE66" s="247">
        <f ca="1">ROUND(Grunddaten!CE41*((Grunddaten!$S41-Grunddaten!$Q41)/100*$G66+$E66),-1)</f>
        <v>0</v>
      </c>
      <c r="BF66" s="247">
        <f ca="1">ROUND(Grunddaten!CF41*((Grunddaten!$S41-Grunddaten!$Q41)/100*$G66+$E66),-1)</f>
        <v>0</v>
      </c>
      <c r="BG66" s="247">
        <f ca="1">ROUND(Grunddaten!CG41*((Grunddaten!$S41-Grunddaten!$Q41)/100*$G66+$E66),-1)</f>
        <v>0</v>
      </c>
      <c r="BH66" s="247">
        <f ca="1">ROUND(Grunddaten!CH41*((Grunddaten!$S41-Grunddaten!$Q41)/100*$G66+$E66),-1)</f>
        <v>0</v>
      </c>
      <c r="BI66" s="247">
        <f ca="1">ROUND(Grunddaten!CI41*((Grunddaten!$S41-Grunddaten!$Q41)/100*$G66+$E66),-1)</f>
        <v>0</v>
      </c>
      <c r="BJ66" s="247">
        <f ca="1">ROUND(Grunddaten!CJ41*((Grunddaten!$S41-Grunddaten!$Q41)/100*$G66+$E66),-1)</f>
        <v>0</v>
      </c>
      <c r="BK66" s="247">
        <f ca="1">ROUND(Grunddaten!CK41*((Grunddaten!$S41-Grunddaten!$Q41)/100*$G66+$E66),-1)</f>
        <v>0</v>
      </c>
      <c r="BL66" s="247">
        <f ca="1">ROUND(Grunddaten!CL41*((Grunddaten!$S41-Grunddaten!$Q41)/100*$G66+$E66),-1)</f>
        <v>0</v>
      </c>
      <c r="BM66" s="247">
        <f ca="1">ROUND(Grunddaten!CM41*((Grunddaten!$S41-Grunddaten!$Q41)/100*$G66+$E66),-1)</f>
        <v>0</v>
      </c>
      <c r="BN66" s="247">
        <f ca="1">ROUND(Grunddaten!CN41*((Grunddaten!$S41-Grunddaten!$Q41)/100*$G66+$E66),-1)</f>
        <v>0</v>
      </c>
      <c r="BO66" s="247">
        <f ca="1">ROUND(Grunddaten!CO41*((Grunddaten!$S41-Grunddaten!$Q41)/100*$G66+$E66),-1)</f>
        <v>0</v>
      </c>
      <c r="BP66" s="247">
        <f ca="1">ROUND(Grunddaten!CP41*((Grunddaten!$S41-Grunddaten!$Q41)/100*$G66+$E66),-1)</f>
        <v>0</v>
      </c>
      <c r="BQ66" s="248">
        <f ca="1">ROUND(Grunddaten!CQ41*((Grunddaten!$S41-Grunddaten!$Q41)/100*$G66+$E66),-1)</f>
        <v>0</v>
      </c>
    </row>
    <row r="67" spans="1:69" s="36" customFormat="1" ht="11.25" customHeight="1" x14ac:dyDescent="0.2">
      <c r="A67" s="1005" t="s">
        <v>544</v>
      </c>
      <c r="B67" s="1006"/>
      <c r="C67" s="2524">
        <f>1-C66</f>
        <v>9.9999999999999978E-2</v>
      </c>
      <c r="D67" s="2524"/>
      <c r="E67" s="2397"/>
      <c r="F67" s="2398"/>
      <c r="G67" s="2392">
        <f>-Berechnungen!$H$48*C67</f>
        <v>0</v>
      </c>
      <c r="H67" s="2393"/>
      <c r="I67" s="2394"/>
      <c r="J67" s="2390">
        <f>Grunddaten!$S$42-(1-$R$109)*Grunddaten!$Q$41</f>
        <v>10.22045</v>
      </c>
      <c r="K67" s="2391"/>
      <c r="L67" s="2424">
        <f t="shared" si="4"/>
        <v>0</v>
      </c>
      <c r="M67" s="2425"/>
      <c r="N67" s="2426"/>
      <c r="P67" s="122"/>
      <c r="Q67" s="122"/>
      <c r="S67" s="208">
        <f ca="1">ROUND(Grunddaten!AS42*((Grunddaten!$S42-Grunddaten!$Q41)/100*$G67+$E67),-1)</f>
        <v>0</v>
      </c>
      <c r="T67" s="209">
        <f ca="1">ROUND(Grunddaten!AT42*((Grunddaten!$S42-Grunddaten!$Q41)/100*$G67+$E67),-1)</f>
        <v>0</v>
      </c>
      <c r="U67" s="209">
        <f ca="1">ROUND(Grunddaten!AU42*((Grunddaten!$S42-Grunddaten!$Q41)/100*$G67+$E67),-1)</f>
        <v>0</v>
      </c>
      <c r="V67" s="209">
        <f ca="1">ROUND(Grunddaten!AV42*((Grunddaten!$S42-Grunddaten!$Q41)/100*$G67+$E67),-1)</f>
        <v>0</v>
      </c>
      <c r="W67" s="209">
        <f ca="1">ROUND(Grunddaten!AW42*((Grunddaten!$S42-Grunddaten!$Q41)/100*$G67+$E67),-1)</f>
        <v>0</v>
      </c>
      <c r="X67" s="209">
        <f ca="1">ROUND(Grunddaten!AX42*((Grunddaten!$S42-Grunddaten!$Q41)/100*$G67+$E67),-1)</f>
        <v>0</v>
      </c>
      <c r="Y67" s="209">
        <f ca="1">ROUND(Grunddaten!AY42*((Grunddaten!$S42-Grunddaten!$Q41)/100*$G67+$E67),-1)</f>
        <v>0</v>
      </c>
      <c r="Z67" s="209">
        <f ca="1">ROUND(Grunddaten!AZ42*((Grunddaten!$S42-Grunddaten!$Q41)/100*$G67+$E67),-1)</f>
        <v>0</v>
      </c>
      <c r="AA67" s="209">
        <f ca="1">ROUND(Grunddaten!BA42*((Grunddaten!$S42-Grunddaten!$Q41)/100*$G67+$E67),-1)</f>
        <v>0</v>
      </c>
      <c r="AB67" s="249">
        <f ca="1">ROUND(Grunddaten!BB42*((Grunddaten!$S42-Grunddaten!$Q41)/100*$G67+$E67),-1)</f>
        <v>0</v>
      </c>
      <c r="AC67" s="249">
        <f ca="1">ROUND(Grunddaten!BC42*((Grunddaten!$S42-Grunddaten!$Q41)/100*$G67+$E67),-1)</f>
        <v>0</v>
      </c>
      <c r="AD67" s="249">
        <f ca="1">ROUND(Grunddaten!BD42*((Grunddaten!$S42-Grunddaten!$Q41)/100*$G67+$E67),-1)</f>
        <v>0</v>
      </c>
      <c r="AE67" s="249">
        <f ca="1">ROUND(Grunddaten!BE42*((Grunddaten!$S42-Grunddaten!$Q41)/100*$G67+$E67),-1)</f>
        <v>0</v>
      </c>
      <c r="AF67" s="249">
        <f ca="1">ROUND(Grunddaten!BF42*((Grunddaten!$S42-Grunddaten!$Q41)/100*$G67+$E67),-1)</f>
        <v>0</v>
      </c>
      <c r="AG67" s="249">
        <f ca="1">ROUND(Grunddaten!BG42*((Grunddaten!$S42-Grunddaten!$Q41)/100*$G67+$E67),-1)</f>
        <v>0</v>
      </c>
      <c r="AH67" s="250">
        <f ca="1">ROUND(Grunddaten!BH42*((Grunddaten!$S42-Grunddaten!$Q41)/100*$G67+$E67),-1)</f>
        <v>0</v>
      </c>
      <c r="AI67" s="250">
        <f ca="1">ROUND(Grunddaten!BI42*((Grunddaten!$S42-Grunddaten!$Q41)/100*$G67+$E67),-1)</f>
        <v>0</v>
      </c>
      <c r="AJ67" s="250">
        <f ca="1">ROUND(Grunddaten!BJ42*((Grunddaten!$S42-Grunddaten!$Q41)/100*$G67+$E67),-1)</f>
        <v>0</v>
      </c>
      <c r="AK67" s="250">
        <f ca="1">ROUND(Grunddaten!BK42*((Grunddaten!$S42-Grunddaten!$Q41)/100*$G67+$E67),-1)</f>
        <v>0</v>
      </c>
      <c r="AL67" s="250">
        <f ca="1">ROUND(Grunddaten!BL42*((Grunddaten!$S42-Grunddaten!$Q41)/100*$G67+$E67),-1)</f>
        <v>0</v>
      </c>
      <c r="AM67" s="250">
        <f ca="1">ROUND(Grunddaten!BM42*((Grunddaten!$S42-Grunddaten!$Q41)/100*$G67+$E67),-1)</f>
        <v>0</v>
      </c>
      <c r="AN67" s="250">
        <f ca="1">ROUND(Grunddaten!BN42*((Grunddaten!$S42-Grunddaten!$Q41)/100*$G67+$E67),-1)</f>
        <v>0</v>
      </c>
      <c r="AO67" s="250">
        <f ca="1">ROUND(Grunddaten!BO42*((Grunddaten!$S42-Grunddaten!$Q41)/100*$G67+$E67),-1)</f>
        <v>0</v>
      </c>
      <c r="AP67" s="250">
        <f ca="1">ROUND(Grunddaten!BP42*((Grunddaten!$S42-Grunddaten!$Q41)/100*$G67+$E67),-1)</f>
        <v>0</v>
      </c>
      <c r="AQ67" s="250">
        <f ca="1">ROUND(Grunddaten!BQ42*((Grunddaten!$S42-Grunddaten!$Q41)/100*$G67+$E67),-1)</f>
        <v>0</v>
      </c>
      <c r="AR67" s="250">
        <f ca="1">ROUND(Grunddaten!BR42*((Grunddaten!$S42-Grunddaten!$Q41)/100*$G67+$E67),-1)</f>
        <v>0</v>
      </c>
      <c r="AS67" s="250">
        <f ca="1">ROUND(Grunddaten!BS42*((Grunddaten!$S42-Grunddaten!$Q41)/100*$G67+$E67),-1)</f>
        <v>0</v>
      </c>
      <c r="AT67" s="250">
        <f ca="1">ROUND(Grunddaten!BT42*((Grunddaten!$S42-Grunddaten!$Q41)/100*$G67+$E67),-1)</f>
        <v>0</v>
      </c>
      <c r="AU67" s="250">
        <f ca="1">ROUND(Grunddaten!BU42*((Grunddaten!$S42-Grunddaten!$Q41)/100*$G67+$E67),-1)</f>
        <v>0</v>
      </c>
      <c r="AV67" s="250">
        <f ca="1">ROUND(Grunddaten!BV42*((Grunddaten!$S42-Grunddaten!$Q41)/100*$G67+$E67),-1)</f>
        <v>0</v>
      </c>
      <c r="AW67" s="250">
        <f ca="1">ROUND(Grunddaten!BW42*((Grunddaten!$S42-Grunddaten!$Q41)/100*$G67+$E67),-1)</f>
        <v>0</v>
      </c>
      <c r="AX67" s="250">
        <f ca="1">ROUND(Grunddaten!BX42*((Grunddaten!$S42-Grunddaten!$Q41)/100*$G67+$E67),-1)</f>
        <v>0</v>
      </c>
      <c r="AY67" s="250">
        <f ca="1">ROUND(Grunddaten!BY42*((Grunddaten!$S42-Grunddaten!$Q41)/100*$G67+$E67),-1)</f>
        <v>0</v>
      </c>
      <c r="AZ67" s="250">
        <f ca="1">ROUND(Grunddaten!BZ42*((Grunddaten!$S42-Grunddaten!$Q41)/100*$G67+$E67),-1)</f>
        <v>0</v>
      </c>
      <c r="BA67" s="250">
        <f ca="1">ROUND(Grunddaten!CA42*((Grunddaten!$S42-Grunddaten!$Q41)/100*$G67+$E67),-1)</f>
        <v>0</v>
      </c>
      <c r="BB67" s="250">
        <f ca="1">ROUND(Grunddaten!CB42*((Grunddaten!$S42-Grunddaten!$Q41)/100*$G67+$E67),-1)</f>
        <v>0</v>
      </c>
      <c r="BC67" s="250">
        <f ca="1">ROUND(Grunddaten!CC42*((Grunddaten!$S42-Grunddaten!$Q41)/100*$G67+$E67),-1)</f>
        <v>0</v>
      </c>
      <c r="BD67" s="250">
        <f ca="1">ROUND(Grunddaten!CD42*((Grunddaten!$S42-Grunddaten!$Q41)/100*$G67+$E67),-1)</f>
        <v>0</v>
      </c>
      <c r="BE67" s="250">
        <f ca="1">ROUND(Grunddaten!CE42*((Grunddaten!$S42-Grunddaten!$Q41)/100*$G67+$E67),-1)</f>
        <v>0</v>
      </c>
      <c r="BF67" s="250">
        <f ca="1">ROUND(Grunddaten!CF42*((Grunddaten!$S42-Grunddaten!$Q41)/100*$G67+$E67),-1)</f>
        <v>0</v>
      </c>
      <c r="BG67" s="250">
        <f ca="1">ROUND(Grunddaten!CG42*((Grunddaten!$S42-Grunddaten!$Q41)/100*$G67+$E67),-1)</f>
        <v>0</v>
      </c>
      <c r="BH67" s="250">
        <f ca="1">ROUND(Grunddaten!CH42*((Grunddaten!$S42-Grunddaten!$Q41)/100*$G67+$E67),-1)</f>
        <v>0</v>
      </c>
      <c r="BI67" s="250">
        <f ca="1">ROUND(Grunddaten!CI42*((Grunddaten!$S42-Grunddaten!$Q41)/100*$G67+$E67),-1)</f>
        <v>0</v>
      </c>
      <c r="BJ67" s="250">
        <f ca="1">ROUND(Grunddaten!CJ42*((Grunddaten!$S42-Grunddaten!$Q41)/100*$G67+$E67),-1)</f>
        <v>0</v>
      </c>
      <c r="BK67" s="250">
        <f ca="1">ROUND(Grunddaten!CK42*((Grunddaten!$S42-Grunddaten!$Q41)/100*$G67+$E67),-1)</f>
        <v>0</v>
      </c>
      <c r="BL67" s="250">
        <f ca="1">ROUND(Grunddaten!CL42*((Grunddaten!$S42-Grunddaten!$Q41)/100*$G67+$E67),-1)</f>
        <v>0</v>
      </c>
      <c r="BM67" s="250">
        <f ca="1">ROUND(Grunddaten!CM42*((Grunddaten!$S42-Grunddaten!$Q41)/100*$G67+$E67),-1)</f>
        <v>0</v>
      </c>
      <c r="BN67" s="250">
        <f ca="1">ROUND(Grunddaten!CN42*((Grunddaten!$S42-Grunddaten!$Q41)/100*$G67+$E67),-1)</f>
        <v>0</v>
      </c>
      <c r="BO67" s="250">
        <f ca="1">ROUND(Grunddaten!CO42*((Grunddaten!$S42-Grunddaten!$Q41)/100*$G67+$E67),-1)</f>
        <v>0</v>
      </c>
      <c r="BP67" s="250">
        <f ca="1">ROUND(Grunddaten!CP42*((Grunddaten!$S42-Grunddaten!$Q41)/100*$G67+$E67),-1)</f>
        <v>0</v>
      </c>
      <c r="BQ67" s="251">
        <f ca="1">ROUND(Grunddaten!CQ42*((Grunddaten!$S42-Grunddaten!$Q41)/100*$G67+$E67),-1)</f>
        <v>0</v>
      </c>
    </row>
    <row r="68" spans="1:69" s="36" customFormat="1" ht="11.25" customHeight="1" x14ac:dyDescent="0.2">
      <c r="A68" s="1010" t="s">
        <v>545</v>
      </c>
      <c r="B68" s="1003"/>
      <c r="C68" s="2423">
        <v>0.7</v>
      </c>
      <c r="D68" s="2423"/>
      <c r="E68" s="2400"/>
      <c r="F68" s="2401"/>
      <c r="G68" s="2544">
        <f>-Berechnungen!$H$47*C68</f>
        <v>0</v>
      </c>
      <c r="H68" s="2545"/>
      <c r="I68" s="2546"/>
      <c r="J68" s="2388">
        <f>Grunddaten!$S$43-(1-$R$109)*Grunddaten!$Q$43</f>
        <v>9.1884999999999994</v>
      </c>
      <c r="K68" s="2389"/>
      <c r="L68" s="2319">
        <f t="shared" ref="L68:L69" si="5">ROUND(E68+G68*J68/100,-1)</f>
        <v>0</v>
      </c>
      <c r="M68" s="2320"/>
      <c r="N68" s="2321"/>
      <c r="S68" s="206">
        <f ca="1">ROUND(Grunddaten!AS43*((Grunddaten!$S43-Grunddaten!$Q43)/100*$G68+$E68),-1)</f>
        <v>0</v>
      </c>
      <c r="T68" s="207">
        <f ca="1">ROUND(Grunddaten!AT43*((Grunddaten!$S43-Grunddaten!$Q43)/100*$G68+$E68),-1)</f>
        <v>0</v>
      </c>
      <c r="U68" s="207">
        <f ca="1">ROUND(Grunddaten!AU43*((Grunddaten!$S43-Grunddaten!$Q43)/100*$G68+$E68),-1)</f>
        <v>0</v>
      </c>
      <c r="V68" s="207">
        <f ca="1">ROUND(Grunddaten!AV43*((Grunddaten!$S43-Grunddaten!$Q43)/100*$G68+$E68),-1)</f>
        <v>0</v>
      </c>
      <c r="W68" s="207">
        <f ca="1">ROUND(Grunddaten!AW43*((Grunddaten!$S43-Grunddaten!$Q43)/100*$G68+$E68),-1)</f>
        <v>0</v>
      </c>
      <c r="X68" s="207">
        <f ca="1">ROUND(Grunddaten!AX43*((Grunddaten!$S43-Grunddaten!$Q43)/100*$G68+$E68),-1)</f>
        <v>0</v>
      </c>
      <c r="Y68" s="207">
        <f ca="1">ROUND(Grunddaten!AY43*((Grunddaten!$S43-Grunddaten!$Q43)/100*$G68+$E68),-1)</f>
        <v>0</v>
      </c>
      <c r="Z68" s="207">
        <f ca="1">ROUND(Grunddaten!AZ43*((Grunddaten!$S43-Grunddaten!$Q43)/100*$G68+$E68),-1)</f>
        <v>0</v>
      </c>
      <c r="AA68" s="207">
        <f ca="1">ROUND(Grunddaten!BA43*((Grunddaten!$S43-Grunddaten!$Q43)/100*$G68+$E68),-1)</f>
        <v>0</v>
      </c>
      <c r="AB68" s="246">
        <f ca="1">ROUND(Grunddaten!BB43*((Grunddaten!$S43-Grunddaten!$Q43)/100*$G68+$E68),-1)</f>
        <v>0</v>
      </c>
      <c r="AC68" s="246">
        <f ca="1">ROUND(Grunddaten!BC43*((Grunddaten!$S43-Grunddaten!$Q43)/100*$G68+$E68),-1)</f>
        <v>0</v>
      </c>
      <c r="AD68" s="246">
        <f ca="1">ROUND(Grunddaten!BD43*((Grunddaten!$S43-Grunddaten!$Q43)/100*$G68+$E68),-1)</f>
        <v>0</v>
      </c>
      <c r="AE68" s="246">
        <f ca="1">ROUND(Grunddaten!BE43*((Grunddaten!$S43-Grunddaten!$Q43)/100*$G68+$E68),-1)</f>
        <v>0</v>
      </c>
      <c r="AF68" s="246">
        <f ca="1">ROUND(Grunddaten!BF43*((Grunddaten!$S43-Grunddaten!$Q43)/100*$G68+$E68),-1)</f>
        <v>0</v>
      </c>
      <c r="AG68" s="246">
        <f ca="1">ROUND(Grunddaten!BG43*((Grunddaten!$S43-Grunddaten!$Q43)/100*$G68+$E68),-1)</f>
        <v>0</v>
      </c>
      <c r="AH68" s="247">
        <f ca="1">ROUND(Grunddaten!BH43*((Grunddaten!$S43-Grunddaten!$Q43)/100*$G68+$E68),-1)</f>
        <v>0</v>
      </c>
      <c r="AI68" s="247">
        <f ca="1">ROUND(Grunddaten!BI43*((Grunddaten!$S43-Grunddaten!$Q43)/100*$G68+$E68),-1)</f>
        <v>0</v>
      </c>
      <c r="AJ68" s="247">
        <f ca="1">ROUND(Grunddaten!BJ43*((Grunddaten!$S43-Grunddaten!$Q43)/100*$G68+$E68),-1)</f>
        <v>0</v>
      </c>
      <c r="AK68" s="247">
        <f ca="1">ROUND(Grunddaten!BK43*((Grunddaten!$S43-Grunddaten!$Q43)/100*$G68+$E68),-1)</f>
        <v>0</v>
      </c>
      <c r="AL68" s="247">
        <f ca="1">ROUND(Grunddaten!BL43*((Grunddaten!$S43-Grunddaten!$Q43)/100*$G68+$E68),-1)</f>
        <v>0</v>
      </c>
      <c r="AM68" s="247">
        <f ca="1">ROUND(Grunddaten!BM43*((Grunddaten!$S43-Grunddaten!$Q43)/100*$G68+$E68),-1)</f>
        <v>0</v>
      </c>
      <c r="AN68" s="247">
        <f ca="1">ROUND(Grunddaten!BN43*((Grunddaten!$S43-Grunddaten!$Q43)/100*$G68+$E68),-1)</f>
        <v>0</v>
      </c>
      <c r="AO68" s="247">
        <f ca="1">ROUND(Grunddaten!BO43*((Grunddaten!$S43-Grunddaten!$Q43)/100*$G68+$E68),-1)</f>
        <v>0</v>
      </c>
      <c r="AP68" s="247">
        <f ca="1">ROUND(Grunddaten!BP43*((Grunddaten!$S43-Grunddaten!$Q43)/100*$G68+$E68),-1)</f>
        <v>0</v>
      </c>
      <c r="AQ68" s="247">
        <f ca="1">ROUND(Grunddaten!BQ43*((Grunddaten!$S43-Grunddaten!$Q43)/100*$G68+$E68),-1)</f>
        <v>0</v>
      </c>
      <c r="AR68" s="247">
        <f ca="1">ROUND(Grunddaten!BR43*((Grunddaten!$S43-Grunddaten!$Q43)/100*$G68+$E68),-1)</f>
        <v>0</v>
      </c>
      <c r="AS68" s="247">
        <f ca="1">ROUND(Grunddaten!BS43*((Grunddaten!$S43-Grunddaten!$Q43)/100*$G68+$E68),-1)</f>
        <v>0</v>
      </c>
      <c r="AT68" s="247">
        <f ca="1">ROUND(Grunddaten!BT43*((Grunddaten!$S43-Grunddaten!$Q43)/100*$G68+$E68),-1)</f>
        <v>0</v>
      </c>
      <c r="AU68" s="247">
        <f ca="1">ROUND(Grunddaten!BU43*((Grunddaten!$S43-Grunddaten!$Q43)/100*$G68+$E68),-1)</f>
        <v>0</v>
      </c>
      <c r="AV68" s="247">
        <f ca="1">ROUND(Grunddaten!BV43*((Grunddaten!$S43-Grunddaten!$Q43)/100*$G68+$E68),-1)</f>
        <v>0</v>
      </c>
      <c r="AW68" s="247">
        <f ca="1">ROUND(Grunddaten!BW43*((Grunddaten!$S43-Grunddaten!$Q43)/100*$G68+$E68),-1)</f>
        <v>0</v>
      </c>
      <c r="AX68" s="247">
        <f ca="1">ROUND(Grunddaten!BX43*((Grunddaten!$S43-Grunddaten!$Q43)/100*$G68+$E68),-1)</f>
        <v>0</v>
      </c>
      <c r="AY68" s="247">
        <f ca="1">ROUND(Grunddaten!BY43*((Grunddaten!$S43-Grunddaten!$Q43)/100*$G68+$E68),-1)</f>
        <v>0</v>
      </c>
      <c r="AZ68" s="247">
        <f ca="1">ROUND(Grunddaten!BZ43*((Grunddaten!$S43-Grunddaten!$Q43)/100*$G68+$E68),-1)</f>
        <v>0</v>
      </c>
      <c r="BA68" s="247">
        <f ca="1">ROUND(Grunddaten!CA43*((Grunddaten!$S43-Grunddaten!$Q43)/100*$G68+$E68),-1)</f>
        <v>0</v>
      </c>
      <c r="BB68" s="247">
        <f ca="1">ROUND(Grunddaten!CB43*((Grunddaten!$S43-Grunddaten!$Q43)/100*$G68+$E68),-1)</f>
        <v>0</v>
      </c>
      <c r="BC68" s="247">
        <f ca="1">ROUND(Grunddaten!CC43*((Grunddaten!$S43-Grunddaten!$Q43)/100*$G68+$E68),-1)</f>
        <v>0</v>
      </c>
      <c r="BD68" s="247">
        <f ca="1">ROUND(Grunddaten!CD43*((Grunddaten!$S43-Grunddaten!$Q43)/100*$G68+$E68),-1)</f>
        <v>0</v>
      </c>
      <c r="BE68" s="247">
        <f ca="1">ROUND(Grunddaten!CE43*((Grunddaten!$S43-Grunddaten!$Q43)/100*$G68+$E68),-1)</f>
        <v>0</v>
      </c>
      <c r="BF68" s="247">
        <f ca="1">ROUND(Grunddaten!CF43*((Grunddaten!$S43-Grunddaten!$Q43)/100*$G68+$E68),-1)</f>
        <v>0</v>
      </c>
      <c r="BG68" s="247">
        <f ca="1">ROUND(Grunddaten!CG43*((Grunddaten!$S43-Grunddaten!$Q43)/100*$G68+$E68),-1)</f>
        <v>0</v>
      </c>
      <c r="BH68" s="247">
        <f ca="1">ROUND(Grunddaten!CH43*((Grunddaten!$S43-Grunddaten!$Q43)/100*$G68+$E68),-1)</f>
        <v>0</v>
      </c>
      <c r="BI68" s="247">
        <f ca="1">ROUND(Grunddaten!CI43*((Grunddaten!$S43-Grunddaten!$Q43)/100*$G68+$E68),-1)</f>
        <v>0</v>
      </c>
      <c r="BJ68" s="247">
        <f ca="1">ROUND(Grunddaten!CJ43*((Grunddaten!$S43-Grunddaten!$Q43)/100*$G68+$E68),-1)</f>
        <v>0</v>
      </c>
      <c r="BK68" s="247">
        <f ca="1">ROUND(Grunddaten!CK43*((Grunddaten!$S43-Grunddaten!$Q43)/100*$G68+$E68),-1)</f>
        <v>0</v>
      </c>
      <c r="BL68" s="247">
        <f ca="1">ROUND(Grunddaten!CL43*((Grunddaten!$S43-Grunddaten!$Q43)/100*$G68+$E68),-1)</f>
        <v>0</v>
      </c>
      <c r="BM68" s="247">
        <f ca="1">ROUND(Grunddaten!CM43*((Grunddaten!$S43-Grunddaten!$Q43)/100*$G68+$E68),-1)</f>
        <v>0</v>
      </c>
      <c r="BN68" s="247">
        <f ca="1">ROUND(Grunddaten!CN43*((Grunddaten!$S43-Grunddaten!$Q43)/100*$G68+$E68),-1)</f>
        <v>0</v>
      </c>
      <c r="BO68" s="247">
        <f ca="1">ROUND(Grunddaten!CO43*((Grunddaten!$S43-Grunddaten!$Q43)/100*$G68+$E68),-1)</f>
        <v>0</v>
      </c>
      <c r="BP68" s="247">
        <f ca="1">ROUND(Grunddaten!CP43*((Grunddaten!$S43-Grunddaten!$Q43)/100*$G68+$E68),-1)</f>
        <v>0</v>
      </c>
      <c r="BQ68" s="248">
        <f ca="1">ROUND(Grunddaten!CQ43*((Grunddaten!$S43-Grunddaten!$Q43)/100*$G68+$E68),-1)</f>
        <v>0</v>
      </c>
    </row>
    <row r="69" spans="1:69" s="36" customFormat="1" ht="11.25" customHeight="1" x14ac:dyDescent="0.2">
      <c r="A69" s="1005" t="s">
        <v>546</v>
      </c>
      <c r="B69" s="1006"/>
      <c r="C69" s="2524">
        <f>1-C68</f>
        <v>0.30000000000000004</v>
      </c>
      <c r="D69" s="2524"/>
      <c r="E69" s="2397"/>
      <c r="F69" s="2398"/>
      <c r="G69" s="2392">
        <f>-Berechnungen!$H$47*C69</f>
        <v>0</v>
      </c>
      <c r="H69" s="2393"/>
      <c r="I69" s="2394"/>
      <c r="J69" s="2390">
        <f>Grunddaten!$S$44-(1-$R$109)*Grunddaten!$Q$43</f>
        <v>4.8104500000000003</v>
      </c>
      <c r="K69" s="2391"/>
      <c r="L69" s="2424">
        <f t="shared" si="5"/>
        <v>0</v>
      </c>
      <c r="M69" s="2425"/>
      <c r="N69" s="2426"/>
      <c r="P69" s="618"/>
      <c r="Q69" s="618"/>
      <c r="S69" s="208">
        <f ca="1">ROUND(Grunddaten!AS44*((Grunddaten!$S44-Grunddaten!$Q43)/100*$G69+$E69),-1)</f>
        <v>0</v>
      </c>
      <c r="T69" s="209">
        <f ca="1">ROUND(Grunddaten!AT44*((Grunddaten!$S44-Grunddaten!$Q43)/100*$G69+$E69),-1)</f>
        <v>0</v>
      </c>
      <c r="U69" s="209">
        <f ca="1">ROUND(Grunddaten!AU44*((Grunddaten!$S44-Grunddaten!$Q43)/100*$G69+$E69),-1)</f>
        <v>0</v>
      </c>
      <c r="V69" s="209">
        <f ca="1">ROUND(Grunddaten!AV44*((Grunddaten!$S44-Grunddaten!$Q43)/100*$G69+$E69),-1)</f>
        <v>0</v>
      </c>
      <c r="W69" s="209">
        <f ca="1">ROUND(Grunddaten!AW44*((Grunddaten!$S44-Grunddaten!$Q43)/100*$G69+$E69),-1)</f>
        <v>0</v>
      </c>
      <c r="X69" s="209">
        <f ca="1">ROUND(Grunddaten!AX44*((Grunddaten!$S44-Grunddaten!$Q43)/100*$G69+$E69),-1)</f>
        <v>0</v>
      </c>
      <c r="Y69" s="209">
        <f ca="1">ROUND(Grunddaten!AY44*((Grunddaten!$S44-Grunddaten!$Q43)/100*$G69+$E69),-1)</f>
        <v>0</v>
      </c>
      <c r="Z69" s="209">
        <f ca="1">ROUND(Grunddaten!AZ44*((Grunddaten!$S44-Grunddaten!$Q43)/100*$G69+$E69),-1)</f>
        <v>0</v>
      </c>
      <c r="AA69" s="209">
        <f ca="1">ROUND(Grunddaten!BA44*((Grunddaten!$S44-Grunddaten!$Q43)/100*$G69+$E69),-1)</f>
        <v>0</v>
      </c>
      <c r="AB69" s="249">
        <f ca="1">ROUND(Grunddaten!BB44*((Grunddaten!$S44-Grunddaten!$Q43)/100*$G69+$E69),-1)</f>
        <v>0</v>
      </c>
      <c r="AC69" s="249">
        <f ca="1">ROUND(Grunddaten!BC44*((Grunddaten!$S44-Grunddaten!$Q43)/100*$G69+$E69),-1)</f>
        <v>0</v>
      </c>
      <c r="AD69" s="249">
        <f ca="1">ROUND(Grunddaten!BD44*((Grunddaten!$S44-Grunddaten!$Q43)/100*$G69+$E69),-1)</f>
        <v>0</v>
      </c>
      <c r="AE69" s="249">
        <f ca="1">ROUND(Grunddaten!BE44*((Grunddaten!$S44-Grunddaten!$Q43)/100*$G69+$E69),-1)</f>
        <v>0</v>
      </c>
      <c r="AF69" s="249">
        <f ca="1">ROUND(Grunddaten!BF44*((Grunddaten!$S44-Grunddaten!$Q43)/100*$G69+$E69),-1)</f>
        <v>0</v>
      </c>
      <c r="AG69" s="249">
        <f ca="1">ROUND(Grunddaten!BG44*((Grunddaten!$S44-Grunddaten!$Q43)/100*$G69+$E69),-1)</f>
        <v>0</v>
      </c>
      <c r="AH69" s="250">
        <f ca="1">ROUND(Grunddaten!BH44*((Grunddaten!$S44-Grunddaten!$Q43)/100*$G69+$E69),-1)</f>
        <v>0</v>
      </c>
      <c r="AI69" s="250">
        <f ca="1">ROUND(Grunddaten!BI44*((Grunddaten!$S44-Grunddaten!$Q43)/100*$G69+$E69),-1)</f>
        <v>0</v>
      </c>
      <c r="AJ69" s="250">
        <f ca="1">ROUND(Grunddaten!BJ44*((Grunddaten!$S44-Grunddaten!$Q43)/100*$G69+$E69),-1)</f>
        <v>0</v>
      </c>
      <c r="AK69" s="250">
        <f ca="1">ROUND(Grunddaten!BK44*((Grunddaten!$S44-Grunddaten!$Q43)/100*$G69+$E69),-1)</f>
        <v>0</v>
      </c>
      <c r="AL69" s="250">
        <f ca="1">ROUND(Grunddaten!BL44*((Grunddaten!$S44-Grunddaten!$Q43)/100*$G69+$E69),-1)</f>
        <v>0</v>
      </c>
      <c r="AM69" s="250">
        <f ca="1">ROUND(Grunddaten!BM44*((Grunddaten!$S44-Grunddaten!$Q43)/100*$G69+$E69),-1)</f>
        <v>0</v>
      </c>
      <c r="AN69" s="250">
        <f ca="1">ROUND(Grunddaten!BN44*((Grunddaten!$S44-Grunddaten!$Q43)/100*$G69+$E69),-1)</f>
        <v>0</v>
      </c>
      <c r="AO69" s="250">
        <f ca="1">ROUND(Grunddaten!BO44*((Grunddaten!$S44-Grunddaten!$Q43)/100*$G69+$E69),-1)</f>
        <v>0</v>
      </c>
      <c r="AP69" s="250">
        <f ca="1">ROUND(Grunddaten!BP44*((Grunddaten!$S44-Grunddaten!$Q43)/100*$G69+$E69),-1)</f>
        <v>0</v>
      </c>
      <c r="AQ69" s="250">
        <f ca="1">ROUND(Grunddaten!BQ44*((Grunddaten!$S44-Grunddaten!$Q43)/100*$G69+$E69),-1)</f>
        <v>0</v>
      </c>
      <c r="AR69" s="250">
        <f ca="1">ROUND(Grunddaten!BR44*((Grunddaten!$S44-Grunddaten!$Q43)/100*$G69+$E69),-1)</f>
        <v>0</v>
      </c>
      <c r="AS69" s="250">
        <f ca="1">ROUND(Grunddaten!BS44*((Grunddaten!$S44-Grunddaten!$Q43)/100*$G69+$E69),-1)</f>
        <v>0</v>
      </c>
      <c r="AT69" s="250">
        <f ca="1">ROUND(Grunddaten!BT44*((Grunddaten!$S44-Grunddaten!$Q43)/100*$G69+$E69),-1)</f>
        <v>0</v>
      </c>
      <c r="AU69" s="250">
        <f ca="1">ROUND(Grunddaten!BU44*((Grunddaten!$S44-Grunddaten!$Q43)/100*$G69+$E69),-1)</f>
        <v>0</v>
      </c>
      <c r="AV69" s="250">
        <f ca="1">ROUND(Grunddaten!BV44*((Grunddaten!$S44-Grunddaten!$Q43)/100*$G69+$E69),-1)</f>
        <v>0</v>
      </c>
      <c r="AW69" s="250">
        <f ca="1">ROUND(Grunddaten!BW44*((Grunddaten!$S44-Grunddaten!$Q43)/100*$G69+$E69),-1)</f>
        <v>0</v>
      </c>
      <c r="AX69" s="250">
        <f ca="1">ROUND(Grunddaten!BX44*((Grunddaten!$S44-Grunddaten!$Q43)/100*$G69+$E69),-1)</f>
        <v>0</v>
      </c>
      <c r="AY69" s="250">
        <f ca="1">ROUND(Grunddaten!BY44*((Grunddaten!$S44-Grunddaten!$Q43)/100*$G69+$E69),-1)</f>
        <v>0</v>
      </c>
      <c r="AZ69" s="250">
        <f ca="1">ROUND(Grunddaten!BZ44*((Grunddaten!$S44-Grunddaten!$Q43)/100*$G69+$E69),-1)</f>
        <v>0</v>
      </c>
      <c r="BA69" s="250">
        <f ca="1">ROUND(Grunddaten!CA44*((Grunddaten!$S44-Grunddaten!$Q43)/100*$G69+$E69),-1)</f>
        <v>0</v>
      </c>
      <c r="BB69" s="250">
        <f ca="1">ROUND(Grunddaten!CB44*((Grunddaten!$S44-Grunddaten!$Q43)/100*$G69+$E69),-1)</f>
        <v>0</v>
      </c>
      <c r="BC69" s="250">
        <f ca="1">ROUND(Grunddaten!CC44*((Grunddaten!$S44-Grunddaten!$Q43)/100*$G69+$E69),-1)</f>
        <v>0</v>
      </c>
      <c r="BD69" s="250">
        <f ca="1">ROUND(Grunddaten!CD44*((Grunddaten!$S44-Grunddaten!$Q43)/100*$G69+$E69),-1)</f>
        <v>0</v>
      </c>
      <c r="BE69" s="250">
        <f ca="1">ROUND(Grunddaten!CE44*((Grunddaten!$S44-Grunddaten!$Q43)/100*$G69+$E69),-1)</f>
        <v>0</v>
      </c>
      <c r="BF69" s="250">
        <f ca="1">ROUND(Grunddaten!CF44*((Grunddaten!$S44-Grunddaten!$Q43)/100*$G69+$E69),-1)</f>
        <v>0</v>
      </c>
      <c r="BG69" s="250">
        <f ca="1">ROUND(Grunddaten!CG44*((Grunddaten!$S44-Grunddaten!$Q43)/100*$G69+$E69),-1)</f>
        <v>0</v>
      </c>
      <c r="BH69" s="250">
        <f ca="1">ROUND(Grunddaten!CH44*((Grunddaten!$S44-Grunddaten!$Q43)/100*$G69+$E69),-1)</f>
        <v>0</v>
      </c>
      <c r="BI69" s="250">
        <f ca="1">ROUND(Grunddaten!CI44*((Grunddaten!$S44-Grunddaten!$Q43)/100*$G69+$E69),-1)</f>
        <v>0</v>
      </c>
      <c r="BJ69" s="250">
        <f ca="1">ROUND(Grunddaten!CJ44*((Grunddaten!$S44-Grunddaten!$Q43)/100*$G69+$E69),-1)</f>
        <v>0</v>
      </c>
      <c r="BK69" s="250">
        <f ca="1">ROUND(Grunddaten!CK44*((Grunddaten!$S44-Grunddaten!$Q43)/100*$G69+$E69),-1)</f>
        <v>0</v>
      </c>
      <c r="BL69" s="250">
        <f ca="1">ROUND(Grunddaten!CL44*((Grunddaten!$S44-Grunddaten!$Q43)/100*$G69+$E69),-1)</f>
        <v>0</v>
      </c>
      <c r="BM69" s="250">
        <f ca="1">ROUND(Grunddaten!CM44*((Grunddaten!$S44-Grunddaten!$Q43)/100*$G69+$E69),-1)</f>
        <v>0</v>
      </c>
      <c r="BN69" s="250">
        <f ca="1">ROUND(Grunddaten!CN44*((Grunddaten!$S44-Grunddaten!$Q43)/100*$G69+$E69),-1)</f>
        <v>0</v>
      </c>
      <c r="BO69" s="250">
        <f ca="1">ROUND(Grunddaten!CO44*((Grunddaten!$S44-Grunddaten!$Q43)/100*$G69+$E69),-1)</f>
        <v>0</v>
      </c>
      <c r="BP69" s="250">
        <f ca="1">ROUND(Grunddaten!CP44*((Grunddaten!$S44-Grunddaten!$Q43)/100*$G69+$E69),-1)</f>
        <v>0</v>
      </c>
      <c r="BQ69" s="251">
        <f ca="1">ROUND(Grunddaten!CQ44*((Grunddaten!$S44-Grunddaten!$Q43)/100*$G69+$E69),-1)</f>
        <v>0</v>
      </c>
    </row>
    <row r="70" spans="1:69" s="36" customFormat="1" ht="11.25" customHeight="1" x14ac:dyDescent="0.2">
      <c r="A70" s="1011" t="str">
        <f>Berechnungen!A36</f>
        <v>Holzpellets</v>
      </c>
      <c r="B70" s="1491"/>
      <c r="C70" s="1491"/>
      <c r="D70" s="1491"/>
      <c r="E70" s="2397"/>
      <c r="F70" s="2398"/>
      <c r="G70" s="2392">
        <f ca="1">SUMIF(EV_Var3!$A$11:$B$74,$A70,EV_Var3!$E$11:$E$74)</f>
        <v>0</v>
      </c>
      <c r="H70" s="2393"/>
      <c r="I70" s="2394"/>
      <c r="J70" s="2390">
        <f>Grunddaten!S45-(1-$R$109)*Grunddaten!Q45</f>
        <v>9.3000000000000007</v>
      </c>
      <c r="K70" s="2391"/>
      <c r="L70" s="2424">
        <f t="shared" ca="1" si="4"/>
        <v>0</v>
      </c>
      <c r="M70" s="2425"/>
      <c r="N70" s="2426"/>
      <c r="P70" s="122"/>
      <c r="Q70" s="122"/>
      <c r="S70" s="252">
        <f ca="1">ROUND(Grunddaten!AS45*((Grunddaten!$S45-Grunddaten!$Q45)/100*$G70+$E70),-1)</f>
        <v>0</v>
      </c>
      <c r="T70" s="253">
        <f ca="1">ROUND(Grunddaten!AT45*((Grunddaten!$S45-Grunddaten!$Q45)/100*$G70+$E70),-1)</f>
        <v>0</v>
      </c>
      <c r="U70" s="253">
        <f ca="1">ROUND(Grunddaten!AU45*((Grunddaten!$S45-Grunddaten!$Q45)/100*$G70+$E70),-1)</f>
        <v>0</v>
      </c>
      <c r="V70" s="253">
        <f ca="1">ROUND(Grunddaten!AV45*((Grunddaten!$S45-Grunddaten!$Q45)/100*$G70+$E70),-1)</f>
        <v>0</v>
      </c>
      <c r="W70" s="253">
        <f ca="1">ROUND(Grunddaten!AW45*((Grunddaten!$S45-Grunddaten!$Q45)/100*$G70+$E70),-1)</f>
        <v>0</v>
      </c>
      <c r="X70" s="253">
        <f ca="1">ROUND(Grunddaten!AX45*((Grunddaten!$S45-Grunddaten!$Q45)/100*$G70+$E70),-1)</f>
        <v>0</v>
      </c>
      <c r="Y70" s="253">
        <f ca="1">ROUND(Grunddaten!AY45*((Grunddaten!$S45-Grunddaten!$Q45)/100*$G70+$E70),-1)</f>
        <v>0</v>
      </c>
      <c r="Z70" s="253">
        <f ca="1">ROUND(Grunddaten!AZ45*((Grunddaten!$S45-Grunddaten!$Q45)/100*$G70+$E70),-1)</f>
        <v>0</v>
      </c>
      <c r="AA70" s="253">
        <f ca="1">ROUND(Grunddaten!BA45*((Grunddaten!$S45-Grunddaten!$Q45)/100*$G70+$E70),-1)</f>
        <v>0</v>
      </c>
      <c r="AB70" s="254">
        <f ca="1">ROUND(Grunddaten!BB45*((Grunddaten!$S45-Grunddaten!$Q45)/100*$G70+$E70),-1)</f>
        <v>0</v>
      </c>
      <c r="AC70" s="254">
        <f ca="1">ROUND(Grunddaten!BC45*((Grunddaten!$S45-Grunddaten!$Q45)/100*$G70+$E70),-1)</f>
        <v>0</v>
      </c>
      <c r="AD70" s="254">
        <f ca="1">ROUND(Grunddaten!BD45*((Grunddaten!$S45-Grunddaten!$Q45)/100*$G70+$E70),-1)</f>
        <v>0</v>
      </c>
      <c r="AE70" s="254">
        <f ca="1">ROUND(Grunddaten!BE45*((Grunddaten!$S45-Grunddaten!$Q45)/100*$G70+$E70),-1)</f>
        <v>0</v>
      </c>
      <c r="AF70" s="254">
        <f ca="1">ROUND(Grunddaten!BF45*((Grunddaten!$S45-Grunddaten!$Q45)/100*$G70+$E70),-1)</f>
        <v>0</v>
      </c>
      <c r="AG70" s="254">
        <f ca="1">ROUND(Grunddaten!BG45*((Grunddaten!$S45-Grunddaten!$Q45)/100*$G70+$E70),-1)</f>
        <v>0</v>
      </c>
      <c r="AH70" s="255">
        <f ca="1">ROUND(Grunddaten!BH45*((Grunddaten!$S45-Grunddaten!$Q45)/100*$G70+$E70),-1)</f>
        <v>0</v>
      </c>
      <c r="AI70" s="255">
        <f ca="1">ROUND(Grunddaten!BI45*((Grunddaten!$S45-Grunddaten!$Q45)/100*$G70+$E70),-1)</f>
        <v>0</v>
      </c>
      <c r="AJ70" s="255">
        <f ca="1">ROUND(Grunddaten!BJ45*((Grunddaten!$S45-Grunddaten!$Q45)/100*$G70+$E70),-1)</f>
        <v>0</v>
      </c>
      <c r="AK70" s="255">
        <f ca="1">ROUND(Grunddaten!BK45*((Grunddaten!$S45-Grunddaten!$Q45)/100*$G70+$E70),-1)</f>
        <v>0</v>
      </c>
      <c r="AL70" s="255">
        <f ca="1">ROUND(Grunddaten!BL45*((Grunddaten!$S45-Grunddaten!$Q45)/100*$G70+$E70),-1)</f>
        <v>0</v>
      </c>
      <c r="AM70" s="255">
        <f ca="1">ROUND(Grunddaten!BM45*((Grunddaten!$S45-Grunddaten!$Q45)/100*$G70+$E70),-1)</f>
        <v>0</v>
      </c>
      <c r="AN70" s="255">
        <f ca="1">ROUND(Grunddaten!BN45*((Grunddaten!$S45-Grunddaten!$Q45)/100*$G70+$E70),-1)</f>
        <v>0</v>
      </c>
      <c r="AO70" s="255">
        <f ca="1">ROUND(Grunddaten!BO45*((Grunddaten!$S45-Grunddaten!$Q45)/100*$G70+$E70),-1)</f>
        <v>0</v>
      </c>
      <c r="AP70" s="255">
        <f ca="1">ROUND(Grunddaten!BP45*((Grunddaten!$S45-Grunddaten!$Q45)/100*$G70+$E70),-1)</f>
        <v>0</v>
      </c>
      <c r="AQ70" s="255">
        <f ca="1">ROUND(Grunddaten!BQ45*((Grunddaten!$S45-Grunddaten!$Q45)/100*$G70+$E70),-1)</f>
        <v>0</v>
      </c>
      <c r="AR70" s="255">
        <f ca="1">ROUND(Grunddaten!BR45*((Grunddaten!$S45-Grunddaten!$Q45)/100*$G70+$E70),-1)</f>
        <v>0</v>
      </c>
      <c r="AS70" s="255">
        <f ca="1">ROUND(Grunddaten!BS45*((Grunddaten!$S45-Grunddaten!$Q45)/100*$G70+$E70),-1)</f>
        <v>0</v>
      </c>
      <c r="AT70" s="255">
        <f ca="1">ROUND(Grunddaten!BT45*((Grunddaten!$S45-Grunddaten!$Q45)/100*$G70+$E70),-1)</f>
        <v>0</v>
      </c>
      <c r="AU70" s="255">
        <f ca="1">ROUND(Grunddaten!BU45*((Grunddaten!$S45-Grunddaten!$Q45)/100*$G70+$E70),-1)</f>
        <v>0</v>
      </c>
      <c r="AV70" s="255">
        <f ca="1">ROUND(Grunddaten!BV45*((Grunddaten!$S45-Grunddaten!$Q45)/100*$G70+$E70),-1)</f>
        <v>0</v>
      </c>
      <c r="AW70" s="255">
        <f ca="1">ROUND(Grunddaten!BW45*((Grunddaten!$S45-Grunddaten!$Q45)/100*$G70+$E70),-1)</f>
        <v>0</v>
      </c>
      <c r="AX70" s="255">
        <f ca="1">ROUND(Grunddaten!BX45*((Grunddaten!$S45-Grunddaten!$Q45)/100*$G70+$E70),-1)</f>
        <v>0</v>
      </c>
      <c r="AY70" s="255">
        <f ca="1">ROUND(Grunddaten!BY45*((Grunddaten!$S45-Grunddaten!$Q45)/100*$G70+$E70),-1)</f>
        <v>0</v>
      </c>
      <c r="AZ70" s="255">
        <f ca="1">ROUND(Grunddaten!BZ45*((Grunddaten!$S45-Grunddaten!$Q45)/100*$G70+$E70),-1)</f>
        <v>0</v>
      </c>
      <c r="BA70" s="255">
        <f ca="1">ROUND(Grunddaten!CA45*((Grunddaten!$S45-Grunddaten!$Q45)/100*$G70+$E70),-1)</f>
        <v>0</v>
      </c>
      <c r="BB70" s="255">
        <f ca="1">ROUND(Grunddaten!CB45*((Grunddaten!$S45-Grunddaten!$Q45)/100*$G70+$E70),-1)</f>
        <v>0</v>
      </c>
      <c r="BC70" s="255">
        <f ca="1">ROUND(Grunddaten!CC45*((Grunddaten!$S45-Grunddaten!$Q45)/100*$G70+$E70),-1)</f>
        <v>0</v>
      </c>
      <c r="BD70" s="255">
        <f ca="1">ROUND(Grunddaten!CD45*((Grunddaten!$S45-Grunddaten!$Q45)/100*$G70+$E70),-1)</f>
        <v>0</v>
      </c>
      <c r="BE70" s="255">
        <f ca="1">ROUND(Grunddaten!CE45*((Grunddaten!$S45-Grunddaten!$Q45)/100*$G70+$E70),-1)</f>
        <v>0</v>
      </c>
      <c r="BF70" s="255">
        <f ca="1">ROUND(Grunddaten!CF45*((Grunddaten!$S45-Grunddaten!$Q45)/100*$G70+$E70),-1)</f>
        <v>0</v>
      </c>
      <c r="BG70" s="255">
        <f ca="1">ROUND(Grunddaten!CG45*((Grunddaten!$S45-Grunddaten!$Q45)/100*$G70+$E70),-1)</f>
        <v>0</v>
      </c>
      <c r="BH70" s="255">
        <f ca="1">ROUND(Grunddaten!CH45*((Grunddaten!$S45-Grunddaten!$Q45)/100*$G70+$E70),-1)</f>
        <v>0</v>
      </c>
      <c r="BI70" s="255">
        <f ca="1">ROUND(Grunddaten!CI45*((Grunddaten!$S45-Grunddaten!$Q45)/100*$G70+$E70),-1)</f>
        <v>0</v>
      </c>
      <c r="BJ70" s="255">
        <f ca="1">ROUND(Grunddaten!CJ45*((Grunddaten!$S45-Grunddaten!$Q45)/100*$G70+$E70),-1)</f>
        <v>0</v>
      </c>
      <c r="BK70" s="255">
        <f ca="1">ROUND(Grunddaten!CK45*((Grunddaten!$S45-Grunddaten!$Q45)/100*$G70+$E70),-1)</f>
        <v>0</v>
      </c>
      <c r="BL70" s="255">
        <f ca="1">ROUND(Grunddaten!CL45*((Grunddaten!$S45-Grunddaten!$Q45)/100*$G70+$E70),-1)</f>
        <v>0</v>
      </c>
      <c r="BM70" s="255">
        <f ca="1">ROUND(Grunddaten!CM45*((Grunddaten!$S45-Grunddaten!$Q45)/100*$G70+$E70),-1)</f>
        <v>0</v>
      </c>
      <c r="BN70" s="255">
        <f ca="1">ROUND(Grunddaten!CN45*((Grunddaten!$S45-Grunddaten!$Q45)/100*$G70+$E70),-1)</f>
        <v>0</v>
      </c>
      <c r="BO70" s="255">
        <f ca="1">ROUND(Grunddaten!CO45*((Grunddaten!$S45-Grunddaten!$Q45)/100*$G70+$E70),-1)</f>
        <v>0</v>
      </c>
      <c r="BP70" s="255">
        <f ca="1">ROUND(Grunddaten!CP45*((Grunddaten!$S45-Grunddaten!$Q45)/100*$G70+$E70),-1)</f>
        <v>0</v>
      </c>
      <c r="BQ70" s="256">
        <f ca="1">ROUND(Grunddaten!CQ45*((Grunddaten!$S45-Grunddaten!$Q45)/100*$G70+$E70),-1)</f>
        <v>0</v>
      </c>
    </row>
    <row r="71" spans="1:69" s="36" customFormat="1" ht="11.25" customHeight="1" x14ac:dyDescent="0.2">
      <c r="A71" s="1011" t="str">
        <f>Berechnungen!A35</f>
        <v>Holzschnitzel</v>
      </c>
      <c r="B71" s="1491"/>
      <c r="C71" s="1491"/>
      <c r="D71" s="1491"/>
      <c r="E71" s="2397"/>
      <c r="F71" s="2398"/>
      <c r="G71" s="2392">
        <f ca="1">SUMIF(EV_Var3!$A$11:$B$74,$A71,EV_Var3!$E$11:$E$74)</f>
        <v>0</v>
      </c>
      <c r="H71" s="2393"/>
      <c r="I71" s="2394"/>
      <c r="J71" s="2390">
        <f>Grunddaten!S46-(1-$R$109)*Grunddaten!Q46</f>
        <v>7.6</v>
      </c>
      <c r="K71" s="2391"/>
      <c r="L71" s="2424">
        <f t="shared" ca="1" si="4"/>
        <v>0</v>
      </c>
      <c r="M71" s="2425"/>
      <c r="N71" s="2426"/>
      <c r="P71" s="122"/>
      <c r="Q71" s="122"/>
      <c r="S71" s="252">
        <f ca="1">ROUND(Grunddaten!AS46*((Grunddaten!$S46-Grunddaten!$Q46)/100*$G71+$E71),-1)</f>
        <v>0</v>
      </c>
      <c r="T71" s="253">
        <f ca="1">ROUND(Grunddaten!AT46*((Grunddaten!$S46-Grunddaten!$Q46)/100*$G71+$E71),-1)</f>
        <v>0</v>
      </c>
      <c r="U71" s="253">
        <f ca="1">ROUND(Grunddaten!AU46*((Grunddaten!$S46-Grunddaten!$Q46)/100*$G71+$E71),-1)</f>
        <v>0</v>
      </c>
      <c r="V71" s="253">
        <f ca="1">ROUND(Grunddaten!AV46*((Grunddaten!$S46-Grunddaten!$Q46)/100*$G71+$E71),-1)</f>
        <v>0</v>
      </c>
      <c r="W71" s="253">
        <f ca="1">ROUND(Grunddaten!AW46*((Grunddaten!$S46-Grunddaten!$Q46)/100*$G71+$E71),-1)</f>
        <v>0</v>
      </c>
      <c r="X71" s="253">
        <f ca="1">ROUND(Grunddaten!AX46*((Grunddaten!$S46-Grunddaten!$Q46)/100*$G71+$E71),-1)</f>
        <v>0</v>
      </c>
      <c r="Y71" s="253">
        <f ca="1">ROUND(Grunddaten!AY46*((Grunddaten!$S46-Grunddaten!$Q46)/100*$G71+$E71),-1)</f>
        <v>0</v>
      </c>
      <c r="Z71" s="253">
        <f ca="1">ROUND(Grunddaten!AZ46*((Grunddaten!$S46-Grunddaten!$Q46)/100*$G71+$E71),-1)</f>
        <v>0</v>
      </c>
      <c r="AA71" s="253">
        <f ca="1">ROUND(Grunddaten!BA46*((Grunddaten!$S46-Grunddaten!$Q46)/100*$G71+$E71),-1)</f>
        <v>0</v>
      </c>
      <c r="AB71" s="254">
        <f ca="1">ROUND(Grunddaten!BB46*((Grunddaten!$S46-Grunddaten!$Q46)/100*$G71+$E71),-1)</f>
        <v>0</v>
      </c>
      <c r="AC71" s="254">
        <f ca="1">ROUND(Grunddaten!BC46*((Grunddaten!$S46-Grunddaten!$Q46)/100*$G71+$E71),-1)</f>
        <v>0</v>
      </c>
      <c r="AD71" s="254">
        <f ca="1">ROUND(Grunddaten!BD46*((Grunddaten!$S46-Grunddaten!$Q46)/100*$G71+$E71),-1)</f>
        <v>0</v>
      </c>
      <c r="AE71" s="254">
        <f ca="1">ROUND(Grunddaten!BE46*((Grunddaten!$S46-Grunddaten!$Q46)/100*$G71+$E71),-1)</f>
        <v>0</v>
      </c>
      <c r="AF71" s="254">
        <f ca="1">ROUND(Grunddaten!BF46*((Grunddaten!$S46-Grunddaten!$Q46)/100*$G71+$E71),-1)</f>
        <v>0</v>
      </c>
      <c r="AG71" s="254">
        <f ca="1">ROUND(Grunddaten!BG46*((Grunddaten!$S46-Grunddaten!$Q46)/100*$G71+$E71),-1)</f>
        <v>0</v>
      </c>
      <c r="AH71" s="255">
        <f ca="1">ROUND(Grunddaten!BH46*((Grunddaten!$S46-Grunddaten!$Q46)/100*$G71+$E71),-1)</f>
        <v>0</v>
      </c>
      <c r="AI71" s="255">
        <f ca="1">ROUND(Grunddaten!BI46*((Grunddaten!$S46-Grunddaten!$Q46)/100*$G71+$E71),-1)</f>
        <v>0</v>
      </c>
      <c r="AJ71" s="255">
        <f ca="1">ROUND(Grunddaten!BJ46*((Grunddaten!$S46-Grunddaten!$Q46)/100*$G71+$E71),-1)</f>
        <v>0</v>
      </c>
      <c r="AK71" s="255">
        <f ca="1">ROUND(Grunddaten!BK46*((Grunddaten!$S46-Grunddaten!$Q46)/100*$G71+$E71),-1)</f>
        <v>0</v>
      </c>
      <c r="AL71" s="255">
        <f ca="1">ROUND(Grunddaten!BL46*((Grunddaten!$S46-Grunddaten!$Q46)/100*$G71+$E71),-1)</f>
        <v>0</v>
      </c>
      <c r="AM71" s="255">
        <f ca="1">ROUND(Grunddaten!BM46*((Grunddaten!$S46-Grunddaten!$Q46)/100*$G71+$E71),-1)</f>
        <v>0</v>
      </c>
      <c r="AN71" s="255">
        <f ca="1">ROUND(Grunddaten!BN46*((Grunddaten!$S46-Grunddaten!$Q46)/100*$G71+$E71),-1)</f>
        <v>0</v>
      </c>
      <c r="AO71" s="255">
        <f ca="1">ROUND(Grunddaten!BO46*((Grunddaten!$S46-Grunddaten!$Q46)/100*$G71+$E71),-1)</f>
        <v>0</v>
      </c>
      <c r="AP71" s="255">
        <f ca="1">ROUND(Grunddaten!BP46*((Grunddaten!$S46-Grunddaten!$Q46)/100*$G71+$E71),-1)</f>
        <v>0</v>
      </c>
      <c r="AQ71" s="255">
        <f ca="1">ROUND(Grunddaten!BQ46*((Grunddaten!$S46-Grunddaten!$Q46)/100*$G71+$E71),-1)</f>
        <v>0</v>
      </c>
      <c r="AR71" s="255">
        <f ca="1">ROUND(Grunddaten!BR46*((Grunddaten!$S46-Grunddaten!$Q46)/100*$G71+$E71),-1)</f>
        <v>0</v>
      </c>
      <c r="AS71" s="255">
        <f ca="1">ROUND(Grunddaten!BS46*((Grunddaten!$S46-Grunddaten!$Q46)/100*$G71+$E71),-1)</f>
        <v>0</v>
      </c>
      <c r="AT71" s="255">
        <f ca="1">ROUND(Grunddaten!BT46*((Grunddaten!$S46-Grunddaten!$Q46)/100*$G71+$E71),-1)</f>
        <v>0</v>
      </c>
      <c r="AU71" s="255">
        <f ca="1">ROUND(Grunddaten!BU46*((Grunddaten!$S46-Grunddaten!$Q46)/100*$G71+$E71),-1)</f>
        <v>0</v>
      </c>
      <c r="AV71" s="255">
        <f ca="1">ROUND(Grunddaten!BV46*((Grunddaten!$S46-Grunddaten!$Q46)/100*$G71+$E71),-1)</f>
        <v>0</v>
      </c>
      <c r="AW71" s="255">
        <f ca="1">ROUND(Grunddaten!BW46*((Grunddaten!$S46-Grunddaten!$Q46)/100*$G71+$E71),-1)</f>
        <v>0</v>
      </c>
      <c r="AX71" s="255">
        <f ca="1">ROUND(Grunddaten!BX46*((Grunddaten!$S46-Grunddaten!$Q46)/100*$G71+$E71),-1)</f>
        <v>0</v>
      </c>
      <c r="AY71" s="255">
        <f ca="1">ROUND(Grunddaten!BY46*((Grunddaten!$S46-Grunddaten!$Q46)/100*$G71+$E71),-1)</f>
        <v>0</v>
      </c>
      <c r="AZ71" s="255">
        <f ca="1">ROUND(Grunddaten!BZ46*((Grunddaten!$S46-Grunddaten!$Q46)/100*$G71+$E71),-1)</f>
        <v>0</v>
      </c>
      <c r="BA71" s="255">
        <f ca="1">ROUND(Grunddaten!CA46*((Grunddaten!$S46-Grunddaten!$Q46)/100*$G71+$E71),-1)</f>
        <v>0</v>
      </c>
      <c r="BB71" s="255">
        <f ca="1">ROUND(Grunddaten!CB46*((Grunddaten!$S46-Grunddaten!$Q46)/100*$G71+$E71),-1)</f>
        <v>0</v>
      </c>
      <c r="BC71" s="255">
        <f ca="1">ROUND(Grunddaten!CC46*((Grunddaten!$S46-Grunddaten!$Q46)/100*$G71+$E71),-1)</f>
        <v>0</v>
      </c>
      <c r="BD71" s="255">
        <f ca="1">ROUND(Grunddaten!CD46*((Grunddaten!$S46-Grunddaten!$Q46)/100*$G71+$E71),-1)</f>
        <v>0</v>
      </c>
      <c r="BE71" s="255">
        <f ca="1">ROUND(Grunddaten!CE46*((Grunddaten!$S46-Grunddaten!$Q46)/100*$G71+$E71),-1)</f>
        <v>0</v>
      </c>
      <c r="BF71" s="255">
        <f ca="1">ROUND(Grunddaten!CF46*((Grunddaten!$S46-Grunddaten!$Q46)/100*$G71+$E71),-1)</f>
        <v>0</v>
      </c>
      <c r="BG71" s="255">
        <f ca="1">ROUND(Grunddaten!CG46*((Grunddaten!$S46-Grunddaten!$Q46)/100*$G71+$E71),-1)</f>
        <v>0</v>
      </c>
      <c r="BH71" s="255">
        <f ca="1">ROUND(Grunddaten!CH46*((Grunddaten!$S46-Grunddaten!$Q46)/100*$G71+$E71),-1)</f>
        <v>0</v>
      </c>
      <c r="BI71" s="255">
        <f ca="1">ROUND(Grunddaten!CI46*((Grunddaten!$S46-Grunddaten!$Q46)/100*$G71+$E71),-1)</f>
        <v>0</v>
      </c>
      <c r="BJ71" s="255">
        <f ca="1">ROUND(Grunddaten!CJ46*((Grunddaten!$S46-Grunddaten!$Q46)/100*$G71+$E71),-1)</f>
        <v>0</v>
      </c>
      <c r="BK71" s="255">
        <f ca="1">ROUND(Grunddaten!CK46*((Grunddaten!$S46-Grunddaten!$Q46)/100*$G71+$E71),-1)</f>
        <v>0</v>
      </c>
      <c r="BL71" s="255">
        <f ca="1">ROUND(Grunddaten!CL46*((Grunddaten!$S46-Grunddaten!$Q46)/100*$G71+$E71),-1)</f>
        <v>0</v>
      </c>
      <c r="BM71" s="255">
        <f ca="1">ROUND(Grunddaten!CM46*((Grunddaten!$S46-Grunddaten!$Q46)/100*$G71+$E71),-1)</f>
        <v>0</v>
      </c>
      <c r="BN71" s="255">
        <f ca="1">ROUND(Grunddaten!CN46*((Grunddaten!$S46-Grunddaten!$Q46)/100*$G71+$E71),-1)</f>
        <v>0</v>
      </c>
      <c r="BO71" s="255">
        <f ca="1">ROUND(Grunddaten!CO46*((Grunddaten!$S46-Grunddaten!$Q46)/100*$G71+$E71),-1)</f>
        <v>0</v>
      </c>
      <c r="BP71" s="255">
        <f ca="1">ROUND(Grunddaten!CP46*((Grunddaten!$S46-Grunddaten!$Q46)/100*$G71+$E71),-1)</f>
        <v>0</v>
      </c>
      <c r="BQ71" s="256">
        <f ca="1">ROUND(Grunddaten!CQ46*((Grunddaten!$S46-Grunddaten!$Q46)/100*$G71+$E71),-1)</f>
        <v>0</v>
      </c>
    </row>
    <row r="72" spans="1:69" s="36" customFormat="1" ht="11.25" customHeight="1" x14ac:dyDescent="0.2">
      <c r="A72" s="1011" t="str">
        <f>Berechnungen!A34</f>
        <v>Biogas</v>
      </c>
      <c r="B72" s="1494" t="str">
        <f>MID(Projektdaten!H24,10,50)</f>
        <v>Energie360°</v>
      </c>
      <c r="C72" s="1494"/>
      <c r="D72" s="1494"/>
      <c r="E72" s="2397">
        <f xml:space="preserve"> (IF(EV_Var3!$A$20=$A72,EV_Var3!$H$20,0) + IF(EV_Var3!$A$24=$A72,EV_Var3!$H$24,0) + IF(EV_Var3!$A$29=$A72,(EV_Var3!$H$28-EV_Var3!$AA$24),0) + IF(EV_Var3!$A$60=$A72,EV_Var3!$H$60,0)) * VLOOKUP(Projektdaten!H24,Grunddaten!C47:AI48,33,FALSE)</f>
        <v>0</v>
      </c>
      <c r="F72" s="2398"/>
      <c r="G72" s="2392">
        <f ca="1">SUMIF(EV_Var3!$A$11:$B$74,$A72,EV_Var3!$E$11:$E$74)</f>
        <v>0</v>
      </c>
      <c r="H72" s="2393"/>
      <c r="I72" s="2394"/>
      <c r="J72" s="2390">
        <f>VLOOKUP(Projektdaten!H24,Grunddaten!C47:AI48,17,FALSE) - (1-$R$109)*VLOOKUP(Projektdaten!H24,Grunddaten!C47:AI48,15,FALSE)</f>
        <v>18.7</v>
      </c>
      <c r="K72" s="2391"/>
      <c r="L72" s="2424">
        <f t="shared" ca="1" si="4"/>
        <v>0</v>
      </c>
      <c r="M72" s="2425"/>
      <c r="N72" s="2426"/>
      <c r="P72" s="122"/>
      <c r="Q72" s="122"/>
      <c r="S72" s="252">
        <f ca="1">ROUND(OFFSET(Grunddaten!AS47,Biogas_Produkt,0)*((OFFSET(Grunddaten!$S47,Biogas_Produkt,0)-OFFSET(Grunddaten!$Q47,Biogas_Produkt,0))/100*$G72+$E72),-1)</f>
        <v>0</v>
      </c>
      <c r="T72" s="253">
        <f ca="1">ROUND(OFFSET(Grunddaten!AT47,Biogas_Produkt,0)*((OFFSET(Grunddaten!$S47,Biogas_Produkt,0)-OFFSET(Grunddaten!$Q47,Biogas_Produkt,0))/100*$G72+$E72),-1)</f>
        <v>0</v>
      </c>
      <c r="U72" s="253">
        <f ca="1">ROUND(OFFSET(Grunddaten!AU47,Biogas_Produkt,0)*((OFFSET(Grunddaten!$S47,Biogas_Produkt,0)-OFFSET(Grunddaten!$Q47,Biogas_Produkt,0))/100*$G72+$E72),-1)</f>
        <v>0</v>
      </c>
      <c r="V72" s="253">
        <f ca="1">ROUND(OFFSET(Grunddaten!AV47,Biogas_Produkt,0)*((OFFSET(Grunddaten!$S47,Biogas_Produkt,0)-OFFSET(Grunddaten!$Q47,Biogas_Produkt,0))/100*$G72+$E72),-1)</f>
        <v>0</v>
      </c>
      <c r="W72" s="253">
        <f ca="1">ROUND(OFFSET(Grunddaten!AW47,Biogas_Produkt,0)*((OFFSET(Grunddaten!$S47,Biogas_Produkt,0)-OFFSET(Grunddaten!$Q47,Biogas_Produkt,0))/100*$G72+$E72),-1)</f>
        <v>0</v>
      </c>
      <c r="X72" s="253">
        <f ca="1">ROUND(OFFSET(Grunddaten!AX47,Biogas_Produkt,0)*((OFFSET(Grunddaten!$S47,Biogas_Produkt,0)-OFFSET(Grunddaten!$Q47,Biogas_Produkt,0))/100*$G72+$E72),-1)</f>
        <v>0</v>
      </c>
      <c r="Y72" s="253">
        <f ca="1">ROUND(OFFSET(Grunddaten!AY47,Biogas_Produkt,0)*((OFFSET(Grunddaten!$S47,Biogas_Produkt,0)-OFFSET(Grunddaten!$Q47,Biogas_Produkt,0))/100*$G72+$E72),-1)</f>
        <v>0</v>
      </c>
      <c r="Z72" s="253">
        <f ca="1">ROUND(OFFSET(Grunddaten!AZ47,Biogas_Produkt,0)*((OFFSET(Grunddaten!$S47,Biogas_Produkt,0)-OFFSET(Grunddaten!$Q47,Biogas_Produkt,0))/100*$G72+$E72),-1)</f>
        <v>0</v>
      </c>
      <c r="AA72" s="253">
        <f ca="1">ROUND(OFFSET(Grunddaten!BA47,Biogas_Produkt,0)*((OFFSET(Grunddaten!$S47,Biogas_Produkt,0)-OFFSET(Grunddaten!$Q47,Biogas_Produkt,0))/100*$G72+$E72),-1)</f>
        <v>0</v>
      </c>
      <c r="AB72" s="253">
        <f ca="1">ROUND(OFFSET(Grunddaten!BB47,Biogas_Produkt,0)*((OFFSET(Grunddaten!$S47,Biogas_Produkt,0)-OFFSET(Grunddaten!$Q47,Biogas_Produkt,0))/100*$G72+$E72),-1)</f>
        <v>0</v>
      </c>
      <c r="AC72" s="253">
        <f ca="1">ROUND(OFFSET(Grunddaten!BC47,Biogas_Produkt,0)*((OFFSET(Grunddaten!$S47,Biogas_Produkt,0)-OFFSET(Grunddaten!$Q47,Biogas_Produkt,0))/100*$G72+$E72),-1)</f>
        <v>0</v>
      </c>
      <c r="AD72" s="253">
        <f ca="1">ROUND(OFFSET(Grunddaten!BD47,Biogas_Produkt,0)*((OFFSET(Grunddaten!$S47,Biogas_Produkt,0)-OFFSET(Grunddaten!$Q47,Biogas_Produkt,0))/100*$G72+$E72),-1)</f>
        <v>0</v>
      </c>
      <c r="AE72" s="253">
        <f ca="1">ROUND(OFFSET(Grunddaten!BE47,Biogas_Produkt,0)*((OFFSET(Grunddaten!$S47,Biogas_Produkt,0)-OFFSET(Grunddaten!$Q47,Biogas_Produkt,0))/100*$G72+$E72),-1)</f>
        <v>0</v>
      </c>
      <c r="AF72" s="253">
        <f ca="1">ROUND(OFFSET(Grunddaten!BF47,Biogas_Produkt,0)*((OFFSET(Grunddaten!$S47,Biogas_Produkt,0)-OFFSET(Grunddaten!$Q47,Biogas_Produkt,0))/100*$G72+$E72),-1)</f>
        <v>0</v>
      </c>
      <c r="AG72" s="253">
        <f ca="1">ROUND(OFFSET(Grunddaten!BG47,Biogas_Produkt,0)*((OFFSET(Grunddaten!$S47,Biogas_Produkt,0)-OFFSET(Grunddaten!$Q47,Biogas_Produkt,0))/100*$G72+$E72),-1)</f>
        <v>0</v>
      </c>
      <c r="AH72" s="253">
        <f ca="1">ROUND(OFFSET(Grunddaten!BH47,Biogas_Produkt,0)*((OFFSET(Grunddaten!$S47,Biogas_Produkt,0)-OFFSET(Grunddaten!$Q47,Biogas_Produkt,0))/100*$G72+$E72),-1)</f>
        <v>0</v>
      </c>
      <c r="AI72" s="253">
        <f ca="1">ROUND(OFFSET(Grunddaten!BI47,Biogas_Produkt,0)*((OFFSET(Grunddaten!$S47,Biogas_Produkt,0)-OFFSET(Grunddaten!$Q47,Biogas_Produkt,0))/100*$G72+$E72),-1)</f>
        <v>0</v>
      </c>
      <c r="AJ72" s="253">
        <f ca="1">ROUND(OFFSET(Grunddaten!BJ47,Biogas_Produkt,0)*((OFFSET(Grunddaten!$S47,Biogas_Produkt,0)-OFFSET(Grunddaten!$Q47,Biogas_Produkt,0))/100*$G72+$E72),-1)</f>
        <v>0</v>
      </c>
      <c r="AK72" s="253">
        <f ca="1">ROUND(OFFSET(Grunddaten!BK47,Biogas_Produkt,0)*((OFFSET(Grunddaten!$S47,Biogas_Produkt,0)-OFFSET(Grunddaten!$Q47,Biogas_Produkt,0))/100*$G72+$E72),-1)</f>
        <v>0</v>
      </c>
      <c r="AL72" s="253">
        <f ca="1">ROUND(OFFSET(Grunddaten!BL47,Biogas_Produkt,0)*((OFFSET(Grunddaten!$S47,Biogas_Produkt,0)-OFFSET(Grunddaten!$Q47,Biogas_Produkt,0))/100*$G72+$E72),-1)</f>
        <v>0</v>
      </c>
      <c r="AM72" s="253">
        <f ca="1">ROUND(OFFSET(Grunddaten!BM47,Biogas_Produkt,0)*((OFFSET(Grunddaten!$S47,Biogas_Produkt,0)-OFFSET(Grunddaten!$Q47,Biogas_Produkt,0))/100*$G72+$E72),-1)</f>
        <v>0</v>
      </c>
      <c r="AN72" s="253">
        <f ca="1">ROUND(OFFSET(Grunddaten!BN47,Biogas_Produkt,0)*((OFFSET(Grunddaten!$S47,Biogas_Produkt,0)-OFFSET(Grunddaten!$Q47,Biogas_Produkt,0))/100*$G72+$E72),-1)</f>
        <v>0</v>
      </c>
      <c r="AO72" s="253">
        <f ca="1">ROUND(OFFSET(Grunddaten!BO47,Biogas_Produkt,0)*((OFFSET(Grunddaten!$S47,Biogas_Produkt,0)-OFFSET(Grunddaten!$Q47,Biogas_Produkt,0))/100*$G72+$E72),-1)</f>
        <v>0</v>
      </c>
      <c r="AP72" s="253">
        <f ca="1">ROUND(OFFSET(Grunddaten!BP47,Biogas_Produkt,0)*((OFFSET(Grunddaten!$S47,Biogas_Produkt,0)-OFFSET(Grunddaten!$Q47,Biogas_Produkt,0))/100*$G72+$E72),-1)</f>
        <v>0</v>
      </c>
      <c r="AQ72" s="253">
        <f ca="1">ROUND(OFFSET(Grunddaten!BQ47,Biogas_Produkt,0)*((OFFSET(Grunddaten!$S47,Biogas_Produkt,0)-OFFSET(Grunddaten!$Q47,Biogas_Produkt,0))/100*$G72+$E72),-1)</f>
        <v>0</v>
      </c>
      <c r="AR72" s="253">
        <f ca="1">ROUND(OFFSET(Grunddaten!BR47,Biogas_Produkt,0)*((OFFSET(Grunddaten!$S47,Biogas_Produkt,0)-OFFSET(Grunddaten!$Q47,Biogas_Produkt,0))/100*$G72+$E72),-1)</f>
        <v>0</v>
      </c>
      <c r="AS72" s="253">
        <f ca="1">ROUND(OFFSET(Grunddaten!BS47,Biogas_Produkt,0)*((OFFSET(Grunddaten!$S47,Biogas_Produkt,0)-OFFSET(Grunddaten!$Q47,Biogas_Produkt,0))/100*$G72+$E72),-1)</f>
        <v>0</v>
      </c>
      <c r="AT72" s="253">
        <f ca="1">ROUND(OFFSET(Grunddaten!BT47,Biogas_Produkt,0)*((OFFSET(Grunddaten!$S47,Biogas_Produkt,0)-OFFSET(Grunddaten!$Q47,Biogas_Produkt,0))/100*$G72+$E72),-1)</f>
        <v>0</v>
      </c>
      <c r="AU72" s="253">
        <f ca="1">ROUND(OFFSET(Grunddaten!BU47,Biogas_Produkt,0)*((OFFSET(Grunddaten!$S47,Biogas_Produkt,0)-OFFSET(Grunddaten!$Q47,Biogas_Produkt,0))/100*$G72+$E72),-1)</f>
        <v>0</v>
      </c>
      <c r="AV72" s="253">
        <f ca="1">ROUND(OFFSET(Grunddaten!BV47,Biogas_Produkt,0)*((OFFSET(Grunddaten!$S47,Biogas_Produkt,0)-OFFSET(Grunddaten!$Q47,Biogas_Produkt,0))/100*$G72+$E72),-1)</f>
        <v>0</v>
      </c>
      <c r="AW72" s="253">
        <f ca="1">ROUND(OFFSET(Grunddaten!BW47,Biogas_Produkt,0)*((OFFSET(Grunddaten!$S47,Biogas_Produkt,0)-OFFSET(Grunddaten!$Q47,Biogas_Produkt,0))/100*$G72+$E72),-1)</f>
        <v>0</v>
      </c>
      <c r="AX72" s="253">
        <f ca="1">ROUND(OFFSET(Grunddaten!BX47,Biogas_Produkt,0)*((OFFSET(Grunddaten!$S47,Biogas_Produkt,0)-OFFSET(Grunddaten!$Q47,Biogas_Produkt,0))/100*$G72+$E72),-1)</f>
        <v>0</v>
      </c>
      <c r="AY72" s="253">
        <f ca="1">ROUND(OFFSET(Grunddaten!BY47,Biogas_Produkt,0)*((OFFSET(Grunddaten!$S47,Biogas_Produkt,0)-OFFSET(Grunddaten!$Q47,Biogas_Produkt,0))/100*$G72+$E72),-1)</f>
        <v>0</v>
      </c>
      <c r="AZ72" s="253">
        <f ca="1">ROUND(OFFSET(Grunddaten!BZ47,Biogas_Produkt,0)*((OFFSET(Grunddaten!$S47,Biogas_Produkt,0)-OFFSET(Grunddaten!$Q47,Biogas_Produkt,0))/100*$G72+$E72),-1)</f>
        <v>0</v>
      </c>
      <c r="BA72" s="253">
        <f ca="1">ROUND(OFFSET(Grunddaten!CA47,Biogas_Produkt,0)*((OFFSET(Grunddaten!$S47,Biogas_Produkt,0)-OFFSET(Grunddaten!$Q47,Biogas_Produkt,0))/100*$G72+$E72),-1)</f>
        <v>0</v>
      </c>
      <c r="BB72" s="253">
        <f ca="1">ROUND(OFFSET(Grunddaten!CB47,Biogas_Produkt,0)*((OFFSET(Grunddaten!$S47,Biogas_Produkt,0)-OFFSET(Grunddaten!$Q47,Biogas_Produkt,0))/100*$G72+$E72),-1)</f>
        <v>0</v>
      </c>
      <c r="BC72" s="253">
        <f ca="1">ROUND(OFFSET(Grunddaten!CC47,Biogas_Produkt,0)*((OFFSET(Grunddaten!$S47,Biogas_Produkt,0)-OFFSET(Grunddaten!$Q47,Biogas_Produkt,0))/100*$G72+$E72),-1)</f>
        <v>0</v>
      </c>
      <c r="BD72" s="253">
        <f ca="1">ROUND(OFFSET(Grunddaten!CD47,Biogas_Produkt,0)*((OFFSET(Grunddaten!$S47,Biogas_Produkt,0)-OFFSET(Grunddaten!$Q47,Biogas_Produkt,0))/100*$G72+$E72),-1)</f>
        <v>0</v>
      </c>
      <c r="BE72" s="253">
        <f ca="1">ROUND(OFFSET(Grunddaten!CE47,Biogas_Produkt,0)*((OFFSET(Grunddaten!$S47,Biogas_Produkt,0)-OFFSET(Grunddaten!$Q47,Biogas_Produkt,0))/100*$G72+$E72),-1)</f>
        <v>0</v>
      </c>
      <c r="BF72" s="253">
        <f ca="1">ROUND(OFFSET(Grunddaten!CF47,Biogas_Produkt,0)*((OFFSET(Grunddaten!$S47,Biogas_Produkt,0)-OFFSET(Grunddaten!$Q47,Biogas_Produkt,0))/100*$G72+$E72),-1)</f>
        <v>0</v>
      </c>
      <c r="BG72" s="253">
        <f ca="1">ROUND(OFFSET(Grunddaten!CG47,Biogas_Produkt,0)*((OFFSET(Grunddaten!$S47,Biogas_Produkt,0)-OFFSET(Grunddaten!$Q47,Biogas_Produkt,0))/100*$G72+$E72),-1)</f>
        <v>0</v>
      </c>
      <c r="BH72" s="253">
        <f ca="1">ROUND(OFFSET(Grunddaten!CH47,Biogas_Produkt,0)*((OFFSET(Grunddaten!$S47,Biogas_Produkt,0)-OFFSET(Grunddaten!$Q47,Biogas_Produkt,0))/100*$G72+$E72),-1)</f>
        <v>0</v>
      </c>
      <c r="BI72" s="253">
        <f ca="1">ROUND(OFFSET(Grunddaten!CI47,Biogas_Produkt,0)*((OFFSET(Grunddaten!$S47,Biogas_Produkt,0)-OFFSET(Grunddaten!$Q47,Biogas_Produkt,0))/100*$G72+$E72),-1)</f>
        <v>0</v>
      </c>
      <c r="BJ72" s="253">
        <f ca="1">ROUND(OFFSET(Grunddaten!CJ47,Biogas_Produkt,0)*((OFFSET(Grunddaten!$S47,Biogas_Produkt,0)-OFFSET(Grunddaten!$Q47,Biogas_Produkt,0))/100*$G72+$E72),-1)</f>
        <v>0</v>
      </c>
      <c r="BK72" s="253">
        <f ca="1">ROUND(OFFSET(Grunddaten!CK47,Biogas_Produkt,0)*((OFFSET(Grunddaten!$S47,Biogas_Produkt,0)-OFFSET(Grunddaten!$Q47,Biogas_Produkt,0))/100*$G72+$E72),-1)</f>
        <v>0</v>
      </c>
      <c r="BL72" s="253">
        <f ca="1">ROUND(OFFSET(Grunddaten!CL47,Biogas_Produkt,0)*((OFFSET(Grunddaten!$S47,Biogas_Produkt,0)-OFFSET(Grunddaten!$Q47,Biogas_Produkt,0))/100*$G72+$E72),-1)</f>
        <v>0</v>
      </c>
      <c r="BM72" s="253">
        <f ca="1">ROUND(OFFSET(Grunddaten!CM47,Biogas_Produkt,0)*((OFFSET(Grunddaten!$S47,Biogas_Produkt,0)-OFFSET(Grunddaten!$Q47,Biogas_Produkt,0))/100*$G72+$E72),-1)</f>
        <v>0</v>
      </c>
      <c r="BN72" s="253">
        <f ca="1">ROUND(OFFSET(Grunddaten!CN47,Biogas_Produkt,0)*((OFFSET(Grunddaten!$S47,Biogas_Produkt,0)-OFFSET(Grunddaten!$Q47,Biogas_Produkt,0))/100*$G72+$E72),-1)</f>
        <v>0</v>
      </c>
      <c r="BO72" s="253">
        <f ca="1">ROUND(OFFSET(Grunddaten!CO47,Biogas_Produkt,0)*((OFFSET(Grunddaten!$S47,Biogas_Produkt,0)-OFFSET(Grunddaten!$Q47,Biogas_Produkt,0))/100*$G72+$E72),-1)</f>
        <v>0</v>
      </c>
      <c r="BP72" s="253">
        <f ca="1">ROUND(OFFSET(Grunddaten!CP47,Biogas_Produkt,0)*((OFFSET(Grunddaten!$S47,Biogas_Produkt,0)-OFFSET(Grunddaten!$Q47,Biogas_Produkt,0))/100*$G72+$E72),-1)</f>
        <v>0</v>
      </c>
      <c r="BQ72" s="257">
        <f ca="1">ROUND(OFFSET(Grunddaten!CQ47,Biogas_Produkt,0)*((OFFSET(Grunddaten!$S47,Biogas_Produkt,0)-OFFSET(Grunddaten!$Q47,Biogas_Produkt,0))/100*$G72+$E72),-1)</f>
        <v>0</v>
      </c>
    </row>
    <row r="73" spans="1:69" s="36" customFormat="1" ht="11.25" customHeight="1" x14ac:dyDescent="0.2">
      <c r="A73" s="1011" t="str">
        <f>Berechnungen!A33</f>
        <v>Erdgas</v>
      </c>
      <c r="B73" s="1014"/>
      <c r="C73" s="1491"/>
      <c r="D73" s="1491"/>
      <c r="E73" s="2397">
        <f xml:space="preserve"> (IF(EV_Var3!$A$20=$A73,EV_Var3!$H$20,0) + IF(EV_Var3!$A$24=$A73,EV_Var3!$H$24,0) + IF(EV_Var3!$A$29=$A73,(EV_Var3!$H$28-EV_Var3!$AA$24),0) + IF(EV_Var3!$A$60=$A73,EV_Var3!$H$60,0)) * Grunddaten!$AI49</f>
        <v>0</v>
      </c>
      <c r="F73" s="2398"/>
      <c r="G73" s="2392">
        <f ca="1">SUMIF(EV_Var3!$A$11:$B$74,$A73,EV_Var3!$E$11:$E$74)</f>
        <v>0</v>
      </c>
      <c r="H73" s="2393"/>
      <c r="I73" s="2394"/>
      <c r="J73" s="2390">
        <f>Grunddaten!S49-(1-$R$109)*Grunddaten!Q49</f>
        <v>12.3</v>
      </c>
      <c r="K73" s="2391"/>
      <c r="L73" s="2424">
        <f t="shared" ca="1" si="4"/>
        <v>0</v>
      </c>
      <c r="M73" s="2425"/>
      <c r="N73" s="2426"/>
      <c r="P73" s="122"/>
      <c r="Q73" s="122"/>
      <c r="S73" s="252">
        <f ca="1">ROUND(Grunddaten!AS49*((Grunddaten!$S49-Grunddaten!$Q49)/100*$G73+$E73),-1)</f>
        <v>0</v>
      </c>
      <c r="T73" s="253">
        <f ca="1">ROUND(Grunddaten!AT49*((Grunddaten!$S49-Grunddaten!$Q49)/100*$G73+$E73),-1)</f>
        <v>0</v>
      </c>
      <c r="U73" s="253">
        <f ca="1">ROUND(Grunddaten!AU49*((Grunddaten!$S49-Grunddaten!$Q49)/100*$G73+$E73),-1)</f>
        <v>0</v>
      </c>
      <c r="V73" s="253">
        <f ca="1">ROUND(Grunddaten!AV49*((Grunddaten!$S49-Grunddaten!$Q49)/100*$G73+$E73),-1)</f>
        <v>0</v>
      </c>
      <c r="W73" s="253">
        <f ca="1">ROUND(Grunddaten!AW49*((Grunddaten!$S49-Grunddaten!$Q49)/100*$G73+$E73),-1)</f>
        <v>0</v>
      </c>
      <c r="X73" s="253">
        <f ca="1">ROUND(Grunddaten!AX49*((Grunddaten!$S49-Grunddaten!$Q49)/100*$G73+$E73),-1)</f>
        <v>0</v>
      </c>
      <c r="Y73" s="253">
        <f ca="1">ROUND(Grunddaten!AY49*((Grunddaten!$S49-Grunddaten!$Q49)/100*$G73+$E73),-1)</f>
        <v>0</v>
      </c>
      <c r="Z73" s="253">
        <f ca="1">ROUND(Grunddaten!AZ49*((Grunddaten!$S49-Grunddaten!$Q49)/100*$G73+$E73),-1)</f>
        <v>0</v>
      </c>
      <c r="AA73" s="253">
        <f ca="1">ROUND(Grunddaten!BA49*((Grunddaten!$S49-Grunddaten!$Q49)/100*$G73+$E73),-1)</f>
        <v>0</v>
      </c>
      <c r="AB73" s="254">
        <f ca="1">ROUND(Grunddaten!BB49*((Grunddaten!$S49-Grunddaten!$Q49)/100*$G73+$E73),-1)</f>
        <v>0</v>
      </c>
      <c r="AC73" s="254">
        <f ca="1">ROUND(Grunddaten!BC49*((Grunddaten!$S49-Grunddaten!$Q49)/100*$G73+$E73),-1)</f>
        <v>0</v>
      </c>
      <c r="AD73" s="254">
        <f ca="1">ROUND(Grunddaten!BD49*((Grunddaten!$S49-Grunddaten!$Q49)/100*$G73+$E73),-1)</f>
        <v>0</v>
      </c>
      <c r="AE73" s="254">
        <f ca="1">ROUND(Grunddaten!BE49*((Grunddaten!$S49-Grunddaten!$Q49)/100*$G73+$E73),-1)</f>
        <v>0</v>
      </c>
      <c r="AF73" s="254">
        <f ca="1">ROUND(Grunddaten!BF49*((Grunddaten!$S49-Grunddaten!$Q49)/100*$G73+$E73),-1)</f>
        <v>0</v>
      </c>
      <c r="AG73" s="254">
        <f ca="1">ROUND(Grunddaten!BG49*((Grunddaten!$S49-Grunddaten!$Q49)/100*$G73+$E73),-1)</f>
        <v>0</v>
      </c>
      <c r="AH73" s="255">
        <f ca="1">ROUND(Grunddaten!BH49*((Grunddaten!$S49-Grunddaten!$Q49)/100*$G73+$E73),-1)</f>
        <v>0</v>
      </c>
      <c r="AI73" s="255">
        <f ca="1">ROUND(Grunddaten!BI49*((Grunddaten!$S49-Grunddaten!$Q49)/100*$G73+$E73),-1)</f>
        <v>0</v>
      </c>
      <c r="AJ73" s="255">
        <f ca="1">ROUND(Grunddaten!BJ49*((Grunddaten!$S49-Grunddaten!$Q49)/100*$G73+$E73),-1)</f>
        <v>0</v>
      </c>
      <c r="AK73" s="255">
        <f ca="1">ROUND(Grunddaten!BK49*((Grunddaten!$S49-Grunddaten!$Q49)/100*$G73+$E73),-1)</f>
        <v>0</v>
      </c>
      <c r="AL73" s="255">
        <f ca="1">ROUND(Grunddaten!BL49*((Grunddaten!$S49-Grunddaten!$Q49)/100*$G73+$E73),-1)</f>
        <v>0</v>
      </c>
      <c r="AM73" s="255">
        <f ca="1">ROUND(Grunddaten!BM49*((Grunddaten!$S49-Grunddaten!$Q49)/100*$G73+$E73),-1)</f>
        <v>0</v>
      </c>
      <c r="AN73" s="255">
        <f ca="1">ROUND(Grunddaten!BN49*((Grunddaten!$S49-Grunddaten!$Q49)/100*$G73+$E73),-1)</f>
        <v>0</v>
      </c>
      <c r="AO73" s="255">
        <f ca="1">ROUND(Grunddaten!BO49*((Grunddaten!$S49-Grunddaten!$Q49)/100*$G73+$E73),-1)</f>
        <v>0</v>
      </c>
      <c r="AP73" s="255">
        <f ca="1">ROUND(Grunddaten!BP49*((Grunddaten!$S49-Grunddaten!$Q49)/100*$G73+$E73),-1)</f>
        <v>0</v>
      </c>
      <c r="AQ73" s="255">
        <f ca="1">ROUND(Grunddaten!BQ49*((Grunddaten!$S49-Grunddaten!$Q49)/100*$G73+$E73),-1)</f>
        <v>0</v>
      </c>
      <c r="AR73" s="255">
        <f ca="1">ROUND(Grunddaten!BR49*((Grunddaten!$S49-Grunddaten!$Q49)/100*$G73+$E73),-1)</f>
        <v>0</v>
      </c>
      <c r="AS73" s="255">
        <f ca="1">ROUND(Grunddaten!BS49*((Grunddaten!$S49-Grunddaten!$Q49)/100*$G73+$E73),-1)</f>
        <v>0</v>
      </c>
      <c r="AT73" s="255">
        <f ca="1">ROUND(Grunddaten!BT49*((Grunddaten!$S49-Grunddaten!$Q49)/100*$G73+$E73),-1)</f>
        <v>0</v>
      </c>
      <c r="AU73" s="255">
        <f ca="1">ROUND(Grunddaten!BU49*((Grunddaten!$S49-Grunddaten!$Q49)/100*$G73+$E73),-1)</f>
        <v>0</v>
      </c>
      <c r="AV73" s="255">
        <f ca="1">ROUND(Grunddaten!BV49*((Grunddaten!$S49-Grunddaten!$Q49)/100*$G73+$E73),-1)</f>
        <v>0</v>
      </c>
      <c r="AW73" s="255">
        <f ca="1">ROUND(Grunddaten!BW49*((Grunddaten!$S49-Grunddaten!$Q49)/100*$G73+$E73),-1)</f>
        <v>0</v>
      </c>
      <c r="AX73" s="255">
        <f ca="1">ROUND(Grunddaten!BX49*((Grunddaten!$S49-Grunddaten!$Q49)/100*$G73+$E73),-1)</f>
        <v>0</v>
      </c>
      <c r="AY73" s="255">
        <f ca="1">ROUND(Grunddaten!BY49*((Grunddaten!$S49-Grunddaten!$Q49)/100*$G73+$E73),-1)</f>
        <v>0</v>
      </c>
      <c r="AZ73" s="255">
        <f ca="1">ROUND(Grunddaten!BZ49*((Grunddaten!$S49-Grunddaten!$Q49)/100*$G73+$E73),-1)</f>
        <v>0</v>
      </c>
      <c r="BA73" s="255">
        <f ca="1">ROUND(Grunddaten!CA49*((Grunddaten!$S49-Grunddaten!$Q49)/100*$G73+$E73),-1)</f>
        <v>0</v>
      </c>
      <c r="BB73" s="255">
        <f ca="1">ROUND(Grunddaten!CB49*((Grunddaten!$S49-Grunddaten!$Q49)/100*$G73+$E73),-1)</f>
        <v>0</v>
      </c>
      <c r="BC73" s="255">
        <f ca="1">ROUND(Grunddaten!CC49*((Grunddaten!$S49-Grunddaten!$Q49)/100*$G73+$E73),-1)</f>
        <v>0</v>
      </c>
      <c r="BD73" s="255">
        <f ca="1">ROUND(Grunddaten!CD49*((Grunddaten!$S49-Grunddaten!$Q49)/100*$G73+$E73),-1)</f>
        <v>0</v>
      </c>
      <c r="BE73" s="255">
        <f ca="1">ROUND(Grunddaten!CE49*((Grunddaten!$S49-Grunddaten!$Q49)/100*$G73+$E73),-1)</f>
        <v>0</v>
      </c>
      <c r="BF73" s="255">
        <f ca="1">ROUND(Grunddaten!CF49*((Grunddaten!$S49-Grunddaten!$Q49)/100*$G73+$E73),-1)</f>
        <v>0</v>
      </c>
      <c r="BG73" s="255">
        <f ca="1">ROUND(Grunddaten!CG49*((Grunddaten!$S49-Grunddaten!$Q49)/100*$G73+$E73),-1)</f>
        <v>0</v>
      </c>
      <c r="BH73" s="255">
        <f ca="1">ROUND(Grunddaten!CH49*((Grunddaten!$S49-Grunddaten!$Q49)/100*$G73+$E73),-1)</f>
        <v>0</v>
      </c>
      <c r="BI73" s="255">
        <f ca="1">ROUND(Grunddaten!CI49*((Grunddaten!$S49-Grunddaten!$Q49)/100*$G73+$E73),-1)</f>
        <v>0</v>
      </c>
      <c r="BJ73" s="255">
        <f ca="1">ROUND(Grunddaten!CJ49*((Grunddaten!$S49-Grunddaten!$Q49)/100*$G73+$E73),-1)</f>
        <v>0</v>
      </c>
      <c r="BK73" s="255">
        <f ca="1">ROUND(Grunddaten!CK49*((Grunddaten!$S49-Grunddaten!$Q49)/100*$G73+$E73),-1)</f>
        <v>0</v>
      </c>
      <c r="BL73" s="255">
        <f ca="1">ROUND(Grunddaten!CL49*((Grunddaten!$S49-Grunddaten!$Q49)/100*$G73+$E73),-1)</f>
        <v>0</v>
      </c>
      <c r="BM73" s="255">
        <f ca="1">ROUND(Grunddaten!CM49*((Grunddaten!$S49-Grunddaten!$Q49)/100*$G73+$E73),-1)</f>
        <v>0</v>
      </c>
      <c r="BN73" s="255">
        <f ca="1">ROUND(Grunddaten!CN49*((Grunddaten!$S49-Grunddaten!$Q49)/100*$G73+$E73),-1)</f>
        <v>0</v>
      </c>
      <c r="BO73" s="255">
        <f ca="1">ROUND(Grunddaten!CO49*((Grunddaten!$S49-Grunddaten!$Q49)/100*$G73+$E73),-1)</f>
        <v>0</v>
      </c>
      <c r="BP73" s="255">
        <f ca="1">ROUND(Grunddaten!CP49*((Grunddaten!$S49-Grunddaten!$Q49)/100*$G73+$E73),-1)</f>
        <v>0</v>
      </c>
      <c r="BQ73" s="256">
        <f ca="1">ROUND(Grunddaten!CQ49*((Grunddaten!$S49-Grunddaten!$Q49)/100*$G73+$E73),-1)</f>
        <v>0</v>
      </c>
    </row>
    <row r="74" spans="1:69" s="36" customFormat="1" ht="11.25" customHeight="1" x14ac:dyDescent="0.2">
      <c r="A74" s="1011" t="str">
        <f>Berechnungen!A32</f>
        <v>Heizöl EL</v>
      </c>
      <c r="B74" s="1491"/>
      <c r="C74" s="1491"/>
      <c r="D74" s="1491"/>
      <c r="E74" s="2397"/>
      <c r="F74" s="2398"/>
      <c r="G74" s="2392">
        <f ca="1">SUMIF(EV_Var3!$A$11:$B$74,$A74,EV_Var3!$E$11:$E$74)</f>
        <v>0</v>
      </c>
      <c r="H74" s="2393"/>
      <c r="I74" s="2394"/>
      <c r="J74" s="2390">
        <f>Grunddaten!S50-(1-$R$109)*Grunddaten!Q50</f>
        <v>9.8000000000000007</v>
      </c>
      <c r="K74" s="2391"/>
      <c r="L74" s="2424">
        <f t="shared" ca="1" si="4"/>
        <v>0</v>
      </c>
      <c r="M74" s="2425"/>
      <c r="N74" s="2426"/>
      <c r="P74" s="122"/>
      <c r="Q74" s="122"/>
      <c r="S74" s="252">
        <f ca="1">ROUND(Grunddaten!AS50*((Grunddaten!$S50-Grunddaten!$Q50)/100*$G74+$E74),-1)</f>
        <v>0</v>
      </c>
      <c r="T74" s="253">
        <f ca="1">ROUND(Grunddaten!AT50*((Grunddaten!$S50-Grunddaten!$Q50)/100*$G74+$E74),-1)</f>
        <v>0</v>
      </c>
      <c r="U74" s="253">
        <f ca="1">ROUND(Grunddaten!AU50*((Grunddaten!$S50-Grunddaten!$Q50)/100*$G74+$E74),-1)</f>
        <v>0</v>
      </c>
      <c r="V74" s="253">
        <f ca="1">ROUND(Grunddaten!AV50*((Grunddaten!$S50-Grunddaten!$Q50)/100*$G74+$E74),-1)</f>
        <v>0</v>
      </c>
      <c r="W74" s="253">
        <f ca="1">ROUND(Grunddaten!AW50*((Grunddaten!$S50-Grunddaten!$Q50)/100*$G74+$E74),-1)</f>
        <v>0</v>
      </c>
      <c r="X74" s="253">
        <f ca="1">ROUND(Grunddaten!AX50*((Grunddaten!$S50-Grunddaten!$Q50)/100*$G74+$E74),-1)</f>
        <v>0</v>
      </c>
      <c r="Y74" s="253">
        <f ca="1">ROUND(Grunddaten!AY50*((Grunddaten!$S50-Grunddaten!$Q50)/100*$G74+$E74),-1)</f>
        <v>0</v>
      </c>
      <c r="Z74" s="253">
        <f ca="1">ROUND(Grunddaten!AZ50*((Grunddaten!$S50-Grunddaten!$Q50)/100*$G74+$E74),-1)</f>
        <v>0</v>
      </c>
      <c r="AA74" s="253">
        <f ca="1">ROUND(Grunddaten!BA50*((Grunddaten!$S50-Grunddaten!$Q50)/100*$G74+$E74),-1)</f>
        <v>0</v>
      </c>
      <c r="AB74" s="254">
        <f ca="1">ROUND(Grunddaten!BB50*((Grunddaten!$S50-Grunddaten!$Q50)/100*$G74+$E74),-1)</f>
        <v>0</v>
      </c>
      <c r="AC74" s="254">
        <f ca="1">ROUND(Grunddaten!BC50*((Grunddaten!$S50-Grunddaten!$Q50)/100*$G74+$E74),-1)</f>
        <v>0</v>
      </c>
      <c r="AD74" s="254">
        <f ca="1">ROUND(Grunddaten!BD50*((Grunddaten!$S50-Grunddaten!$Q50)/100*$G74+$E74),-1)</f>
        <v>0</v>
      </c>
      <c r="AE74" s="254">
        <f ca="1">ROUND(Grunddaten!BE50*((Grunddaten!$S50-Grunddaten!$Q50)/100*$G74+$E74),-1)</f>
        <v>0</v>
      </c>
      <c r="AF74" s="254">
        <f ca="1">ROUND(Grunddaten!BF50*((Grunddaten!$S50-Grunddaten!$Q50)/100*$G74+$E74),-1)</f>
        <v>0</v>
      </c>
      <c r="AG74" s="254">
        <f ca="1">ROUND(Grunddaten!BG50*((Grunddaten!$S50-Grunddaten!$Q50)/100*$G74+$E74),-1)</f>
        <v>0</v>
      </c>
      <c r="AH74" s="255">
        <f ca="1">ROUND(Grunddaten!BH50*((Grunddaten!$S50-Grunddaten!$Q50)/100*$G74+$E74),-1)</f>
        <v>0</v>
      </c>
      <c r="AI74" s="255">
        <f ca="1">ROUND(Grunddaten!BI50*((Grunddaten!$S50-Grunddaten!$Q50)/100*$G74+$E74),-1)</f>
        <v>0</v>
      </c>
      <c r="AJ74" s="255">
        <f ca="1">ROUND(Grunddaten!BJ50*((Grunddaten!$S50-Grunddaten!$Q50)/100*$G74+$E74),-1)</f>
        <v>0</v>
      </c>
      <c r="AK74" s="255">
        <f ca="1">ROUND(Grunddaten!BK50*((Grunddaten!$S50-Grunddaten!$Q50)/100*$G74+$E74),-1)</f>
        <v>0</v>
      </c>
      <c r="AL74" s="255">
        <f ca="1">ROUND(Grunddaten!BL50*((Grunddaten!$S50-Grunddaten!$Q50)/100*$G74+$E74),-1)</f>
        <v>0</v>
      </c>
      <c r="AM74" s="255">
        <f ca="1">ROUND(Grunddaten!BM50*((Grunddaten!$S50-Grunddaten!$Q50)/100*$G74+$E74),-1)</f>
        <v>0</v>
      </c>
      <c r="AN74" s="255">
        <f ca="1">ROUND(Grunddaten!BN50*((Grunddaten!$S50-Grunddaten!$Q50)/100*$G74+$E74),-1)</f>
        <v>0</v>
      </c>
      <c r="AO74" s="255">
        <f ca="1">ROUND(Grunddaten!BO50*((Grunddaten!$S50-Grunddaten!$Q50)/100*$G74+$E74),-1)</f>
        <v>0</v>
      </c>
      <c r="AP74" s="255">
        <f ca="1">ROUND(Grunddaten!BP50*((Grunddaten!$S50-Grunddaten!$Q50)/100*$G74+$E74),-1)</f>
        <v>0</v>
      </c>
      <c r="AQ74" s="255">
        <f ca="1">ROUND(Grunddaten!BQ50*((Grunddaten!$S50-Grunddaten!$Q50)/100*$G74+$E74),-1)</f>
        <v>0</v>
      </c>
      <c r="AR74" s="255">
        <f ca="1">ROUND(Grunddaten!BR50*((Grunddaten!$S50-Grunddaten!$Q50)/100*$G74+$E74),-1)</f>
        <v>0</v>
      </c>
      <c r="AS74" s="255">
        <f ca="1">ROUND(Grunddaten!BS50*((Grunddaten!$S50-Grunddaten!$Q50)/100*$G74+$E74),-1)</f>
        <v>0</v>
      </c>
      <c r="AT74" s="255">
        <f ca="1">ROUND(Grunddaten!BT50*((Grunddaten!$S50-Grunddaten!$Q50)/100*$G74+$E74),-1)</f>
        <v>0</v>
      </c>
      <c r="AU74" s="255">
        <f ca="1">ROUND(Grunddaten!BU50*((Grunddaten!$S50-Grunddaten!$Q50)/100*$G74+$E74),-1)</f>
        <v>0</v>
      </c>
      <c r="AV74" s="255">
        <f ca="1">ROUND(Grunddaten!BV50*((Grunddaten!$S50-Grunddaten!$Q50)/100*$G74+$E74),-1)</f>
        <v>0</v>
      </c>
      <c r="AW74" s="255">
        <f ca="1">ROUND(Grunddaten!BW50*((Grunddaten!$S50-Grunddaten!$Q50)/100*$G74+$E74),-1)</f>
        <v>0</v>
      </c>
      <c r="AX74" s="255">
        <f ca="1">ROUND(Grunddaten!BX50*((Grunddaten!$S50-Grunddaten!$Q50)/100*$G74+$E74),-1)</f>
        <v>0</v>
      </c>
      <c r="AY74" s="255">
        <f ca="1">ROUND(Grunddaten!BY50*((Grunddaten!$S50-Grunddaten!$Q50)/100*$G74+$E74),-1)</f>
        <v>0</v>
      </c>
      <c r="AZ74" s="255">
        <f ca="1">ROUND(Grunddaten!BZ50*((Grunddaten!$S50-Grunddaten!$Q50)/100*$G74+$E74),-1)</f>
        <v>0</v>
      </c>
      <c r="BA74" s="255">
        <f ca="1">ROUND(Grunddaten!CA50*((Grunddaten!$S50-Grunddaten!$Q50)/100*$G74+$E74),-1)</f>
        <v>0</v>
      </c>
      <c r="BB74" s="255">
        <f ca="1">ROUND(Grunddaten!CB50*((Grunddaten!$S50-Grunddaten!$Q50)/100*$G74+$E74),-1)</f>
        <v>0</v>
      </c>
      <c r="BC74" s="255">
        <f ca="1">ROUND(Grunddaten!CC50*((Grunddaten!$S50-Grunddaten!$Q50)/100*$G74+$E74),-1)</f>
        <v>0</v>
      </c>
      <c r="BD74" s="255">
        <f ca="1">ROUND(Grunddaten!CD50*((Grunddaten!$S50-Grunddaten!$Q50)/100*$G74+$E74),-1)</f>
        <v>0</v>
      </c>
      <c r="BE74" s="255">
        <f ca="1">ROUND(Grunddaten!CE50*((Grunddaten!$S50-Grunddaten!$Q50)/100*$G74+$E74),-1)</f>
        <v>0</v>
      </c>
      <c r="BF74" s="255">
        <f ca="1">ROUND(Grunddaten!CF50*((Grunddaten!$S50-Grunddaten!$Q50)/100*$G74+$E74),-1)</f>
        <v>0</v>
      </c>
      <c r="BG74" s="255">
        <f ca="1">ROUND(Grunddaten!CG50*((Grunddaten!$S50-Grunddaten!$Q50)/100*$G74+$E74),-1)</f>
        <v>0</v>
      </c>
      <c r="BH74" s="255">
        <f ca="1">ROUND(Grunddaten!CH50*((Grunddaten!$S50-Grunddaten!$Q50)/100*$G74+$E74),-1)</f>
        <v>0</v>
      </c>
      <c r="BI74" s="255">
        <f ca="1">ROUND(Grunddaten!CI50*((Grunddaten!$S50-Grunddaten!$Q50)/100*$G74+$E74),-1)</f>
        <v>0</v>
      </c>
      <c r="BJ74" s="255">
        <f ca="1">ROUND(Grunddaten!CJ50*((Grunddaten!$S50-Grunddaten!$Q50)/100*$G74+$E74),-1)</f>
        <v>0</v>
      </c>
      <c r="BK74" s="255">
        <f ca="1">ROUND(Grunddaten!CK50*((Grunddaten!$S50-Grunddaten!$Q50)/100*$G74+$E74),-1)</f>
        <v>0</v>
      </c>
      <c r="BL74" s="255">
        <f ca="1">ROUND(Grunddaten!CL50*((Grunddaten!$S50-Grunddaten!$Q50)/100*$G74+$E74),-1)</f>
        <v>0</v>
      </c>
      <c r="BM74" s="255">
        <f ca="1">ROUND(Grunddaten!CM50*((Grunddaten!$S50-Grunddaten!$Q50)/100*$G74+$E74),-1)</f>
        <v>0</v>
      </c>
      <c r="BN74" s="255">
        <f ca="1">ROUND(Grunddaten!CN50*((Grunddaten!$S50-Grunddaten!$Q50)/100*$G74+$E74),-1)</f>
        <v>0</v>
      </c>
      <c r="BO74" s="255">
        <f ca="1">ROUND(Grunddaten!CO50*((Grunddaten!$S50-Grunddaten!$Q50)/100*$G74+$E74),-1)</f>
        <v>0</v>
      </c>
      <c r="BP74" s="255">
        <f ca="1">ROUND(Grunddaten!CP50*((Grunddaten!$S50-Grunddaten!$Q50)/100*$G74+$E74),-1)</f>
        <v>0</v>
      </c>
      <c r="BQ74" s="256">
        <f ca="1">ROUND(Grunddaten!CQ50*((Grunddaten!$S50-Grunddaten!$Q50)/100*$G74+$E74),-1)</f>
        <v>0</v>
      </c>
    </row>
    <row r="75" spans="1:69" s="36" customFormat="1" ht="11.25" customHeight="1" x14ac:dyDescent="0.2">
      <c r="A75" s="1013" t="str">
        <f>Grunddaten!$C$51</f>
        <v>Brennstoff XY</v>
      </c>
      <c r="B75" s="1014"/>
      <c r="C75" s="2721"/>
      <c r="D75" s="2721"/>
      <c r="E75" s="2397">
        <f xml:space="preserve"> (IF(EV_Var3!$A$20=$A75,EV_Var3!$H$20,0) + IF(EV_Var3!$A$24=$A75,EV_Var3!$H$24,0) + IF(EV_Var3!$A$29=$A75,(EV_Var3!$H$28-EV_Var3!$AA$24),0) + IF(EV_Var3!$A$60=$A75,EV_Var3!$H$60,0)) * Grunddaten!$AI51</f>
        <v>0</v>
      </c>
      <c r="F75" s="2398"/>
      <c r="G75" s="2392">
        <f ca="1">SUMIF(EV_Var3!$A$11:$B$74,$A75,EV_Var3!$E$11:$E$74)</f>
        <v>0</v>
      </c>
      <c r="H75" s="2393"/>
      <c r="I75" s="2394"/>
      <c r="J75" s="2390">
        <f>Grunddaten!S51-(1-$R$109)*Grunddaten!Q51</f>
        <v>0</v>
      </c>
      <c r="K75" s="2391"/>
      <c r="L75" s="2424">
        <f t="shared" ca="1" si="4"/>
        <v>0</v>
      </c>
      <c r="M75" s="2425"/>
      <c r="N75" s="2426"/>
      <c r="P75" s="122"/>
      <c r="Q75" s="122"/>
      <c r="S75" s="252">
        <f ca="1">ROUND(Grunddaten!AS51*((Grunddaten!$S51-Grunddaten!$Q51)/100*$G75+$E75),-1)</f>
        <v>0</v>
      </c>
      <c r="T75" s="253">
        <f ca="1">ROUND(Grunddaten!AT51*((Grunddaten!$S51-Grunddaten!$Q51)/100*$G75+$E75),-1)</f>
        <v>0</v>
      </c>
      <c r="U75" s="253">
        <f ca="1">ROUND(Grunddaten!AU51*((Grunddaten!$S51-Grunddaten!$Q51)/100*$G75+$E75),-1)</f>
        <v>0</v>
      </c>
      <c r="V75" s="253">
        <f ca="1">ROUND(Grunddaten!AV51*((Grunddaten!$S51-Grunddaten!$Q51)/100*$G75+$E75),-1)</f>
        <v>0</v>
      </c>
      <c r="W75" s="253">
        <f ca="1">ROUND(Grunddaten!AW51*((Grunddaten!$S51-Grunddaten!$Q51)/100*$G75+$E75),-1)</f>
        <v>0</v>
      </c>
      <c r="X75" s="253">
        <f ca="1">ROUND(Grunddaten!AX51*((Grunddaten!$S51-Grunddaten!$Q51)/100*$G75+$E75),-1)</f>
        <v>0</v>
      </c>
      <c r="Y75" s="253">
        <f ca="1">ROUND(Grunddaten!AY51*((Grunddaten!$S51-Grunddaten!$Q51)/100*$G75+$E75),-1)</f>
        <v>0</v>
      </c>
      <c r="Z75" s="253">
        <f ca="1">ROUND(Grunddaten!AZ51*((Grunddaten!$S51-Grunddaten!$Q51)/100*$G75+$E75),-1)</f>
        <v>0</v>
      </c>
      <c r="AA75" s="253">
        <f ca="1">ROUND(Grunddaten!BA51*((Grunddaten!$S51-Grunddaten!$Q51)/100*$G75+$E75),-1)</f>
        <v>0</v>
      </c>
      <c r="AB75" s="254">
        <f ca="1">ROUND(Grunddaten!BB51*((Grunddaten!$S51-Grunddaten!$Q51)/100*$G75+$E75),-1)</f>
        <v>0</v>
      </c>
      <c r="AC75" s="254">
        <f ca="1">ROUND(Grunddaten!BC51*((Grunddaten!$S51-Grunddaten!$Q51)/100*$G75+$E75),-1)</f>
        <v>0</v>
      </c>
      <c r="AD75" s="254">
        <f ca="1">ROUND(Grunddaten!BD51*((Grunddaten!$S51-Grunddaten!$Q51)/100*$G75+$E75),-1)</f>
        <v>0</v>
      </c>
      <c r="AE75" s="254">
        <f ca="1">ROUND(Grunddaten!BE51*((Grunddaten!$S51-Grunddaten!$Q51)/100*$G75+$E75),-1)</f>
        <v>0</v>
      </c>
      <c r="AF75" s="254">
        <f ca="1">ROUND(Grunddaten!BF51*((Grunddaten!$S51-Grunddaten!$Q51)/100*$G75+$E75),-1)</f>
        <v>0</v>
      </c>
      <c r="AG75" s="254">
        <f ca="1">ROUND(Grunddaten!BG51*((Grunddaten!$S51-Grunddaten!$Q51)/100*$G75+$E75),-1)</f>
        <v>0</v>
      </c>
      <c r="AH75" s="255">
        <f ca="1">ROUND(Grunddaten!BH51*((Grunddaten!$S51-Grunddaten!$Q51)/100*$G75+$E75),-1)</f>
        <v>0</v>
      </c>
      <c r="AI75" s="255">
        <f ca="1">ROUND(Grunddaten!BI51*((Grunddaten!$S51-Grunddaten!$Q51)/100*$G75+$E75),-1)</f>
        <v>0</v>
      </c>
      <c r="AJ75" s="255">
        <f ca="1">ROUND(Grunddaten!BJ51*((Grunddaten!$S51-Grunddaten!$Q51)/100*$G75+$E75),-1)</f>
        <v>0</v>
      </c>
      <c r="AK75" s="255">
        <f ca="1">ROUND(Grunddaten!BK51*((Grunddaten!$S51-Grunddaten!$Q51)/100*$G75+$E75),-1)</f>
        <v>0</v>
      </c>
      <c r="AL75" s="255">
        <f ca="1">ROUND(Grunddaten!BL51*((Grunddaten!$S51-Grunddaten!$Q51)/100*$G75+$E75),-1)</f>
        <v>0</v>
      </c>
      <c r="AM75" s="255">
        <f ca="1">ROUND(Grunddaten!BM51*((Grunddaten!$S51-Grunddaten!$Q51)/100*$G75+$E75),-1)</f>
        <v>0</v>
      </c>
      <c r="AN75" s="255">
        <f ca="1">ROUND(Grunddaten!BN51*((Grunddaten!$S51-Grunddaten!$Q51)/100*$G75+$E75),-1)</f>
        <v>0</v>
      </c>
      <c r="AO75" s="255">
        <f ca="1">ROUND(Grunddaten!BO51*((Grunddaten!$S51-Grunddaten!$Q51)/100*$G75+$E75),-1)</f>
        <v>0</v>
      </c>
      <c r="AP75" s="255">
        <f ca="1">ROUND(Grunddaten!BP51*((Grunddaten!$S51-Grunddaten!$Q51)/100*$G75+$E75),-1)</f>
        <v>0</v>
      </c>
      <c r="AQ75" s="255">
        <f ca="1">ROUND(Grunddaten!BQ51*((Grunddaten!$S51-Grunddaten!$Q51)/100*$G75+$E75),-1)</f>
        <v>0</v>
      </c>
      <c r="AR75" s="255">
        <f ca="1">ROUND(Grunddaten!BR51*((Grunddaten!$S51-Grunddaten!$Q51)/100*$G75+$E75),-1)</f>
        <v>0</v>
      </c>
      <c r="AS75" s="255">
        <f ca="1">ROUND(Grunddaten!BS51*((Grunddaten!$S51-Grunddaten!$Q51)/100*$G75+$E75),-1)</f>
        <v>0</v>
      </c>
      <c r="AT75" s="255">
        <f ca="1">ROUND(Grunddaten!BT51*((Grunddaten!$S51-Grunddaten!$Q51)/100*$G75+$E75),-1)</f>
        <v>0</v>
      </c>
      <c r="AU75" s="255">
        <f ca="1">ROUND(Grunddaten!BU51*((Grunddaten!$S51-Grunddaten!$Q51)/100*$G75+$E75),-1)</f>
        <v>0</v>
      </c>
      <c r="AV75" s="255">
        <f ca="1">ROUND(Grunddaten!BV51*((Grunddaten!$S51-Grunddaten!$Q51)/100*$G75+$E75),-1)</f>
        <v>0</v>
      </c>
      <c r="AW75" s="255">
        <f ca="1">ROUND(Grunddaten!BW51*((Grunddaten!$S51-Grunddaten!$Q51)/100*$G75+$E75),-1)</f>
        <v>0</v>
      </c>
      <c r="AX75" s="255">
        <f ca="1">ROUND(Grunddaten!BX51*((Grunddaten!$S51-Grunddaten!$Q51)/100*$G75+$E75),-1)</f>
        <v>0</v>
      </c>
      <c r="AY75" s="255">
        <f ca="1">ROUND(Grunddaten!BY51*((Grunddaten!$S51-Grunddaten!$Q51)/100*$G75+$E75),-1)</f>
        <v>0</v>
      </c>
      <c r="AZ75" s="255">
        <f ca="1">ROUND(Grunddaten!BZ51*((Grunddaten!$S51-Grunddaten!$Q51)/100*$G75+$E75),-1)</f>
        <v>0</v>
      </c>
      <c r="BA75" s="255">
        <f ca="1">ROUND(Grunddaten!CA51*((Grunddaten!$S51-Grunddaten!$Q51)/100*$G75+$E75),-1)</f>
        <v>0</v>
      </c>
      <c r="BB75" s="255">
        <f ca="1">ROUND(Grunddaten!CB51*((Grunddaten!$S51-Grunddaten!$Q51)/100*$G75+$E75),-1)</f>
        <v>0</v>
      </c>
      <c r="BC75" s="255">
        <f ca="1">ROUND(Grunddaten!CC51*((Grunddaten!$S51-Grunddaten!$Q51)/100*$G75+$E75),-1)</f>
        <v>0</v>
      </c>
      <c r="BD75" s="255">
        <f ca="1">ROUND(Grunddaten!CD51*((Grunddaten!$S51-Grunddaten!$Q51)/100*$G75+$E75),-1)</f>
        <v>0</v>
      </c>
      <c r="BE75" s="255">
        <f ca="1">ROUND(Grunddaten!CE51*((Grunddaten!$S51-Grunddaten!$Q51)/100*$G75+$E75),-1)</f>
        <v>0</v>
      </c>
      <c r="BF75" s="255">
        <f ca="1">ROUND(Grunddaten!CF51*((Grunddaten!$S51-Grunddaten!$Q51)/100*$G75+$E75),-1)</f>
        <v>0</v>
      </c>
      <c r="BG75" s="255">
        <f ca="1">ROUND(Grunddaten!CG51*((Grunddaten!$S51-Grunddaten!$Q51)/100*$G75+$E75),-1)</f>
        <v>0</v>
      </c>
      <c r="BH75" s="255">
        <f ca="1">ROUND(Grunddaten!CH51*((Grunddaten!$S51-Grunddaten!$Q51)/100*$G75+$E75),-1)</f>
        <v>0</v>
      </c>
      <c r="BI75" s="255">
        <f ca="1">ROUND(Grunddaten!CI51*((Grunddaten!$S51-Grunddaten!$Q51)/100*$G75+$E75),-1)</f>
        <v>0</v>
      </c>
      <c r="BJ75" s="255">
        <f ca="1">ROUND(Grunddaten!CJ51*((Grunddaten!$S51-Grunddaten!$Q51)/100*$G75+$E75),-1)</f>
        <v>0</v>
      </c>
      <c r="BK75" s="255">
        <f ca="1">ROUND(Grunddaten!CK51*((Grunddaten!$S51-Grunddaten!$Q51)/100*$G75+$E75),-1)</f>
        <v>0</v>
      </c>
      <c r="BL75" s="255">
        <f ca="1">ROUND(Grunddaten!CL51*((Grunddaten!$S51-Grunddaten!$Q51)/100*$G75+$E75),-1)</f>
        <v>0</v>
      </c>
      <c r="BM75" s="255">
        <f ca="1">ROUND(Grunddaten!CM51*((Grunddaten!$S51-Grunddaten!$Q51)/100*$G75+$E75),-1)</f>
        <v>0</v>
      </c>
      <c r="BN75" s="255">
        <f ca="1">ROUND(Grunddaten!CN51*((Grunddaten!$S51-Grunddaten!$Q51)/100*$G75+$E75),-1)</f>
        <v>0</v>
      </c>
      <c r="BO75" s="255">
        <f ca="1">ROUND(Grunddaten!CO51*((Grunddaten!$S51-Grunddaten!$Q51)/100*$G75+$E75),-1)</f>
        <v>0</v>
      </c>
      <c r="BP75" s="255">
        <f ca="1">ROUND(Grunddaten!CP51*((Grunddaten!$S51-Grunddaten!$Q51)/100*$G75+$E75),-1)</f>
        <v>0</v>
      </c>
      <c r="BQ75" s="256">
        <f ca="1">ROUND(Grunddaten!CQ51*((Grunddaten!$S51-Grunddaten!$Q51)/100*$G75+$E75),-1)</f>
        <v>0</v>
      </c>
    </row>
    <row r="76" spans="1:69" s="36" customFormat="1" ht="11.25" customHeight="1" x14ac:dyDescent="0.2">
      <c r="A76" s="1011" t="str">
        <f>Grunddaten!A52</f>
        <v>Fernwärme</v>
      </c>
      <c r="B76" s="1253" t="str">
        <f>Projektdaten!H22</f>
        <v>Stadt Zürich erz</v>
      </c>
      <c r="C76" s="1253"/>
      <c r="D76" s="1253"/>
      <c r="E76" s="2397">
        <f xml:space="preserve"> VLOOKUP(Projektdaten!$H$22,Grunddaten!$C$52:$AI$54,33,FALSE) * IF(Grunddaten!$AL$55=Grunddaten!$AK$54,SQRT(EV_Var3!$AA$31/1000)*1000,EV_Var3!$AA$31)</f>
        <v>0</v>
      </c>
      <c r="F76" s="2398"/>
      <c r="G76" s="2392">
        <f ca="1">SUMIF(EV_Var3!$A$11:$B$74,$A76,EV_Var3!$E$11:$E$74)</f>
        <v>0</v>
      </c>
      <c r="H76" s="2393"/>
      <c r="I76" s="2394"/>
      <c r="J76" s="2390">
        <f ca="1">OFFSET(Grunddaten!$S$52,FW_Produkt,0)-(1-R109)*OFFSET(Grunddaten!$Q$52,FW_Produkt,0)</f>
        <v>8.6</v>
      </c>
      <c r="K76" s="2391"/>
      <c r="L76" s="2424">
        <f t="shared" ca="1" si="4"/>
        <v>0</v>
      </c>
      <c r="M76" s="2425"/>
      <c r="N76" s="2426"/>
      <c r="P76" s="122"/>
      <c r="Q76" s="122"/>
      <c r="S76" s="252">
        <f ca="1">ROUND(OFFSET(Grunddaten!AS52,FW_Produkt,0)*((OFFSET(Grunddaten!$S52,FW_Produkt,0)-OFFSET(Grunddaten!$Q52,FW_Produkt,0))/100*$G76+$E76),-1)</f>
        <v>0</v>
      </c>
      <c r="T76" s="253">
        <f ca="1">ROUND(OFFSET(Grunddaten!AT52,FW_Produkt,0)*((OFFSET(Grunddaten!$S52,FW_Produkt,0)-OFFSET(Grunddaten!$Q52,FW_Produkt,0))/100*$G76+$E76),-1)</f>
        <v>0</v>
      </c>
      <c r="U76" s="253">
        <f ca="1">ROUND(OFFSET(Grunddaten!AU52,FW_Produkt,0)*((OFFSET(Grunddaten!$S52,FW_Produkt,0)-OFFSET(Grunddaten!$Q52,FW_Produkt,0))/100*$G76+$E76),-1)</f>
        <v>0</v>
      </c>
      <c r="V76" s="253">
        <f ca="1">ROUND(OFFSET(Grunddaten!AV52,FW_Produkt,0)*((OFFSET(Grunddaten!$S52,FW_Produkt,0)-OFFSET(Grunddaten!$Q52,FW_Produkt,0))/100*$G76+$E76),-1)</f>
        <v>0</v>
      </c>
      <c r="W76" s="253">
        <f ca="1">ROUND(OFFSET(Grunddaten!AW52,FW_Produkt,0)*((OFFSET(Grunddaten!$S52,FW_Produkt,0)-OFFSET(Grunddaten!$Q52,FW_Produkt,0))/100*$G76+$E76),-1)</f>
        <v>0</v>
      </c>
      <c r="X76" s="253">
        <f ca="1">ROUND(OFFSET(Grunddaten!AX52,FW_Produkt,0)*((OFFSET(Grunddaten!$S52,FW_Produkt,0)-OFFSET(Grunddaten!$Q52,FW_Produkt,0))/100*$G76+$E76),-1)</f>
        <v>0</v>
      </c>
      <c r="Y76" s="253">
        <f ca="1">ROUND(OFFSET(Grunddaten!AY52,FW_Produkt,0)*((OFFSET(Grunddaten!$S52,FW_Produkt,0)-OFFSET(Grunddaten!$Q52,FW_Produkt,0))/100*$G76+$E76),-1)</f>
        <v>0</v>
      </c>
      <c r="Z76" s="253">
        <f ca="1">ROUND(OFFSET(Grunddaten!AZ52,FW_Produkt,0)*((OFFSET(Grunddaten!$S52,FW_Produkt,0)-OFFSET(Grunddaten!$Q52,FW_Produkt,0))/100*$G76+$E76),-1)</f>
        <v>0</v>
      </c>
      <c r="AA76" s="253">
        <f ca="1">ROUND(OFFSET(Grunddaten!BA52,FW_Produkt,0)*((OFFSET(Grunddaten!$S52,FW_Produkt,0)-OFFSET(Grunddaten!$Q52,FW_Produkt,0))/100*$G76+$E76),-1)</f>
        <v>0</v>
      </c>
      <c r="AB76" s="253">
        <f ca="1">ROUND(OFFSET(Grunddaten!BB52,FW_Produkt,0)*((OFFSET(Grunddaten!$S52,FW_Produkt,0)-OFFSET(Grunddaten!$Q52,FW_Produkt,0))/100*$G76+$E76),-1)</f>
        <v>0</v>
      </c>
      <c r="AC76" s="253">
        <f ca="1">ROUND(OFFSET(Grunddaten!BC52,FW_Produkt,0)*((OFFSET(Grunddaten!$S52,FW_Produkt,0)-OFFSET(Grunddaten!$Q52,FW_Produkt,0))/100*$G76+$E76),-1)</f>
        <v>0</v>
      </c>
      <c r="AD76" s="253">
        <f ca="1">ROUND(OFFSET(Grunddaten!BD52,FW_Produkt,0)*((OFFSET(Grunddaten!$S52,FW_Produkt,0)-OFFSET(Grunddaten!$Q52,FW_Produkt,0))/100*$G76+$E76),-1)</f>
        <v>0</v>
      </c>
      <c r="AE76" s="253">
        <f ca="1">ROUND(OFFSET(Grunddaten!BE52,FW_Produkt,0)*((OFFSET(Grunddaten!$S52,FW_Produkt,0)-OFFSET(Grunddaten!$Q52,FW_Produkt,0))/100*$G76+$E76),-1)</f>
        <v>0</v>
      </c>
      <c r="AF76" s="253">
        <f ca="1">ROUND(OFFSET(Grunddaten!BF52,FW_Produkt,0)*((OFFSET(Grunddaten!$S52,FW_Produkt,0)-OFFSET(Grunddaten!$Q52,FW_Produkt,0))/100*$G76+$E76),-1)</f>
        <v>0</v>
      </c>
      <c r="AG76" s="253">
        <f ca="1">ROUND(OFFSET(Grunddaten!BG52,FW_Produkt,0)*((OFFSET(Grunddaten!$S52,FW_Produkt,0)-OFFSET(Grunddaten!$Q52,FW_Produkt,0))/100*$G76+$E76),-1)</f>
        <v>0</v>
      </c>
      <c r="AH76" s="253">
        <f ca="1">ROUND(OFFSET(Grunddaten!BH52,FW_Produkt,0)*((OFFSET(Grunddaten!$S52,FW_Produkt,0)-OFFSET(Grunddaten!$Q52,FW_Produkt,0))/100*$G76+$E76),-1)</f>
        <v>0</v>
      </c>
      <c r="AI76" s="253">
        <f ca="1">ROUND(OFFSET(Grunddaten!BI52,FW_Produkt,0)*((OFFSET(Grunddaten!$S52,FW_Produkt,0)-OFFSET(Grunddaten!$Q52,FW_Produkt,0))/100*$G76+$E76),-1)</f>
        <v>0</v>
      </c>
      <c r="AJ76" s="253">
        <f ca="1">ROUND(OFFSET(Grunddaten!BJ52,FW_Produkt,0)*((OFFSET(Grunddaten!$S52,FW_Produkt,0)-OFFSET(Grunddaten!$Q52,FW_Produkt,0))/100*$G76+$E76),-1)</f>
        <v>0</v>
      </c>
      <c r="AK76" s="253">
        <f ca="1">ROUND(OFFSET(Grunddaten!BK52,FW_Produkt,0)*((OFFSET(Grunddaten!$S52,FW_Produkt,0)-OFFSET(Grunddaten!$Q52,FW_Produkt,0))/100*$G76+$E76),-1)</f>
        <v>0</v>
      </c>
      <c r="AL76" s="253">
        <f ca="1">ROUND(OFFSET(Grunddaten!BL52,FW_Produkt,0)*((OFFSET(Grunddaten!$S52,FW_Produkt,0)-OFFSET(Grunddaten!$Q52,FW_Produkt,0))/100*$G76+$E76),-1)</f>
        <v>0</v>
      </c>
      <c r="AM76" s="253">
        <f ca="1">ROUND(OFFSET(Grunddaten!BM52,FW_Produkt,0)*((OFFSET(Grunddaten!$S52,FW_Produkt,0)-OFFSET(Grunddaten!$Q52,FW_Produkt,0))/100*$G76+$E76),-1)</f>
        <v>0</v>
      </c>
      <c r="AN76" s="253">
        <f ca="1">ROUND(OFFSET(Grunddaten!BN52,FW_Produkt,0)*((OFFSET(Grunddaten!$S52,FW_Produkt,0)-OFFSET(Grunddaten!$Q52,FW_Produkt,0))/100*$G76+$E76),-1)</f>
        <v>0</v>
      </c>
      <c r="AO76" s="253">
        <f ca="1">ROUND(OFFSET(Grunddaten!BO52,FW_Produkt,0)*((OFFSET(Grunddaten!$S52,FW_Produkt,0)-OFFSET(Grunddaten!$Q52,FW_Produkt,0))/100*$G76+$E76),-1)</f>
        <v>0</v>
      </c>
      <c r="AP76" s="253">
        <f ca="1">ROUND(OFFSET(Grunddaten!BP52,FW_Produkt,0)*((OFFSET(Grunddaten!$S52,FW_Produkt,0)-OFFSET(Grunddaten!$Q52,FW_Produkt,0))/100*$G76+$E76),-1)</f>
        <v>0</v>
      </c>
      <c r="AQ76" s="253">
        <f ca="1">ROUND(OFFSET(Grunddaten!BQ52,FW_Produkt,0)*((OFFSET(Grunddaten!$S52,FW_Produkt,0)-OFFSET(Grunddaten!$Q52,FW_Produkt,0))/100*$G76+$E76),-1)</f>
        <v>0</v>
      </c>
      <c r="AR76" s="253">
        <f ca="1">ROUND(OFFSET(Grunddaten!BR52,FW_Produkt,0)*((OFFSET(Grunddaten!$S52,FW_Produkt,0)-OFFSET(Grunddaten!$Q52,FW_Produkt,0))/100*$G76+$E76),-1)</f>
        <v>0</v>
      </c>
      <c r="AS76" s="253">
        <f ca="1">ROUND(OFFSET(Grunddaten!BS52,FW_Produkt,0)*((OFFSET(Grunddaten!$S52,FW_Produkt,0)-OFFSET(Grunddaten!$Q52,FW_Produkt,0))/100*$G76+$E76),-1)</f>
        <v>0</v>
      </c>
      <c r="AT76" s="253">
        <f ca="1">ROUND(OFFSET(Grunddaten!BT52,FW_Produkt,0)*((OFFSET(Grunddaten!$S52,FW_Produkt,0)-OFFSET(Grunddaten!$Q52,FW_Produkt,0))/100*$G76+$E76),-1)</f>
        <v>0</v>
      </c>
      <c r="AU76" s="253">
        <f ca="1">ROUND(OFFSET(Grunddaten!BU52,FW_Produkt,0)*((OFFSET(Grunddaten!$S52,FW_Produkt,0)-OFFSET(Grunddaten!$Q52,FW_Produkt,0))/100*$G76+$E76),-1)</f>
        <v>0</v>
      </c>
      <c r="AV76" s="253">
        <f ca="1">ROUND(OFFSET(Grunddaten!BV52,FW_Produkt,0)*((OFFSET(Grunddaten!$S52,FW_Produkt,0)-OFFSET(Grunddaten!$Q52,FW_Produkt,0))/100*$G76+$E76),-1)</f>
        <v>0</v>
      </c>
      <c r="AW76" s="253">
        <f ca="1">ROUND(OFFSET(Grunddaten!BW52,FW_Produkt,0)*((OFFSET(Grunddaten!$S52,FW_Produkt,0)-OFFSET(Grunddaten!$Q52,FW_Produkt,0))/100*$G76+$E76),-1)</f>
        <v>0</v>
      </c>
      <c r="AX76" s="253">
        <f ca="1">ROUND(OFFSET(Grunddaten!BX52,FW_Produkt,0)*((OFFSET(Grunddaten!$S52,FW_Produkt,0)-OFFSET(Grunddaten!$Q52,FW_Produkt,0))/100*$G76+$E76),-1)</f>
        <v>0</v>
      </c>
      <c r="AY76" s="253">
        <f ca="1">ROUND(OFFSET(Grunddaten!BY52,FW_Produkt,0)*((OFFSET(Grunddaten!$S52,FW_Produkt,0)-OFFSET(Grunddaten!$Q52,FW_Produkt,0))/100*$G76+$E76),-1)</f>
        <v>0</v>
      </c>
      <c r="AZ76" s="253">
        <f ca="1">ROUND(OFFSET(Grunddaten!BZ52,FW_Produkt,0)*((OFFSET(Grunddaten!$S52,FW_Produkt,0)-OFFSET(Grunddaten!$Q52,FW_Produkt,0))/100*$G76+$E76),-1)</f>
        <v>0</v>
      </c>
      <c r="BA76" s="253">
        <f ca="1">ROUND(OFFSET(Grunddaten!CA52,FW_Produkt,0)*((OFFSET(Grunddaten!$S52,FW_Produkt,0)-OFFSET(Grunddaten!$Q52,FW_Produkt,0))/100*$G76+$E76),-1)</f>
        <v>0</v>
      </c>
      <c r="BB76" s="253">
        <f ca="1">ROUND(OFFSET(Grunddaten!CB52,FW_Produkt,0)*((OFFSET(Grunddaten!$S52,FW_Produkt,0)-OFFSET(Grunddaten!$Q52,FW_Produkt,0))/100*$G76+$E76),-1)</f>
        <v>0</v>
      </c>
      <c r="BC76" s="253">
        <f ca="1">ROUND(OFFSET(Grunddaten!CC52,FW_Produkt,0)*((OFFSET(Grunddaten!$S52,FW_Produkt,0)-OFFSET(Grunddaten!$Q52,FW_Produkt,0))/100*$G76+$E76),-1)</f>
        <v>0</v>
      </c>
      <c r="BD76" s="253">
        <f ca="1">ROUND(OFFSET(Grunddaten!CD52,FW_Produkt,0)*((OFFSET(Grunddaten!$S52,FW_Produkt,0)-OFFSET(Grunddaten!$Q52,FW_Produkt,0))/100*$G76+$E76),-1)</f>
        <v>0</v>
      </c>
      <c r="BE76" s="253">
        <f ca="1">ROUND(OFFSET(Grunddaten!CE52,FW_Produkt,0)*((OFFSET(Grunddaten!$S52,FW_Produkt,0)-OFFSET(Grunddaten!$Q52,FW_Produkt,0))/100*$G76+$E76),-1)</f>
        <v>0</v>
      </c>
      <c r="BF76" s="253">
        <f ca="1">ROUND(OFFSET(Grunddaten!CF52,FW_Produkt,0)*((OFFSET(Grunddaten!$S52,FW_Produkt,0)-OFFSET(Grunddaten!$Q52,FW_Produkt,0))/100*$G76+$E76),-1)</f>
        <v>0</v>
      </c>
      <c r="BG76" s="253">
        <f ca="1">ROUND(OFFSET(Grunddaten!CG52,FW_Produkt,0)*((OFFSET(Grunddaten!$S52,FW_Produkt,0)-OFFSET(Grunddaten!$Q52,FW_Produkt,0))/100*$G76+$E76),-1)</f>
        <v>0</v>
      </c>
      <c r="BH76" s="253">
        <f ca="1">ROUND(OFFSET(Grunddaten!CH52,FW_Produkt,0)*((OFFSET(Grunddaten!$S52,FW_Produkt,0)-OFFSET(Grunddaten!$Q52,FW_Produkt,0))/100*$G76+$E76),-1)</f>
        <v>0</v>
      </c>
      <c r="BI76" s="253">
        <f ca="1">ROUND(OFFSET(Grunddaten!CI52,FW_Produkt,0)*((OFFSET(Grunddaten!$S52,FW_Produkt,0)-OFFSET(Grunddaten!$Q52,FW_Produkt,0))/100*$G76+$E76),-1)</f>
        <v>0</v>
      </c>
      <c r="BJ76" s="253">
        <f ca="1">ROUND(OFFSET(Grunddaten!CJ52,FW_Produkt,0)*((OFFSET(Grunddaten!$S52,FW_Produkt,0)-OFFSET(Grunddaten!$Q52,FW_Produkt,0))/100*$G76+$E76),-1)</f>
        <v>0</v>
      </c>
      <c r="BK76" s="253">
        <f ca="1">ROUND(OFFSET(Grunddaten!CK52,FW_Produkt,0)*((OFFSET(Grunddaten!$S52,FW_Produkt,0)-OFFSET(Grunddaten!$Q52,FW_Produkt,0))/100*$G76+$E76),-1)</f>
        <v>0</v>
      </c>
      <c r="BL76" s="253">
        <f ca="1">ROUND(OFFSET(Grunddaten!CL52,FW_Produkt,0)*((OFFSET(Grunddaten!$S52,FW_Produkt,0)-OFFSET(Grunddaten!$Q52,FW_Produkt,0))/100*$G76+$E76),-1)</f>
        <v>0</v>
      </c>
      <c r="BM76" s="253">
        <f ca="1">ROUND(OFFSET(Grunddaten!CM52,FW_Produkt,0)*((OFFSET(Grunddaten!$S52,FW_Produkt,0)-OFFSET(Grunddaten!$Q52,FW_Produkt,0))/100*$G76+$E76),-1)</f>
        <v>0</v>
      </c>
      <c r="BN76" s="253">
        <f ca="1">ROUND(OFFSET(Grunddaten!CN52,FW_Produkt,0)*((OFFSET(Grunddaten!$S52,FW_Produkt,0)-OFFSET(Grunddaten!$Q52,FW_Produkt,0))/100*$G76+$E76),-1)</f>
        <v>0</v>
      </c>
      <c r="BO76" s="253">
        <f ca="1">ROUND(OFFSET(Grunddaten!CO52,FW_Produkt,0)*((OFFSET(Grunddaten!$S52,FW_Produkt,0)-OFFSET(Grunddaten!$Q52,FW_Produkt,0))/100*$G76+$E76),-1)</f>
        <v>0</v>
      </c>
      <c r="BP76" s="253">
        <f ca="1">ROUND(OFFSET(Grunddaten!CP52,FW_Produkt,0)*((OFFSET(Grunddaten!$S52,FW_Produkt,0)-OFFSET(Grunddaten!$Q52,FW_Produkt,0))/100*$G76+$E76),-1)</f>
        <v>0</v>
      </c>
      <c r="BQ76" s="257">
        <f ca="1">ROUND(OFFSET(Grunddaten!CQ52,FW_Produkt,0)*((OFFSET(Grunddaten!$S52,FW_Produkt,0)-OFFSET(Grunddaten!$Q52,FW_Produkt,0))/100*$G76+$E76),-1)</f>
        <v>0</v>
      </c>
    </row>
    <row r="77" spans="1:69" s="36" customFormat="1" ht="11.25" customHeight="1" x14ac:dyDescent="0.2">
      <c r="A77" s="1011" t="str">
        <f>Grunddaten!C55</f>
        <v>Wärmeverbund XY</v>
      </c>
      <c r="B77" s="1253"/>
      <c r="C77" s="2721"/>
      <c r="D77" s="2721"/>
      <c r="E77" s="2397">
        <f xml:space="preserve"> ( EV_Var3!I13 + IF(EV_Var3!$A$27=$A77,EV_Var3!$AA$24,0) + IF(EV_Var3!$A$32=$A77,EV_Var3!$AA$25,0) + IF(EV_Var3!$A$36=$A77,EV_Var3!$AA$26) ) * Grunddaten!$AI$55</f>
        <v>0</v>
      </c>
      <c r="F77" s="2398"/>
      <c r="G77" s="2392">
        <f ca="1">SUMIF(EV_Var3!$A$11:$B$74,$A77,EV_Var3!$E$11:$E$74)</f>
        <v>0</v>
      </c>
      <c r="H77" s="2393"/>
      <c r="I77" s="2394"/>
      <c r="J77" s="2390">
        <f>Grunddaten!S55-(1-$R$109)*Grunddaten!Q55</f>
        <v>0</v>
      </c>
      <c r="K77" s="2391"/>
      <c r="L77" s="2424">
        <f t="shared" ref="L77" ca="1" si="6">ROUND(E77+G77*J77/100,-1)</f>
        <v>0</v>
      </c>
      <c r="M77" s="2425"/>
      <c r="N77" s="2426"/>
      <c r="P77" s="582"/>
      <c r="Q77" s="582"/>
      <c r="S77" s="206">
        <f ca="1">ROUND(Grunddaten!AS55*((Grunddaten!$S55-Grunddaten!$Q55)/100*$G77+$E77),-1)</f>
        <v>0</v>
      </c>
      <c r="T77" s="207">
        <f ca="1">ROUND(Grunddaten!AT55*((Grunddaten!$S55-Grunddaten!$Q55)/100*$G77+$E77),-1)</f>
        <v>0</v>
      </c>
      <c r="U77" s="207">
        <f ca="1">ROUND(Grunddaten!AU55*((Grunddaten!$S55-Grunddaten!$Q55)/100*$G77+$E77),-1)</f>
        <v>0</v>
      </c>
      <c r="V77" s="207">
        <f ca="1">ROUND(Grunddaten!AV55*((Grunddaten!$S55-Grunddaten!$Q55)/100*$G77+$E77),-1)</f>
        <v>0</v>
      </c>
      <c r="W77" s="207">
        <f ca="1">ROUND(Grunddaten!AW55*((Grunddaten!$S55-Grunddaten!$Q55)/100*$G77+$E77),-1)</f>
        <v>0</v>
      </c>
      <c r="X77" s="207">
        <f ca="1">ROUND(Grunddaten!AX55*((Grunddaten!$S55-Grunddaten!$Q55)/100*$G77+$E77),-1)</f>
        <v>0</v>
      </c>
      <c r="Y77" s="207">
        <f ca="1">ROUND(Grunddaten!AY55*((Grunddaten!$S55-Grunddaten!$Q55)/100*$G77+$E77),-1)</f>
        <v>0</v>
      </c>
      <c r="Z77" s="207">
        <f ca="1">ROUND(Grunddaten!AZ55*((Grunddaten!$S55-Grunddaten!$Q55)/100*$G77+$E77),-1)</f>
        <v>0</v>
      </c>
      <c r="AA77" s="207">
        <f ca="1">ROUND(Grunddaten!BA55*((Grunddaten!$S55-Grunddaten!$Q55)/100*$G77+$E77),-1)</f>
        <v>0</v>
      </c>
      <c r="AB77" s="246">
        <f ca="1">ROUND(Grunddaten!BB55*((Grunddaten!$S55-Grunddaten!$Q55)/100*$G77+$E77),-1)</f>
        <v>0</v>
      </c>
      <c r="AC77" s="246">
        <f ca="1">ROUND(Grunddaten!BC55*((Grunddaten!$S55-Grunddaten!$Q55)/100*$G77+$E77),-1)</f>
        <v>0</v>
      </c>
      <c r="AD77" s="246">
        <f ca="1">ROUND(Grunddaten!BD55*((Grunddaten!$S55-Grunddaten!$Q55)/100*$G77+$E77),-1)</f>
        <v>0</v>
      </c>
      <c r="AE77" s="246">
        <f ca="1">ROUND(Grunddaten!BE55*((Grunddaten!$S55-Grunddaten!$Q55)/100*$G77+$E77),-1)</f>
        <v>0</v>
      </c>
      <c r="AF77" s="246">
        <f ca="1">ROUND(Grunddaten!BF55*((Grunddaten!$S55-Grunddaten!$Q55)/100*$G77+$E77),-1)</f>
        <v>0</v>
      </c>
      <c r="AG77" s="246">
        <f ca="1">ROUND(Grunddaten!BG55*((Grunddaten!$S55-Grunddaten!$Q55)/100*$G77+$E77),-1)</f>
        <v>0</v>
      </c>
      <c r="AH77" s="247">
        <f ca="1">ROUND(Grunddaten!BH55*((Grunddaten!$S55-Grunddaten!$Q55)/100*$G77+$E77),-1)</f>
        <v>0</v>
      </c>
      <c r="AI77" s="247">
        <f ca="1">ROUND(Grunddaten!BI55*((Grunddaten!$S55-Grunddaten!$Q55)/100*$G77+$E77),-1)</f>
        <v>0</v>
      </c>
      <c r="AJ77" s="247">
        <f ca="1">ROUND(Grunddaten!BJ55*((Grunddaten!$S55-Grunddaten!$Q55)/100*$G77+$E77),-1)</f>
        <v>0</v>
      </c>
      <c r="AK77" s="247">
        <f ca="1">ROUND(Grunddaten!BK55*((Grunddaten!$S55-Grunddaten!$Q55)/100*$G77+$E77),-1)</f>
        <v>0</v>
      </c>
      <c r="AL77" s="247">
        <f ca="1">ROUND(Grunddaten!BL55*((Grunddaten!$S55-Grunddaten!$Q55)/100*$G77+$E77),-1)</f>
        <v>0</v>
      </c>
      <c r="AM77" s="247">
        <f ca="1">ROUND(Grunddaten!BM55*((Grunddaten!$S55-Grunddaten!$Q55)/100*$G77+$E77),-1)</f>
        <v>0</v>
      </c>
      <c r="AN77" s="247">
        <f ca="1">ROUND(Grunddaten!BN55*((Grunddaten!$S55-Grunddaten!$Q55)/100*$G77+$E77),-1)</f>
        <v>0</v>
      </c>
      <c r="AO77" s="247">
        <f ca="1">ROUND(Grunddaten!BO55*((Grunddaten!$S55-Grunddaten!$Q55)/100*$G77+$E77),-1)</f>
        <v>0</v>
      </c>
      <c r="AP77" s="247">
        <f ca="1">ROUND(Grunddaten!BP55*((Grunddaten!$S55-Grunddaten!$Q55)/100*$G77+$E77),-1)</f>
        <v>0</v>
      </c>
      <c r="AQ77" s="247">
        <f ca="1">ROUND(Grunddaten!BQ55*((Grunddaten!$S55-Grunddaten!$Q55)/100*$G77+$E77),-1)</f>
        <v>0</v>
      </c>
      <c r="AR77" s="247">
        <f ca="1">ROUND(Grunddaten!BR55*((Grunddaten!$S55-Grunddaten!$Q55)/100*$G77+$E77),-1)</f>
        <v>0</v>
      </c>
      <c r="AS77" s="247">
        <f ca="1">ROUND(Grunddaten!BS55*((Grunddaten!$S55-Grunddaten!$Q55)/100*$G77+$E77),-1)</f>
        <v>0</v>
      </c>
      <c r="AT77" s="247">
        <f ca="1">ROUND(Grunddaten!BT55*((Grunddaten!$S55-Grunddaten!$Q55)/100*$G77+$E77),-1)</f>
        <v>0</v>
      </c>
      <c r="AU77" s="247">
        <f ca="1">ROUND(Grunddaten!BU55*((Grunddaten!$S55-Grunddaten!$Q55)/100*$G77+$E77),-1)</f>
        <v>0</v>
      </c>
      <c r="AV77" s="247">
        <f ca="1">ROUND(Grunddaten!BV55*((Grunddaten!$S55-Grunddaten!$Q55)/100*$G77+$E77),-1)</f>
        <v>0</v>
      </c>
      <c r="AW77" s="247">
        <f ca="1">ROUND(Grunddaten!BW55*((Grunddaten!$S55-Grunddaten!$Q55)/100*$G77+$E77),-1)</f>
        <v>0</v>
      </c>
      <c r="AX77" s="247">
        <f ca="1">ROUND(Grunddaten!BX55*((Grunddaten!$S55-Grunddaten!$Q55)/100*$G77+$E77),-1)</f>
        <v>0</v>
      </c>
      <c r="AY77" s="247">
        <f ca="1">ROUND(Grunddaten!BY55*((Grunddaten!$S55-Grunddaten!$Q55)/100*$G77+$E77),-1)</f>
        <v>0</v>
      </c>
      <c r="AZ77" s="247">
        <f ca="1">ROUND(Grunddaten!BZ55*((Grunddaten!$S55-Grunddaten!$Q55)/100*$G77+$E77),-1)</f>
        <v>0</v>
      </c>
      <c r="BA77" s="247">
        <f ca="1">ROUND(Grunddaten!CA55*((Grunddaten!$S55-Grunddaten!$Q55)/100*$G77+$E77),-1)</f>
        <v>0</v>
      </c>
      <c r="BB77" s="247">
        <f ca="1">ROUND(Grunddaten!CB55*((Grunddaten!$S55-Grunddaten!$Q55)/100*$G77+$E77),-1)</f>
        <v>0</v>
      </c>
      <c r="BC77" s="247">
        <f ca="1">ROUND(Grunddaten!CC55*((Grunddaten!$S55-Grunddaten!$Q55)/100*$G77+$E77),-1)</f>
        <v>0</v>
      </c>
      <c r="BD77" s="247">
        <f ca="1">ROUND(Grunddaten!CD55*((Grunddaten!$S55-Grunddaten!$Q55)/100*$G77+$E77),-1)</f>
        <v>0</v>
      </c>
      <c r="BE77" s="247">
        <f ca="1">ROUND(Grunddaten!CE55*((Grunddaten!$S55-Grunddaten!$Q55)/100*$G77+$E77),-1)</f>
        <v>0</v>
      </c>
      <c r="BF77" s="247">
        <f ca="1">ROUND(Grunddaten!CF55*((Grunddaten!$S55-Grunddaten!$Q55)/100*$G77+$E77),-1)</f>
        <v>0</v>
      </c>
      <c r="BG77" s="247">
        <f ca="1">ROUND(Grunddaten!CG55*((Grunddaten!$S55-Grunddaten!$Q55)/100*$G77+$E77),-1)</f>
        <v>0</v>
      </c>
      <c r="BH77" s="247">
        <f ca="1">ROUND(Grunddaten!CH55*((Grunddaten!$S55-Grunddaten!$Q55)/100*$G77+$E77),-1)</f>
        <v>0</v>
      </c>
      <c r="BI77" s="247">
        <f ca="1">ROUND(Grunddaten!CI55*((Grunddaten!$S55-Grunddaten!$Q55)/100*$G77+$E77),-1)</f>
        <v>0</v>
      </c>
      <c r="BJ77" s="247">
        <f ca="1">ROUND(Grunddaten!CJ55*((Grunddaten!$S55-Grunddaten!$Q55)/100*$G77+$E77),-1)</f>
        <v>0</v>
      </c>
      <c r="BK77" s="247">
        <f ca="1">ROUND(Grunddaten!CK55*((Grunddaten!$S55-Grunddaten!$Q55)/100*$G77+$E77),-1)</f>
        <v>0</v>
      </c>
      <c r="BL77" s="247">
        <f ca="1">ROUND(Grunddaten!CL55*((Grunddaten!$S55-Grunddaten!$Q55)/100*$G77+$E77),-1)</f>
        <v>0</v>
      </c>
      <c r="BM77" s="247">
        <f ca="1">ROUND(Grunddaten!CM55*((Grunddaten!$S55-Grunddaten!$Q55)/100*$G77+$E77),-1)</f>
        <v>0</v>
      </c>
      <c r="BN77" s="247">
        <f ca="1">ROUND(Grunddaten!CN55*((Grunddaten!$S55-Grunddaten!$Q55)/100*$G77+$E77),-1)</f>
        <v>0</v>
      </c>
      <c r="BO77" s="247">
        <f ca="1">ROUND(Grunddaten!CO55*((Grunddaten!$S55-Grunddaten!$Q55)/100*$G77+$E77),-1)</f>
        <v>0</v>
      </c>
      <c r="BP77" s="247">
        <f ca="1">ROUND(Grunddaten!CP55*((Grunddaten!$S55-Grunddaten!$Q55)/100*$G77+$E77),-1)</f>
        <v>0</v>
      </c>
      <c r="BQ77" s="248">
        <f ca="1">ROUND(Grunddaten!CQ55*((Grunddaten!$S55-Grunddaten!$Q55)/100*$G77+$E77),-1)</f>
        <v>0</v>
      </c>
    </row>
    <row r="78" spans="1:69" s="36" customFormat="1" ht="11.25" customHeight="1" x14ac:dyDescent="0.2">
      <c r="A78" s="1031" t="str">
        <f>Grunddaten!C56</f>
        <v>Kälteverbund XY</v>
      </c>
      <c r="B78" s="1254"/>
      <c r="C78" s="2719"/>
      <c r="D78" s="2720"/>
      <c r="E78" s="2342">
        <f xml:space="preserve"> EV_Var3!I56 * Grunddaten!$AI$56</f>
        <v>0</v>
      </c>
      <c r="F78" s="2343"/>
      <c r="G78" s="2442">
        <f ca="1">SUMIF(EV_Var3!$A$11:$B$74,$A78,EV_Var3!$E$11:$E$74)</f>
        <v>0</v>
      </c>
      <c r="H78" s="2443"/>
      <c r="I78" s="2444"/>
      <c r="J78" s="2363">
        <f>Grunddaten!S56-(1-$R$109)*Grunddaten!Q56</f>
        <v>0</v>
      </c>
      <c r="K78" s="2364"/>
      <c r="L78" s="2319">
        <f t="shared" ref="L78" ca="1" si="7">ROUND(E78+G78*J78/100,-1)</f>
        <v>0</v>
      </c>
      <c r="M78" s="2320"/>
      <c r="N78" s="2321"/>
      <c r="P78" s="681"/>
      <c r="Q78" s="681"/>
      <c r="S78" s="211">
        <f ca="1">ROUND(Grunddaten!AS56*((Grunddaten!$S56-Grunddaten!$Q56)/100*$G78+$E78),-1)</f>
        <v>0</v>
      </c>
      <c r="T78" s="212">
        <f ca="1">ROUND(Grunddaten!AT56*((Grunddaten!$S56-Grunddaten!$Q56)/100*$G78+$E78),-1)</f>
        <v>0</v>
      </c>
      <c r="U78" s="212">
        <f ca="1">ROUND(Grunddaten!AU56*((Grunddaten!$S56-Grunddaten!$Q56)/100*$G78+$E78),-1)</f>
        <v>0</v>
      </c>
      <c r="V78" s="212">
        <f ca="1">ROUND(Grunddaten!AV56*((Grunddaten!$S56-Grunddaten!$Q56)/100*$G78+$E78),-1)</f>
        <v>0</v>
      </c>
      <c r="W78" s="212">
        <f ca="1">ROUND(Grunddaten!AW56*((Grunddaten!$S56-Grunddaten!$Q56)/100*$G78+$E78),-1)</f>
        <v>0</v>
      </c>
      <c r="X78" s="212">
        <f ca="1">ROUND(Grunddaten!AX56*((Grunddaten!$S56-Grunddaten!$Q56)/100*$G78+$E78),-1)</f>
        <v>0</v>
      </c>
      <c r="Y78" s="212">
        <f ca="1">ROUND(Grunddaten!AY56*((Grunddaten!$S56-Grunddaten!$Q56)/100*$G78+$E78),-1)</f>
        <v>0</v>
      </c>
      <c r="Z78" s="212">
        <f ca="1">ROUND(Grunddaten!AZ56*((Grunddaten!$S56-Grunddaten!$Q56)/100*$G78+$E78),-1)</f>
        <v>0</v>
      </c>
      <c r="AA78" s="212">
        <f ca="1">ROUND(Grunddaten!BA56*((Grunddaten!$S56-Grunddaten!$Q56)/100*$G78+$E78),-1)</f>
        <v>0</v>
      </c>
      <c r="AB78" s="586">
        <f ca="1">ROUND(Grunddaten!BB56*((Grunddaten!$S56-Grunddaten!$Q56)/100*$G78+$E78),-1)</f>
        <v>0</v>
      </c>
      <c r="AC78" s="586">
        <f ca="1">ROUND(Grunddaten!BC56*((Grunddaten!$S56-Grunddaten!$Q56)/100*$G78+$E78),-1)</f>
        <v>0</v>
      </c>
      <c r="AD78" s="586">
        <f ca="1">ROUND(Grunddaten!BD56*((Grunddaten!$S56-Grunddaten!$Q56)/100*$G78+$E78),-1)</f>
        <v>0</v>
      </c>
      <c r="AE78" s="586">
        <f ca="1">ROUND(Grunddaten!BE56*((Grunddaten!$S56-Grunddaten!$Q56)/100*$G78+$E78),-1)</f>
        <v>0</v>
      </c>
      <c r="AF78" s="586">
        <f ca="1">ROUND(Grunddaten!BF56*((Grunddaten!$S56-Grunddaten!$Q56)/100*$G78+$E78),-1)</f>
        <v>0</v>
      </c>
      <c r="AG78" s="586">
        <f ca="1">ROUND(Grunddaten!BG56*((Grunddaten!$S56-Grunddaten!$Q56)/100*$G78+$E78),-1)</f>
        <v>0</v>
      </c>
      <c r="AH78" s="584">
        <f ca="1">ROUND(Grunddaten!BH56*((Grunddaten!$S56-Grunddaten!$Q56)/100*$G78+$E78),-1)</f>
        <v>0</v>
      </c>
      <c r="AI78" s="584">
        <f ca="1">ROUND(Grunddaten!BI56*((Grunddaten!$S56-Grunddaten!$Q56)/100*$G78+$E78),-1)</f>
        <v>0</v>
      </c>
      <c r="AJ78" s="584">
        <f ca="1">ROUND(Grunddaten!BJ56*((Grunddaten!$S56-Grunddaten!$Q56)/100*$G78+$E78),-1)</f>
        <v>0</v>
      </c>
      <c r="AK78" s="584">
        <f ca="1">ROUND(Grunddaten!BK56*((Grunddaten!$S56-Grunddaten!$Q56)/100*$G78+$E78),-1)</f>
        <v>0</v>
      </c>
      <c r="AL78" s="584">
        <f ca="1">ROUND(Grunddaten!BL56*((Grunddaten!$S56-Grunddaten!$Q56)/100*$G78+$E78),-1)</f>
        <v>0</v>
      </c>
      <c r="AM78" s="584">
        <f ca="1">ROUND(Grunddaten!BM56*((Grunddaten!$S56-Grunddaten!$Q56)/100*$G78+$E78),-1)</f>
        <v>0</v>
      </c>
      <c r="AN78" s="584">
        <f ca="1">ROUND(Grunddaten!BN56*((Grunddaten!$S56-Grunddaten!$Q56)/100*$G78+$E78),-1)</f>
        <v>0</v>
      </c>
      <c r="AO78" s="584">
        <f ca="1">ROUND(Grunddaten!BO56*((Grunddaten!$S56-Grunddaten!$Q56)/100*$G78+$E78),-1)</f>
        <v>0</v>
      </c>
      <c r="AP78" s="584">
        <f ca="1">ROUND(Grunddaten!BP56*((Grunddaten!$S56-Grunddaten!$Q56)/100*$G78+$E78),-1)</f>
        <v>0</v>
      </c>
      <c r="AQ78" s="584">
        <f ca="1">ROUND(Grunddaten!BQ56*((Grunddaten!$S56-Grunddaten!$Q56)/100*$G78+$E78),-1)</f>
        <v>0</v>
      </c>
      <c r="AR78" s="584">
        <f ca="1">ROUND(Grunddaten!BR56*((Grunddaten!$S56-Grunddaten!$Q56)/100*$G78+$E78),-1)</f>
        <v>0</v>
      </c>
      <c r="AS78" s="584">
        <f ca="1">ROUND(Grunddaten!BS56*((Grunddaten!$S56-Grunddaten!$Q56)/100*$G78+$E78),-1)</f>
        <v>0</v>
      </c>
      <c r="AT78" s="584">
        <f ca="1">ROUND(Grunddaten!BT56*((Grunddaten!$S56-Grunddaten!$Q56)/100*$G78+$E78),-1)</f>
        <v>0</v>
      </c>
      <c r="AU78" s="584">
        <f ca="1">ROUND(Grunddaten!BU56*((Grunddaten!$S56-Grunddaten!$Q56)/100*$G78+$E78),-1)</f>
        <v>0</v>
      </c>
      <c r="AV78" s="584">
        <f ca="1">ROUND(Grunddaten!BV56*((Grunddaten!$S56-Grunddaten!$Q56)/100*$G78+$E78),-1)</f>
        <v>0</v>
      </c>
      <c r="AW78" s="584">
        <f ca="1">ROUND(Grunddaten!BW56*((Grunddaten!$S56-Grunddaten!$Q56)/100*$G78+$E78),-1)</f>
        <v>0</v>
      </c>
      <c r="AX78" s="584">
        <f ca="1">ROUND(Grunddaten!BX56*((Grunddaten!$S56-Grunddaten!$Q56)/100*$G78+$E78),-1)</f>
        <v>0</v>
      </c>
      <c r="AY78" s="584">
        <f ca="1">ROUND(Grunddaten!BY56*((Grunddaten!$S56-Grunddaten!$Q56)/100*$G78+$E78),-1)</f>
        <v>0</v>
      </c>
      <c r="AZ78" s="584">
        <f ca="1">ROUND(Grunddaten!BZ56*((Grunddaten!$S56-Grunddaten!$Q56)/100*$G78+$E78),-1)</f>
        <v>0</v>
      </c>
      <c r="BA78" s="584">
        <f ca="1">ROUND(Grunddaten!CA56*((Grunddaten!$S56-Grunddaten!$Q56)/100*$G78+$E78),-1)</f>
        <v>0</v>
      </c>
      <c r="BB78" s="584">
        <f ca="1">ROUND(Grunddaten!CB56*((Grunddaten!$S56-Grunddaten!$Q56)/100*$G78+$E78),-1)</f>
        <v>0</v>
      </c>
      <c r="BC78" s="584">
        <f ca="1">ROUND(Grunddaten!CC56*((Grunddaten!$S56-Grunddaten!$Q56)/100*$G78+$E78),-1)</f>
        <v>0</v>
      </c>
      <c r="BD78" s="584">
        <f ca="1">ROUND(Grunddaten!CD56*((Grunddaten!$S56-Grunddaten!$Q56)/100*$G78+$E78),-1)</f>
        <v>0</v>
      </c>
      <c r="BE78" s="584">
        <f ca="1">ROUND(Grunddaten!CE56*((Grunddaten!$S56-Grunddaten!$Q56)/100*$G78+$E78),-1)</f>
        <v>0</v>
      </c>
      <c r="BF78" s="584">
        <f ca="1">ROUND(Grunddaten!CF56*((Grunddaten!$S56-Grunddaten!$Q56)/100*$G78+$E78),-1)</f>
        <v>0</v>
      </c>
      <c r="BG78" s="584">
        <f ca="1">ROUND(Grunddaten!CG56*((Grunddaten!$S56-Grunddaten!$Q56)/100*$G78+$E78),-1)</f>
        <v>0</v>
      </c>
      <c r="BH78" s="584">
        <f ca="1">ROUND(Grunddaten!CH56*((Grunddaten!$S56-Grunddaten!$Q56)/100*$G78+$E78),-1)</f>
        <v>0</v>
      </c>
      <c r="BI78" s="584">
        <f ca="1">ROUND(Grunddaten!CI56*((Grunddaten!$S56-Grunddaten!$Q56)/100*$G78+$E78),-1)</f>
        <v>0</v>
      </c>
      <c r="BJ78" s="584">
        <f ca="1">ROUND(Grunddaten!CJ56*((Grunddaten!$S56-Grunddaten!$Q56)/100*$G78+$E78),-1)</f>
        <v>0</v>
      </c>
      <c r="BK78" s="584">
        <f ca="1">ROUND(Grunddaten!CK56*((Grunddaten!$S56-Grunddaten!$Q56)/100*$G78+$E78),-1)</f>
        <v>0</v>
      </c>
      <c r="BL78" s="584">
        <f ca="1">ROUND(Grunddaten!CL56*((Grunddaten!$S56-Grunddaten!$Q56)/100*$G78+$E78),-1)</f>
        <v>0</v>
      </c>
      <c r="BM78" s="584">
        <f ca="1">ROUND(Grunddaten!CM56*((Grunddaten!$S56-Grunddaten!$Q56)/100*$G78+$E78),-1)</f>
        <v>0</v>
      </c>
      <c r="BN78" s="584">
        <f ca="1">ROUND(Grunddaten!CN56*((Grunddaten!$S56-Grunddaten!$Q56)/100*$G78+$E78),-1)</f>
        <v>0</v>
      </c>
      <c r="BO78" s="584">
        <f ca="1">ROUND(Grunddaten!CO56*((Grunddaten!$S56-Grunddaten!$Q56)/100*$G78+$E78),-1)</f>
        <v>0</v>
      </c>
      <c r="BP78" s="584">
        <f ca="1">ROUND(Grunddaten!CP56*((Grunddaten!$S56-Grunddaten!$Q56)/100*$G78+$E78),-1)</f>
        <v>0</v>
      </c>
      <c r="BQ78" s="585">
        <f ca="1">ROUND(Grunddaten!CQ56*((Grunddaten!$S56-Grunddaten!$Q56)/100*$G78+$E78),-1)</f>
        <v>0</v>
      </c>
    </row>
    <row r="79" spans="1:69" s="36" customFormat="1" ht="14.1" customHeight="1" thickBot="1" x14ac:dyDescent="0.25">
      <c r="A79" s="1053" t="s">
        <v>13</v>
      </c>
      <c r="B79" s="1215"/>
      <c r="C79" s="1215"/>
      <c r="D79" s="2408"/>
      <c r="E79" s="2408"/>
      <c r="F79" s="2408"/>
      <c r="G79" s="1252"/>
      <c r="H79" s="2408"/>
      <c r="I79" s="2408"/>
      <c r="J79" s="2411"/>
      <c r="K79" s="2411"/>
      <c r="L79" s="2337">
        <f ca="1">SUM(L61:L78)</f>
        <v>0</v>
      </c>
      <c r="M79" s="2338"/>
      <c r="N79" s="2339"/>
      <c r="S79" s="258">
        <f t="shared" ref="S79:AX79" ca="1" si="8">SUM(S62:S76)</f>
        <v>0</v>
      </c>
      <c r="T79" s="259">
        <f t="shared" ca="1" si="8"/>
        <v>0</v>
      </c>
      <c r="U79" s="259">
        <f t="shared" ca="1" si="8"/>
        <v>0</v>
      </c>
      <c r="V79" s="259">
        <f t="shared" ca="1" si="8"/>
        <v>0</v>
      </c>
      <c r="W79" s="259">
        <f t="shared" ca="1" si="8"/>
        <v>0</v>
      </c>
      <c r="X79" s="259">
        <f t="shared" ca="1" si="8"/>
        <v>0</v>
      </c>
      <c r="Y79" s="259">
        <f t="shared" ca="1" si="8"/>
        <v>0</v>
      </c>
      <c r="Z79" s="259">
        <f t="shared" ca="1" si="8"/>
        <v>0</v>
      </c>
      <c r="AA79" s="259">
        <f t="shared" ca="1" si="8"/>
        <v>0</v>
      </c>
      <c r="AB79" s="259">
        <f t="shared" ca="1" si="8"/>
        <v>0</v>
      </c>
      <c r="AC79" s="259">
        <f t="shared" ca="1" si="8"/>
        <v>0</v>
      </c>
      <c r="AD79" s="259">
        <f t="shared" ca="1" si="8"/>
        <v>0</v>
      </c>
      <c r="AE79" s="259">
        <f t="shared" ca="1" si="8"/>
        <v>0</v>
      </c>
      <c r="AF79" s="259">
        <f t="shared" ca="1" si="8"/>
        <v>0</v>
      </c>
      <c r="AG79" s="259">
        <f t="shared" ca="1" si="8"/>
        <v>0</v>
      </c>
      <c r="AH79" s="259">
        <f t="shared" ca="1" si="8"/>
        <v>0</v>
      </c>
      <c r="AI79" s="259">
        <f t="shared" ca="1" si="8"/>
        <v>0</v>
      </c>
      <c r="AJ79" s="259">
        <f t="shared" ca="1" si="8"/>
        <v>0</v>
      </c>
      <c r="AK79" s="259">
        <f t="shared" ca="1" si="8"/>
        <v>0</v>
      </c>
      <c r="AL79" s="259">
        <f t="shared" ca="1" si="8"/>
        <v>0</v>
      </c>
      <c r="AM79" s="259">
        <f t="shared" ca="1" si="8"/>
        <v>0</v>
      </c>
      <c r="AN79" s="259">
        <f t="shared" ca="1" si="8"/>
        <v>0</v>
      </c>
      <c r="AO79" s="259">
        <f t="shared" ca="1" si="8"/>
        <v>0</v>
      </c>
      <c r="AP79" s="259">
        <f t="shared" ca="1" si="8"/>
        <v>0</v>
      </c>
      <c r="AQ79" s="259">
        <f t="shared" ca="1" si="8"/>
        <v>0</v>
      </c>
      <c r="AR79" s="259">
        <f t="shared" ca="1" si="8"/>
        <v>0</v>
      </c>
      <c r="AS79" s="259">
        <f t="shared" ca="1" si="8"/>
        <v>0</v>
      </c>
      <c r="AT79" s="259">
        <f t="shared" ca="1" si="8"/>
        <v>0</v>
      </c>
      <c r="AU79" s="259">
        <f t="shared" ca="1" si="8"/>
        <v>0</v>
      </c>
      <c r="AV79" s="259">
        <f t="shared" ca="1" si="8"/>
        <v>0</v>
      </c>
      <c r="AW79" s="259">
        <f t="shared" ca="1" si="8"/>
        <v>0</v>
      </c>
      <c r="AX79" s="259">
        <f t="shared" ca="1" si="8"/>
        <v>0</v>
      </c>
      <c r="AY79" s="259">
        <f t="shared" ref="AY79:BQ79" ca="1" si="9">SUM(AY62:AY76)</f>
        <v>0</v>
      </c>
      <c r="AZ79" s="259">
        <f t="shared" ca="1" si="9"/>
        <v>0</v>
      </c>
      <c r="BA79" s="259">
        <f t="shared" ca="1" si="9"/>
        <v>0</v>
      </c>
      <c r="BB79" s="259">
        <f t="shared" ca="1" si="9"/>
        <v>0</v>
      </c>
      <c r="BC79" s="259">
        <f t="shared" ca="1" si="9"/>
        <v>0</v>
      </c>
      <c r="BD79" s="259">
        <f t="shared" ca="1" si="9"/>
        <v>0</v>
      </c>
      <c r="BE79" s="259">
        <f t="shared" ca="1" si="9"/>
        <v>0</v>
      </c>
      <c r="BF79" s="259">
        <f t="shared" ca="1" si="9"/>
        <v>0</v>
      </c>
      <c r="BG79" s="259">
        <f t="shared" ca="1" si="9"/>
        <v>0</v>
      </c>
      <c r="BH79" s="259">
        <f t="shared" ca="1" si="9"/>
        <v>0</v>
      </c>
      <c r="BI79" s="259">
        <f t="shared" ca="1" si="9"/>
        <v>0</v>
      </c>
      <c r="BJ79" s="259">
        <f t="shared" ca="1" si="9"/>
        <v>0</v>
      </c>
      <c r="BK79" s="259">
        <f t="shared" ca="1" si="9"/>
        <v>0</v>
      </c>
      <c r="BL79" s="259">
        <f t="shared" ca="1" si="9"/>
        <v>0</v>
      </c>
      <c r="BM79" s="259">
        <f t="shared" ca="1" si="9"/>
        <v>0</v>
      </c>
      <c r="BN79" s="259">
        <f t="shared" ca="1" si="9"/>
        <v>0</v>
      </c>
      <c r="BO79" s="259">
        <f t="shared" ca="1" si="9"/>
        <v>0</v>
      </c>
      <c r="BP79" s="259">
        <f t="shared" ca="1" si="9"/>
        <v>0</v>
      </c>
      <c r="BQ79" s="260">
        <f t="shared" ca="1" si="9"/>
        <v>0</v>
      </c>
    </row>
    <row r="80" spans="1:69" ht="6" customHeight="1" x14ac:dyDescent="0.2">
      <c r="P80" s="32"/>
      <c r="Q80" s="32"/>
      <c r="R80" s="124"/>
      <c r="S80" s="195"/>
      <c r="T80" s="196"/>
      <c r="U80" s="195"/>
      <c r="V80" s="195"/>
      <c r="W80" s="195"/>
      <c r="X80" s="195"/>
      <c r="Y80" s="195"/>
      <c r="Z80" s="195"/>
      <c r="AA80" s="195"/>
      <c r="AB80" s="197"/>
      <c r="AC80" s="197"/>
      <c r="AD80" s="197"/>
      <c r="AE80" s="197"/>
      <c r="AF80" s="197"/>
      <c r="AG80" s="197"/>
      <c r="AH80" s="223"/>
      <c r="AI80" s="223"/>
      <c r="AJ80" s="223"/>
      <c r="AK80" s="224"/>
      <c r="AL80" s="224"/>
      <c r="AM80" s="224"/>
      <c r="AN80" s="224"/>
      <c r="AO80" s="224"/>
      <c r="AP80" s="224"/>
      <c r="AQ80" s="224"/>
      <c r="AR80" s="224"/>
      <c r="AS80" s="224"/>
      <c r="AT80" s="224"/>
      <c r="AU80" s="224"/>
      <c r="AV80" s="224"/>
      <c r="AW80" s="224"/>
      <c r="AX80" s="224"/>
      <c r="AY80" s="224"/>
      <c r="AZ80" s="224"/>
      <c r="BA80" s="224"/>
      <c r="BB80" s="224"/>
      <c r="BC80" s="224"/>
      <c r="BD80" s="224"/>
      <c r="BE80" s="224"/>
      <c r="BF80" s="224"/>
      <c r="BG80" s="224"/>
      <c r="BH80" s="224"/>
      <c r="BI80" s="224"/>
      <c r="BJ80" s="224"/>
      <c r="BK80" s="224"/>
      <c r="BL80" s="224"/>
      <c r="BM80" s="224"/>
      <c r="BN80" s="224"/>
      <c r="BO80" s="224"/>
      <c r="BP80" s="224"/>
      <c r="BQ80" s="224"/>
    </row>
    <row r="81" spans="1:69" ht="17.25" customHeight="1" x14ac:dyDescent="0.25">
      <c r="A81" s="49" t="s">
        <v>27</v>
      </c>
      <c r="B81" s="49"/>
      <c r="G81" s="32"/>
      <c r="H81" s="42"/>
      <c r="I81" s="283"/>
      <c r="J81" s="284"/>
      <c r="K81" s="285"/>
      <c r="L81" s="379" t="s">
        <v>457</v>
      </c>
      <c r="M81" s="2410">
        <f>ROUND(MAX(G39,WR_Var1!G39,WR_Var2!G39,WR_Var4!G39),0)</f>
        <v>0</v>
      </c>
      <c r="N81" s="2410"/>
      <c r="O81" s="409"/>
      <c r="P81" s="32"/>
      <c r="Q81" s="32"/>
      <c r="R81" s="197"/>
      <c r="S81" s="198"/>
      <c r="T81" s="197"/>
      <c r="U81" s="197"/>
      <c r="V81" s="197"/>
      <c r="W81" s="197"/>
      <c r="X81" s="197"/>
      <c r="Y81" s="197"/>
      <c r="Z81" s="197"/>
      <c r="AA81" s="197"/>
      <c r="AB81" s="197"/>
      <c r="AC81" s="197"/>
      <c r="AD81" s="197"/>
      <c r="AE81" s="197"/>
      <c r="AF81" s="197"/>
      <c r="AG81" s="223"/>
      <c r="AH81" s="223"/>
      <c r="AI81" s="223"/>
      <c r="AJ81" s="400"/>
      <c r="AK81" s="224"/>
      <c r="AL81" s="224"/>
      <c r="AM81" s="224"/>
      <c r="AN81" s="224"/>
      <c r="AO81" s="224"/>
      <c r="AP81" s="225"/>
      <c r="AQ81" s="224"/>
      <c r="AR81" s="224"/>
      <c r="AS81" s="224"/>
      <c r="AT81" s="224"/>
      <c r="AU81" s="224"/>
      <c r="AV81" s="224"/>
      <c r="AW81" s="224"/>
      <c r="AX81" s="224"/>
      <c r="AY81" s="224"/>
      <c r="AZ81" s="224"/>
      <c r="BA81" s="224"/>
      <c r="BB81" s="224"/>
      <c r="BC81" s="224"/>
      <c r="BD81" s="224"/>
      <c r="BE81" s="224"/>
      <c r="BF81" s="224"/>
      <c r="BG81" s="224"/>
      <c r="BH81" s="224"/>
      <c r="BI81" s="224"/>
      <c r="BJ81" s="224"/>
      <c r="BK81" s="224"/>
      <c r="BL81" s="224"/>
      <c r="BM81" s="224"/>
      <c r="BN81" s="224"/>
      <c r="BO81" s="224"/>
      <c r="BP81" s="224"/>
      <c r="BQ81" s="32"/>
    </row>
    <row r="82" spans="1:69" ht="2.1" customHeight="1" x14ac:dyDescent="0.2">
      <c r="H82" s="33"/>
      <c r="I82" s="287"/>
      <c r="J82" s="284"/>
      <c r="K82" s="284"/>
      <c r="L82" s="284"/>
      <c r="P82" s="32"/>
      <c r="Q82" s="32"/>
      <c r="R82" s="197"/>
      <c r="S82" s="198"/>
      <c r="T82" s="197"/>
      <c r="U82" s="197"/>
      <c r="V82" s="197"/>
      <c r="W82" s="197"/>
      <c r="X82" s="197"/>
      <c r="Y82" s="197"/>
      <c r="Z82" s="197"/>
      <c r="AA82" s="197"/>
      <c r="AB82" s="197"/>
      <c r="AC82" s="197"/>
      <c r="AD82" s="197"/>
      <c r="AE82" s="197"/>
      <c r="AF82" s="197"/>
      <c r="AG82" s="223"/>
      <c r="AH82" s="223"/>
      <c r="AI82" s="223"/>
      <c r="AJ82" s="224"/>
      <c r="AK82" s="224"/>
      <c r="AL82" s="224"/>
      <c r="AM82" s="224"/>
      <c r="AN82" s="224"/>
      <c r="AO82" s="224"/>
      <c r="AP82" s="224"/>
      <c r="AQ82" s="224"/>
      <c r="AR82" s="224"/>
      <c r="AS82" s="224"/>
      <c r="AT82" s="224"/>
      <c r="AU82" s="224"/>
      <c r="AV82" s="224"/>
      <c r="AW82" s="224"/>
      <c r="AX82" s="224"/>
      <c r="AY82" s="224"/>
      <c r="AZ82" s="224"/>
      <c r="BA82" s="224"/>
      <c r="BB82" s="224"/>
      <c r="BC82" s="224"/>
      <c r="BD82" s="224"/>
      <c r="BE82" s="224"/>
      <c r="BF82" s="224"/>
      <c r="BG82" s="224"/>
      <c r="BH82" s="224"/>
      <c r="BI82" s="224"/>
      <c r="BJ82" s="224"/>
      <c r="BK82" s="224"/>
      <c r="BL82" s="224"/>
      <c r="BM82" s="224"/>
      <c r="BN82" s="224"/>
      <c r="BO82" s="224"/>
      <c r="BP82" s="224"/>
      <c r="BQ82" s="32"/>
    </row>
    <row r="83" spans="1:69" ht="12" customHeight="1" x14ac:dyDescent="0.2">
      <c r="B83" s="41"/>
      <c r="D83" s="689" t="s">
        <v>40</v>
      </c>
      <c r="E83" s="2547">
        <f>IF(ISBLANK($M$83),$M$81,$M$83)</f>
        <v>0</v>
      </c>
      <c r="F83" s="2547"/>
      <c r="G83" s="32"/>
      <c r="I83" s="287"/>
      <c r="J83" s="284"/>
      <c r="K83" s="486"/>
      <c r="L83" s="286" t="s">
        <v>28</v>
      </c>
      <c r="M83" s="2409"/>
      <c r="N83" s="2409"/>
      <c r="O83" s="147"/>
      <c r="Q83" s="34"/>
      <c r="R83" s="226"/>
      <c r="S83" s="198"/>
      <c r="T83" s="197"/>
      <c r="U83" s="197"/>
      <c r="V83" s="197"/>
      <c r="W83" s="197"/>
      <c r="X83" s="197"/>
      <c r="Y83" s="197"/>
      <c r="Z83" s="197"/>
      <c r="AA83" s="197"/>
      <c r="AB83" s="197"/>
      <c r="AC83" s="197"/>
      <c r="AD83" s="197"/>
      <c r="AE83" s="197"/>
      <c r="AF83" s="197"/>
      <c r="AG83" s="223"/>
      <c r="AH83" s="223"/>
      <c r="AI83" s="223"/>
      <c r="AJ83" s="224"/>
      <c r="AK83" s="224"/>
      <c r="AL83" s="224"/>
      <c r="AM83" s="224"/>
      <c r="AN83" s="224"/>
      <c r="AO83" s="224"/>
      <c r="AP83" s="224"/>
      <c r="AQ83" s="224"/>
      <c r="AR83" s="224"/>
      <c r="AS83" s="224"/>
      <c r="AT83" s="224"/>
      <c r="AU83" s="224"/>
      <c r="AV83" s="224"/>
      <c r="AW83" s="224"/>
      <c r="AX83" s="224"/>
      <c r="AY83" s="224"/>
      <c r="AZ83" s="224"/>
      <c r="BA83" s="224"/>
      <c r="BB83" s="224"/>
      <c r="BC83" s="224"/>
      <c r="BD83" s="224"/>
      <c r="BE83" s="224"/>
      <c r="BF83" s="224"/>
      <c r="BG83" s="224"/>
      <c r="BH83" s="224"/>
      <c r="BI83" s="224"/>
      <c r="BJ83" s="224"/>
      <c r="BK83" s="224"/>
      <c r="BL83" s="224"/>
      <c r="BM83" s="224"/>
      <c r="BN83" s="224"/>
      <c r="BO83" s="224"/>
      <c r="BP83" s="224"/>
      <c r="BQ83" s="32"/>
    </row>
    <row r="84" spans="1:69" ht="3.95" customHeight="1" x14ac:dyDescent="0.2">
      <c r="A84" s="33"/>
      <c r="B84" s="33"/>
      <c r="C84" s="34"/>
      <c r="D84" s="34"/>
      <c r="E84" s="34"/>
      <c r="F84" s="34"/>
      <c r="G84" s="34"/>
      <c r="H84" s="34"/>
      <c r="I84" s="34"/>
      <c r="J84" s="34"/>
      <c r="Q84" s="34"/>
      <c r="R84" s="226"/>
      <c r="S84" s="198"/>
      <c r="T84" s="197"/>
      <c r="U84" s="197"/>
      <c r="V84" s="197"/>
      <c r="W84" s="197"/>
      <c r="X84" s="197"/>
      <c r="Y84" s="197"/>
      <c r="Z84" s="197"/>
      <c r="AA84" s="197"/>
      <c r="AB84" s="197"/>
      <c r="AC84" s="197"/>
      <c r="AD84" s="197"/>
      <c r="AE84" s="197"/>
      <c r="AF84" s="197"/>
      <c r="AG84" s="223"/>
      <c r="AH84" s="223"/>
      <c r="AI84" s="223"/>
      <c r="AJ84" s="224"/>
      <c r="AK84" s="224"/>
      <c r="AL84" s="224"/>
      <c r="AM84" s="224"/>
      <c r="AN84" s="224"/>
      <c r="AO84" s="224"/>
      <c r="AP84" s="224"/>
      <c r="AQ84" s="224"/>
      <c r="AR84" s="224"/>
      <c r="AS84" s="224"/>
      <c r="AT84" s="224"/>
      <c r="AU84" s="224"/>
      <c r="AV84" s="224"/>
      <c r="AW84" s="224"/>
      <c r="AX84" s="224"/>
      <c r="AY84" s="224"/>
      <c r="AZ84" s="224"/>
      <c r="BA84" s="224"/>
      <c r="BB84" s="224"/>
      <c r="BC84" s="224"/>
      <c r="BD84" s="224"/>
      <c r="BE84" s="224"/>
      <c r="BF84" s="224"/>
      <c r="BG84" s="224"/>
      <c r="BH84" s="224"/>
      <c r="BI84" s="224"/>
      <c r="BJ84" s="224"/>
      <c r="BK84" s="224"/>
      <c r="BL84" s="224"/>
      <c r="BM84" s="224"/>
      <c r="BN84" s="224"/>
      <c r="BO84" s="224"/>
      <c r="BP84" s="224"/>
      <c r="BQ84" s="32"/>
    </row>
    <row r="85" spans="1:69" s="39" customFormat="1" ht="11.25" customHeight="1" x14ac:dyDescent="0.2">
      <c r="A85" s="1248"/>
      <c r="B85" s="1249"/>
      <c r="C85" s="1249"/>
      <c r="D85" s="1100"/>
      <c r="E85" s="2322" t="s">
        <v>29</v>
      </c>
      <c r="F85" s="2324"/>
      <c r="G85" s="2323" t="s">
        <v>39</v>
      </c>
      <c r="H85" s="2323"/>
      <c r="I85" s="2323"/>
      <c r="J85" s="2323"/>
      <c r="K85" s="2323"/>
      <c r="L85" s="2322" t="s">
        <v>636</v>
      </c>
      <c r="M85" s="2323"/>
      <c r="N85" s="2324"/>
      <c r="O85" s="408"/>
      <c r="P85" s="396"/>
      <c r="Q85" s="397"/>
      <c r="R85" s="38"/>
      <c r="S85" s="199"/>
      <c r="T85" s="199"/>
      <c r="U85" s="199"/>
      <c r="V85" s="199"/>
      <c r="W85" s="199"/>
      <c r="X85" s="199"/>
      <c r="Y85" s="199"/>
      <c r="Z85" s="199"/>
      <c r="AA85" s="194"/>
      <c r="AB85" s="197"/>
      <c r="AC85" s="197"/>
      <c r="AD85" s="197"/>
      <c r="AE85" s="197"/>
      <c r="AF85" s="197"/>
      <c r="AG85" s="223"/>
      <c r="AH85" s="223"/>
      <c r="AI85" s="223"/>
      <c r="AJ85" s="224"/>
      <c r="AK85" s="224"/>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K85" s="199"/>
      <c r="BL85" s="199"/>
      <c r="BM85" s="199"/>
      <c r="BN85" s="199"/>
      <c r="BO85" s="199"/>
      <c r="BP85" s="199"/>
    </row>
    <row r="86" spans="1:69" s="39" customFormat="1" ht="11.25" customHeight="1" x14ac:dyDescent="0.2">
      <c r="A86" s="1250" t="s">
        <v>11</v>
      </c>
      <c r="B86" s="1251"/>
      <c r="C86" s="1251"/>
      <c r="D86" s="1212"/>
      <c r="E86" s="2325" t="s">
        <v>31</v>
      </c>
      <c r="F86" s="2327"/>
      <c r="G86" s="2362" t="s">
        <v>633</v>
      </c>
      <c r="H86" s="2362"/>
      <c r="I86" s="2523"/>
      <c r="J86" s="2361" t="s">
        <v>634</v>
      </c>
      <c r="K86" s="2362"/>
      <c r="L86" s="2325" t="s">
        <v>571</v>
      </c>
      <c r="M86" s="2326"/>
      <c r="N86" s="2327"/>
      <c r="O86" s="408"/>
      <c r="P86" s="2471" t="s">
        <v>402</v>
      </c>
      <c r="Q86" s="2472"/>
      <c r="R86" s="298"/>
      <c r="U86" s="226"/>
      <c r="V86" s="199"/>
      <c r="W86" s="199"/>
      <c r="X86" s="199"/>
      <c r="Y86" s="199"/>
      <c r="Z86" s="199"/>
      <c r="AA86" s="199"/>
      <c r="AB86" s="199"/>
      <c r="AC86" s="199"/>
      <c r="AD86" s="193"/>
      <c r="AE86" s="197"/>
      <c r="AF86" s="197"/>
      <c r="AG86" s="197"/>
      <c r="AH86" s="197"/>
      <c r="AI86" s="197"/>
      <c r="AJ86" s="223"/>
      <c r="AK86" s="223"/>
      <c r="AL86" s="223"/>
      <c r="AM86" s="224"/>
      <c r="AN86" s="224"/>
      <c r="AO86" s="199"/>
      <c r="AP86" s="199"/>
      <c r="AQ86" s="199"/>
      <c r="AR86" s="199"/>
      <c r="AS86" s="199"/>
      <c r="AT86" s="199"/>
      <c r="AU86" s="199"/>
      <c r="AV86" s="199"/>
      <c r="AW86" s="199"/>
      <c r="AX86" s="199"/>
      <c r="AY86" s="199"/>
      <c r="AZ86" s="199"/>
      <c r="BA86" s="199"/>
      <c r="BB86" s="199"/>
      <c r="BC86" s="199"/>
      <c r="BD86" s="199"/>
      <c r="BE86" s="199"/>
      <c r="BF86" s="199"/>
      <c r="BG86" s="199"/>
      <c r="BH86" s="199"/>
      <c r="BI86" s="199"/>
      <c r="BJ86" s="199"/>
      <c r="BK86" s="199"/>
      <c r="BL86" s="199"/>
      <c r="BM86" s="199"/>
      <c r="BN86" s="199"/>
      <c r="BO86" s="199"/>
      <c r="BP86" s="199"/>
      <c r="BQ86" s="199"/>
    </row>
    <row r="87" spans="1:69" s="39" customFormat="1" ht="11.25" customHeight="1" x14ac:dyDescent="0.2">
      <c r="A87" s="1222"/>
      <c r="B87" s="1223"/>
      <c r="C87" s="1223"/>
      <c r="D87" s="1054"/>
      <c r="E87" s="2483" t="s">
        <v>555</v>
      </c>
      <c r="F87" s="2484"/>
      <c r="G87" s="2349" t="s">
        <v>567</v>
      </c>
      <c r="H87" s="2349"/>
      <c r="I87" s="2399"/>
      <c r="J87" s="2348" t="s">
        <v>567</v>
      </c>
      <c r="K87" s="2349"/>
      <c r="L87" s="2483" t="s">
        <v>567</v>
      </c>
      <c r="M87" s="2349"/>
      <c r="N87" s="2484"/>
      <c r="O87" s="507"/>
      <c r="P87" s="2481" t="s">
        <v>403</v>
      </c>
      <c r="Q87" s="2482"/>
      <c r="R87" s="298"/>
      <c r="S87" s="215" t="s">
        <v>582</v>
      </c>
      <c r="U87" s="226"/>
      <c r="V87" s="199"/>
      <c r="W87" s="199"/>
      <c r="X87" s="199"/>
      <c r="Y87" s="199"/>
      <c r="Z87" s="199"/>
      <c r="AA87" s="199"/>
      <c r="AB87" s="199"/>
      <c r="AC87" s="199"/>
      <c r="AD87" s="193"/>
      <c r="AE87" s="197"/>
      <c r="AF87" s="197"/>
      <c r="AG87" s="197"/>
      <c r="AH87" s="197"/>
      <c r="AI87" s="197"/>
      <c r="AJ87" s="223"/>
      <c r="AK87" s="223"/>
      <c r="AL87" s="223"/>
      <c r="AM87" s="224"/>
      <c r="AN87" s="224"/>
      <c r="AO87" s="199"/>
      <c r="AP87" s="199"/>
      <c r="AQ87" s="199"/>
      <c r="AR87" s="199"/>
      <c r="AS87" s="199"/>
      <c r="AT87" s="199"/>
      <c r="AU87" s="199"/>
      <c r="AV87" s="199"/>
      <c r="AW87" s="199"/>
      <c r="AX87" s="199"/>
      <c r="AY87" s="199"/>
      <c r="AZ87" s="199"/>
      <c r="BA87" s="199"/>
      <c r="BB87" s="199"/>
      <c r="BC87" s="199"/>
      <c r="BD87" s="199"/>
      <c r="BE87" s="199"/>
      <c r="BF87" s="199"/>
      <c r="BG87" s="199"/>
      <c r="BH87" s="199"/>
      <c r="BI87" s="199"/>
      <c r="BJ87" s="199"/>
      <c r="BK87" s="199"/>
      <c r="BL87" s="199"/>
      <c r="BM87" s="199"/>
      <c r="BN87" s="199"/>
      <c r="BO87" s="199"/>
      <c r="BP87" s="199"/>
      <c r="BQ87" s="199"/>
    </row>
    <row r="88" spans="1:69" s="36" customFormat="1" ht="12" customHeight="1" x14ac:dyDescent="0.2">
      <c r="A88" s="1015" t="s">
        <v>635</v>
      </c>
      <c r="B88" s="1016"/>
      <c r="C88" s="1017"/>
      <c r="D88" s="1018" t="str">
        <f>"("&amp;Grunddaten!$U$10&amp;")"</f>
        <v>(Förderbeiträge berücksichtigen)</v>
      </c>
      <c r="E88" s="2414" t="s">
        <v>25</v>
      </c>
      <c r="F88" s="2415"/>
      <c r="G88" s="2329">
        <f>IF(Grunddaten!$AN$10=TRUE,$J$54,$J$39)</f>
        <v>0</v>
      </c>
      <c r="H88" s="2329"/>
      <c r="I88" s="2494"/>
      <c r="J88" s="2440" t="s">
        <v>38</v>
      </c>
      <c r="K88" s="2441"/>
      <c r="L88" s="2328">
        <f>G88</f>
        <v>0</v>
      </c>
      <c r="M88" s="2329"/>
      <c r="N88" s="2330"/>
      <c r="O88" s="141"/>
      <c r="P88" s="2473">
        <f>$E$39</f>
        <v>0</v>
      </c>
      <c r="Q88" s="2474"/>
      <c r="R88" s="38"/>
      <c r="S88" s="210">
        <f ca="1">S59</f>
        <v>2024</v>
      </c>
      <c r="T88" s="200">
        <f ca="1">S88+1</f>
        <v>2025</v>
      </c>
      <c r="U88" s="200">
        <f t="shared" ref="U88:BP88" ca="1" si="10">T88+1</f>
        <v>2026</v>
      </c>
      <c r="V88" s="200">
        <f t="shared" ca="1" si="10"/>
        <v>2027</v>
      </c>
      <c r="W88" s="200">
        <f t="shared" ca="1" si="10"/>
        <v>2028</v>
      </c>
      <c r="X88" s="200">
        <f t="shared" ca="1" si="10"/>
        <v>2029</v>
      </c>
      <c r="Y88" s="200">
        <f t="shared" ca="1" si="10"/>
        <v>2030</v>
      </c>
      <c r="Z88" s="200">
        <f t="shared" ca="1" si="10"/>
        <v>2031</v>
      </c>
      <c r="AA88" s="200">
        <f t="shared" ca="1" si="10"/>
        <v>2032</v>
      </c>
      <c r="AB88" s="200">
        <f t="shared" ca="1" si="10"/>
        <v>2033</v>
      </c>
      <c r="AC88" s="200">
        <f t="shared" ca="1" si="10"/>
        <v>2034</v>
      </c>
      <c r="AD88" s="200">
        <f t="shared" ca="1" si="10"/>
        <v>2035</v>
      </c>
      <c r="AE88" s="200">
        <f t="shared" ca="1" si="10"/>
        <v>2036</v>
      </c>
      <c r="AF88" s="200">
        <f t="shared" ca="1" si="10"/>
        <v>2037</v>
      </c>
      <c r="AG88" s="200">
        <f t="shared" ca="1" si="10"/>
        <v>2038</v>
      </c>
      <c r="AH88" s="200">
        <f t="shared" ca="1" si="10"/>
        <v>2039</v>
      </c>
      <c r="AI88" s="200">
        <f t="shared" ca="1" si="10"/>
        <v>2040</v>
      </c>
      <c r="AJ88" s="200">
        <f t="shared" ca="1" si="10"/>
        <v>2041</v>
      </c>
      <c r="AK88" s="200">
        <f t="shared" ca="1" si="10"/>
        <v>2042</v>
      </c>
      <c r="AL88" s="200">
        <f t="shared" ca="1" si="10"/>
        <v>2043</v>
      </c>
      <c r="AM88" s="200">
        <f t="shared" ca="1" si="10"/>
        <v>2044</v>
      </c>
      <c r="AN88" s="200">
        <f t="shared" ca="1" si="10"/>
        <v>2045</v>
      </c>
      <c r="AO88" s="200">
        <f t="shared" ca="1" si="10"/>
        <v>2046</v>
      </c>
      <c r="AP88" s="200">
        <f t="shared" ca="1" si="10"/>
        <v>2047</v>
      </c>
      <c r="AQ88" s="200">
        <f t="shared" ca="1" si="10"/>
        <v>2048</v>
      </c>
      <c r="AR88" s="200">
        <f t="shared" ca="1" si="10"/>
        <v>2049</v>
      </c>
      <c r="AS88" s="200">
        <f t="shared" ca="1" si="10"/>
        <v>2050</v>
      </c>
      <c r="AT88" s="200">
        <f t="shared" ca="1" si="10"/>
        <v>2051</v>
      </c>
      <c r="AU88" s="200">
        <f t="shared" ca="1" si="10"/>
        <v>2052</v>
      </c>
      <c r="AV88" s="200">
        <f t="shared" ca="1" si="10"/>
        <v>2053</v>
      </c>
      <c r="AW88" s="200">
        <f t="shared" ca="1" si="10"/>
        <v>2054</v>
      </c>
      <c r="AX88" s="200">
        <f t="shared" ca="1" si="10"/>
        <v>2055</v>
      </c>
      <c r="AY88" s="200">
        <f t="shared" ca="1" si="10"/>
        <v>2056</v>
      </c>
      <c r="AZ88" s="200">
        <f t="shared" ca="1" si="10"/>
        <v>2057</v>
      </c>
      <c r="BA88" s="200">
        <f t="shared" ca="1" si="10"/>
        <v>2058</v>
      </c>
      <c r="BB88" s="200">
        <f t="shared" ca="1" si="10"/>
        <v>2059</v>
      </c>
      <c r="BC88" s="200">
        <f t="shared" ca="1" si="10"/>
        <v>2060</v>
      </c>
      <c r="BD88" s="200">
        <f t="shared" ca="1" si="10"/>
        <v>2061</v>
      </c>
      <c r="BE88" s="200">
        <f t="shared" ca="1" si="10"/>
        <v>2062</v>
      </c>
      <c r="BF88" s="200">
        <f t="shared" ca="1" si="10"/>
        <v>2063</v>
      </c>
      <c r="BG88" s="200">
        <f t="shared" ca="1" si="10"/>
        <v>2064</v>
      </c>
      <c r="BH88" s="200">
        <f t="shared" ca="1" si="10"/>
        <v>2065</v>
      </c>
      <c r="BI88" s="200">
        <f t="shared" ca="1" si="10"/>
        <v>2066</v>
      </c>
      <c r="BJ88" s="200">
        <f t="shared" ca="1" si="10"/>
        <v>2067</v>
      </c>
      <c r="BK88" s="200">
        <f t="shared" ca="1" si="10"/>
        <v>2068</v>
      </c>
      <c r="BL88" s="200">
        <f t="shared" ca="1" si="10"/>
        <v>2069</v>
      </c>
      <c r="BM88" s="200">
        <f t="shared" ca="1" si="10"/>
        <v>2070</v>
      </c>
      <c r="BN88" s="200">
        <f t="shared" ca="1" si="10"/>
        <v>2071</v>
      </c>
      <c r="BO88" s="200">
        <f t="shared" ca="1" si="10"/>
        <v>2072</v>
      </c>
      <c r="BP88" s="200">
        <f t="shared" ca="1" si="10"/>
        <v>2073</v>
      </c>
      <c r="BQ88" s="205">
        <f ca="1">BP88+1</f>
        <v>2074</v>
      </c>
    </row>
    <row r="89" spans="1:69" s="36" customFormat="1" ht="12" customHeight="1" x14ac:dyDescent="0.2">
      <c r="A89" s="1019" t="s">
        <v>642</v>
      </c>
      <c r="B89" s="1020"/>
      <c r="C89" s="1020"/>
      <c r="D89" s="1021"/>
      <c r="E89" s="2340">
        <f>IF(ISBLANK(Grunddaten!$O$10),Grunddaten!$N$10,Grunddaten!$O$10)</f>
        <v>1E-8</v>
      </c>
      <c r="F89" s="2341"/>
      <c r="G89" s="2332">
        <f>$N39</f>
        <v>0</v>
      </c>
      <c r="H89" s="2332"/>
      <c r="I89" s="2495"/>
      <c r="J89" s="2502" t="s">
        <v>38</v>
      </c>
      <c r="K89" s="2503"/>
      <c r="L89" s="2331">
        <f ca="1">IF(P89=0,0,-ROUND(PMT($J$9,$E$83,$P89),-1))</f>
        <v>0</v>
      </c>
      <c r="M89" s="2332"/>
      <c r="N89" s="2333"/>
      <c r="O89" s="141"/>
      <c r="P89" s="2475">
        <f ca="1">ROUND(NPV($J$9,S89:OFFSET($S$89,0,$E$83-1)),-1)</f>
        <v>0</v>
      </c>
      <c r="Q89" s="2476"/>
      <c r="R89" s="38"/>
      <c r="S89" s="263">
        <f>G89</f>
        <v>0</v>
      </c>
      <c r="T89" s="264">
        <f ca="1">$S$89*(1+(T88-$S$88)*$E$89)</f>
        <v>0</v>
      </c>
      <c r="U89" s="264">
        <f t="shared" ref="U89:BQ89" ca="1" si="11">$S$89*(1+(U88-$S$88)*$E$89)</f>
        <v>0</v>
      </c>
      <c r="V89" s="264">
        <f t="shared" ca="1" si="11"/>
        <v>0</v>
      </c>
      <c r="W89" s="264">
        <f t="shared" ca="1" si="11"/>
        <v>0</v>
      </c>
      <c r="X89" s="264">
        <f t="shared" ca="1" si="11"/>
        <v>0</v>
      </c>
      <c r="Y89" s="264">
        <f t="shared" ca="1" si="11"/>
        <v>0</v>
      </c>
      <c r="Z89" s="264">
        <f t="shared" ca="1" si="11"/>
        <v>0</v>
      </c>
      <c r="AA89" s="264">
        <f t="shared" ca="1" si="11"/>
        <v>0</v>
      </c>
      <c r="AB89" s="264">
        <f t="shared" ca="1" si="11"/>
        <v>0</v>
      </c>
      <c r="AC89" s="264">
        <f t="shared" ca="1" si="11"/>
        <v>0</v>
      </c>
      <c r="AD89" s="264">
        <f t="shared" ca="1" si="11"/>
        <v>0</v>
      </c>
      <c r="AE89" s="264">
        <f t="shared" ca="1" si="11"/>
        <v>0</v>
      </c>
      <c r="AF89" s="264">
        <f t="shared" ca="1" si="11"/>
        <v>0</v>
      </c>
      <c r="AG89" s="264">
        <f t="shared" ca="1" si="11"/>
        <v>0</v>
      </c>
      <c r="AH89" s="264">
        <f t="shared" ca="1" si="11"/>
        <v>0</v>
      </c>
      <c r="AI89" s="264">
        <f t="shared" ca="1" si="11"/>
        <v>0</v>
      </c>
      <c r="AJ89" s="264">
        <f t="shared" ca="1" si="11"/>
        <v>0</v>
      </c>
      <c r="AK89" s="264">
        <f t="shared" ca="1" si="11"/>
        <v>0</v>
      </c>
      <c r="AL89" s="264">
        <f t="shared" ca="1" si="11"/>
        <v>0</v>
      </c>
      <c r="AM89" s="264">
        <f t="shared" ca="1" si="11"/>
        <v>0</v>
      </c>
      <c r="AN89" s="264">
        <f t="shared" ca="1" si="11"/>
        <v>0</v>
      </c>
      <c r="AO89" s="264">
        <f t="shared" ca="1" si="11"/>
        <v>0</v>
      </c>
      <c r="AP89" s="264">
        <f t="shared" ca="1" si="11"/>
        <v>0</v>
      </c>
      <c r="AQ89" s="264">
        <f t="shared" ca="1" si="11"/>
        <v>0</v>
      </c>
      <c r="AR89" s="264">
        <f t="shared" ca="1" si="11"/>
        <v>0</v>
      </c>
      <c r="AS89" s="264">
        <f t="shared" ca="1" si="11"/>
        <v>0</v>
      </c>
      <c r="AT89" s="264">
        <f t="shared" ca="1" si="11"/>
        <v>0</v>
      </c>
      <c r="AU89" s="264">
        <f t="shared" ca="1" si="11"/>
        <v>0</v>
      </c>
      <c r="AV89" s="264">
        <f t="shared" ca="1" si="11"/>
        <v>0</v>
      </c>
      <c r="AW89" s="264">
        <f t="shared" ca="1" si="11"/>
        <v>0</v>
      </c>
      <c r="AX89" s="264">
        <f t="shared" ca="1" si="11"/>
        <v>0</v>
      </c>
      <c r="AY89" s="264">
        <f t="shared" ca="1" si="11"/>
        <v>0</v>
      </c>
      <c r="AZ89" s="264">
        <f t="shared" ca="1" si="11"/>
        <v>0</v>
      </c>
      <c r="BA89" s="264">
        <f t="shared" ca="1" si="11"/>
        <v>0</v>
      </c>
      <c r="BB89" s="264">
        <f t="shared" ca="1" si="11"/>
        <v>0</v>
      </c>
      <c r="BC89" s="264">
        <f t="shared" ca="1" si="11"/>
        <v>0</v>
      </c>
      <c r="BD89" s="264">
        <f t="shared" ca="1" si="11"/>
        <v>0</v>
      </c>
      <c r="BE89" s="264">
        <f t="shared" ca="1" si="11"/>
        <v>0</v>
      </c>
      <c r="BF89" s="264">
        <f t="shared" ca="1" si="11"/>
        <v>0</v>
      </c>
      <c r="BG89" s="264">
        <f t="shared" ca="1" si="11"/>
        <v>0</v>
      </c>
      <c r="BH89" s="264">
        <f t="shared" ca="1" si="11"/>
        <v>0</v>
      </c>
      <c r="BI89" s="264">
        <f t="shared" ca="1" si="11"/>
        <v>0</v>
      </c>
      <c r="BJ89" s="264">
        <f t="shared" ca="1" si="11"/>
        <v>0</v>
      </c>
      <c r="BK89" s="264">
        <f t="shared" ca="1" si="11"/>
        <v>0</v>
      </c>
      <c r="BL89" s="264">
        <f t="shared" ca="1" si="11"/>
        <v>0</v>
      </c>
      <c r="BM89" s="264">
        <f t="shared" ca="1" si="11"/>
        <v>0</v>
      </c>
      <c r="BN89" s="264">
        <f t="shared" ca="1" si="11"/>
        <v>0</v>
      </c>
      <c r="BO89" s="264">
        <f t="shared" ca="1" si="11"/>
        <v>0</v>
      </c>
      <c r="BP89" s="264">
        <f t="shared" ca="1" si="11"/>
        <v>0</v>
      </c>
      <c r="BQ89" s="694">
        <f t="shared" ca="1" si="11"/>
        <v>0</v>
      </c>
    </row>
    <row r="90" spans="1:69" s="36" customFormat="1" ht="12" customHeight="1" x14ac:dyDescent="0.2">
      <c r="A90" s="1019" t="s">
        <v>30</v>
      </c>
      <c r="B90" s="1020"/>
      <c r="C90" s="1020"/>
      <c r="D90" s="1021"/>
      <c r="E90" s="2340"/>
      <c r="F90" s="2341"/>
      <c r="G90" s="2332"/>
      <c r="H90" s="2332"/>
      <c r="I90" s="2495"/>
      <c r="J90" s="2504"/>
      <c r="K90" s="2505"/>
      <c r="L90" s="2331"/>
      <c r="M90" s="2332"/>
      <c r="N90" s="2333"/>
      <c r="O90" s="141"/>
      <c r="P90" s="2477"/>
      <c r="Q90" s="2478"/>
      <c r="R90" s="299"/>
      <c r="S90" s="265"/>
      <c r="T90" s="265"/>
      <c r="U90" s="265"/>
      <c r="V90" s="265"/>
      <c r="W90" s="265"/>
      <c r="X90" s="265"/>
      <c r="Y90" s="265"/>
      <c r="Z90" s="265"/>
      <c r="AA90" s="193"/>
      <c r="AB90" s="227"/>
      <c r="AC90" s="227"/>
      <c r="AD90" s="227"/>
      <c r="AE90" s="227"/>
      <c r="AF90" s="227"/>
      <c r="AG90" s="228"/>
      <c r="AH90" s="228"/>
      <c r="AI90" s="228"/>
      <c r="AJ90" s="226"/>
      <c r="AK90" s="226"/>
      <c r="AL90" s="226"/>
      <c r="AM90" s="226"/>
      <c r="AN90" s="226"/>
      <c r="AO90" s="226"/>
      <c r="AP90" s="226"/>
      <c r="AQ90" s="226"/>
      <c r="AR90" s="226"/>
      <c r="AS90" s="226"/>
      <c r="AT90" s="226"/>
      <c r="AU90" s="226"/>
      <c r="AV90" s="226"/>
      <c r="AW90" s="226"/>
      <c r="AX90" s="226"/>
      <c r="AY90" s="226"/>
      <c r="AZ90" s="226"/>
      <c r="BA90" s="226"/>
      <c r="BB90" s="226"/>
      <c r="BC90" s="226"/>
      <c r="BD90" s="226"/>
      <c r="BE90" s="226"/>
      <c r="BF90" s="226"/>
      <c r="BG90" s="226"/>
      <c r="BH90" s="226"/>
      <c r="BI90" s="226"/>
      <c r="BJ90" s="226"/>
      <c r="BK90" s="226"/>
      <c r="BL90" s="226"/>
      <c r="BM90" s="226"/>
      <c r="BN90" s="226"/>
      <c r="BO90" s="226"/>
      <c r="BP90" s="226"/>
    </row>
    <row r="91" spans="1:69" s="36" customFormat="1" ht="11.25" customHeight="1" x14ac:dyDescent="0.2">
      <c r="A91" s="1022" t="str">
        <f t="shared" ref="A91:A100" si="12">A62</f>
        <v>Elektrizität, Hochtarif</v>
      </c>
      <c r="B91" s="1023"/>
      <c r="C91" s="1023"/>
      <c r="D91" s="1024"/>
      <c r="E91" s="2447">
        <f ca="1">IF(G91=0,0,OFFSET(Grunddaten!$AH$17,El_Produkt,0))/100</f>
        <v>0</v>
      </c>
      <c r="F91" s="2448"/>
      <c r="G91" s="2445">
        <f t="shared" ref="G91:G106" ca="1" si="13">L62-J91</f>
        <v>0</v>
      </c>
      <c r="H91" s="2445"/>
      <c r="I91" s="2446"/>
      <c r="J91" s="2500">
        <f ca="1">$R$109*OFFSET(Grunddaten!$Q$17,El_Produkt,0)/100*G62</f>
        <v>0</v>
      </c>
      <c r="K91" s="2501"/>
      <c r="L91" s="2319">
        <f t="shared" ref="L91:L106" ca="1" si="14">IF(P91=0,0,-ROUND(PMT($J$9,$E$83,$P91),-1))</f>
        <v>0</v>
      </c>
      <c r="M91" s="2320"/>
      <c r="N91" s="2321"/>
      <c r="O91" s="143"/>
      <c r="P91" s="2479">
        <f ca="1">ROUND(NPV($J$9,S62:OFFSET(S62,0,$E$83-1)),-1)</f>
        <v>0</v>
      </c>
      <c r="Q91" s="2480"/>
      <c r="R91" s="297"/>
      <c r="S91" s="122"/>
      <c r="T91" s="122"/>
      <c r="U91" s="122"/>
      <c r="V91" s="122"/>
      <c r="AE91" s="176"/>
      <c r="AF91" s="176"/>
      <c r="AG91" s="176"/>
      <c r="AH91" s="176"/>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c r="BP91" s="176"/>
    </row>
    <row r="92" spans="1:69" s="36" customFormat="1" ht="11.25" customHeight="1" x14ac:dyDescent="0.2">
      <c r="A92" s="1022" t="str">
        <f t="shared" si="12"/>
        <v>Elektrizität, Niedertarif</v>
      </c>
      <c r="B92" s="1023"/>
      <c r="C92" s="1023"/>
      <c r="D92" s="1024"/>
      <c r="E92" s="2447">
        <f ca="1">IF(G92=0,0,OFFSET(Grunddaten!$AH$17,El_Produkt,0))/100</f>
        <v>0</v>
      </c>
      <c r="F92" s="2448"/>
      <c r="G92" s="2445">
        <f t="shared" ca="1" si="13"/>
        <v>0</v>
      </c>
      <c r="H92" s="2445"/>
      <c r="I92" s="2446"/>
      <c r="J92" s="2500">
        <f ca="1">$R$109*OFFSET(Grunddaten!$Q$17,El_Produkt,0)/100*G63</f>
        <v>0</v>
      </c>
      <c r="K92" s="2501"/>
      <c r="L92" s="2319">
        <f t="shared" ca="1" si="14"/>
        <v>0</v>
      </c>
      <c r="M92" s="2320"/>
      <c r="N92" s="2321"/>
      <c r="O92" s="143"/>
      <c r="P92" s="2479">
        <f ca="1">ROUND(NPV($J$9,S63:OFFSET(S63,0,$E$83-1)),-1)</f>
        <v>0</v>
      </c>
      <c r="Q92" s="2480"/>
      <c r="R92" s="297"/>
      <c r="S92" s="122"/>
      <c r="T92" s="122"/>
      <c r="U92" s="122"/>
      <c r="V92" s="122"/>
      <c r="AE92" s="133"/>
      <c r="AF92" s="133"/>
      <c r="AG92" s="222"/>
      <c r="AH92" s="222"/>
      <c r="AI92" s="222"/>
      <c r="AJ92" s="176"/>
      <c r="AK92" s="176"/>
      <c r="AL92" s="176"/>
      <c r="AM92" s="176"/>
      <c r="AN92" s="176"/>
      <c r="AO92" s="176"/>
      <c r="AP92" s="176"/>
      <c r="AQ92" s="176"/>
      <c r="AR92" s="176"/>
      <c r="AS92" s="176"/>
      <c r="AT92" s="176"/>
      <c r="AU92" s="176"/>
      <c r="AV92" s="176"/>
      <c r="AW92" s="176"/>
      <c r="AX92" s="176"/>
      <c r="AY92" s="176"/>
      <c r="AZ92" s="176"/>
      <c r="BA92" s="176"/>
      <c r="BB92" s="176"/>
      <c r="BC92" s="176"/>
      <c r="BD92" s="176"/>
      <c r="BE92" s="176"/>
      <c r="BF92" s="176"/>
      <c r="BG92" s="176"/>
      <c r="BH92" s="176"/>
      <c r="BI92" s="176"/>
      <c r="BJ92" s="176"/>
      <c r="BK92" s="176"/>
      <c r="BL92" s="176"/>
      <c r="BM92" s="176"/>
      <c r="BN92" s="176"/>
      <c r="BO92" s="176"/>
      <c r="BP92" s="176"/>
    </row>
    <row r="93" spans="1:69" s="36" customFormat="1" ht="11.25" customHeight="1" x14ac:dyDescent="0.2">
      <c r="A93" s="1025" t="str">
        <f t="shared" si="12"/>
        <v>Elektrizität Wärmepumpen, HT</v>
      </c>
      <c r="B93" s="1026"/>
      <c r="C93" s="1026"/>
      <c r="D93" s="1027"/>
      <c r="E93" s="2346">
        <f ca="1">IF(G93=0,0,OFFSET(Grunddaten!$AH$17,El_Produkt,0))/100</f>
        <v>0</v>
      </c>
      <c r="F93" s="2347"/>
      <c r="G93" s="2419">
        <f t="shared" ca="1" si="13"/>
        <v>0</v>
      </c>
      <c r="H93" s="2419"/>
      <c r="I93" s="2420"/>
      <c r="J93" s="2438">
        <f ca="1">$R$109*OFFSET(Grunddaten!$Q$17,El_Produkt,0)/100*G64</f>
        <v>0</v>
      </c>
      <c r="K93" s="2439"/>
      <c r="L93" s="2334">
        <f t="shared" ca="1" si="14"/>
        <v>0</v>
      </c>
      <c r="M93" s="2335"/>
      <c r="N93" s="2336"/>
      <c r="O93" s="143"/>
      <c r="P93" s="2416">
        <f ca="1">ROUND(NPV($J$9,S64:OFFSET(S64,0,$E$83-1)),-1)</f>
        <v>0</v>
      </c>
      <c r="Q93" s="2417"/>
      <c r="R93" s="297"/>
      <c r="S93" s="122"/>
      <c r="T93" s="122"/>
      <c r="U93" s="122"/>
      <c r="V93" s="122"/>
      <c r="AE93" s="133"/>
      <c r="AF93" s="133"/>
      <c r="AG93" s="222"/>
      <c r="AH93" s="222"/>
      <c r="AI93" s="222"/>
      <c r="AJ93" s="176"/>
      <c r="AK93" s="176"/>
      <c r="AL93" s="176"/>
      <c r="AM93" s="176"/>
      <c r="AN93" s="176"/>
      <c r="AO93" s="176"/>
      <c r="AP93" s="176"/>
      <c r="AQ93" s="176"/>
      <c r="AR93" s="176"/>
      <c r="AS93" s="176"/>
      <c r="AT93" s="176"/>
      <c r="AU93" s="176"/>
      <c r="AV93" s="176"/>
      <c r="AW93" s="176"/>
      <c r="AX93" s="176"/>
      <c r="AY93" s="176"/>
      <c r="AZ93" s="176"/>
      <c r="BA93" s="176"/>
      <c r="BB93" s="176"/>
      <c r="BC93" s="176"/>
      <c r="BD93" s="176"/>
      <c r="BE93" s="176"/>
      <c r="BF93" s="176"/>
      <c r="BG93" s="176"/>
      <c r="BH93" s="176"/>
      <c r="BI93" s="176"/>
      <c r="BJ93" s="176"/>
      <c r="BK93" s="176"/>
      <c r="BL93" s="176"/>
      <c r="BM93" s="176"/>
      <c r="BN93" s="176"/>
      <c r="BO93" s="176"/>
      <c r="BP93" s="176"/>
    </row>
    <row r="94" spans="1:69" s="36" customFormat="1" ht="11.25" customHeight="1" x14ac:dyDescent="0.2">
      <c r="A94" s="1011" t="str">
        <f t="shared" si="12"/>
        <v>Elektrizität Wärmepumpen, NT</v>
      </c>
      <c r="B94" s="1253"/>
      <c r="C94" s="1253"/>
      <c r="D94" s="1028"/>
      <c r="E94" s="2421">
        <f ca="1">IF(G94=0,0,OFFSET(Grunddaten!$AH$17,El_Produkt,0))/100</f>
        <v>0</v>
      </c>
      <c r="F94" s="2422"/>
      <c r="G94" s="2344">
        <f t="shared" ca="1" si="13"/>
        <v>0</v>
      </c>
      <c r="H94" s="2344"/>
      <c r="I94" s="2345"/>
      <c r="J94" s="2434">
        <f ca="1">$R$109*OFFSET(Grunddaten!$Q$17,El_Produkt,0)/100*G65</f>
        <v>0</v>
      </c>
      <c r="K94" s="2435"/>
      <c r="L94" s="2424">
        <f t="shared" ca="1" si="14"/>
        <v>0</v>
      </c>
      <c r="M94" s="2425"/>
      <c r="N94" s="2426"/>
      <c r="O94" s="143"/>
      <c r="P94" s="2452">
        <f ca="1">ROUND(NPV($J$9,S65:OFFSET(S65,0,$E$83-1)),-1)</f>
        <v>0</v>
      </c>
      <c r="Q94" s="2453"/>
      <c r="R94" s="297"/>
      <c r="S94" s="122"/>
      <c r="T94" s="122"/>
      <c r="U94" s="122"/>
      <c r="V94" s="122"/>
      <c r="AE94" s="133"/>
      <c r="AF94" s="133"/>
      <c r="AG94" s="222"/>
      <c r="AH94" s="222"/>
      <c r="AI94" s="222"/>
      <c r="AJ94" s="176"/>
      <c r="AK94" s="176"/>
      <c r="AL94" s="176"/>
      <c r="AM94" s="176"/>
      <c r="AN94" s="176"/>
      <c r="AO94" s="176"/>
      <c r="AP94" s="176"/>
      <c r="AQ94" s="176"/>
      <c r="AR94" s="176"/>
      <c r="AS94" s="176"/>
      <c r="AT94" s="176"/>
      <c r="AU94" s="176"/>
      <c r="AV94" s="176"/>
      <c r="AW94" s="176"/>
      <c r="AX94" s="176"/>
      <c r="AY94" s="176"/>
      <c r="AZ94" s="176"/>
      <c r="BA94" s="176"/>
      <c r="BB94" s="176"/>
      <c r="BC94" s="176"/>
      <c r="BD94" s="176"/>
      <c r="BE94" s="176"/>
      <c r="BF94" s="176"/>
      <c r="BG94" s="176"/>
      <c r="BH94" s="176"/>
      <c r="BI94" s="176"/>
      <c r="BJ94" s="176"/>
      <c r="BK94" s="176"/>
      <c r="BL94" s="176"/>
      <c r="BM94" s="176"/>
      <c r="BN94" s="176"/>
      <c r="BO94" s="176"/>
      <c r="BP94" s="176"/>
    </row>
    <row r="95" spans="1:69" s="36" customFormat="1" ht="11.25" customHeight="1" x14ac:dyDescent="0.2">
      <c r="A95" s="1025" t="str">
        <f t="shared" si="12"/>
        <v>Netzrückspeisung erneuerbar, HT</v>
      </c>
      <c r="B95" s="1026"/>
      <c r="C95" s="1026"/>
      <c r="D95" s="1027"/>
      <c r="E95" s="2346">
        <f>IF(G95=0,0,Grunddaten!$AH41/100)</f>
        <v>0</v>
      </c>
      <c r="F95" s="2347"/>
      <c r="G95" s="2419">
        <f t="shared" si="13"/>
        <v>0</v>
      </c>
      <c r="H95" s="2419"/>
      <c r="I95" s="2420"/>
      <c r="J95" s="2438">
        <f>$R$109*Grunddaten!Q41/100*G66</f>
        <v>0</v>
      </c>
      <c r="K95" s="2439"/>
      <c r="L95" s="2334">
        <f t="shared" ca="1" si="14"/>
        <v>0</v>
      </c>
      <c r="M95" s="2335"/>
      <c r="N95" s="2336"/>
      <c r="O95" s="143"/>
      <c r="P95" s="2479">
        <f ca="1">ROUND(NPV($J$9,S66:OFFSET(S66,0,$E$83-1)),-1)</f>
        <v>0</v>
      </c>
      <c r="Q95" s="2480"/>
      <c r="R95" s="297"/>
      <c r="S95" s="122"/>
      <c r="T95" s="122"/>
      <c r="U95" s="122"/>
      <c r="V95" s="122"/>
      <c r="AE95" s="133"/>
      <c r="AF95" s="133"/>
      <c r="AG95" s="222"/>
      <c r="AH95" s="222"/>
      <c r="AI95" s="222"/>
      <c r="AJ95" s="176"/>
      <c r="AK95" s="176"/>
      <c r="AL95" s="176"/>
      <c r="AM95" s="176"/>
      <c r="AN95" s="176"/>
      <c r="AO95" s="176"/>
      <c r="AP95" s="176"/>
      <c r="AQ95" s="176"/>
      <c r="AR95" s="176"/>
      <c r="AS95" s="176"/>
      <c r="AT95" s="176"/>
      <c r="AU95" s="176"/>
      <c r="AV95" s="176"/>
      <c r="AW95" s="176"/>
      <c r="AX95" s="176"/>
      <c r="AY95" s="176"/>
      <c r="AZ95" s="176"/>
      <c r="BA95" s="176"/>
      <c r="BB95" s="176"/>
      <c r="BC95" s="176"/>
      <c r="BD95" s="176"/>
      <c r="BE95" s="176"/>
      <c r="BF95" s="176"/>
      <c r="BG95" s="176"/>
      <c r="BH95" s="176"/>
      <c r="BI95" s="176"/>
      <c r="BJ95" s="176"/>
      <c r="BK95" s="176"/>
      <c r="BL95" s="176"/>
      <c r="BM95" s="176"/>
      <c r="BN95" s="176"/>
      <c r="BO95" s="176"/>
      <c r="BP95" s="176"/>
    </row>
    <row r="96" spans="1:69" s="36" customFormat="1" ht="11.25" customHeight="1" x14ac:dyDescent="0.2">
      <c r="A96" s="1011" t="str">
        <f t="shared" si="12"/>
        <v>Netzrückspeisung erneuerbar, NT</v>
      </c>
      <c r="B96" s="1253"/>
      <c r="C96" s="1253"/>
      <c r="D96" s="1028"/>
      <c r="E96" s="2421">
        <f>IF(G96=0,0,Grunddaten!$AH42/100)</f>
        <v>0</v>
      </c>
      <c r="F96" s="2422"/>
      <c r="G96" s="2344">
        <f t="shared" si="13"/>
        <v>0</v>
      </c>
      <c r="H96" s="2344"/>
      <c r="I96" s="2345"/>
      <c r="J96" s="2434">
        <f>$R$109*Grunddaten!Q41/100*G67</f>
        <v>0</v>
      </c>
      <c r="K96" s="2435"/>
      <c r="L96" s="2424">
        <f t="shared" ca="1" si="14"/>
        <v>0</v>
      </c>
      <c r="M96" s="2425"/>
      <c r="N96" s="2426"/>
      <c r="O96" s="143"/>
      <c r="P96" s="2479">
        <f ca="1">ROUND(NPV($J$9,S67:OFFSET(S67,0,$E$83-1)),-1)</f>
        <v>0</v>
      </c>
      <c r="Q96" s="2480"/>
      <c r="R96" s="297"/>
      <c r="S96" s="122"/>
      <c r="T96" s="122"/>
      <c r="U96" s="122"/>
      <c r="V96" s="122"/>
      <c r="AE96" s="133"/>
      <c r="AF96" s="133"/>
      <c r="AG96" s="222"/>
      <c r="AH96" s="222"/>
      <c r="AI96" s="222"/>
      <c r="AJ96" s="176"/>
      <c r="AK96" s="176"/>
      <c r="AL96" s="176"/>
      <c r="AM96" s="176"/>
      <c r="AN96" s="176"/>
      <c r="AO96" s="176"/>
      <c r="AP96" s="176"/>
      <c r="AQ96" s="176"/>
      <c r="AR96" s="176"/>
      <c r="AS96" s="176"/>
      <c r="AT96" s="176"/>
      <c r="AU96" s="176"/>
      <c r="AV96" s="176"/>
      <c r="AW96" s="176"/>
      <c r="AX96" s="176"/>
      <c r="AY96" s="176"/>
      <c r="AZ96" s="176"/>
      <c r="BA96" s="176"/>
      <c r="BB96" s="176"/>
      <c r="BC96" s="176"/>
      <c r="BD96" s="176"/>
      <c r="BE96" s="176"/>
      <c r="BF96" s="176"/>
      <c r="BG96" s="176"/>
      <c r="BH96" s="176"/>
      <c r="BI96" s="176"/>
      <c r="BJ96" s="176"/>
      <c r="BK96" s="176"/>
      <c r="BL96" s="176"/>
      <c r="BM96" s="176"/>
      <c r="BN96" s="176"/>
      <c r="BO96" s="176"/>
      <c r="BP96" s="176"/>
    </row>
    <row r="97" spans="1:74" s="36" customFormat="1" ht="11.25" customHeight="1" x14ac:dyDescent="0.2">
      <c r="A97" s="1025" t="str">
        <f t="shared" si="12"/>
        <v>Netzrückspeisung nicht erneuerbar, HT</v>
      </c>
      <c r="B97" s="1026"/>
      <c r="C97" s="1026"/>
      <c r="D97" s="1027"/>
      <c r="E97" s="2346">
        <f>IF(G97=0,0,Grunddaten!$AH43/100)</f>
        <v>0</v>
      </c>
      <c r="F97" s="2347"/>
      <c r="G97" s="2419">
        <f t="shared" si="13"/>
        <v>0</v>
      </c>
      <c r="H97" s="2419"/>
      <c r="I97" s="2420"/>
      <c r="J97" s="2438">
        <f>$R$109*Grunddaten!Q43/100*G68</f>
        <v>0</v>
      </c>
      <c r="K97" s="2439"/>
      <c r="L97" s="2334">
        <f t="shared" ca="1" si="14"/>
        <v>0</v>
      </c>
      <c r="M97" s="2335"/>
      <c r="N97" s="2336"/>
      <c r="O97" s="143"/>
      <c r="P97" s="2416">
        <f ca="1">ROUND(NPV($J$9,S68:OFFSET(S68,0,$E$83-1)),-1)</f>
        <v>0</v>
      </c>
      <c r="Q97" s="2417"/>
      <c r="R97" s="297"/>
      <c r="S97" s="618"/>
      <c r="T97" s="618"/>
      <c r="U97" s="618"/>
      <c r="V97" s="618"/>
      <c r="AE97" s="133"/>
      <c r="AF97" s="133"/>
      <c r="AG97" s="222"/>
      <c r="AH97" s="222"/>
      <c r="AI97" s="222"/>
      <c r="AJ97" s="176"/>
      <c r="AK97" s="176"/>
      <c r="AL97" s="176"/>
      <c r="AM97" s="176"/>
      <c r="AN97" s="176"/>
      <c r="AO97" s="176"/>
      <c r="AP97" s="176"/>
      <c r="AQ97" s="176"/>
      <c r="AR97" s="176"/>
      <c r="AS97" s="176"/>
      <c r="AT97" s="176"/>
      <c r="AU97" s="176"/>
      <c r="AV97" s="176"/>
      <c r="AW97" s="176"/>
      <c r="AX97" s="176"/>
      <c r="AY97" s="176"/>
      <c r="AZ97" s="176"/>
      <c r="BA97" s="176"/>
      <c r="BB97" s="176"/>
      <c r="BC97" s="176"/>
      <c r="BD97" s="176"/>
      <c r="BE97" s="176"/>
      <c r="BF97" s="176"/>
      <c r="BG97" s="176"/>
      <c r="BH97" s="176"/>
      <c r="BI97" s="176"/>
      <c r="BJ97" s="176"/>
      <c r="BK97" s="176"/>
      <c r="BL97" s="176"/>
      <c r="BM97" s="176"/>
      <c r="BN97" s="176"/>
      <c r="BO97" s="176"/>
      <c r="BP97" s="176"/>
    </row>
    <row r="98" spans="1:74" s="36" customFormat="1" ht="11.25" customHeight="1" x14ac:dyDescent="0.2">
      <c r="A98" s="1011" t="str">
        <f t="shared" si="12"/>
        <v>Netzrückspeisung nicht erneuerbar, NT</v>
      </c>
      <c r="B98" s="1253"/>
      <c r="C98" s="1253"/>
      <c r="D98" s="1028"/>
      <c r="E98" s="2421">
        <f>IF(G98=0,0,Grunddaten!$AH44/100)</f>
        <v>0</v>
      </c>
      <c r="F98" s="2422"/>
      <c r="G98" s="2344">
        <f t="shared" si="13"/>
        <v>0</v>
      </c>
      <c r="H98" s="2344"/>
      <c r="I98" s="2345"/>
      <c r="J98" s="2434">
        <f>$R$109*Grunddaten!Q43/100*G69</f>
        <v>0</v>
      </c>
      <c r="K98" s="2435"/>
      <c r="L98" s="2424">
        <f t="shared" ca="1" si="14"/>
        <v>0</v>
      </c>
      <c r="M98" s="2425"/>
      <c r="N98" s="2426"/>
      <c r="O98" s="143"/>
      <c r="P98" s="2452">
        <f ca="1">ROUND(NPV($J$9,S69:OFFSET(S69,0,$E$83-1)),-1)</f>
        <v>0</v>
      </c>
      <c r="Q98" s="2453"/>
      <c r="R98" s="297"/>
      <c r="S98" s="618"/>
      <c r="T98" s="618"/>
      <c r="U98" s="618"/>
      <c r="V98" s="618"/>
      <c r="AE98" s="133"/>
      <c r="AF98" s="133"/>
      <c r="AG98" s="222"/>
      <c r="AH98" s="222"/>
      <c r="AI98" s="222"/>
      <c r="AJ98" s="176"/>
      <c r="AK98" s="176"/>
      <c r="AL98" s="176"/>
      <c r="AM98" s="176"/>
      <c r="AN98" s="176"/>
      <c r="AO98" s="176"/>
      <c r="AP98" s="176"/>
      <c r="AQ98" s="176"/>
      <c r="AR98" s="176"/>
      <c r="AS98" s="176"/>
      <c r="AT98" s="176"/>
      <c r="AU98" s="176"/>
      <c r="AV98" s="176"/>
      <c r="AW98" s="176"/>
      <c r="AX98" s="176"/>
      <c r="AY98" s="176"/>
      <c r="AZ98" s="176"/>
      <c r="BA98" s="176"/>
      <c r="BB98" s="176"/>
      <c r="BC98" s="176"/>
      <c r="BD98" s="176"/>
      <c r="BE98" s="176"/>
      <c r="BF98" s="176"/>
      <c r="BG98" s="176"/>
      <c r="BH98" s="176"/>
      <c r="BI98" s="176"/>
      <c r="BJ98" s="176"/>
      <c r="BK98" s="176"/>
      <c r="BL98" s="176"/>
      <c r="BM98" s="176"/>
      <c r="BN98" s="176"/>
      <c r="BO98" s="176"/>
      <c r="BP98" s="176"/>
    </row>
    <row r="99" spans="1:74" s="36" customFormat="1" ht="11.25" customHeight="1" x14ac:dyDescent="0.2">
      <c r="A99" s="1029" t="str">
        <f t="shared" si="12"/>
        <v>Holzpellets</v>
      </c>
      <c r="B99" s="1030"/>
      <c r="C99" s="1030"/>
      <c r="D99" s="1021"/>
      <c r="E99" s="2340">
        <f ca="1">IF(G99=0,0,Grunddaten!$AH45/100)</f>
        <v>0</v>
      </c>
      <c r="F99" s="2341"/>
      <c r="G99" s="2350">
        <f t="shared" ca="1" si="13"/>
        <v>0</v>
      </c>
      <c r="H99" s="2350"/>
      <c r="I99" s="2351"/>
      <c r="J99" s="2436">
        <f ca="1">$R$109*Grunddaten!Q45/100*G70</f>
        <v>0</v>
      </c>
      <c r="K99" s="2437"/>
      <c r="L99" s="2449">
        <f t="shared" ca="1" si="14"/>
        <v>0</v>
      </c>
      <c r="M99" s="2450"/>
      <c r="N99" s="2451"/>
      <c r="O99" s="143"/>
      <c r="P99" s="2479">
        <f ca="1">ROUND(NPV($J$9,S70:OFFSET(S70,0,$E$83-1)),-1)</f>
        <v>0</v>
      </c>
      <c r="Q99" s="2480"/>
      <c r="R99" s="297"/>
      <c r="S99" s="122"/>
      <c r="T99" s="122"/>
      <c r="U99" s="122"/>
      <c r="V99" s="122"/>
      <c r="AE99" s="133"/>
      <c r="AF99" s="133"/>
      <c r="AG99" s="222"/>
      <c r="AH99" s="222"/>
      <c r="AI99" s="222"/>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c r="BP99" s="176"/>
    </row>
    <row r="100" spans="1:74" s="36" customFormat="1" ht="11.25" customHeight="1" x14ac:dyDescent="0.2">
      <c r="A100" s="1029" t="str">
        <f t="shared" si="12"/>
        <v>Holzschnitzel</v>
      </c>
      <c r="B100" s="1030"/>
      <c r="C100" s="1030"/>
      <c r="D100" s="1021"/>
      <c r="E100" s="2340">
        <f ca="1">IF(G100=0,0,Grunddaten!$AH46/100)</f>
        <v>0</v>
      </c>
      <c r="F100" s="2341"/>
      <c r="G100" s="2350">
        <f t="shared" ca="1" si="13"/>
        <v>0</v>
      </c>
      <c r="H100" s="2350"/>
      <c r="I100" s="2351"/>
      <c r="J100" s="2436">
        <f ca="1">$R$109*Grunddaten!Q46/100*G71</f>
        <v>0</v>
      </c>
      <c r="K100" s="2437"/>
      <c r="L100" s="2449">
        <f t="shared" ca="1" si="14"/>
        <v>0</v>
      </c>
      <c r="M100" s="2450"/>
      <c r="N100" s="2451"/>
      <c r="O100" s="143"/>
      <c r="P100" s="2412">
        <f ca="1">ROUND(NPV($J$9,S71:OFFSET(S71,0,$E$83-1)),-1)</f>
        <v>0</v>
      </c>
      <c r="Q100" s="2413"/>
      <c r="R100" s="297"/>
      <c r="S100" s="122"/>
      <c r="T100" s="122"/>
      <c r="U100" s="122"/>
      <c r="V100" s="122"/>
      <c r="AE100" s="133"/>
      <c r="AF100" s="133"/>
      <c r="AG100" s="222"/>
      <c r="AH100" s="222"/>
      <c r="AI100" s="222"/>
      <c r="AJ100" s="176"/>
      <c r="AK100" s="176"/>
      <c r="AL100" s="176"/>
      <c r="AM100" s="176"/>
      <c r="AN100" s="176"/>
      <c r="AO100" s="176"/>
      <c r="AP100" s="176"/>
      <c r="AQ100" s="176"/>
      <c r="AR100" s="176"/>
      <c r="AS100" s="176"/>
      <c r="AT100" s="176"/>
      <c r="AU100" s="176"/>
      <c r="AV100" s="176"/>
      <c r="AW100" s="176"/>
      <c r="AX100" s="176"/>
      <c r="AY100" s="176"/>
      <c r="AZ100" s="176"/>
      <c r="BA100" s="176"/>
      <c r="BB100" s="176"/>
      <c r="BC100" s="176"/>
      <c r="BD100" s="176"/>
      <c r="BE100" s="176"/>
      <c r="BF100" s="176"/>
      <c r="BG100" s="176"/>
      <c r="BH100" s="176"/>
      <c r="BI100" s="176"/>
      <c r="BJ100" s="176"/>
      <c r="BK100" s="176"/>
      <c r="BL100" s="176"/>
      <c r="BM100" s="176"/>
      <c r="BN100" s="176"/>
      <c r="BO100" s="176"/>
      <c r="BP100" s="176"/>
    </row>
    <row r="101" spans="1:74" s="36" customFormat="1" ht="11.25" customHeight="1" x14ac:dyDescent="0.2">
      <c r="A101" s="1029" t="str">
        <f t="shared" ref="A101:A107" si="15">A72</f>
        <v>Biogas</v>
      </c>
      <c r="B101" s="1030" t="str">
        <f>B72</f>
        <v>Energie360°</v>
      </c>
      <c r="C101" s="1030"/>
      <c r="D101" s="1021"/>
      <c r="E101" s="2340">
        <f ca="1">IF(G101=0,0,VLOOKUP(Projektdaten!H24,Grunddaten!C47:AI48,32,FALSE)/100)</f>
        <v>0</v>
      </c>
      <c r="F101" s="2341"/>
      <c r="G101" s="2350">
        <f t="shared" ca="1" si="13"/>
        <v>0</v>
      </c>
      <c r="H101" s="2350"/>
      <c r="I101" s="2351"/>
      <c r="J101" s="2436">
        <f ca="1">$R$109*VLOOKUP(Projektdaten!H24,Grunddaten!C47:AI48,15,FALSE)/100*G72</f>
        <v>0</v>
      </c>
      <c r="K101" s="2437"/>
      <c r="L101" s="2449">
        <f t="shared" ca="1" si="14"/>
        <v>0</v>
      </c>
      <c r="M101" s="2450"/>
      <c r="N101" s="2451"/>
      <c r="O101" s="143"/>
      <c r="P101" s="2412">
        <f ca="1">ROUND(NPV($J$9,S72:OFFSET(S72,0,$E$83-1)),-1)</f>
        <v>0</v>
      </c>
      <c r="Q101" s="2413"/>
      <c r="R101" s="297"/>
      <c r="S101" s="122"/>
      <c r="T101" s="122"/>
      <c r="U101" s="122"/>
      <c r="V101" s="122"/>
      <c r="AE101" s="133"/>
      <c r="AF101" s="133"/>
      <c r="AG101" s="222"/>
      <c r="AH101" s="222"/>
      <c r="AI101" s="222"/>
      <c r="AJ101" s="176"/>
      <c r="AK101" s="176"/>
      <c r="AL101" s="176"/>
      <c r="AM101" s="176"/>
      <c r="AN101" s="176"/>
      <c r="AO101" s="176"/>
      <c r="AP101" s="176"/>
      <c r="AQ101" s="176"/>
      <c r="AR101" s="176"/>
      <c r="AS101" s="176"/>
      <c r="AT101" s="176"/>
      <c r="AU101" s="176"/>
      <c r="AV101" s="176"/>
      <c r="AW101" s="176"/>
      <c r="AX101" s="176"/>
      <c r="AY101" s="176"/>
      <c r="AZ101" s="176"/>
      <c r="BA101" s="176"/>
      <c r="BB101" s="176"/>
      <c r="BC101" s="176"/>
      <c r="BD101" s="176"/>
      <c r="BE101" s="176"/>
      <c r="BF101" s="176"/>
      <c r="BG101" s="176"/>
      <c r="BH101" s="176"/>
      <c r="BI101" s="176"/>
      <c r="BJ101" s="176"/>
      <c r="BK101" s="176"/>
      <c r="BL101" s="176"/>
      <c r="BM101" s="176"/>
      <c r="BN101" s="176"/>
      <c r="BO101" s="176"/>
      <c r="BP101" s="176"/>
    </row>
    <row r="102" spans="1:74" s="36" customFormat="1" ht="11.25" customHeight="1" x14ac:dyDescent="0.2">
      <c r="A102" s="1029" t="str">
        <f t="shared" si="15"/>
        <v>Erdgas</v>
      </c>
      <c r="B102" s="1030"/>
      <c r="C102" s="1030"/>
      <c r="D102" s="1021"/>
      <c r="E102" s="2340">
        <f ca="1">IF(G102=0,0,Grunddaten!$AH49/100)</f>
        <v>0</v>
      </c>
      <c r="F102" s="2341"/>
      <c r="G102" s="2350">
        <f t="shared" ca="1" si="13"/>
        <v>0</v>
      </c>
      <c r="H102" s="2350"/>
      <c r="I102" s="2351"/>
      <c r="J102" s="2436">
        <f ca="1">$R$109*Grunddaten!Q49/100*G73</f>
        <v>0</v>
      </c>
      <c r="K102" s="2437"/>
      <c r="L102" s="2449">
        <f t="shared" ca="1" si="14"/>
        <v>0</v>
      </c>
      <c r="M102" s="2450"/>
      <c r="N102" s="2451"/>
      <c r="O102" s="143"/>
      <c r="P102" s="2412">
        <f ca="1">ROUND(NPV($J$9,S73:OFFSET(S73,0,$E$83-1)),-1)</f>
        <v>0</v>
      </c>
      <c r="Q102" s="2413"/>
      <c r="R102" s="297"/>
      <c r="S102" s="122"/>
      <c r="T102" s="122"/>
      <c r="U102" s="122"/>
      <c r="V102" s="122"/>
      <c r="AE102" s="133"/>
      <c r="AF102" s="133"/>
      <c r="AG102" s="222"/>
      <c r="AH102" s="222"/>
      <c r="AI102" s="222"/>
      <c r="AJ102" s="176"/>
      <c r="AK102" s="176"/>
      <c r="AL102" s="176"/>
      <c r="AM102" s="176"/>
      <c r="AN102" s="176"/>
      <c r="AO102" s="176"/>
      <c r="AP102" s="176"/>
      <c r="AQ102" s="176"/>
      <c r="AR102" s="176"/>
      <c r="AS102" s="176"/>
      <c r="AT102" s="176"/>
      <c r="AU102" s="176"/>
      <c r="AV102" s="176"/>
      <c r="AW102" s="176"/>
      <c r="AX102" s="176"/>
      <c r="AY102" s="176"/>
      <c r="AZ102" s="176"/>
      <c r="BA102" s="176"/>
      <c r="BB102" s="176"/>
      <c r="BC102" s="176"/>
      <c r="BD102" s="176"/>
      <c r="BE102" s="176"/>
      <c r="BF102" s="176"/>
      <c r="BG102" s="176"/>
      <c r="BH102" s="176"/>
      <c r="BI102" s="176"/>
      <c r="BJ102" s="176"/>
      <c r="BK102" s="176"/>
      <c r="BL102" s="176"/>
      <c r="BM102" s="176"/>
      <c r="BN102" s="176"/>
      <c r="BO102" s="176"/>
      <c r="BP102" s="176"/>
    </row>
    <row r="103" spans="1:74" s="36" customFormat="1" ht="11.25" customHeight="1" x14ac:dyDescent="0.2">
      <c r="A103" s="1029" t="str">
        <f t="shared" si="15"/>
        <v>Heizöl EL</v>
      </c>
      <c r="B103" s="1030"/>
      <c r="C103" s="1030"/>
      <c r="D103" s="1021"/>
      <c r="E103" s="2340">
        <f ca="1">IF(G103=0,0,Grunddaten!$AH50/100)</f>
        <v>0</v>
      </c>
      <c r="F103" s="2341"/>
      <c r="G103" s="2350">
        <f t="shared" ca="1" si="13"/>
        <v>0</v>
      </c>
      <c r="H103" s="2350"/>
      <c r="I103" s="2351"/>
      <c r="J103" s="2436">
        <f ca="1">$R$109*Grunddaten!Q50/100*G74</f>
        <v>0</v>
      </c>
      <c r="K103" s="2437"/>
      <c r="L103" s="2449">
        <f t="shared" ca="1" si="14"/>
        <v>0</v>
      </c>
      <c r="M103" s="2450"/>
      <c r="N103" s="2451"/>
      <c r="O103" s="143"/>
      <c r="P103" s="2412">
        <f ca="1">ROUND(NPV($J$9,S74:OFFSET(S74,0,$E$83-1)),-1)</f>
        <v>0</v>
      </c>
      <c r="Q103" s="2413"/>
      <c r="R103" s="297"/>
      <c r="S103" s="122"/>
      <c r="T103" s="122"/>
      <c r="U103" s="122"/>
      <c r="V103" s="122"/>
      <c r="AE103" s="133"/>
      <c r="AF103" s="133"/>
      <c r="AG103" s="222"/>
      <c r="AH103" s="222"/>
      <c r="AI103" s="222"/>
      <c r="AJ103" s="176"/>
      <c r="AK103" s="176"/>
      <c r="AL103" s="176"/>
      <c r="AM103" s="176"/>
      <c r="AN103" s="176"/>
      <c r="AO103" s="176"/>
      <c r="AP103" s="176"/>
      <c r="AQ103" s="176"/>
      <c r="AR103" s="176"/>
      <c r="AS103" s="176"/>
      <c r="AT103" s="176"/>
      <c r="AU103" s="176"/>
      <c r="AV103" s="176"/>
      <c r="AW103" s="176"/>
      <c r="AX103" s="176"/>
      <c r="AY103" s="176"/>
      <c r="AZ103" s="176"/>
      <c r="BA103" s="176"/>
      <c r="BB103" s="176"/>
      <c r="BC103" s="176"/>
      <c r="BD103" s="176"/>
      <c r="BE103" s="176"/>
      <c r="BF103" s="176"/>
      <c r="BG103" s="176"/>
      <c r="BH103" s="176"/>
      <c r="BI103" s="176"/>
      <c r="BJ103" s="176"/>
      <c r="BK103" s="176"/>
      <c r="BL103" s="176"/>
      <c r="BM103" s="176"/>
      <c r="BN103" s="176"/>
      <c r="BO103" s="176"/>
      <c r="BP103" s="176"/>
    </row>
    <row r="104" spans="1:74" s="36" customFormat="1" ht="11.25" customHeight="1" x14ac:dyDescent="0.2">
      <c r="A104" s="1029" t="str">
        <f t="shared" si="15"/>
        <v>Brennstoff XY</v>
      </c>
      <c r="B104" s="1030"/>
      <c r="C104" s="1030"/>
      <c r="D104" s="1021"/>
      <c r="E104" s="2340">
        <f ca="1">IF(G104=0,0,Grunddaten!$AH51/100)</f>
        <v>0</v>
      </c>
      <c r="F104" s="2341"/>
      <c r="G104" s="2350">
        <f t="shared" ca="1" si="13"/>
        <v>0</v>
      </c>
      <c r="H104" s="2350"/>
      <c r="I104" s="2351"/>
      <c r="J104" s="2436">
        <f ca="1">$R$109*Grunddaten!Q51/100*G75</f>
        <v>0</v>
      </c>
      <c r="K104" s="2437"/>
      <c r="L104" s="2449">
        <f t="shared" ca="1" si="14"/>
        <v>0</v>
      </c>
      <c r="M104" s="2450"/>
      <c r="N104" s="2451"/>
      <c r="O104" s="143"/>
      <c r="P104" s="2412">
        <f ca="1">ROUND(NPV($J$9,S75:OFFSET(S75,0,$E$83-1)),-1)</f>
        <v>0</v>
      </c>
      <c r="Q104" s="2413"/>
      <c r="R104" s="297"/>
      <c r="S104" s="122"/>
      <c r="T104" s="122"/>
      <c r="U104" s="122"/>
      <c r="V104" s="122"/>
      <c r="AE104" s="133"/>
      <c r="AF104" s="133"/>
      <c r="AG104" s="222"/>
      <c r="AH104" s="222"/>
      <c r="AI104" s="222"/>
      <c r="AJ104" s="176"/>
      <c r="AK104" s="176"/>
      <c r="AL104" s="176"/>
      <c r="AM104" s="176"/>
      <c r="AN104" s="176"/>
      <c r="AO104" s="176"/>
      <c r="AP104" s="176"/>
      <c r="AQ104" s="176"/>
      <c r="AR104" s="176"/>
      <c r="AS104" s="176"/>
      <c r="AT104" s="176"/>
      <c r="AU104" s="176"/>
      <c r="AV104" s="176"/>
      <c r="AW104" s="176"/>
      <c r="AX104" s="176"/>
      <c r="AY104" s="176"/>
      <c r="AZ104" s="176"/>
      <c r="BA104" s="176"/>
      <c r="BB104" s="176"/>
      <c r="BC104" s="176"/>
      <c r="BD104" s="176"/>
      <c r="BE104" s="176"/>
      <c r="BF104" s="176"/>
      <c r="BG104" s="176"/>
      <c r="BH104" s="176"/>
      <c r="BI104" s="176"/>
      <c r="BJ104" s="176"/>
      <c r="BK104" s="176"/>
      <c r="BL104" s="176"/>
      <c r="BM104" s="176"/>
      <c r="BN104" s="176"/>
      <c r="BO104" s="176"/>
      <c r="BP104" s="176"/>
    </row>
    <row r="105" spans="1:74" s="36" customFormat="1" ht="11.25" customHeight="1" x14ac:dyDescent="0.2">
      <c r="A105" s="1029" t="str">
        <f t="shared" si="15"/>
        <v>Fernwärme</v>
      </c>
      <c r="B105" s="1030" t="str">
        <f>B76</f>
        <v>Stadt Zürich erz</v>
      </c>
      <c r="C105" s="1030"/>
      <c r="D105" s="1021"/>
      <c r="E105" s="2340">
        <f ca="1">IF(G105=0,0,OFFSET(Grunddaten!$AH$52,FW_Produkt,0))/100</f>
        <v>0</v>
      </c>
      <c r="F105" s="2341"/>
      <c r="G105" s="2350">
        <f t="shared" ca="1" si="13"/>
        <v>0</v>
      </c>
      <c r="H105" s="2350"/>
      <c r="I105" s="2351"/>
      <c r="J105" s="2436">
        <f ca="1">$R$109*OFFSET(Grunddaten!$Q$52,FW_Produkt,0)/100*G76</f>
        <v>0</v>
      </c>
      <c r="K105" s="2437"/>
      <c r="L105" s="2449">
        <f t="shared" ca="1" si="14"/>
        <v>0</v>
      </c>
      <c r="M105" s="2450"/>
      <c r="N105" s="2451"/>
      <c r="O105" s="143"/>
      <c r="P105" s="2412">
        <f ca="1">ROUND(NPV($J$9,S76:OFFSET(S76,0,$E$83-1)),-1)</f>
        <v>0</v>
      </c>
      <c r="Q105" s="2413"/>
      <c r="R105" s="297"/>
      <c r="S105" s="122"/>
      <c r="T105" s="122"/>
      <c r="U105" s="122"/>
      <c r="V105" s="122"/>
      <c r="AE105" s="133"/>
      <c r="AF105" s="133"/>
      <c r="AG105" s="222"/>
      <c r="AH105" s="222"/>
      <c r="AI105" s="222"/>
      <c r="AJ105" s="176"/>
      <c r="AK105" s="176"/>
      <c r="AL105" s="176"/>
      <c r="AM105" s="176"/>
      <c r="AN105" s="176"/>
      <c r="AO105" s="176"/>
      <c r="AP105" s="176"/>
      <c r="AQ105" s="176"/>
      <c r="AR105" s="176"/>
      <c r="AS105" s="176"/>
      <c r="AT105" s="176"/>
      <c r="AU105" s="176"/>
      <c r="AV105" s="176"/>
      <c r="AW105" s="176"/>
      <c r="AX105" s="176"/>
      <c r="AY105" s="176"/>
      <c r="AZ105" s="176"/>
      <c r="BA105" s="176"/>
      <c r="BB105" s="176"/>
      <c r="BC105" s="176"/>
      <c r="BD105" s="176"/>
      <c r="BE105" s="176"/>
      <c r="BF105" s="176"/>
      <c r="BG105" s="176"/>
      <c r="BH105" s="176"/>
      <c r="BI105" s="176"/>
      <c r="BJ105" s="176"/>
      <c r="BK105" s="176"/>
      <c r="BL105" s="176"/>
      <c r="BM105" s="176"/>
      <c r="BN105" s="176"/>
      <c r="BO105" s="176"/>
      <c r="BP105" s="176"/>
    </row>
    <row r="106" spans="1:74" s="36" customFormat="1" ht="11.25" customHeight="1" x14ac:dyDescent="0.2">
      <c r="A106" s="1029" t="str">
        <f t="shared" si="15"/>
        <v>Wärmeverbund XY</v>
      </c>
      <c r="B106" s="1030"/>
      <c r="C106" s="1030"/>
      <c r="D106" s="1021"/>
      <c r="E106" s="2340">
        <f ca="1">IF(G106=0,0,Grunddaten!$AH55/100)</f>
        <v>0</v>
      </c>
      <c r="F106" s="2341"/>
      <c r="G106" s="2350">
        <f t="shared" ca="1" si="13"/>
        <v>0</v>
      </c>
      <c r="H106" s="2350"/>
      <c r="I106" s="2351"/>
      <c r="J106" s="2436">
        <f ca="1">$R$109*Grunddaten!Q55/100*G77</f>
        <v>0</v>
      </c>
      <c r="K106" s="2437"/>
      <c r="L106" s="2449">
        <f t="shared" ca="1" si="14"/>
        <v>0</v>
      </c>
      <c r="M106" s="2450"/>
      <c r="N106" s="2451"/>
      <c r="O106" s="143"/>
      <c r="P106" s="2412">
        <f ca="1">ROUND(NPV($J$9,S77:OFFSET(S77,0,$E$83-1)),-1)</f>
        <v>0</v>
      </c>
      <c r="Q106" s="2413"/>
      <c r="R106" s="297"/>
      <c r="S106" s="582"/>
      <c r="T106" s="582"/>
      <c r="U106" s="582"/>
      <c r="V106" s="582"/>
      <c r="AE106" s="133"/>
      <c r="AF106" s="133"/>
      <c r="AG106" s="222"/>
      <c r="AH106" s="222"/>
      <c r="AI106" s="222"/>
      <c r="AJ106" s="176"/>
      <c r="AK106" s="176"/>
      <c r="AL106" s="176"/>
      <c r="AM106" s="176"/>
      <c r="AN106" s="176"/>
      <c r="AO106" s="176"/>
      <c r="AP106" s="176"/>
      <c r="AQ106" s="176"/>
      <c r="AR106" s="176"/>
      <c r="AS106" s="176"/>
      <c r="AT106" s="176"/>
      <c r="AU106" s="176"/>
      <c r="AV106" s="176"/>
      <c r="AW106" s="176"/>
      <c r="AX106" s="176"/>
      <c r="AY106" s="176"/>
      <c r="AZ106" s="176"/>
      <c r="BA106" s="176"/>
      <c r="BB106" s="176"/>
      <c r="BC106" s="176"/>
      <c r="BD106" s="176"/>
      <c r="BE106" s="176"/>
      <c r="BF106" s="176"/>
      <c r="BG106" s="176"/>
      <c r="BH106" s="176"/>
      <c r="BI106" s="176"/>
      <c r="BJ106" s="176"/>
      <c r="BK106" s="176"/>
      <c r="BL106" s="176"/>
      <c r="BM106" s="176"/>
      <c r="BN106" s="176"/>
      <c r="BO106" s="176"/>
      <c r="BP106" s="176"/>
    </row>
    <row r="107" spans="1:74" s="36" customFormat="1" ht="11.25" customHeight="1" x14ac:dyDescent="0.2">
      <c r="A107" s="1031" t="str">
        <f t="shared" si="15"/>
        <v>Kälteverbund XY</v>
      </c>
      <c r="B107" s="1254"/>
      <c r="C107" s="1254"/>
      <c r="D107" s="1033"/>
      <c r="E107" s="2506">
        <f ca="1">IF(G107=0,0,Grunddaten!$AH56/100)</f>
        <v>0</v>
      </c>
      <c r="F107" s="2507"/>
      <c r="G107" s="2508">
        <f t="shared" ref="G107" ca="1" si="16">L78-J107</f>
        <v>0</v>
      </c>
      <c r="H107" s="2508"/>
      <c r="I107" s="2509"/>
      <c r="J107" s="2510">
        <f ca="1">$R$109*Grunddaten!Q56/100*G78</f>
        <v>0</v>
      </c>
      <c r="K107" s="2511"/>
      <c r="L107" s="2431">
        <f t="shared" ref="L107" ca="1" si="17">IF(P107=0,0,-ROUND(PMT($J$9,$E$83,$P107),-1))</f>
        <v>0</v>
      </c>
      <c r="M107" s="2432"/>
      <c r="N107" s="2433"/>
      <c r="O107" s="143"/>
      <c r="P107" s="2490">
        <f ca="1">ROUND(NPV($J$9,S78:OFFSET(S78,0,$E$83-1)),-1)</f>
        <v>0</v>
      </c>
      <c r="Q107" s="2491"/>
      <c r="R107" s="297"/>
      <c r="S107" s="693"/>
      <c r="T107" s="693"/>
      <c r="U107" s="693"/>
      <c r="V107" s="693"/>
      <c r="AE107" s="133"/>
      <c r="AF107" s="133"/>
      <c r="AG107" s="222"/>
      <c r="AH107" s="222"/>
      <c r="AI107" s="222"/>
      <c r="AJ107" s="176"/>
      <c r="AK107" s="176"/>
      <c r="AL107" s="176"/>
      <c r="AM107" s="176"/>
      <c r="AN107" s="176"/>
      <c r="AO107" s="176"/>
      <c r="AP107" s="176"/>
      <c r="AQ107" s="176"/>
      <c r="AR107" s="176"/>
      <c r="AS107" s="176"/>
      <c r="AT107" s="176"/>
      <c r="AU107" s="176"/>
      <c r="AV107" s="176"/>
      <c r="AW107" s="176"/>
      <c r="AX107" s="176"/>
      <c r="AY107" s="176"/>
      <c r="AZ107" s="176"/>
      <c r="BA107" s="176"/>
      <c r="BB107" s="176"/>
      <c r="BC107" s="176"/>
      <c r="BD107" s="176"/>
      <c r="BE107" s="176"/>
      <c r="BF107" s="176"/>
      <c r="BG107" s="176"/>
      <c r="BH107" s="176"/>
      <c r="BI107" s="176"/>
      <c r="BJ107" s="176"/>
      <c r="BK107" s="176"/>
      <c r="BL107" s="176"/>
      <c r="BM107" s="176"/>
      <c r="BN107" s="176"/>
      <c r="BO107" s="176"/>
      <c r="BP107" s="176"/>
    </row>
    <row r="108" spans="1:74" s="36" customFormat="1" ht="12" customHeight="1" x14ac:dyDescent="0.2">
      <c r="A108" s="1224" t="s">
        <v>37</v>
      </c>
      <c r="B108" s="1225"/>
      <c r="C108" s="1226"/>
      <c r="D108" s="1226"/>
      <c r="E108" s="1227"/>
      <c r="F108" s="1228"/>
      <c r="G108" s="2337">
        <f ca="1">ROUND(SUM(G91:G107),-1)</f>
        <v>0</v>
      </c>
      <c r="H108" s="2338"/>
      <c r="I108" s="2499"/>
      <c r="J108" s="2575" t="s">
        <v>38</v>
      </c>
      <c r="K108" s="2576"/>
      <c r="L108" s="2337">
        <f ca="1">ROUND(SUM(L91:N107),-1)</f>
        <v>0</v>
      </c>
      <c r="M108" s="2338"/>
      <c r="N108" s="2339"/>
      <c r="O108" s="142"/>
      <c r="S108" s="176"/>
      <c r="AE108" s="133"/>
      <c r="AF108" s="133"/>
      <c r="AG108" s="222"/>
      <c r="AH108" s="222"/>
      <c r="AI108" s="222"/>
      <c r="AJ108" s="176"/>
      <c r="AK108" s="176"/>
      <c r="AL108" s="176"/>
      <c r="AM108" s="176"/>
      <c r="AN108" s="176"/>
      <c r="AO108" s="176"/>
      <c r="AP108" s="176"/>
      <c r="AQ108" s="176"/>
      <c r="AR108" s="176"/>
      <c r="AS108" s="176"/>
      <c r="AT108" s="176"/>
      <c r="AU108" s="176"/>
      <c r="AV108" s="176"/>
      <c r="AW108" s="176"/>
      <c r="AX108" s="176"/>
      <c r="AY108" s="176"/>
      <c r="AZ108" s="176"/>
      <c r="BA108" s="176"/>
      <c r="BB108" s="176"/>
      <c r="BC108" s="176"/>
      <c r="BD108" s="176"/>
      <c r="BE108" s="176"/>
      <c r="BF108" s="176"/>
      <c r="BG108" s="176"/>
      <c r="BH108" s="176"/>
      <c r="BI108" s="176"/>
      <c r="BJ108" s="176"/>
      <c r="BK108" s="176"/>
      <c r="BL108" s="176"/>
      <c r="BM108" s="176"/>
      <c r="BN108" s="176"/>
      <c r="BO108" s="176"/>
      <c r="BP108" s="176"/>
    </row>
    <row r="109" spans="1:74" s="36" customFormat="1" ht="12" customHeight="1" x14ac:dyDescent="0.2">
      <c r="A109" s="1224" t="s">
        <v>648</v>
      </c>
      <c r="B109" s="1225"/>
      <c r="C109" s="2418" t="str">
        <f>IF($R$109=TRUE,"(berücksichtigt)","(nicht berücksichtigt)")</f>
        <v>(nicht berücksichtigt)</v>
      </c>
      <c r="D109" s="2418"/>
      <c r="E109" s="1228"/>
      <c r="F109" s="1228"/>
      <c r="G109" s="1229"/>
      <c r="H109" s="1229"/>
      <c r="I109" s="1230"/>
      <c r="J109" s="2456">
        <f ca="1">$R$109*ROUND(SUM(J91:J107),-1)</f>
        <v>0</v>
      </c>
      <c r="K109" s="2456"/>
      <c r="L109" s="2337">
        <f ca="1">J109</f>
        <v>0</v>
      </c>
      <c r="M109" s="2338"/>
      <c r="N109" s="2339"/>
      <c r="O109" s="142"/>
      <c r="P109" s="294" t="s">
        <v>422</v>
      </c>
      <c r="Q109" s="295"/>
      <c r="R109" s="296" t="b">
        <f>Grunddaten!$AH$10</f>
        <v>0</v>
      </c>
      <c r="S109" s="151" t="s">
        <v>423</v>
      </c>
      <c r="AE109" s="133"/>
      <c r="AF109" s="133"/>
      <c r="AG109" s="222"/>
      <c r="AH109" s="222"/>
      <c r="AI109" s="222"/>
      <c r="AJ109" s="176"/>
      <c r="AK109" s="176"/>
      <c r="AL109" s="176"/>
      <c r="AM109" s="176"/>
      <c r="AN109" s="176"/>
      <c r="AO109" s="176"/>
      <c r="AP109" s="176"/>
      <c r="AQ109" s="176"/>
      <c r="AR109" s="176"/>
      <c r="AS109" s="176"/>
      <c r="AT109" s="176"/>
      <c r="AU109" s="176"/>
      <c r="AV109" s="176"/>
      <c r="AW109" s="176"/>
      <c r="AX109" s="176"/>
      <c r="AY109" s="176"/>
      <c r="AZ109" s="176"/>
      <c r="BA109" s="176"/>
      <c r="BB109" s="176"/>
      <c r="BC109" s="176"/>
      <c r="BD109" s="176"/>
      <c r="BE109" s="176"/>
      <c r="BF109" s="176"/>
      <c r="BG109" s="176"/>
      <c r="BH109" s="176"/>
      <c r="BI109" s="176"/>
      <c r="BJ109" s="176"/>
      <c r="BK109" s="176"/>
      <c r="BL109" s="176"/>
      <c r="BM109" s="176"/>
      <c r="BN109" s="176"/>
      <c r="BO109" s="176"/>
      <c r="BP109" s="176"/>
    </row>
    <row r="110" spans="1:74" s="36" customFormat="1" ht="13.5" customHeight="1" x14ac:dyDescent="0.2">
      <c r="A110" s="1051" t="s">
        <v>36</v>
      </c>
      <c r="B110" s="1201"/>
      <c r="C110" s="1193"/>
      <c r="D110" s="1193"/>
      <c r="E110" s="1231"/>
      <c r="F110" s="1232"/>
      <c r="G110" s="2521">
        <f ca="1">G88+G89+G108+J109</f>
        <v>0</v>
      </c>
      <c r="H110" s="2522"/>
      <c r="I110" s="2522"/>
      <c r="J110" s="2522"/>
      <c r="K110" s="2522"/>
      <c r="L110" s="2337">
        <f ca="1">ROUND(SUM(L88+L89+L108+L109),-1)</f>
        <v>0</v>
      </c>
      <c r="M110" s="2338"/>
      <c r="N110" s="2339"/>
      <c r="O110" s="142"/>
      <c r="P110" s="139"/>
      <c r="R110" s="176"/>
      <c r="S110" s="176"/>
      <c r="AE110" s="133"/>
      <c r="AF110" s="133"/>
      <c r="AG110" s="222"/>
      <c r="AH110" s="222"/>
      <c r="AI110" s="222"/>
      <c r="AJ110" s="176"/>
      <c r="AK110" s="176"/>
      <c r="AL110" s="176"/>
      <c r="AM110" s="176"/>
      <c r="AN110" s="176"/>
      <c r="AO110" s="176"/>
      <c r="AP110" s="176"/>
      <c r="AQ110" s="176"/>
      <c r="AR110" s="176"/>
      <c r="AS110" s="176"/>
      <c r="AT110" s="176"/>
      <c r="AU110" s="176"/>
      <c r="AV110" s="176"/>
      <c r="AW110" s="176"/>
      <c r="AX110" s="176"/>
      <c r="AY110" s="176"/>
      <c r="AZ110" s="176"/>
      <c r="BA110" s="176"/>
      <c r="BB110" s="176"/>
      <c r="BC110" s="176"/>
      <c r="BD110" s="176"/>
      <c r="BE110" s="176"/>
      <c r="BF110" s="176"/>
      <c r="BG110" s="176"/>
      <c r="BH110" s="176"/>
      <c r="BI110" s="176"/>
      <c r="BJ110" s="176"/>
      <c r="BK110" s="176"/>
      <c r="BL110" s="176"/>
      <c r="BM110" s="176"/>
      <c r="BN110" s="176"/>
      <c r="BO110" s="176"/>
      <c r="BP110" s="176"/>
      <c r="BS110" s="122"/>
      <c r="BT110" s="122"/>
      <c r="BU110" s="122"/>
      <c r="BV110" s="122"/>
    </row>
    <row r="111" spans="1:74" s="80" customFormat="1" ht="6" customHeight="1" x14ac:dyDescent="0.2">
      <c r="A111" s="41" t="s">
        <v>11</v>
      </c>
      <c r="B111" s="41"/>
      <c r="C111" s="40"/>
      <c r="D111" s="40"/>
      <c r="E111" s="40"/>
      <c r="F111" s="40"/>
      <c r="G111" s="40"/>
      <c r="H111" s="79" t="s">
        <v>11</v>
      </c>
      <c r="I111" s="79"/>
      <c r="K111" s="81" t="s">
        <v>11</v>
      </c>
      <c r="L111" s="81"/>
      <c r="M111" s="81"/>
      <c r="N111" s="81"/>
      <c r="O111" s="81"/>
      <c r="P111" s="35"/>
      <c r="Q111" s="123"/>
      <c r="S111" s="229"/>
      <c r="T111" s="229"/>
      <c r="AD111" s="123"/>
      <c r="AE111" s="123"/>
      <c r="AF111" s="123"/>
      <c r="AG111" s="123"/>
      <c r="AH111" s="230"/>
      <c r="AI111" s="230"/>
      <c r="AJ111" s="230"/>
      <c r="AK111" s="229"/>
      <c r="AL111" s="229"/>
      <c r="AM111" s="229"/>
      <c r="AN111" s="229"/>
      <c r="AO111" s="229"/>
      <c r="AP111" s="229"/>
      <c r="AQ111" s="229"/>
      <c r="AR111" s="229"/>
      <c r="AS111" s="229"/>
      <c r="AT111" s="229"/>
      <c r="AU111" s="229"/>
      <c r="AV111" s="229"/>
      <c r="AW111" s="229"/>
      <c r="AX111" s="229"/>
      <c r="AY111" s="229"/>
      <c r="AZ111" s="229"/>
      <c r="BA111" s="229"/>
      <c r="BB111" s="229"/>
      <c r="BC111" s="229"/>
      <c r="BD111" s="229"/>
      <c r="BE111" s="229"/>
      <c r="BF111" s="229"/>
      <c r="BG111" s="229"/>
      <c r="BH111" s="229"/>
      <c r="BI111" s="229"/>
      <c r="BJ111" s="229"/>
      <c r="BK111" s="229"/>
      <c r="BL111" s="229"/>
      <c r="BM111" s="229"/>
      <c r="BN111" s="229"/>
      <c r="BO111" s="229"/>
      <c r="BP111" s="229"/>
      <c r="BQ111" s="229"/>
      <c r="BS111" s="122"/>
      <c r="BT111" s="122"/>
      <c r="BU111" s="122"/>
      <c r="BV111" s="122"/>
    </row>
    <row r="112" spans="1:74" s="33" customFormat="1" ht="17.25" customHeight="1" x14ac:dyDescent="0.25">
      <c r="A112" s="49" t="s">
        <v>416</v>
      </c>
      <c r="B112" s="49"/>
      <c r="D112" s="629"/>
      <c r="E112" s="629" t="str">
        <f>$D$88</f>
        <v>(Förderbeiträge berücksichtigen)</v>
      </c>
      <c r="F112" s="44"/>
      <c r="G112" s="44"/>
      <c r="H112" s="32"/>
      <c r="I112" s="32"/>
      <c r="J112" s="32"/>
      <c r="K112" s="43"/>
      <c r="L112" s="43"/>
      <c r="M112" s="43"/>
      <c r="N112" s="43"/>
      <c r="O112" s="43"/>
      <c r="P112" s="279" t="s">
        <v>412</v>
      </c>
      <c r="S112" s="175"/>
      <c r="T112" s="175"/>
      <c r="U112" s="175"/>
      <c r="V112" s="175"/>
      <c r="W112" s="175"/>
      <c r="X112" s="175"/>
      <c r="AB112" s="179"/>
      <c r="AC112" s="123"/>
      <c r="AD112" s="123"/>
      <c r="AE112" s="123"/>
      <c r="AF112" s="123"/>
      <c r="AG112" s="123"/>
      <c r="AH112" s="174"/>
      <c r="AI112" s="174"/>
      <c r="AJ112" s="174"/>
      <c r="AK112" s="175"/>
      <c r="AL112" s="175"/>
      <c r="AM112" s="175"/>
      <c r="AN112" s="175"/>
      <c r="AO112" s="175"/>
      <c r="AP112" s="175"/>
      <c r="AQ112" s="175"/>
      <c r="AR112" s="175"/>
      <c r="AS112" s="175"/>
      <c r="AT112" s="175"/>
      <c r="AU112" s="175"/>
      <c r="AV112" s="175"/>
      <c r="AW112" s="175"/>
      <c r="AX112" s="175"/>
      <c r="AY112" s="175"/>
      <c r="AZ112" s="175"/>
      <c r="BA112" s="175"/>
      <c r="BB112" s="175"/>
      <c r="BC112" s="175"/>
      <c r="BD112" s="175"/>
      <c r="BE112" s="175"/>
      <c r="BF112" s="175"/>
      <c r="BG112" s="175"/>
      <c r="BH112" s="175"/>
      <c r="BI112" s="175"/>
      <c r="BJ112" s="175"/>
      <c r="BK112" s="175"/>
      <c r="BL112" s="175"/>
      <c r="BM112" s="175"/>
      <c r="BN112" s="175"/>
      <c r="BO112" s="175"/>
      <c r="BP112" s="175"/>
      <c r="BQ112" s="175"/>
      <c r="BS112" s="122"/>
      <c r="BT112" s="122"/>
      <c r="BU112" s="122"/>
      <c r="BV112" s="122"/>
    </row>
    <row r="113" spans="1:74" s="33" customFormat="1" ht="2.25" customHeight="1" x14ac:dyDescent="0.2">
      <c r="A113" s="34"/>
      <c r="B113" s="34"/>
      <c r="C113" s="43"/>
      <c r="D113" s="43"/>
      <c r="E113" s="43"/>
      <c r="F113" s="43"/>
      <c r="G113" s="43"/>
      <c r="H113" s="34"/>
      <c r="I113" s="34"/>
      <c r="J113" s="34"/>
      <c r="K113" s="34"/>
      <c r="L113" s="34"/>
      <c r="M113" s="34"/>
      <c r="N113" s="34"/>
      <c r="O113" s="34"/>
      <c r="Q113" s="123"/>
      <c r="S113" s="175"/>
      <c r="T113" s="175"/>
      <c r="U113" s="175"/>
      <c r="V113" s="175"/>
      <c r="W113" s="175"/>
      <c r="X113" s="175"/>
      <c r="AB113" s="123"/>
      <c r="AC113" s="123"/>
      <c r="AD113" s="123"/>
      <c r="AE113" s="123"/>
      <c r="AF113" s="123"/>
      <c r="AG113" s="123"/>
      <c r="AH113" s="174"/>
      <c r="AI113" s="174"/>
      <c r="AJ113" s="174"/>
      <c r="AK113" s="175"/>
      <c r="AL113" s="175"/>
      <c r="AM113" s="175"/>
      <c r="AN113" s="175"/>
      <c r="AO113" s="175"/>
      <c r="AP113" s="175"/>
      <c r="AQ113" s="175"/>
      <c r="AR113" s="175"/>
      <c r="AS113" s="175"/>
      <c r="AT113" s="175"/>
      <c r="AU113" s="175"/>
      <c r="AV113" s="175"/>
      <c r="AW113" s="175"/>
      <c r="AX113" s="175"/>
      <c r="AY113" s="175"/>
      <c r="AZ113" s="175"/>
      <c r="BA113" s="175"/>
      <c r="BB113" s="175"/>
      <c r="BC113" s="175"/>
      <c r="BD113" s="175"/>
      <c r="BE113" s="175"/>
      <c r="BF113" s="175"/>
      <c r="BG113" s="175"/>
      <c r="BH113" s="175"/>
      <c r="BI113" s="175"/>
      <c r="BJ113" s="175"/>
      <c r="BK113" s="175"/>
      <c r="BL113" s="175"/>
      <c r="BM113" s="175"/>
      <c r="BN113" s="175"/>
      <c r="BO113" s="175"/>
      <c r="BP113" s="175"/>
      <c r="BQ113" s="175"/>
      <c r="BS113" s="122"/>
      <c r="BT113" s="122"/>
      <c r="BU113" s="122"/>
      <c r="BV113" s="122"/>
    </row>
    <row r="114" spans="1:74" s="33" customFormat="1" ht="12.95" customHeight="1" thickBot="1" x14ac:dyDescent="0.25">
      <c r="A114" s="1049"/>
      <c r="B114" s="1233"/>
      <c r="C114" s="2378" t="s">
        <v>418</v>
      </c>
      <c r="D114" s="2405"/>
      <c r="E114" s="2405"/>
      <c r="F114" s="2379"/>
      <c r="G114" s="2378" t="s">
        <v>581</v>
      </c>
      <c r="H114" s="2405"/>
      <c r="I114" s="2405"/>
      <c r="J114" s="2405"/>
      <c r="K114" s="2405"/>
      <c r="L114" s="2405"/>
      <c r="M114" s="2405"/>
      <c r="N114" s="2379"/>
      <c r="O114" s="122"/>
      <c r="P114" s="214" t="s">
        <v>413</v>
      </c>
      <c r="Q114" s="175"/>
      <c r="R114" s="175"/>
      <c r="S114" s="175"/>
      <c r="T114" s="175"/>
      <c r="U114" s="175"/>
      <c r="V114" s="175"/>
      <c r="W114" s="175"/>
      <c r="AA114" s="123"/>
      <c r="AB114" s="123"/>
      <c r="AC114" s="123"/>
      <c r="AD114" s="123"/>
      <c r="AE114" s="123"/>
      <c r="AF114" s="174"/>
      <c r="AG114" s="174"/>
      <c r="AH114" s="174"/>
      <c r="AI114" s="175"/>
      <c r="AJ114" s="175"/>
      <c r="AK114" s="175"/>
      <c r="AL114" s="175"/>
      <c r="AM114" s="175"/>
      <c r="AN114" s="175"/>
      <c r="AO114" s="175"/>
      <c r="AP114" s="175"/>
      <c r="AQ114" s="175"/>
      <c r="AR114" s="175"/>
      <c r="AS114" s="175"/>
      <c r="AT114" s="175"/>
      <c r="AU114" s="175"/>
      <c r="AV114" s="175"/>
      <c r="AW114" s="175"/>
      <c r="AX114" s="175"/>
      <c r="AY114" s="175"/>
      <c r="AZ114" s="175"/>
      <c r="BA114" s="175"/>
      <c r="BB114" s="175"/>
      <c r="BC114" s="175"/>
      <c r="BD114" s="175"/>
      <c r="BE114" s="175"/>
      <c r="BF114" s="175"/>
      <c r="BG114" s="175"/>
      <c r="BH114" s="175"/>
      <c r="BI114" s="175"/>
      <c r="BJ114" s="175"/>
      <c r="BK114" s="175"/>
      <c r="BL114" s="175"/>
      <c r="BM114" s="175"/>
      <c r="BN114" s="175"/>
      <c r="BO114" s="175"/>
      <c r="BS114" s="122"/>
      <c r="BT114" s="122"/>
      <c r="BU114" s="122"/>
      <c r="BV114" s="122"/>
    </row>
    <row r="115" spans="1:74" s="33" customFormat="1" ht="12.95" customHeight="1" thickBot="1" x14ac:dyDescent="0.25">
      <c r="A115" s="1050"/>
      <c r="B115" s="1234"/>
      <c r="C115" s="2512" t="s">
        <v>23</v>
      </c>
      <c r="D115" s="2429"/>
      <c r="E115" s="2429"/>
      <c r="F115" s="2430"/>
      <c r="G115" s="2512" t="s">
        <v>410</v>
      </c>
      <c r="H115" s="2429"/>
      <c r="I115" s="2429"/>
      <c r="J115" s="2459" t="s">
        <v>411</v>
      </c>
      <c r="K115" s="2460"/>
      <c r="L115" s="2429" t="s">
        <v>391</v>
      </c>
      <c r="M115" s="2429"/>
      <c r="N115" s="2430"/>
      <c r="O115" s="122"/>
      <c r="P115" s="278">
        <f>SUM(P116:P118)</f>
        <v>0</v>
      </c>
      <c r="Q115" s="276">
        <v>2</v>
      </c>
      <c r="R115" s="276">
        <v>3</v>
      </c>
      <c r="S115" s="276">
        <v>4</v>
      </c>
      <c r="T115" s="276">
        <v>5</v>
      </c>
      <c r="U115" s="276">
        <v>6</v>
      </c>
      <c r="V115" s="277">
        <v>7</v>
      </c>
      <c r="W115" s="175"/>
      <c r="AA115" s="123"/>
      <c r="AB115" s="123"/>
      <c r="AC115" s="123"/>
      <c r="AD115" s="123"/>
      <c r="AE115" s="123"/>
      <c r="AF115" s="174"/>
      <c r="AG115" s="174"/>
      <c r="AH115" s="174"/>
      <c r="AI115" s="175"/>
      <c r="AJ115" s="175"/>
      <c r="AK115" s="175"/>
      <c r="AL115" s="175"/>
      <c r="AM115" s="175"/>
      <c r="AN115" s="175"/>
      <c r="AO115" s="175"/>
      <c r="AP115" s="175"/>
      <c r="AQ115" s="175"/>
      <c r="AR115" s="175"/>
      <c r="AS115" s="175"/>
      <c r="AT115" s="175"/>
      <c r="AU115" s="175"/>
      <c r="AV115" s="175"/>
      <c r="AW115" s="175"/>
      <c r="AX115" s="175"/>
      <c r="AY115" s="175"/>
      <c r="AZ115" s="175"/>
      <c r="BA115" s="175"/>
      <c r="BB115" s="175"/>
      <c r="BC115" s="175"/>
      <c r="BD115" s="175"/>
      <c r="BE115" s="175"/>
      <c r="BF115" s="175"/>
      <c r="BG115" s="175"/>
      <c r="BH115" s="175"/>
      <c r="BI115" s="175"/>
      <c r="BJ115" s="175"/>
      <c r="BK115" s="175"/>
      <c r="BL115" s="175"/>
      <c r="BM115" s="175"/>
      <c r="BN115" s="175"/>
      <c r="BO115" s="175"/>
      <c r="BS115" s="122"/>
      <c r="BT115" s="122"/>
      <c r="BU115" s="122"/>
      <c r="BV115" s="122"/>
    </row>
    <row r="116" spans="1:74" s="33" customFormat="1" ht="12.75" x14ac:dyDescent="0.2">
      <c r="A116" s="1034" t="s">
        <v>407</v>
      </c>
      <c r="B116" s="1035"/>
      <c r="C116" s="2527">
        <f>SUM(EV_Var3!$M$11:$M$40,EV_Var3!$M$44,EV_Var3!$M$48,EV_Var3!$M$59,EV_Var3!$R$59)</f>
        <v>0</v>
      </c>
      <c r="D116" s="2528"/>
      <c r="E116" s="2528"/>
      <c r="F116" s="2529"/>
      <c r="G116" s="2513" t="str">
        <f>IF(C116=0,"",IF(OR($P$115=0,NOT(ISBLANK(J116))),$L$119,HLOOKUP($P$115,$Q$115:$V$118,2,FALSE)))</f>
        <v/>
      </c>
      <c r="H116" s="2514"/>
      <c r="I116" s="2514"/>
      <c r="J116" s="2461"/>
      <c r="K116" s="2462"/>
      <c r="L116" s="2467" t="str">
        <f>IF(ISBLANK(J116),G116,J116)</f>
        <v/>
      </c>
      <c r="M116" s="2467"/>
      <c r="N116" s="2468"/>
      <c r="O116" s="122"/>
      <c r="P116" s="191">
        <f>IF(ISBLANK(J116),0,2)</f>
        <v>0</v>
      </c>
      <c r="Q116" s="274">
        <f>$J116*$C116/100</f>
        <v>0</v>
      </c>
      <c r="R116" s="267" t="e">
        <f ca="1">($L$110-SUM($J$91:$N$94)*$V$124-$R$117)/($C$116+$C$118)*100</f>
        <v>#DIV/0!</v>
      </c>
      <c r="S116" s="267" t="e">
        <f ca="1">($L$110-SUM($J$91:$N$94)*$V$124-$S$118)/($C$116+$C$117)*100</f>
        <v>#DIV/0!</v>
      </c>
      <c r="T116" s="275">
        <f>$J116*$C116/100</f>
        <v>0</v>
      </c>
      <c r="U116" s="272">
        <f>$J116*$C116/100</f>
        <v>0</v>
      </c>
      <c r="V116" s="268" t="e">
        <f ca="1">($L$110-SUM($J$91:$N$94)*$V$124-SUM($V$117,$V$118))/$C$116*100</f>
        <v>#DIV/0!</v>
      </c>
      <c r="W116" s="266"/>
      <c r="AA116" s="266"/>
      <c r="AB116" s="266"/>
      <c r="AC116" s="266"/>
      <c r="AD116" s="266"/>
      <c r="AE116" s="266"/>
      <c r="AF116" s="123"/>
      <c r="AG116" s="174"/>
      <c r="AH116" s="174"/>
      <c r="AI116" s="174"/>
      <c r="AJ116" s="175"/>
      <c r="AK116" s="175"/>
      <c r="AL116" s="175"/>
      <c r="AM116" s="175"/>
      <c r="AN116" s="175"/>
      <c r="AO116" s="175"/>
      <c r="AP116" s="175"/>
      <c r="AQ116" s="175"/>
      <c r="AR116" s="175"/>
      <c r="AS116" s="175"/>
      <c r="AT116" s="175"/>
      <c r="AU116" s="175"/>
      <c r="AV116" s="175"/>
      <c r="AW116" s="175"/>
      <c r="AX116" s="175"/>
      <c r="AY116" s="175"/>
      <c r="AZ116" s="175"/>
      <c r="BA116" s="175"/>
      <c r="BB116" s="175"/>
      <c r="BC116" s="175"/>
      <c r="BD116" s="175"/>
      <c r="BE116" s="175"/>
      <c r="BF116" s="175"/>
      <c r="BG116" s="175"/>
      <c r="BH116" s="175"/>
      <c r="BI116" s="175"/>
      <c r="BJ116" s="175"/>
      <c r="BK116" s="175"/>
      <c r="BL116" s="175"/>
      <c r="BM116" s="175"/>
      <c r="BN116" s="175"/>
      <c r="BO116" s="175"/>
      <c r="BP116" s="175"/>
      <c r="BS116" s="122"/>
      <c r="BT116" s="122"/>
      <c r="BU116" s="122"/>
      <c r="BV116" s="122"/>
    </row>
    <row r="117" spans="1:74" s="33" customFormat="1" ht="12.75" x14ac:dyDescent="0.2">
      <c r="A117" s="1036" t="s">
        <v>408</v>
      </c>
      <c r="B117" s="1037"/>
      <c r="C117" s="2530">
        <f>SUM(EV_Var3!$M$42,EV_Var3!$M$46,EV_Var3!$M$50,EV_Var3!$M$53,EV_Var3!$M$56)</f>
        <v>0</v>
      </c>
      <c r="D117" s="2531"/>
      <c r="E117" s="2531"/>
      <c r="F117" s="2532"/>
      <c r="G117" s="2515" t="str">
        <f>IF(C117=0,"",IF(OR($P$115=0,NOT(ISBLANK(J117))),$L$119,HLOOKUP($P$115,$Q$115:$V$118,3,FALSE)))</f>
        <v/>
      </c>
      <c r="H117" s="2516"/>
      <c r="I117" s="2516"/>
      <c r="J117" s="2463"/>
      <c r="K117" s="2464"/>
      <c r="L117" s="2469" t="str">
        <f>IF(ISBLANK(J117),G117,J117)</f>
        <v/>
      </c>
      <c r="M117" s="2469"/>
      <c r="N117" s="2470"/>
      <c r="O117" s="122"/>
      <c r="P117" s="204">
        <f>IF(ISBLANK(J117),0,3)</f>
        <v>0</v>
      </c>
      <c r="Q117" s="273" t="e">
        <f ca="1">($L$110-SUM($J$91:$N$94)*$V$124-$Q$116)/($C$117+$C$118)*100</f>
        <v>#DIV/0!</v>
      </c>
      <c r="R117" s="269">
        <f>$J117*$C117/100</f>
        <v>0</v>
      </c>
      <c r="S117" s="267" t="e">
        <f ca="1">S116</f>
        <v>#DIV/0!</v>
      </c>
      <c r="T117" s="271">
        <f>$J117*$C117/100</f>
        <v>0</v>
      </c>
      <c r="U117" s="268" t="e">
        <f ca="1">($L$110-SUM($J$91:$N$94)*$V$124-SUM($U$116,$U$118))/$C$117*100</f>
        <v>#DIV/0!</v>
      </c>
      <c r="V117" s="270">
        <f>$J117*$C117/100</f>
        <v>0</v>
      </c>
      <c r="W117" s="266"/>
      <c r="X117" s="43"/>
      <c r="Y117" s="43"/>
      <c r="Z117" s="43"/>
      <c r="AA117" s="266"/>
      <c r="AB117" s="266"/>
      <c r="AC117" s="266"/>
      <c r="AD117" s="266"/>
      <c r="AE117" s="266"/>
      <c r="AF117" s="123"/>
      <c r="AG117" s="174"/>
      <c r="AH117" s="174"/>
      <c r="AI117" s="174"/>
      <c r="AJ117" s="175"/>
      <c r="AK117" s="175"/>
      <c r="AL117" s="175"/>
      <c r="AM117" s="175"/>
      <c r="AN117" s="175"/>
      <c r="AO117" s="175"/>
      <c r="AP117" s="175"/>
      <c r="AQ117" s="175"/>
      <c r="AR117" s="175"/>
      <c r="AS117" s="175"/>
      <c r="AT117" s="175"/>
      <c r="AU117" s="175"/>
      <c r="AV117" s="175"/>
      <c r="AW117" s="175"/>
      <c r="AX117" s="175"/>
      <c r="AY117" s="175"/>
      <c r="AZ117" s="175"/>
      <c r="BA117" s="175"/>
      <c r="BB117" s="175"/>
      <c r="BC117" s="175"/>
      <c r="BD117" s="175"/>
      <c r="BE117" s="175"/>
      <c r="BF117" s="175"/>
      <c r="BG117" s="175"/>
      <c r="BH117" s="175"/>
      <c r="BI117" s="175"/>
      <c r="BJ117" s="175"/>
      <c r="BK117" s="175"/>
      <c r="BL117" s="175"/>
      <c r="BM117" s="175"/>
      <c r="BN117" s="175"/>
      <c r="BO117" s="175"/>
      <c r="BP117" s="175"/>
      <c r="BS117" s="122"/>
      <c r="BT117" s="122"/>
      <c r="BU117" s="122"/>
      <c r="BV117" s="122"/>
    </row>
    <row r="118" spans="1:74" s="33" customFormat="1" ht="12.75" x14ac:dyDescent="0.2">
      <c r="A118" s="1038" t="s">
        <v>419</v>
      </c>
      <c r="B118" s="1039"/>
      <c r="C118" s="2541">
        <f>$T$129</f>
        <v>0</v>
      </c>
      <c r="D118" s="2542"/>
      <c r="E118" s="2542"/>
      <c r="F118" s="2543"/>
      <c r="G118" s="2517" t="str">
        <f>IF(C118=0,"",IF(OR($P$115=0,NOT(ISBLANK(J118))),$L$119,HLOOKUP($P$115,$Q$115:$V$118,4,FALSE)))</f>
        <v/>
      </c>
      <c r="H118" s="2518"/>
      <c r="I118" s="2518"/>
      <c r="J118" s="2465"/>
      <c r="K118" s="2466"/>
      <c r="L118" s="2427" t="str">
        <f>IF(ISBLANK(J118),G118,J118)</f>
        <v/>
      </c>
      <c r="M118" s="2427"/>
      <c r="N118" s="2428"/>
      <c r="O118" s="122"/>
      <c r="P118" s="204">
        <f>IF(ISBLANK(J118),0,4)</f>
        <v>0</v>
      </c>
      <c r="Q118" s="261" t="e">
        <f ca="1">Q117</f>
        <v>#DIV/0!</v>
      </c>
      <c r="R118" s="262" t="e">
        <f ca="1">R116</f>
        <v>#DIV/0!</v>
      </c>
      <c r="S118" s="269">
        <f>$J118*$C118/100</f>
        <v>0</v>
      </c>
      <c r="T118" s="262" t="e">
        <f ca="1">($L$110-SUM($J$91:$N$94)*$V$124-SUM($T$116,$T$117))/$C$118*100</f>
        <v>#DIV/0!</v>
      </c>
      <c r="U118" s="272">
        <f>$J118*$C118/100</f>
        <v>0</v>
      </c>
      <c r="V118" s="272">
        <f>$J118*$C118/100</f>
        <v>0</v>
      </c>
      <c r="W118" s="266"/>
      <c r="X118" s="2407"/>
      <c r="Y118" s="2407"/>
      <c r="Z118" s="2407"/>
      <c r="AA118" s="266"/>
      <c r="AB118" s="266"/>
      <c r="AC118" s="266"/>
      <c r="AD118" s="266"/>
      <c r="AE118" s="266"/>
      <c r="AF118" s="123"/>
      <c r="AG118" s="174"/>
      <c r="AH118" s="174"/>
      <c r="AI118" s="174"/>
      <c r="AJ118" s="175"/>
      <c r="AK118" s="175"/>
      <c r="AL118" s="175"/>
      <c r="AM118" s="175"/>
      <c r="AN118" s="175"/>
      <c r="AO118" s="175"/>
      <c r="AP118" s="175"/>
      <c r="AQ118" s="175"/>
      <c r="AR118" s="175"/>
      <c r="AS118" s="175"/>
      <c r="AT118" s="175"/>
      <c r="AU118" s="175"/>
      <c r="AV118" s="175"/>
      <c r="AW118" s="175"/>
      <c r="AX118" s="175"/>
      <c r="AY118" s="175"/>
      <c r="AZ118" s="175"/>
      <c r="BA118" s="175"/>
      <c r="BB118" s="175"/>
      <c r="BC118" s="175"/>
      <c r="BD118" s="175"/>
      <c r="BE118" s="175"/>
      <c r="BF118" s="175"/>
      <c r="BG118" s="175"/>
      <c r="BH118" s="175"/>
      <c r="BI118" s="175"/>
      <c r="BJ118" s="175"/>
      <c r="BK118" s="175"/>
      <c r="BL118" s="175"/>
      <c r="BM118" s="175"/>
      <c r="BN118" s="175"/>
      <c r="BO118" s="175"/>
      <c r="BP118" s="175"/>
      <c r="BS118" s="122"/>
      <c r="BT118" s="122"/>
      <c r="BU118" s="122"/>
      <c r="BV118" s="122"/>
    </row>
    <row r="119" spans="1:74" s="33" customFormat="1" ht="12.75" customHeight="1" x14ac:dyDescent="0.2">
      <c r="A119" s="1335" t="s">
        <v>427</v>
      </c>
      <c r="B119" s="1336"/>
      <c r="C119" s="2772">
        <f>SUM(C116:F118)</f>
        <v>0</v>
      </c>
      <c r="D119" s="2773"/>
      <c r="E119" s="2773"/>
      <c r="F119" s="2774"/>
      <c r="G119" s="2775">
        <f>$L119</f>
        <v>0</v>
      </c>
      <c r="H119" s="2776"/>
      <c r="I119" s="2776"/>
      <c r="J119" s="2777"/>
      <c r="K119" s="2778"/>
      <c r="L119" s="2779">
        <f>IF(C119=0,0,($L$110-SUM($J$91:$N$94)*$V$124)/$C$119*100)</f>
        <v>0</v>
      </c>
      <c r="M119" s="2779"/>
      <c r="N119" s="2780"/>
      <c r="O119" s="122"/>
      <c r="P119" s="266"/>
      <c r="Q119" s="266"/>
      <c r="R119" s="266"/>
      <c r="S119" s="266"/>
      <c r="T119" s="266"/>
      <c r="U119" s="266"/>
      <c r="V119" s="266"/>
      <c r="W119" s="266"/>
      <c r="X119" s="266"/>
      <c r="Y119" s="266"/>
      <c r="Z119" s="266"/>
      <c r="AA119" s="266"/>
      <c r="AB119" s="266"/>
      <c r="AC119" s="266"/>
      <c r="AD119" s="266"/>
      <c r="AE119" s="123"/>
      <c r="AF119" s="174"/>
      <c r="AG119" s="174"/>
      <c r="AH119" s="174"/>
      <c r="AI119" s="175"/>
      <c r="AJ119" s="175"/>
      <c r="AK119" s="175"/>
      <c r="AL119" s="175"/>
      <c r="AM119" s="175"/>
      <c r="AN119" s="175"/>
      <c r="AO119" s="175"/>
      <c r="AP119" s="175"/>
      <c r="AQ119" s="175"/>
      <c r="AR119" s="175"/>
      <c r="AS119" s="175"/>
      <c r="AT119" s="175"/>
      <c r="AU119" s="175"/>
      <c r="AV119" s="175"/>
      <c r="AW119" s="175"/>
      <c r="AX119" s="175"/>
      <c r="AY119" s="175"/>
      <c r="AZ119" s="175"/>
      <c r="BA119" s="175"/>
      <c r="BB119" s="175"/>
      <c r="BC119" s="175"/>
      <c r="BD119" s="175"/>
      <c r="BE119" s="175"/>
      <c r="BF119" s="175"/>
      <c r="BG119" s="175"/>
      <c r="BH119" s="175"/>
      <c r="BI119" s="175"/>
      <c r="BJ119" s="175"/>
      <c r="BK119" s="175"/>
      <c r="BL119" s="175"/>
      <c r="BM119" s="175"/>
      <c r="BN119" s="175"/>
      <c r="BO119" s="175"/>
    </row>
    <row r="120" spans="1:74" s="33" customFormat="1" ht="12.95" customHeight="1" x14ac:dyDescent="0.2">
      <c r="A120" s="288" t="s">
        <v>424</v>
      </c>
      <c r="B120" s="288"/>
      <c r="P120" s="123"/>
      <c r="R120" s="175"/>
      <c r="S120" s="175"/>
      <c r="T120" s="175"/>
      <c r="U120" s="175"/>
      <c r="V120" s="175"/>
      <c r="W120" s="175"/>
      <c r="X120" s="175"/>
      <c r="Y120" s="175"/>
      <c r="Z120" s="175"/>
      <c r="AA120" s="123"/>
      <c r="AB120" s="123"/>
      <c r="AC120" s="123"/>
      <c r="AD120" s="123"/>
      <c r="AE120" s="123"/>
      <c r="AF120" s="123"/>
      <c r="AG120" s="174"/>
      <c r="AH120" s="174"/>
      <c r="AI120" s="174"/>
      <c r="AJ120" s="175"/>
      <c r="AK120" s="175"/>
      <c r="AL120" s="175"/>
      <c r="AM120" s="175"/>
      <c r="AN120" s="175"/>
      <c r="AO120" s="175"/>
      <c r="AP120" s="175"/>
      <c r="AQ120" s="175"/>
      <c r="AR120" s="175"/>
      <c r="AS120" s="175"/>
      <c r="AT120" s="175"/>
      <c r="AU120" s="175"/>
      <c r="AV120" s="175"/>
      <c r="AW120" s="175"/>
      <c r="AX120" s="175"/>
      <c r="AY120" s="175"/>
      <c r="AZ120" s="175"/>
      <c r="BA120" s="175"/>
      <c r="BB120" s="175"/>
      <c r="BC120" s="175"/>
      <c r="BD120" s="175"/>
      <c r="BE120" s="175"/>
      <c r="BF120" s="175"/>
      <c r="BG120" s="175"/>
      <c r="BH120" s="175"/>
      <c r="BI120" s="175"/>
      <c r="BJ120" s="175"/>
      <c r="BK120" s="175"/>
      <c r="BL120" s="175"/>
      <c r="BM120" s="175"/>
      <c r="BN120" s="175"/>
      <c r="BO120" s="175"/>
      <c r="BP120" s="175"/>
    </row>
    <row r="121" spans="1:74" s="175" customFormat="1" ht="12.95" customHeight="1" x14ac:dyDescent="0.2">
      <c r="N121" s="364"/>
      <c r="P121" s="292" t="s">
        <v>421</v>
      </c>
      <c r="Q121" s="293"/>
      <c r="R121" s="293"/>
      <c r="S121" s="293"/>
      <c r="T121" s="293"/>
      <c r="U121" s="293"/>
      <c r="V121" s="293"/>
      <c r="AA121" s="123"/>
      <c r="AB121" s="123"/>
      <c r="AC121" s="123"/>
      <c r="AD121" s="123"/>
      <c r="AE121" s="123"/>
      <c r="AF121" s="123"/>
      <c r="AG121" s="174"/>
      <c r="AH121" s="174"/>
      <c r="AI121" s="174"/>
    </row>
    <row r="122" spans="1:74" s="175" customFormat="1" ht="12.95" customHeight="1" x14ac:dyDescent="0.2">
      <c r="N122" s="364"/>
      <c r="AA122" s="123"/>
      <c r="AB122" s="123"/>
      <c r="AC122" s="123"/>
      <c r="AD122" s="123"/>
      <c r="AE122" s="123"/>
      <c r="AF122" s="123"/>
      <c r="AG122" s="174"/>
      <c r="AH122" s="174"/>
      <c r="AI122" s="174"/>
    </row>
    <row r="123" spans="1:74" s="175" customFormat="1" ht="11.25" x14ac:dyDescent="0.2">
      <c r="N123" s="364"/>
      <c r="P123" s="381" t="s">
        <v>458</v>
      </c>
      <c r="Q123" s="382"/>
      <c r="R123" s="382"/>
      <c r="S123" s="382"/>
      <c r="AA123" s="123"/>
      <c r="AB123" s="123"/>
      <c r="AC123" s="123"/>
      <c r="AD123" s="123"/>
      <c r="AE123" s="123"/>
      <c r="AF123" s="123"/>
      <c r="AG123" s="174"/>
      <c r="AH123" s="174"/>
      <c r="AI123" s="174"/>
    </row>
    <row r="124" spans="1:74" s="175" customFormat="1" ht="11.25" x14ac:dyDescent="0.2">
      <c r="P124" s="290" t="s">
        <v>459</v>
      </c>
      <c r="T124" s="2486">
        <f>MAX(T126-T140,0)</f>
        <v>0</v>
      </c>
      <c r="U124" s="2486"/>
      <c r="V124" s="361">
        <f>IF(T126=0,0,T124/T126)</f>
        <v>0</v>
      </c>
      <c r="AA124" s="123"/>
      <c r="AB124" s="123"/>
      <c r="AC124" s="123"/>
      <c r="AD124" s="123"/>
      <c r="AE124" s="123"/>
      <c r="AF124" s="123"/>
      <c r="AG124" s="174"/>
      <c r="AH124" s="174"/>
      <c r="AI124" s="174"/>
    </row>
    <row r="125" spans="1:74" s="175" customFormat="1" ht="11.25" x14ac:dyDescent="0.2">
      <c r="P125" s="290" t="s">
        <v>460</v>
      </c>
      <c r="T125" s="2489">
        <f>MAX(T126-T124,0)</f>
        <v>0</v>
      </c>
      <c r="U125" s="2489"/>
      <c r="V125" s="385">
        <f>IF(T126=0,0,T125/T126)</f>
        <v>0</v>
      </c>
      <c r="AA125" s="123"/>
      <c r="AB125" s="123"/>
      <c r="AC125" s="123"/>
      <c r="AD125" s="123"/>
      <c r="AE125" s="123"/>
      <c r="AF125" s="123"/>
      <c r="AG125" s="174"/>
      <c r="AH125" s="174"/>
      <c r="AI125" s="174"/>
    </row>
    <row r="126" spans="1:74" s="175" customFormat="1" ht="11.25" x14ac:dyDescent="0.2">
      <c r="P126" s="383" t="s">
        <v>468</v>
      </c>
      <c r="Q126" s="384"/>
      <c r="R126" s="384"/>
      <c r="S126" s="384"/>
      <c r="T126" s="2487">
        <f>EV_Var3!$E$68</f>
        <v>0</v>
      </c>
      <c r="U126" s="2487"/>
      <c r="V126" s="386">
        <f>IF(T126=0,0,T126/T126)</f>
        <v>0</v>
      </c>
      <c r="AA126" s="123"/>
      <c r="AB126" s="123"/>
      <c r="AC126" s="123"/>
      <c r="AD126" s="123"/>
      <c r="AE126" s="123"/>
      <c r="AF126" s="123"/>
      <c r="AG126" s="174"/>
      <c r="AH126" s="174"/>
      <c r="AI126" s="174"/>
    </row>
    <row r="127" spans="1:74" s="175" customFormat="1" ht="11.25" x14ac:dyDescent="0.2">
      <c r="AA127" s="123"/>
      <c r="AB127" s="123"/>
      <c r="AC127" s="123"/>
      <c r="AD127" s="123"/>
      <c r="AE127" s="123"/>
      <c r="AF127" s="123"/>
      <c r="AG127" s="174"/>
      <c r="AH127" s="174"/>
      <c r="AI127" s="174"/>
    </row>
    <row r="128" spans="1:74" s="175" customFormat="1" ht="11.25" x14ac:dyDescent="0.2">
      <c r="P128" s="381" t="s">
        <v>461</v>
      </c>
      <c r="Q128" s="382"/>
      <c r="R128" s="382"/>
      <c r="S128" s="382"/>
      <c r="AA128" s="123"/>
      <c r="AB128" s="123"/>
      <c r="AC128" s="123"/>
      <c r="AD128" s="123"/>
      <c r="AE128" s="123"/>
      <c r="AF128" s="123"/>
      <c r="AG128" s="174"/>
      <c r="AH128" s="174"/>
      <c r="AI128" s="174"/>
    </row>
    <row r="129" spans="1:69" s="175" customFormat="1" ht="11.25" x14ac:dyDescent="0.2">
      <c r="P129" s="360" t="s">
        <v>470</v>
      </c>
      <c r="Q129" s="388"/>
      <c r="R129" s="388"/>
      <c r="S129" s="388"/>
      <c r="T129" s="2486">
        <f>IF(T124&gt;0,T132-T131,(T132-T131)-(T140-T125))</f>
        <v>0</v>
      </c>
      <c r="U129" s="2486"/>
      <c r="V129" s="363">
        <f>IF($T$132=0,0,T129/$T$132)</f>
        <v>0</v>
      </c>
      <c r="Z129" s="484"/>
      <c r="AA129" s="484"/>
      <c r="AB129" s="123"/>
      <c r="AC129" s="123"/>
      <c r="AD129" s="123"/>
      <c r="AE129" s="123"/>
      <c r="AF129" s="123"/>
      <c r="AG129" s="174"/>
      <c r="AH129" s="174"/>
      <c r="AI129" s="174"/>
    </row>
    <row r="130" spans="1:69" s="175" customFormat="1" ht="12.75" x14ac:dyDescent="0.2">
      <c r="A130" s="122"/>
      <c r="B130" s="630"/>
      <c r="C130" s="122"/>
      <c r="D130" s="122"/>
      <c r="E130" s="122"/>
      <c r="F130" s="122"/>
      <c r="G130" s="122"/>
      <c r="H130" s="122"/>
      <c r="P130" s="290" t="s">
        <v>460</v>
      </c>
      <c r="Q130" s="289"/>
      <c r="R130" s="289"/>
      <c r="S130" s="289"/>
      <c r="T130" s="2493">
        <f>T131-T129</f>
        <v>0</v>
      </c>
      <c r="U130" s="2493"/>
      <c r="V130" s="487">
        <f>IF($T$132=0,0,T130/$T$132)</f>
        <v>0</v>
      </c>
      <c r="Z130" s="484"/>
      <c r="AA130" s="484"/>
      <c r="AB130" s="123"/>
      <c r="AC130" s="123"/>
      <c r="AD130" s="123"/>
      <c r="AE130" s="123"/>
      <c r="AF130" s="123"/>
      <c r="AG130" s="174"/>
      <c r="AH130" s="174"/>
      <c r="AI130" s="174"/>
    </row>
    <row r="131" spans="1:69" s="175" customFormat="1" ht="12.75" x14ac:dyDescent="0.2">
      <c r="A131" s="122"/>
      <c r="B131" s="630"/>
      <c r="C131" s="122"/>
      <c r="D131" s="122"/>
      <c r="E131" s="122"/>
      <c r="F131" s="122"/>
      <c r="G131" s="122"/>
      <c r="H131" s="122"/>
      <c r="P131" s="303" t="s">
        <v>462</v>
      </c>
      <c r="Q131" s="382"/>
      <c r="R131" s="382"/>
      <c r="S131" s="382"/>
      <c r="T131" s="2492">
        <f>EV_Var3!$M$74</f>
        <v>0</v>
      </c>
      <c r="U131" s="2492"/>
      <c r="V131" s="362">
        <f>IF($T$132=0,0,T131/$T$132)</f>
        <v>0</v>
      </c>
      <c r="Z131" s="484"/>
      <c r="AA131" s="484"/>
      <c r="AB131" s="123"/>
      <c r="AC131" s="123"/>
      <c r="AD131" s="123"/>
      <c r="AE131" s="123"/>
      <c r="AF131" s="123"/>
      <c r="AG131" s="174"/>
      <c r="AH131" s="174"/>
      <c r="AI131" s="174"/>
    </row>
    <row r="132" spans="1:69" s="175" customFormat="1" ht="12.75" x14ac:dyDescent="0.2">
      <c r="A132" s="122"/>
      <c r="B132" s="630"/>
      <c r="C132" s="122"/>
      <c r="D132" s="122"/>
      <c r="E132" s="122"/>
      <c r="F132" s="122"/>
      <c r="G132" s="122"/>
      <c r="H132" s="122"/>
      <c r="P132" s="383" t="s">
        <v>465</v>
      </c>
      <c r="Q132" s="384"/>
      <c r="R132" s="384"/>
      <c r="S132" s="384"/>
      <c r="T132" s="2485">
        <f>EV_Var3!$M$71+EV_Var3!$M$61</f>
        <v>0</v>
      </c>
      <c r="U132" s="2485"/>
      <c r="V132" s="386">
        <f>IF($T$132=0,0,T132/$T$132)</f>
        <v>0</v>
      </c>
      <c r="Z132" s="484"/>
      <c r="AA132" s="484"/>
      <c r="AB132" s="123"/>
      <c r="AC132" s="123"/>
      <c r="AD132" s="123"/>
      <c r="AE132" s="123"/>
      <c r="AF132" s="123"/>
      <c r="AG132" s="174"/>
      <c r="AH132" s="174"/>
      <c r="AI132" s="174"/>
    </row>
    <row r="133" spans="1:69" s="175" customFormat="1" ht="12.75" x14ac:dyDescent="0.2">
      <c r="A133" s="122"/>
      <c r="B133" s="630"/>
      <c r="C133" s="122"/>
      <c r="D133" s="122"/>
      <c r="E133" s="122"/>
      <c r="F133" s="122"/>
      <c r="G133" s="122"/>
      <c r="H133" s="122"/>
      <c r="P133" s="290"/>
      <c r="Q133" s="289"/>
      <c r="R133" s="289"/>
      <c r="S133" s="289"/>
      <c r="T133" s="488"/>
      <c r="U133" s="488"/>
      <c r="V133" s="389"/>
      <c r="Z133" s="484"/>
      <c r="AA133" s="484"/>
      <c r="AB133" s="123"/>
      <c r="AC133" s="123"/>
      <c r="AD133" s="123"/>
      <c r="AE133" s="123"/>
      <c r="AF133" s="123"/>
      <c r="AG133" s="174"/>
      <c r="AH133" s="174"/>
      <c r="AI133" s="174"/>
    </row>
    <row r="134" spans="1:69" s="175" customFormat="1" ht="12.75" x14ac:dyDescent="0.2">
      <c r="A134" s="122"/>
      <c r="B134" s="630"/>
      <c r="C134" s="122"/>
      <c r="D134" s="122"/>
      <c r="E134" s="122"/>
      <c r="F134" s="122"/>
      <c r="G134" s="122"/>
      <c r="H134" s="122"/>
      <c r="P134" s="303" t="s">
        <v>466</v>
      </c>
      <c r="Q134" s="382"/>
      <c r="R134" s="382"/>
      <c r="S134" s="382"/>
      <c r="T134" s="2488">
        <f>T132-T131</f>
        <v>0</v>
      </c>
      <c r="U134" s="2488">
        <f>T132-T131</f>
        <v>0</v>
      </c>
      <c r="V134" s="362"/>
      <c r="AA134" s="123"/>
      <c r="AB134" s="123"/>
      <c r="AC134" s="123"/>
      <c r="AD134" s="123"/>
      <c r="AE134" s="123"/>
      <c r="AF134" s="123"/>
      <c r="AG134" s="174"/>
      <c r="AH134" s="174"/>
      <c r="AI134" s="174"/>
    </row>
    <row r="135" spans="1:69" s="175" customFormat="1" ht="12.75" x14ac:dyDescent="0.2">
      <c r="A135" s="122"/>
      <c r="B135" s="630"/>
      <c r="C135" s="122"/>
      <c r="D135" s="122"/>
      <c r="E135" s="122"/>
      <c r="F135" s="122"/>
      <c r="G135" s="122"/>
      <c r="H135" s="122"/>
      <c r="P135" s="383" t="s">
        <v>467</v>
      </c>
      <c r="Q135" s="384"/>
      <c r="R135" s="384"/>
      <c r="S135" s="384"/>
      <c r="T135" s="2485">
        <f>T132+T126</f>
        <v>0</v>
      </c>
      <c r="U135" s="2485"/>
      <c r="V135" s="386"/>
      <c r="Z135" s="484"/>
      <c r="AA135" s="484"/>
      <c r="AB135" s="123"/>
      <c r="AC135" s="123"/>
      <c r="AD135" s="123"/>
      <c r="AE135" s="123"/>
      <c r="AF135" s="123"/>
      <c r="AG135" s="174"/>
      <c r="AH135" s="174"/>
      <c r="AI135" s="174"/>
    </row>
    <row r="136" spans="1:69" s="175" customFormat="1" ht="12.75" x14ac:dyDescent="0.2">
      <c r="A136" s="122"/>
      <c r="B136" s="630"/>
      <c r="C136" s="122"/>
      <c r="D136" s="122"/>
      <c r="E136" s="122"/>
      <c r="F136" s="122"/>
      <c r="G136" s="122"/>
      <c r="H136" s="122"/>
      <c r="P136" s="383" t="s">
        <v>469</v>
      </c>
      <c r="Q136" s="384"/>
      <c r="R136" s="384"/>
      <c r="S136" s="384"/>
      <c r="T136" s="2485">
        <f>T135-T131</f>
        <v>0</v>
      </c>
      <c r="U136" s="2485"/>
      <c r="V136" s="386"/>
      <c r="Z136" s="484"/>
      <c r="AA136" s="484"/>
      <c r="AB136" s="123"/>
      <c r="AC136" s="123"/>
      <c r="AD136" s="123"/>
      <c r="AE136" s="123"/>
      <c r="AF136" s="123"/>
      <c r="AG136" s="174"/>
      <c r="AH136" s="174"/>
      <c r="AI136" s="174"/>
    </row>
    <row r="137" spans="1:69" s="175" customFormat="1" ht="12.75" x14ac:dyDescent="0.2">
      <c r="A137" s="122"/>
      <c r="B137" s="630"/>
      <c r="C137" s="122"/>
      <c r="D137" s="122"/>
      <c r="E137" s="122"/>
      <c r="F137" s="122"/>
      <c r="G137" s="122"/>
      <c r="H137" s="122"/>
      <c r="Z137" s="484"/>
      <c r="AA137" s="484"/>
      <c r="AB137" s="123"/>
      <c r="AC137" s="123"/>
      <c r="AD137" s="123"/>
      <c r="AE137" s="123"/>
      <c r="AF137" s="123"/>
      <c r="AG137" s="174"/>
      <c r="AH137" s="174"/>
      <c r="AI137" s="174"/>
    </row>
    <row r="138" spans="1:69" s="175" customFormat="1" ht="11.25" x14ac:dyDescent="0.2">
      <c r="P138" s="381" t="s">
        <v>22</v>
      </c>
      <c r="Q138" s="382"/>
      <c r="R138" s="382"/>
      <c r="S138" s="382"/>
      <c r="T138" s="382"/>
      <c r="U138" s="382"/>
      <c r="V138" s="382"/>
      <c r="Z138" s="484"/>
      <c r="AA138" s="484"/>
      <c r="AB138" s="123"/>
      <c r="AC138" s="123"/>
      <c r="AD138" s="123"/>
      <c r="AE138" s="123"/>
      <c r="AF138" s="123"/>
      <c r="AG138" s="174"/>
      <c r="AH138" s="174"/>
      <c r="AI138" s="174"/>
    </row>
    <row r="139" spans="1:69" s="175" customFormat="1" ht="11.25" x14ac:dyDescent="0.2">
      <c r="P139" s="290" t="s">
        <v>463</v>
      </c>
      <c r="T139" s="2489">
        <f>EV_Var3!$S$73</f>
        <v>0</v>
      </c>
      <c r="U139" s="2489"/>
      <c r="V139" s="291" t="e">
        <f>T139/$T$141</f>
        <v>#DIV/0!</v>
      </c>
      <c r="Z139" s="484"/>
      <c r="AA139" s="484"/>
      <c r="AB139" s="123"/>
      <c r="AC139" s="123"/>
      <c r="AD139" s="123"/>
      <c r="AE139" s="123"/>
      <c r="AF139" s="123"/>
      <c r="AG139" s="174"/>
      <c r="AH139" s="174"/>
      <c r="AI139" s="174"/>
    </row>
    <row r="140" spans="1:69" s="175" customFormat="1" ht="11.25" x14ac:dyDescent="0.2">
      <c r="A140" s="289"/>
      <c r="B140" s="289"/>
      <c r="M140" s="289"/>
      <c r="N140" s="289"/>
      <c r="O140" s="289"/>
      <c r="P140" s="290" t="s">
        <v>464</v>
      </c>
      <c r="T140" s="2489">
        <f>SUM(EV_Var3!$M$63,EV_Var3!$M$66)</f>
        <v>0</v>
      </c>
      <c r="U140" s="2489"/>
      <c r="V140" s="291" t="e">
        <f>T140/$T$141</f>
        <v>#DIV/0!</v>
      </c>
      <c r="Z140" s="484"/>
      <c r="AA140" s="484"/>
      <c r="AB140" s="123"/>
      <c r="AC140" s="123"/>
      <c r="AD140" s="123"/>
      <c r="AE140" s="123"/>
      <c r="AF140" s="123"/>
      <c r="AG140" s="174"/>
      <c r="AH140" s="174"/>
      <c r="AI140" s="174"/>
    </row>
    <row r="141" spans="1:69" s="175" customFormat="1" ht="11.25" x14ac:dyDescent="0.2">
      <c r="A141" s="289"/>
      <c r="B141" s="289"/>
      <c r="M141" s="289"/>
      <c r="N141" s="289"/>
      <c r="O141" s="289"/>
      <c r="P141" s="383" t="s">
        <v>420</v>
      </c>
      <c r="Q141" s="387"/>
      <c r="R141" s="387"/>
      <c r="S141" s="387"/>
      <c r="T141" s="2485">
        <f>SUM(T139:U140)</f>
        <v>0</v>
      </c>
      <c r="U141" s="2485"/>
      <c r="V141" s="386" t="e">
        <f>T141/$T$141</f>
        <v>#DIV/0!</v>
      </c>
      <c r="Z141" s="484"/>
      <c r="AA141" s="484"/>
      <c r="AB141" s="123"/>
      <c r="AC141" s="123"/>
      <c r="AD141" s="123"/>
      <c r="AE141" s="123"/>
      <c r="AF141" s="123"/>
      <c r="AG141" s="174"/>
      <c r="AH141" s="174"/>
      <c r="AI141" s="174"/>
    </row>
    <row r="142" spans="1:69" ht="12.75" x14ac:dyDescent="0.2">
      <c r="G142" s="32"/>
      <c r="J142" s="34"/>
      <c r="T142" s="123"/>
      <c r="U142" s="127"/>
      <c r="W142" s="32"/>
      <c r="X142" s="32"/>
      <c r="Y142" s="32"/>
      <c r="Z142" s="122"/>
      <c r="AA142" s="122"/>
      <c r="AG142" s="174"/>
      <c r="AJ142" s="175"/>
      <c r="BQ142" s="32"/>
    </row>
    <row r="143" spans="1:69" ht="12.75" x14ac:dyDescent="0.2">
      <c r="G143" s="32"/>
      <c r="J143" s="34"/>
      <c r="T143" s="123"/>
      <c r="U143" s="127"/>
      <c r="W143" s="32"/>
      <c r="X143" s="32"/>
      <c r="Y143" s="32"/>
      <c r="Z143" s="122"/>
      <c r="AA143" s="122"/>
      <c r="AG143" s="174"/>
      <c r="AJ143" s="175"/>
      <c r="BQ143" s="32"/>
    </row>
    <row r="144" spans="1:69" ht="12.75" x14ac:dyDescent="0.2">
      <c r="G144" s="32"/>
      <c r="J144" s="34"/>
      <c r="P144" s="122"/>
      <c r="Q144" s="122"/>
      <c r="R144" s="122"/>
      <c r="S144" s="122"/>
      <c r="T144" s="122"/>
      <c r="U144" s="122"/>
      <c r="V144" s="122"/>
      <c r="W144" s="122"/>
      <c r="X144" s="32"/>
      <c r="Y144" s="32"/>
      <c r="Z144" s="122"/>
      <c r="AA144" s="122"/>
      <c r="AG144" s="174"/>
      <c r="AJ144" s="175"/>
      <c r="BQ144" s="32"/>
    </row>
    <row r="145" spans="1:69" ht="12.75" x14ac:dyDescent="0.2">
      <c r="G145" s="32"/>
      <c r="J145" s="34"/>
      <c r="P145" s="122"/>
      <c r="Q145" s="122"/>
      <c r="R145" s="122"/>
      <c r="S145" s="122"/>
      <c r="T145" s="122"/>
      <c r="U145" s="122"/>
      <c r="V145" s="122"/>
      <c r="W145" s="122"/>
      <c r="X145" s="32"/>
      <c r="Y145" s="32"/>
      <c r="Z145" s="122"/>
      <c r="AA145" s="122"/>
      <c r="AG145" s="174"/>
      <c r="AJ145" s="175"/>
      <c r="BQ145" s="32"/>
    </row>
    <row r="146" spans="1:69" ht="12.75" x14ac:dyDescent="0.2">
      <c r="G146" s="32"/>
      <c r="J146" s="34"/>
      <c r="P146" s="122"/>
      <c r="Q146" s="122"/>
      <c r="R146" s="122"/>
      <c r="S146" s="122"/>
      <c r="T146" s="122"/>
      <c r="U146" s="122"/>
      <c r="V146" s="122"/>
      <c r="W146" s="122"/>
      <c r="X146" s="32"/>
      <c r="Y146" s="32"/>
      <c r="Z146" s="122"/>
      <c r="AA146" s="122"/>
      <c r="AG146" s="174"/>
      <c r="AJ146" s="175"/>
      <c r="BQ146" s="32"/>
    </row>
    <row r="147" spans="1:69" ht="12.75" x14ac:dyDescent="0.2">
      <c r="G147" s="32"/>
      <c r="J147" s="34"/>
      <c r="P147" s="122"/>
      <c r="Q147" s="122"/>
      <c r="R147" s="122"/>
      <c r="S147" s="122"/>
      <c r="T147" s="122"/>
      <c r="U147" s="122"/>
      <c r="V147" s="122"/>
      <c r="W147" s="122"/>
      <c r="X147" s="32"/>
      <c r="Y147" s="32"/>
      <c r="Z147" s="122"/>
      <c r="AA147" s="122"/>
      <c r="AG147" s="174"/>
      <c r="AJ147" s="175"/>
      <c r="BQ147" s="32"/>
    </row>
    <row r="148" spans="1:69" ht="12.75" x14ac:dyDescent="0.2">
      <c r="G148" s="32"/>
      <c r="J148" s="34"/>
      <c r="P148" s="122"/>
      <c r="Q148" s="122"/>
      <c r="R148" s="122"/>
      <c r="S148" s="122"/>
      <c r="T148" s="122"/>
      <c r="U148" s="122"/>
      <c r="V148" s="122"/>
      <c r="W148" s="122"/>
      <c r="X148" s="32"/>
      <c r="Y148" s="32"/>
      <c r="Z148" s="122"/>
      <c r="AA148" s="122"/>
      <c r="AG148" s="174"/>
      <c r="AJ148" s="175"/>
      <c r="BQ148" s="32"/>
    </row>
    <row r="149" spans="1:69" ht="12.75" x14ac:dyDescent="0.2">
      <c r="P149" s="122"/>
      <c r="Q149" s="122"/>
      <c r="R149" s="122"/>
      <c r="S149" s="122"/>
      <c r="T149" s="122"/>
      <c r="U149" s="122"/>
      <c r="V149" s="122"/>
      <c r="W149" s="122"/>
      <c r="X149" s="32"/>
      <c r="Y149" s="32"/>
      <c r="Z149" s="122"/>
      <c r="AA149" s="122"/>
      <c r="AB149" s="122"/>
    </row>
    <row r="150" spans="1:69" ht="12.75" x14ac:dyDescent="0.2">
      <c r="P150" s="122"/>
      <c r="Q150" s="122"/>
      <c r="R150" s="122"/>
      <c r="S150" s="122"/>
      <c r="T150" s="122"/>
      <c r="U150" s="122"/>
      <c r="V150" s="122"/>
      <c r="W150" s="122"/>
      <c r="X150" s="32"/>
      <c r="Y150" s="32"/>
      <c r="Z150" s="122"/>
      <c r="AA150" s="122"/>
      <c r="AB150" s="122"/>
    </row>
    <row r="151" spans="1:69" ht="12.75" x14ac:dyDescent="0.2">
      <c r="P151" s="122"/>
      <c r="Q151" s="122"/>
      <c r="R151" s="122"/>
      <c r="S151" s="122"/>
      <c r="T151" s="122"/>
      <c r="U151" s="122"/>
      <c r="V151" s="122"/>
      <c r="W151" s="122"/>
      <c r="X151" s="32"/>
      <c r="Y151" s="32"/>
      <c r="Z151" s="122"/>
      <c r="AA151" s="122"/>
      <c r="AB151" s="122"/>
    </row>
    <row r="152" spans="1:69" ht="12.75" x14ac:dyDescent="0.2">
      <c r="P152" s="122"/>
      <c r="Q152" s="122"/>
      <c r="R152" s="122"/>
      <c r="S152" s="122"/>
      <c r="T152" s="122"/>
      <c r="U152" s="122"/>
      <c r="V152" s="122"/>
      <c r="W152" s="122"/>
      <c r="X152" s="32"/>
      <c r="Y152" s="32"/>
      <c r="Z152" s="122"/>
      <c r="AA152" s="122"/>
      <c r="AB152" s="122"/>
    </row>
    <row r="153" spans="1:69" ht="12.75" x14ac:dyDescent="0.2">
      <c r="P153" s="122"/>
      <c r="Q153" s="122"/>
      <c r="R153" s="122"/>
      <c r="S153" s="122"/>
      <c r="T153" s="122"/>
      <c r="U153" s="122"/>
      <c r="V153" s="122"/>
      <c r="W153" s="122"/>
      <c r="X153" s="32"/>
      <c r="Y153" s="32"/>
      <c r="Z153" s="122"/>
      <c r="AA153" s="122"/>
      <c r="AB153" s="122"/>
    </row>
    <row r="154" spans="1:69" ht="12.75" x14ac:dyDescent="0.2">
      <c r="P154" s="122"/>
      <c r="Q154" s="122"/>
      <c r="R154" s="122"/>
      <c r="S154" s="122"/>
      <c r="T154" s="122"/>
      <c r="U154" s="122"/>
      <c r="V154" s="122"/>
      <c r="W154" s="122"/>
      <c r="X154" s="32"/>
      <c r="Y154" s="32"/>
      <c r="Z154" s="122"/>
      <c r="AA154" s="122"/>
      <c r="AB154" s="122"/>
    </row>
    <row r="155" spans="1:69" ht="12.75" x14ac:dyDescent="0.2">
      <c r="P155" s="122"/>
      <c r="Q155" s="122"/>
      <c r="R155" s="122"/>
      <c r="S155" s="122"/>
      <c r="T155" s="122"/>
      <c r="U155" s="122"/>
      <c r="V155" s="122"/>
      <c r="W155" s="122"/>
      <c r="X155" s="32"/>
      <c r="Y155" s="32"/>
      <c r="Z155" s="122"/>
      <c r="AA155" s="122"/>
      <c r="AB155" s="122"/>
    </row>
    <row r="156" spans="1:69" ht="12.75" x14ac:dyDescent="0.2">
      <c r="P156" s="122"/>
      <c r="Q156" s="122"/>
      <c r="R156" s="122"/>
      <c r="S156" s="122"/>
      <c r="T156" s="122"/>
      <c r="U156" s="122"/>
      <c r="V156" s="122"/>
      <c r="W156" s="122"/>
      <c r="X156" s="122"/>
      <c r="Y156" s="122"/>
      <c r="Z156" s="122"/>
      <c r="AA156" s="122"/>
      <c r="AB156" s="122"/>
    </row>
    <row r="157" spans="1:69" ht="12.75" x14ac:dyDescent="0.2">
      <c r="P157" s="122"/>
      <c r="Q157" s="122"/>
      <c r="R157" s="122"/>
      <c r="S157" s="122"/>
      <c r="T157" s="122"/>
      <c r="U157" s="122"/>
      <c r="V157" s="122"/>
      <c r="W157" s="122"/>
      <c r="X157" s="122"/>
      <c r="Y157" s="122"/>
      <c r="Z157" s="122"/>
      <c r="AA157" s="122"/>
      <c r="AB157" s="122"/>
    </row>
    <row r="158" spans="1:69" s="123" customFormat="1" ht="12.75" x14ac:dyDescent="0.2">
      <c r="A158" s="34"/>
      <c r="B158" s="34"/>
      <c r="C158" s="33"/>
      <c r="D158" s="33"/>
      <c r="E158" s="33"/>
      <c r="F158" s="33"/>
      <c r="G158" s="33"/>
      <c r="H158" s="32"/>
      <c r="I158" s="32"/>
      <c r="J158" s="32"/>
      <c r="K158" s="34"/>
      <c r="L158" s="34"/>
      <c r="M158" s="34"/>
      <c r="N158" s="34"/>
      <c r="O158" s="34"/>
      <c r="P158" s="122"/>
      <c r="Q158" s="122"/>
      <c r="R158" s="122"/>
      <c r="S158" s="122"/>
      <c r="T158" s="122"/>
      <c r="U158" s="122"/>
      <c r="V158" s="122"/>
      <c r="W158" s="122"/>
      <c r="X158" s="122"/>
      <c r="Y158" s="122"/>
      <c r="Z158" s="122"/>
      <c r="AA158" s="122"/>
      <c r="AB158" s="122"/>
      <c r="AH158" s="174"/>
      <c r="AI158" s="174"/>
      <c r="AJ158" s="174"/>
      <c r="AK158" s="175"/>
      <c r="AL158" s="175"/>
      <c r="AM158" s="175"/>
      <c r="AN158" s="175"/>
      <c r="AO158" s="175"/>
      <c r="AP158" s="175"/>
      <c r="AQ158" s="175"/>
      <c r="AR158" s="175"/>
      <c r="AS158" s="175"/>
      <c r="AT158" s="175"/>
      <c r="AU158" s="175"/>
      <c r="AV158" s="175"/>
      <c r="AW158" s="175"/>
      <c r="AX158" s="175"/>
      <c r="AY158" s="175"/>
      <c r="AZ158" s="175"/>
      <c r="BA158" s="175"/>
      <c r="BB158" s="175"/>
      <c r="BC158" s="175"/>
      <c r="BD158" s="175"/>
      <c r="BE158" s="175"/>
      <c r="BF158" s="175"/>
      <c r="BG158" s="175"/>
      <c r="BH158" s="175"/>
      <c r="BI158" s="175"/>
      <c r="BJ158" s="175"/>
      <c r="BK158" s="175"/>
      <c r="BL158" s="175"/>
      <c r="BM158" s="175"/>
      <c r="BN158" s="175"/>
      <c r="BO158" s="175"/>
      <c r="BP158" s="175"/>
      <c r="BQ158" s="175"/>
    </row>
    <row r="159" spans="1:69" s="123" customFormat="1" ht="12.75" x14ac:dyDescent="0.2">
      <c r="A159" s="34"/>
      <c r="B159" s="34"/>
      <c r="C159" s="33"/>
      <c r="D159" s="33"/>
      <c r="E159" s="33"/>
      <c r="F159" s="33"/>
      <c r="G159" s="33"/>
      <c r="H159" s="32"/>
      <c r="I159" s="32"/>
      <c r="J159" s="32"/>
      <c r="K159" s="34"/>
      <c r="L159" s="34"/>
      <c r="M159" s="34"/>
      <c r="N159" s="34"/>
      <c r="O159" s="34"/>
      <c r="P159" s="122"/>
      <c r="Q159" s="122"/>
      <c r="R159" s="122"/>
      <c r="S159" s="122"/>
      <c r="T159" s="122"/>
      <c r="U159" s="122"/>
      <c r="V159" s="122"/>
      <c r="W159" s="122"/>
      <c r="X159" s="122"/>
      <c r="Y159" s="122"/>
      <c r="Z159" s="122"/>
      <c r="AA159" s="122"/>
      <c r="AB159" s="122"/>
      <c r="AH159" s="174"/>
      <c r="AI159" s="174"/>
      <c r="AJ159" s="174"/>
      <c r="AK159" s="175"/>
      <c r="AL159" s="175"/>
      <c r="AM159" s="175"/>
      <c r="AN159" s="175"/>
      <c r="AO159" s="175"/>
      <c r="AP159" s="175"/>
      <c r="AQ159" s="175"/>
      <c r="AR159" s="175"/>
      <c r="AS159" s="175"/>
      <c r="AT159" s="175"/>
      <c r="AU159" s="175"/>
      <c r="AV159" s="175"/>
      <c r="AW159" s="175"/>
      <c r="AX159" s="175"/>
      <c r="AY159" s="175"/>
      <c r="AZ159" s="175"/>
      <c r="BA159" s="175"/>
      <c r="BB159" s="175"/>
      <c r="BC159" s="175"/>
      <c r="BD159" s="175"/>
      <c r="BE159" s="175"/>
      <c r="BF159" s="175"/>
      <c r="BG159" s="175"/>
      <c r="BH159" s="175"/>
      <c r="BI159" s="175"/>
      <c r="BJ159" s="175"/>
      <c r="BK159" s="175"/>
      <c r="BL159" s="175"/>
      <c r="BM159" s="175"/>
      <c r="BN159" s="175"/>
      <c r="BO159" s="175"/>
      <c r="BP159" s="175"/>
      <c r="BQ159" s="175"/>
    </row>
    <row r="160" spans="1:69" s="123" customFormat="1" ht="12.75" x14ac:dyDescent="0.2">
      <c r="A160" s="34"/>
      <c r="B160" s="34"/>
      <c r="C160" s="33"/>
      <c r="D160" s="33"/>
      <c r="E160" s="33"/>
      <c r="F160" s="33"/>
      <c r="G160" s="33"/>
      <c r="H160" s="32"/>
      <c r="I160" s="32"/>
      <c r="J160" s="32"/>
      <c r="K160" s="34"/>
      <c r="L160" s="34"/>
      <c r="M160" s="34"/>
      <c r="N160" s="34"/>
      <c r="O160" s="34"/>
      <c r="P160" s="122"/>
      <c r="Q160" s="122"/>
      <c r="R160" s="122"/>
      <c r="S160" s="122"/>
      <c r="T160" s="122"/>
      <c r="U160" s="122"/>
      <c r="V160" s="122"/>
      <c r="W160" s="122"/>
      <c r="X160" s="122"/>
      <c r="Y160" s="122"/>
      <c r="Z160" s="122"/>
      <c r="AA160" s="122"/>
      <c r="AB160" s="122"/>
      <c r="AH160" s="174"/>
      <c r="AI160" s="174"/>
      <c r="AJ160" s="174"/>
      <c r="AK160" s="175"/>
      <c r="AL160" s="175"/>
      <c r="AM160" s="175"/>
      <c r="AN160" s="175"/>
      <c r="AO160" s="175"/>
      <c r="AP160" s="175"/>
      <c r="AQ160" s="175"/>
      <c r="AR160" s="175"/>
      <c r="AS160" s="175"/>
      <c r="AT160" s="175"/>
      <c r="AU160" s="175"/>
      <c r="AV160" s="175"/>
      <c r="AW160" s="175"/>
      <c r="AX160" s="175"/>
      <c r="AY160" s="175"/>
      <c r="AZ160" s="175"/>
      <c r="BA160" s="175"/>
      <c r="BB160" s="175"/>
      <c r="BC160" s="175"/>
      <c r="BD160" s="175"/>
      <c r="BE160" s="175"/>
      <c r="BF160" s="175"/>
      <c r="BG160" s="175"/>
      <c r="BH160" s="175"/>
      <c r="BI160" s="175"/>
      <c r="BJ160" s="175"/>
      <c r="BK160" s="175"/>
      <c r="BL160" s="175"/>
      <c r="BM160" s="175"/>
      <c r="BN160" s="175"/>
      <c r="BO160" s="175"/>
      <c r="BP160" s="175"/>
      <c r="BQ160" s="175"/>
    </row>
    <row r="161" spans="1:69" s="123" customFormat="1" ht="12.75" x14ac:dyDescent="0.2">
      <c r="A161" s="34"/>
      <c r="B161" s="34"/>
      <c r="C161" s="33"/>
      <c r="D161" s="33"/>
      <c r="E161" s="33"/>
      <c r="F161" s="33"/>
      <c r="G161" s="33"/>
      <c r="H161" s="32"/>
      <c r="I161" s="32"/>
      <c r="J161" s="32"/>
      <c r="K161" s="34"/>
      <c r="L161" s="34"/>
      <c r="M161" s="34"/>
      <c r="N161" s="34"/>
      <c r="O161" s="34"/>
      <c r="P161" s="122"/>
      <c r="Q161" s="122"/>
      <c r="R161" s="122"/>
      <c r="S161" s="122"/>
      <c r="T161" s="122"/>
      <c r="U161" s="122"/>
      <c r="V161" s="122"/>
      <c r="W161" s="122"/>
      <c r="X161" s="122"/>
      <c r="Y161" s="122"/>
      <c r="Z161" s="122"/>
      <c r="AA161" s="122"/>
      <c r="AB161" s="122"/>
      <c r="AH161" s="174"/>
      <c r="AI161" s="174"/>
      <c r="AJ161" s="174"/>
      <c r="AK161" s="175"/>
      <c r="AL161" s="175"/>
      <c r="AM161" s="175"/>
      <c r="AN161" s="175"/>
      <c r="AO161" s="175"/>
      <c r="AP161" s="175"/>
      <c r="AQ161" s="175"/>
      <c r="AR161" s="175"/>
      <c r="AS161" s="175"/>
      <c r="AT161" s="175"/>
      <c r="AU161" s="175"/>
      <c r="AV161" s="175"/>
      <c r="AW161" s="175"/>
      <c r="AX161" s="175"/>
      <c r="AY161" s="175"/>
      <c r="AZ161" s="175"/>
      <c r="BA161" s="175"/>
      <c r="BB161" s="175"/>
      <c r="BC161" s="175"/>
      <c r="BD161" s="175"/>
      <c r="BE161" s="175"/>
      <c r="BF161" s="175"/>
      <c r="BG161" s="175"/>
      <c r="BH161" s="175"/>
      <c r="BI161" s="175"/>
      <c r="BJ161" s="175"/>
      <c r="BK161" s="175"/>
      <c r="BL161" s="175"/>
      <c r="BM161" s="175"/>
      <c r="BN161" s="175"/>
      <c r="BO161" s="175"/>
      <c r="BP161" s="175"/>
      <c r="BQ161" s="175"/>
    </row>
    <row r="162" spans="1:69" s="123" customFormat="1" ht="12.75" x14ac:dyDescent="0.2">
      <c r="A162" s="34"/>
      <c r="B162" s="34"/>
      <c r="C162" s="33"/>
      <c r="D162" s="33"/>
      <c r="E162" s="33"/>
      <c r="F162" s="33"/>
      <c r="G162" s="33"/>
      <c r="H162" s="32"/>
      <c r="I162" s="32"/>
      <c r="J162" s="32"/>
      <c r="K162" s="34"/>
      <c r="L162" s="34"/>
      <c r="M162" s="34"/>
      <c r="N162" s="34"/>
      <c r="O162" s="34"/>
      <c r="P162" s="122"/>
      <c r="Q162" s="122"/>
      <c r="R162" s="122"/>
      <c r="S162" s="122"/>
      <c r="T162" s="122"/>
      <c r="U162" s="122"/>
      <c r="V162" s="122"/>
      <c r="W162" s="122"/>
      <c r="X162" s="122"/>
      <c r="Y162" s="122"/>
      <c r="Z162" s="122"/>
      <c r="AA162" s="122"/>
      <c r="AB162" s="122"/>
      <c r="AH162" s="174"/>
      <c r="AI162" s="174"/>
      <c r="AJ162" s="174"/>
      <c r="AK162" s="175"/>
      <c r="AL162" s="175"/>
      <c r="AM162" s="175"/>
      <c r="AN162" s="175"/>
      <c r="AO162" s="175"/>
      <c r="AP162" s="175"/>
      <c r="AQ162" s="175"/>
      <c r="AR162" s="175"/>
      <c r="AS162" s="175"/>
      <c r="AT162" s="175"/>
      <c r="AU162" s="175"/>
      <c r="AV162" s="175"/>
      <c r="AW162" s="175"/>
      <c r="AX162" s="175"/>
      <c r="AY162" s="175"/>
      <c r="AZ162" s="175"/>
      <c r="BA162" s="175"/>
      <c r="BB162" s="175"/>
      <c r="BC162" s="175"/>
      <c r="BD162" s="175"/>
      <c r="BE162" s="175"/>
      <c r="BF162" s="175"/>
      <c r="BG162" s="175"/>
      <c r="BH162" s="175"/>
      <c r="BI162" s="175"/>
      <c r="BJ162" s="175"/>
      <c r="BK162" s="175"/>
      <c r="BL162" s="175"/>
      <c r="BM162" s="175"/>
      <c r="BN162" s="175"/>
      <c r="BO162" s="175"/>
      <c r="BP162" s="175"/>
      <c r="BQ162" s="175"/>
    </row>
    <row r="163" spans="1:69" s="123" customFormat="1" ht="12.75" x14ac:dyDescent="0.2">
      <c r="A163" s="34"/>
      <c r="B163" s="34"/>
      <c r="C163" s="33"/>
      <c r="D163" s="33"/>
      <c r="E163" s="33"/>
      <c r="F163" s="33"/>
      <c r="G163" s="33"/>
      <c r="H163" s="32"/>
      <c r="I163" s="32"/>
      <c r="J163" s="32"/>
      <c r="K163" s="34"/>
      <c r="L163" s="34"/>
      <c r="M163" s="34"/>
      <c r="N163" s="34"/>
      <c r="O163" s="34"/>
      <c r="P163" s="122"/>
      <c r="Q163" s="122"/>
      <c r="R163" s="122"/>
      <c r="S163" s="122"/>
      <c r="T163" s="122"/>
      <c r="U163" s="122"/>
      <c r="V163" s="122"/>
      <c r="W163" s="122"/>
      <c r="X163" s="122"/>
      <c r="Y163" s="122"/>
      <c r="Z163" s="122"/>
      <c r="AA163" s="122"/>
      <c r="AB163" s="122"/>
      <c r="AH163" s="174"/>
      <c r="AI163" s="174"/>
      <c r="AJ163" s="174"/>
      <c r="AK163" s="175"/>
      <c r="AL163" s="175"/>
      <c r="AM163" s="175"/>
      <c r="AN163" s="175"/>
      <c r="AO163" s="175"/>
      <c r="AP163" s="175"/>
      <c r="AQ163" s="175"/>
      <c r="AR163" s="175"/>
      <c r="AS163" s="175"/>
      <c r="AT163" s="175"/>
      <c r="AU163" s="175"/>
      <c r="AV163" s="175"/>
      <c r="AW163" s="175"/>
      <c r="AX163" s="175"/>
      <c r="AY163" s="175"/>
      <c r="AZ163" s="175"/>
      <c r="BA163" s="175"/>
      <c r="BB163" s="175"/>
      <c r="BC163" s="175"/>
      <c r="BD163" s="175"/>
      <c r="BE163" s="175"/>
      <c r="BF163" s="175"/>
      <c r="BG163" s="175"/>
      <c r="BH163" s="175"/>
      <c r="BI163" s="175"/>
      <c r="BJ163" s="175"/>
      <c r="BK163" s="175"/>
      <c r="BL163" s="175"/>
      <c r="BM163" s="175"/>
      <c r="BN163" s="175"/>
      <c r="BO163" s="175"/>
      <c r="BP163" s="175"/>
      <c r="BQ163" s="175"/>
    </row>
    <row r="164" spans="1:69" s="123" customFormat="1" ht="12.75" x14ac:dyDescent="0.2">
      <c r="A164" s="34"/>
      <c r="B164" s="34"/>
      <c r="C164" s="33"/>
      <c r="D164" s="33"/>
      <c r="E164" s="33"/>
      <c r="F164" s="33"/>
      <c r="G164" s="33"/>
      <c r="H164" s="32"/>
      <c r="I164" s="32"/>
      <c r="J164" s="32"/>
      <c r="K164" s="34"/>
      <c r="L164" s="34"/>
      <c r="M164" s="34"/>
      <c r="N164" s="34"/>
      <c r="O164" s="34"/>
      <c r="P164" s="122"/>
      <c r="Q164" s="122"/>
      <c r="R164" s="122"/>
      <c r="S164" s="122"/>
      <c r="T164" s="122"/>
      <c r="U164" s="122"/>
      <c r="V164" s="122"/>
      <c r="W164" s="122"/>
      <c r="AH164" s="174"/>
      <c r="AI164" s="174"/>
      <c r="AJ164" s="174"/>
      <c r="AK164" s="175"/>
      <c r="AL164" s="175"/>
      <c r="AM164" s="175"/>
      <c r="AN164" s="175"/>
      <c r="AO164" s="175"/>
      <c r="AP164" s="175"/>
      <c r="AQ164" s="175"/>
      <c r="AR164" s="175"/>
      <c r="AS164" s="175"/>
      <c r="AT164" s="175"/>
      <c r="AU164" s="175"/>
      <c r="AV164" s="175"/>
      <c r="AW164" s="175"/>
      <c r="AX164" s="175"/>
      <c r="AY164" s="175"/>
      <c r="AZ164" s="175"/>
      <c r="BA164" s="175"/>
      <c r="BB164" s="175"/>
      <c r="BC164" s="175"/>
      <c r="BD164" s="175"/>
      <c r="BE164" s="175"/>
      <c r="BF164" s="175"/>
      <c r="BG164" s="175"/>
      <c r="BH164" s="175"/>
      <c r="BI164" s="175"/>
      <c r="BJ164" s="175"/>
      <c r="BK164" s="175"/>
      <c r="BL164" s="175"/>
      <c r="BM164" s="175"/>
      <c r="BN164" s="175"/>
      <c r="BO164" s="175"/>
      <c r="BP164" s="175"/>
      <c r="BQ164" s="175"/>
    </row>
    <row r="165" spans="1:69" s="123" customFormat="1" ht="12.75" x14ac:dyDescent="0.2">
      <c r="A165" s="34"/>
      <c r="B165" s="34"/>
      <c r="C165" s="33"/>
      <c r="D165" s="33"/>
      <c r="E165" s="33"/>
      <c r="F165" s="33"/>
      <c r="G165" s="33"/>
      <c r="H165" s="32"/>
      <c r="I165" s="32"/>
      <c r="J165" s="32"/>
      <c r="K165" s="34"/>
      <c r="L165" s="34"/>
      <c r="M165" s="34"/>
      <c r="N165" s="34"/>
      <c r="O165" s="34"/>
      <c r="P165" s="122"/>
      <c r="Q165" s="122"/>
      <c r="R165" s="122"/>
      <c r="S165" s="122"/>
      <c r="T165" s="122"/>
      <c r="U165" s="122"/>
      <c r="V165" s="122"/>
      <c r="W165" s="122"/>
      <c r="AH165" s="174"/>
      <c r="AI165" s="174"/>
      <c r="AJ165" s="174"/>
      <c r="AK165" s="175"/>
      <c r="AL165" s="175"/>
      <c r="AM165" s="175"/>
      <c r="AN165" s="175"/>
      <c r="AO165" s="175"/>
      <c r="AP165" s="175"/>
      <c r="AQ165" s="175"/>
      <c r="AR165" s="175"/>
      <c r="AS165" s="175"/>
      <c r="AT165" s="175"/>
      <c r="AU165" s="175"/>
      <c r="AV165" s="175"/>
      <c r="AW165" s="175"/>
      <c r="AX165" s="175"/>
      <c r="AY165" s="175"/>
      <c r="AZ165" s="175"/>
      <c r="BA165" s="175"/>
      <c r="BB165" s="175"/>
      <c r="BC165" s="175"/>
      <c r="BD165" s="175"/>
      <c r="BE165" s="175"/>
      <c r="BF165" s="175"/>
      <c r="BG165" s="175"/>
      <c r="BH165" s="175"/>
      <c r="BI165" s="175"/>
      <c r="BJ165" s="175"/>
      <c r="BK165" s="175"/>
      <c r="BL165" s="175"/>
      <c r="BM165" s="175"/>
      <c r="BN165" s="175"/>
      <c r="BO165" s="175"/>
      <c r="BP165" s="175"/>
      <c r="BQ165" s="175"/>
    </row>
    <row r="166" spans="1:69" s="123" customFormat="1" ht="12.75" x14ac:dyDescent="0.2">
      <c r="A166" s="34"/>
      <c r="B166" s="34"/>
      <c r="C166" s="33"/>
      <c r="D166" s="33"/>
      <c r="E166" s="33"/>
      <c r="F166" s="33"/>
      <c r="G166" s="33"/>
      <c r="H166" s="32"/>
      <c r="I166" s="32"/>
      <c r="J166" s="32"/>
      <c r="K166" s="34"/>
      <c r="L166" s="34"/>
      <c r="M166" s="34"/>
      <c r="N166" s="34"/>
      <c r="O166" s="34"/>
      <c r="P166" s="122"/>
      <c r="Q166" s="122"/>
      <c r="R166" s="122"/>
      <c r="S166" s="122"/>
      <c r="T166" s="122"/>
      <c r="U166" s="122"/>
      <c r="V166" s="122"/>
      <c r="W166" s="122"/>
      <c r="AH166" s="174"/>
      <c r="AI166" s="174"/>
      <c r="AJ166" s="174"/>
      <c r="AK166" s="175"/>
      <c r="AL166" s="175"/>
      <c r="AM166" s="175"/>
      <c r="AN166" s="175"/>
      <c r="AO166" s="175"/>
      <c r="AP166" s="175"/>
      <c r="AQ166" s="175"/>
      <c r="AR166" s="175"/>
      <c r="AS166" s="175"/>
      <c r="AT166" s="175"/>
      <c r="AU166" s="175"/>
      <c r="AV166" s="175"/>
      <c r="AW166" s="175"/>
      <c r="AX166" s="175"/>
      <c r="AY166" s="175"/>
      <c r="AZ166" s="175"/>
      <c r="BA166" s="175"/>
      <c r="BB166" s="175"/>
      <c r="BC166" s="175"/>
      <c r="BD166" s="175"/>
      <c r="BE166" s="175"/>
      <c r="BF166" s="175"/>
      <c r="BG166" s="175"/>
      <c r="BH166" s="175"/>
      <c r="BI166" s="175"/>
      <c r="BJ166" s="175"/>
      <c r="BK166" s="175"/>
      <c r="BL166" s="175"/>
      <c r="BM166" s="175"/>
      <c r="BN166" s="175"/>
      <c r="BO166" s="175"/>
      <c r="BP166" s="175"/>
      <c r="BQ166" s="175"/>
    </row>
    <row r="167" spans="1:69" s="123" customFormat="1" ht="12.95" customHeight="1" x14ac:dyDescent="0.2">
      <c r="A167" s="34"/>
      <c r="B167" s="34"/>
      <c r="C167" s="33"/>
      <c r="D167" s="33"/>
      <c r="E167" s="33"/>
      <c r="F167" s="33"/>
      <c r="G167" s="33"/>
      <c r="H167" s="32"/>
      <c r="I167" s="32"/>
      <c r="J167" s="32"/>
      <c r="K167" s="34"/>
      <c r="L167" s="34"/>
      <c r="M167" s="34"/>
      <c r="N167" s="34"/>
      <c r="O167" s="34"/>
      <c r="P167" s="122"/>
      <c r="Q167" s="122"/>
      <c r="R167" s="122"/>
      <c r="S167" s="122"/>
      <c r="T167" s="122"/>
      <c r="U167" s="122"/>
      <c r="V167" s="122"/>
      <c r="W167" s="122"/>
      <c r="AH167" s="174"/>
      <c r="AI167" s="174"/>
      <c r="AJ167" s="174"/>
      <c r="AK167" s="175"/>
      <c r="AL167" s="175"/>
      <c r="AM167" s="175"/>
      <c r="AN167" s="175"/>
      <c r="AO167" s="175"/>
      <c r="AP167" s="175"/>
      <c r="AQ167" s="175"/>
      <c r="AR167" s="175"/>
      <c r="AS167" s="175"/>
      <c r="AT167" s="175"/>
      <c r="AU167" s="175"/>
      <c r="AV167" s="175"/>
      <c r="AW167" s="175"/>
      <c r="AX167" s="175"/>
      <c r="AY167" s="175"/>
      <c r="AZ167" s="175"/>
      <c r="BA167" s="175"/>
      <c r="BB167" s="175"/>
      <c r="BC167" s="175"/>
      <c r="BD167" s="175"/>
      <c r="BE167" s="175"/>
      <c r="BF167" s="175"/>
      <c r="BG167" s="175"/>
      <c r="BH167" s="175"/>
      <c r="BI167" s="175"/>
      <c r="BJ167" s="175"/>
      <c r="BK167" s="175"/>
      <c r="BL167" s="175"/>
      <c r="BM167" s="175"/>
      <c r="BN167" s="175"/>
      <c r="BO167" s="175"/>
      <c r="BP167" s="175"/>
      <c r="BQ167" s="175"/>
    </row>
  </sheetData>
  <sheetProtection algorithmName="SHA-512" hashValue="jE3FMREm3J3Pxuv+AsCXGthmFD4lI47hhOJ/7njTxsaF/hDwksmOn+gGLIGHjWrqZIna/tOf7tTY3eK286AJRQ==" saltValue="Wl5bDLnIE6eDnuOF4TdtXw==" spinCount="100000" sheet="1" objects="1" scenarios="1" selectLockedCells="1"/>
  <mergeCells count="375">
    <mergeCell ref="L22:M22"/>
    <mergeCell ref="L18:M18"/>
    <mergeCell ref="H23:I23"/>
    <mergeCell ref="L23:M23"/>
    <mergeCell ref="H24:I24"/>
    <mergeCell ref="L33:M33"/>
    <mergeCell ref="H34:I34"/>
    <mergeCell ref="L34:M34"/>
    <mergeCell ref="H35:I35"/>
    <mergeCell ref="L35:M35"/>
    <mergeCell ref="H36:I36"/>
    <mergeCell ref="L36:M36"/>
    <mergeCell ref="H25:I25"/>
    <mergeCell ref="L25:M25"/>
    <mergeCell ref="H26:I26"/>
    <mergeCell ref="L26:M26"/>
    <mergeCell ref="H27:I27"/>
    <mergeCell ref="L27:M27"/>
    <mergeCell ref="L28:M28"/>
    <mergeCell ref="K51:N52"/>
    <mergeCell ref="L53:M53"/>
    <mergeCell ref="H54:I54"/>
    <mergeCell ref="L54:M54"/>
    <mergeCell ref="H38:I38"/>
    <mergeCell ref="L38:M38"/>
    <mergeCell ref="H39:I39"/>
    <mergeCell ref="L39:M39"/>
    <mergeCell ref="G44:N44"/>
    <mergeCell ref="G45:N45"/>
    <mergeCell ref="G46:N46"/>
    <mergeCell ref="H53:I53"/>
    <mergeCell ref="P87:Q87"/>
    <mergeCell ref="E87:F87"/>
    <mergeCell ref="G87:I87"/>
    <mergeCell ref="J87:K87"/>
    <mergeCell ref="L87:N87"/>
    <mergeCell ref="E86:F86"/>
    <mergeCell ref="E53:F53"/>
    <mergeCell ref="A14:D14"/>
    <mergeCell ref="H14:I14"/>
    <mergeCell ref="L14:M14"/>
    <mergeCell ref="H15:I15"/>
    <mergeCell ref="L15:M15"/>
    <mergeCell ref="H16:I16"/>
    <mergeCell ref="L16:M16"/>
    <mergeCell ref="H17:I17"/>
    <mergeCell ref="L17:M17"/>
    <mergeCell ref="E21:F21"/>
    <mergeCell ref="E22:F22"/>
    <mergeCell ref="E20:F20"/>
    <mergeCell ref="E15:F15"/>
    <mergeCell ref="E16:F16"/>
    <mergeCell ref="E17:F17"/>
    <mergeCell ref="E18:F18"/>
    <mergeCell ref="G51:G52"/>
    <mergeCell ref="E95:F95"/>
    <mergeCell ref="J95:K95"/>
    <mergeCell ref="L95:N95"/>
    <mergeCell ref="P95:Q95"/>
    <mergeCell ref="E96:F96"/>
    <mergeCell ref="G96:I96"/>
    <mergeCell ref="J96:K96"/>
    <mergeCell ref="L96:N96"/>
    <mergeCell ref="P96:Q96"/>
    <mergeCell ref="E97:F97"/>
    <mergeCell ref="G97:I97"/>
    <mergeCell ref="J97:K97"/>
    <mergeCell ref="L97:N97"/>
    <mergeCell ref="P97:Q97"/>
    <mergeCell ref="E98:F98"/>
    <mergeCell ref="G98:I98"/>
    <mergeCell ref="J98:K98"/>
    <mergeCell ref="L98:N98"/>
    <mergeCell ref="P98:Q98"/>
    <mergeCell ref="C68:D68"/>
    <mergeCell ref="E68:F68"/>
    <mergeCell ref="G68:I68"/>
    <mergeCell ref="J68:K68"/>
    <mergeCell ref="L68:N68"/>
    <mergeCell ref="C69:D69"/>
    <mergeCell ref="E69:F69"/>
    <mergeCell ref="G69:I69"/>
    <mergeCell ref="J69:K69"/>
    <mergeCell ref="L69:N69"/>
    <mergeCell ref="P106:Q106"/>
    <mergeCell ref="P26:P27"/>
    <mergeCell ref="Q26:S27"/>
    <mergeCell ref="J58:K59"/>
    <mergeCell ref="L58:N59"/>
    <mergeCell ref="J51:J52"/>
    <mergeCell ref="H30:I30"/>
    <mergeCell ref="L30:M30"/>
    <mergeCell ref="H31:I31"/>
    <mergeCell ref="L31:M31"/>
    <mergeCell ref="H32:I32"/>
    <mergeCell ref="L32:M32"/>
    <mergeCell ref="H33:I33"/>
    <mergeCell ref="G86:I86"/>
    <mergeCell ref="J86:K86"/>
    <mergeCell ref="L86:N86"/>
    <mergeCell ref="P86:Q86"/>
    <mergeCell ref="H28:I28"/>
    <mergeCell ref="H29:I29"/>
    <mergeCell ref="L29:M29"/>
    <mergeCell ref="H37:I37"/>
    <mergeCell ref="L37:M37"/>
    <mergeCell ref="H51:I52"/>
    <mergeCell ref="G95:I95"/>
    <mergeCell ref="E101:F101"/>
    <mergeCell ref="G101:I101"/>
    <mergeCell ref="J101:K101"/>
    <mergeCell ref="L101:N101"/>
    <mergeCell ref="P101:Q101"/>
    <mergeCell ref="P104:Q104"/>
    <mergeCell ref="P105:Q105"/>
    <mergeCell ref="E102:F102"/>
    <mergeCell ref="G102:I102"/>
    <mergeCell ref="J102:K102"/>
    <mergeCell ref="L102:N102"/>
    <mergeCell ref="P102:Q102"/>
    <mergeCell ref="E103:F103"/>
    <mergeCell ref="G103:I103"/>
    <mergeCell ref="J103:K103"/>
    <mergeCell ref="L103:N103"/>
    <mergeCell ref="P103:Q103"/>
    <mergeCell ref="T141:U141"/>
    <mergeCell ref="T132:U132"/>
    <mergeCell ref="T134:U134"/>
    <mergeCell ref="T135:U135"/>
    <mergeCell ref="T136:U136"/>
    <mergeCell ref="T139:U139"/>
    <mergeCell ref="T140:U140"/>
    <mergeCell ref="T124:U124"/>
    <mergeCell ref="T125:U125"/>
    <mergeCell ref="T126:U126"/>
    <mergeCell ref="T129:U129"/>
    <mergeCell ref="T130:U130"/>
    <mergeCell ref="T131:U131"/>
    <mergeCell ref="C118:F118"/>
    <mergeCell ref="G118:I118"/>
    <mergeCell ref="J118:K118"/>
    <mergeCell ref="L118:N118"/>
    <mergeCell ref="X118:Z118"/>
    <mergeCell ref="C119:F119"/>
    <mergeCell ref="G119:I119"/>
    <mergeCell ref="J119:K119"/>
    <mergeCell ref="L119:N119"/>
    <mergeCell ref="C116:F116"/>
    <mergeCell ref="G116:I116"/>
    <mergeCell ref="J116:K116"/>
    <mergeCell ref="L116:N116"/>
    <mergeCell ref="C117:F117"/>
    <mergeCell ref="G117:I117"/>
    <mergeCell ref="J117:K117"/>
    <mergeCell ref="L117:N117"/>
    <mergeCell ref="G110:K110"/>
    <mergeCell ref="L110:N110"/>
    <mergeCell ref="G114:N114"/>
    <mergeCell ref="G115:I115"/>
    <mergeCell ref="J115:K115"/>
    <mergeCell ref="L115:N115"/>
    <mergeCell ref="C114:F114"/>
    <mergeCell ref="C115:F115"/>
    <mergeCell ref="G108:I108"/>
    <mergeCell ref="J108:K108"/>
    <mergeCell ref="L108:N108"/>
    <mergeCell ref="C109:D109"/>
    <mergeCell ref="J109:K109"/>
    <mergeCell ref="L109:N109"/>
    <mergeCell ref="E104:F104"/>
    <mergeCell ref="G104:I104"/>
    <mergeCell ref="J104:K104"/>
    <mergeCell ref="L104:N104"/>
    <mergeCell ref="E105:F105"/>
    <mergeCell ref="G105:I105"/>
    <mergeCell ref="J105:K105"/>
    <mergeCell ref="L105:N105"/>
    <mergeCell ref="E106:F106"/>
    <mergeCell ref="G106:I106"/>
    <mergeCell ref="J106:K106"/>
    <mergeCell ref="L106:N106"/>
    <mergeCell ref="E107:F107"/>
    <mergeCell ref="G107:I107"/>
    <mergeCell ref="J107:K107"/>
    <mergeCell ref="L107:N107"/>
    <mergeCell ref="E99:F99"/>
    <mergeCell ref="G99:I99"/>
    <mergeCell ref="J99:K99"/>
    <mergeCell ref="L99:N99"/>
    <mergeCell ref="P99:Q99"/>
    <mergeCell ref="E100:F100"/>
    <mergeCell ref="G100:I100"/>
    <mergeCell ref="J100:K100"/>
    <mergeCell ref="L100:N100"/>
    <mergeCell ref="P100:Q100"/>
    <mergeCell ref="G93:I93"/>
    <mergeCell ref="J93:K93"/>
    <mergeCell ref="L93:N93"/>
    <mergeCell ref="P93:Q93"/>
    <mergeCell ref="E94:F94"/>
    <mergeCell ref="G94:I94"/>
    <mergeCell ref="J94:K94"/>
    <mergeCell ref="L94:N94"/>
    <mergeCell ref="P94:Q94"/>
    <mergeCell ref="E93:F93"/>
    <mergeCell ref="E91:F91"/>
    <mergeCell ref="G91:I91"/>
    <mergeCell ref="J91:K91"/>
    <mergeCell ref="L91:N91"/>
    <mergeCell ref="P91:Q91"/>
    <mergeCell ref="E92:F92"/>
    <mergeCell ref="G92:I92"/>
    <mergeCell ref="J92:K92"/>
    <mergeCell ref="L92:N92"/>
    <mergeCell ref="P92:Q92"/>
    <mergeCell ref="E90:F90"/>
    <mergeCell ref="G90:I90"/>
    <mergeCell ref="J90:K90"/>
    <mergeCell ref="L90:N90"/>
    <mergeCell ref="P90:Q90"/>
    <mergeCell ref="L89:N89"/>
    <mergeCell ref="P89:Q89"/>
    <mergeCell ref="P88:Q88"/>
    <mergeCell ref="E88:F88"/>
    <mergeCell ref="G88:I88"/>
    <mergeCell ref="J88:K88"/>
    <mergeCell ref="L88:N88"/>
    <mergeCell ref="E89:F89"/>
    <mergeCell ref="G89:I89"/>
    <mergeCell ref="J89:K89"/>
    <mergeCell ref="E76:F76"/>
    <mergeCell ref="G76:I76"/>
    <mergeCell ref="J76:K76"/>
    <mergeCell ref="L76:N76"/>
    <mergeCell ref="E85:F85"/>
    <mergeCell ref="G85:K85"/>
    <mergeCell ref="L85:N85"/>
    <mergeCell ref="C77:D77"/>
    <mergeCell ref="E77:F77"/>
    <mergeCell ref="G77:I77"/>
    <mergeCell ref="J77:K77"/>
    <mergeCell ref="L77:N77"/>
    <mergeCell ref="D79:F79"/>
    <mergeCell ref="H79:I79"/>
    <mergeCell ref="J79:K79"/>
    <mergeCell ref="L79:N79"/>
    <mergeCell ref="M81:N81"/>
    <mergeCell ref="E83:F83"/>
    <mergeCell ref="M83:N83"/>
    <mergeCell ref="C78:D78"/>
    <mergeCell ref="E78:F78"/>
    <mergeCell ref="G78:I78"/>
    <mergeCell ref="J78:K78"/>
    <mergeCell ref="L78:N78"/>
    <mergeCell ref="E74:F74"/>
    <mergeCell ref="G74:I74"/>
    <mergeCell ref="J74:K74"/>
    <mergeCell ref="L74:N74"/>
    <mergeCell ref="C75:D75"/>
    <mergeCell ref="E75:F75"/>
    <mergeCell ref="G75:I75"/>
    <mergeCell ref="J75:K75"/>
    <mergeCell ref="L75:N75"/>
    <mergeCell ref="E72:F72"/>
    <mergeCell ref="G72:I72"/>
    <mergeCell ref="J72:K72"/>
    <mergeCell ref="L72:N72"/>
    <mergeCell ref="E73:F73"/>
    <mergeCell ref="G73:I73"/>
    <mergeCell ref="J73:K73"/>
    <mergeCell ref="L73:N73"/>
    <mergeCell ref="E70:F70"/>
    <mergeCell ref="G70:I70"/>
    <mergeCell ref="J70:K70"/>
    <mergeCell ref="L70:N70"/>
    <mergeCell ref="E71:F71"/>
    <mergeCell ref="G71:I71"/>
    <mergeCell ref="J71:K71"/>
    <mergeCell ref="L71:N71"/>
    <mergeCell ref="C66:D66"/>
    <mergeCell ref="E66:F66"/>
    <mergeCell ref="G66:I66"/>
    <mergeCell ref="J66:K66"/>
    <mergeCell ref="L66:N66"/>
    <mergeCell ref="C67:D67"/>
    <mergeCell ref="E67:F67"/>
    <mergeCell ref="G67:I67"/>
    <mergeCell ref="J67:K67"/>
    <mergeCell ref="L67:N67"/>
    <mergeCell ref="C65:D65"/>
    <mergeCell ref="E65:F65"/>
    <mergeCell ref="G65:I65"/>
    <mergeCell ref="J65:K65"/>
    <mergeCell ref="L65:N65"/>
    <mergeCell ref="C64:D64"/>
    <mergeCell ref="E64:F64"/>
    <mergeCell ref="G64:I64"/>
    <mergeCell ref="J64:K64"/>
    <mergeCell ref="L64:N64"/>
    <mergeCell ref="C62:D62"/>
    <mergeCell ref="E62:F62"/>
    <mergeCell ref="G62:I62"/>
    <mergeCell ref="J62:K62"/>
    <mergeCell ref="L62:N62"/>
    <mergeCell ref="C63:D63"/>
    <mergeCell ref="E63:F63"/>
    <mergeCell ref="G63:I63"/>
    <mergeCell ref="J63:K63"/>
    <mergeCell ref="L63:N63"/>
    <mergeCell ref="B45:D45"/>
    <mergeCell ref="E45:F45"/>
    <mergeCell ref="B46:D46"/>
    <mergeCell ref="E46:F46"/>
    <mergeCell ref="E47:F47"/>
    <mergeCell ref="E51:F52"/>
    <mergeCell ref="E37:F37"/>
    <mergeCell ref="E32:F32"/>
    <mergeCell ref="E33:F33"/>
    <mergeCell ref="E34:F34"/>
    <mergeCell ref="E39:F39"/>
    <mergeCell ref="B43:D43"/>
    <mergeCell ref="E43:F43"/>
    <mergeCell ref="B44:D44"/>
    <mergeCell ref="E44:F44"/>
    <mergeCell ref="E38:F38"/>
    <mergeCell ref="E35:F35"/>
    <mergeCell ref="E36:F36"/>
    <mergeCell ref="B11:D11"/>
    <mergeCell ref="E11:F12"/>
    <mergeCell ref="J11:J12"/>
    <mergeCell ref="L13:M13"/>
    <mergeCell ref="G11:G12"/>
    <mergeCell ref="K11:N12"/>
    <mergeCell ref="E23:F23"/>
    <mergeCell ref="E30:F30"/>
    <mergeCell ref="E31:F31"/>
    <mergeCell ref="E27:F27"/>
    <mergeCell ref="E28:F28"/>
    <mergeCell ref="E29:F29"/>
    <mergeCell ref="E24:F24"/>
    <mergeCell ref="E25:F25"/>
    <mergeCell ref="E26:F26"/>
    <mergeCell ref="E19:F19"/>
    <mergeCell ref="H18:I18"/>
    <mergeCell ref="H19:I19"/>
    <mergeCell ref="L24:M24"/>
    <mergeCell ref="H11:I12"/>
    <mergeCell ref="H13:I13"/>
    <mergeCell ref="H21:I21"/>
    <mergeCell ref="L21:M21"/>
    <mergeCell ref="H22:I22"/>
    <mergeCell ref="M5:N5"/>
    <mergeCell ref="P107:Q107"/>
    <mergeCell ref="L19:M19"/>
    <mergeCell ref="H20:I20"/>
    <mergeCell ref="L20:M20"/>
    <mergeCell ref="P14:S14"/>
    <mergeCell ref="P9:S9"/>
    <mergeCell ref="Q11:S13"/>
    <mergeCell ref="E13:F13"/>
    <mergeCell ref="E14:F14"/>
    <mergeCell ref="E61:F61"/>
    <mergeCell ref="G61:I61"/>
    <mergeCell ref="J61:K61"/>
    <mergeCell ref="L61:N61"/>
    <mergeCell ref="E54:F54"/>
    <mergeCell ref="C55:E55"/>
    <mergeCell ref="F55:G55"/>
    <mergeCell ref="C56:D56"/>
    <mergeCell ref="E58:F59"/>
    <mergeCell ref="G58:I59"/>
    <mergeCell ref="E60:F60"/>
    <mergeCell ref="G60:I60"/>
    <mergeCell ref="J60:K60"/>
    <mergeCell ref="L60:N60"/>
  </mergeCells>
  <conditionalFormatting sqref="C118">
    <cfRule type="cellIs" dxfId="559" priority="132" operator="lessThan">
      <formula>0</formula>
    </cfRule>
  </conditionalFormatting>
  <conditionalFormatting sqref="E83:F83">
    <cfRule type="expression" dxfId="558" priority="49">
      <formula>IF(ISBLANK($M$83),FALSE,TRUE)</formula>
    </cfRule>
  </conditionalFormatting>
  <conditionalFormatting sqref="L116:N118">
    <cfRule type="expression" dxfId="557" priority="47">
      <formula>IF(ISBLANK($J116),FALSE,TRUE)</formula>
    </cfRule>
  </conditionalFormatting>
  <conditionalFormatting sqref="J116:K118">
    <cfRule type="expression" dxfId="556" priority="46">
      <formula>IF($C116&lt;&gt;0,TRUE,FALSE)</formula>
    </cfRule>
  </conditionalFormatting>
  <conditionalFormatting sqref="L116:N118">
    <cfRule type="expression" dxfId="555" priority="24">
      <formula>IF(ISBLANK($J116),FALSE,TRUE)</formula>
    </cfRule>
  </conditionalFormatting>
  <conditionalFormatting sqref="J116:K118">
    <cfRule type="expression" dxfId="554" priority="23">
      <formula>IF($C116&lt;&gt;0,TRUE,FALSE)</formula>
    </cfRule>
  </conditionalFormatting>
  <conditionalFormatting sqref="H21:N38 H15:J20 N15:N20">
    <cfRule type="expression" dxfId="553" priority="137">
      <formula>$X$11</formula>
    </cfRule>
  </conditionalFormatting>
  <conditionalFormatting sqref="A14:N14">
    <cfRule type="expression" dxfId="552" priority="22">
      <formula>$X$12</formula>
    </cfRule>
  </conditionalFormatting>
  <conditionalFormatting sqref="K21:K38">
    <cfRule type="expression" dxfId="551" priority="19">
      <formula>L21&lt;&gt;0</formula>
    </cfRule>
  </conditionalFormatting>
  <conditionalFormatting sqref="C118">
    <cfRule type="cellIs" dxfId="550" priority="18" operator="lessThan">
      <formula>0</formula>
    </cfRule>
  </conditionalFormatting>
  <conditionalFormatting sqref="L116:N118">
    <cfRule type="expression" dxfId="549" priority="17">
      <formula>IF(ISBLANK($J116),FALSE,TRUE)</formula>
    </cfRule>
  </conditionalFormatting>
  <conditionalFormatting sqref="J116:K118">
    <cfRule type="expression" dxfId="548" priority="16">
      <formula>IF($C116&lt;&gt;0,TRUE,FALSE)</formula>
    </cfRule>
  </conditionalFormatting>
  <conditionalFormatting sqref="A19:G19 A21:G38">
    <cfRule type="expression" dxfId="547" priority="13">
      <formula>$X$11</formula>
    </cfRule>
  </conditionalFormatting>
  <conditionalFormatting sqref="K19:M20 L15:M18">
    <cfRule type="expression" dxfId="546" priority="10">
      <formula>$X$11</formula>
    </cfRule>
  </conditionalFormatting>
  <conditionalFormatting sqref="K19:K20">
    <cfRule type="expression" dxfId="545" priority="8">
      <formula>L19&lt;&gt;0</formula>
    </cfRule>
  </conditionalFormatting>
  <conditionalFormatting sqref="A15:G17">
    <cfRule type="expression" dxfId="544" priority="6">
      <formula>$X$11</formula>
    </cfRule>
  </conditionalFormatting>
  <conditionalFormatting sqref="A18:G18">
    <cfRule type="expression" dxfId="543" priority="5">
      <formula>$X$11</formula>
    </cfRule>
  </conditionalFormatting>
  <conditionalFormatting sqref="K15:K18">
    <cfRule type="expression" dxfId="542" priority="4">
      <formula>$X$11</formula>
    </cfRule>
  </conditionalFormatting>
  <conditionalFormatting sqref="K15">
    <cfRule type="expression" dxfId="541" priority="3">
      <formula>L15&lt;&gt;0</formula>
    </cfRule>
  </conditionalFormatting>
  <conditionalFormatting sqref="K16:K18">
    <cfRule type="expression" dxfId="540" priority="2">
      <formula>L16&lt;&gt;0</formula>
    </cfRule>
  </conditionalFormatting>
  <conditionalFormatting sqref="A20:G20">
    <cfRule type="expression" dxfId="539" priority="1">
      <formula>$X$11</formula>
    </cfRule>
  </conditionalFormatting>
  <dataValidations count="5">
    <dataValidation type="list" allowBlank="1" showInputMessage="1" showErrorMessage="1" sqref="B11:D11" xr:uid="{00000000-0002-0000-0C00-000000000000}">
      <formula1>$U$11:$U$12</formula1>
    </dataValidation>
    <dataValidation allowBlank="1" showInputMessage="1" showErrorMessage="1" errorTitle="Fehlerhafte Eingabe" error="Auswahl der Berücksichtigung Förderbeiträge aus Drop-Down selektieren." sqref="D88" xr:uid="{00000000-0002-0000-0C00-000001000000}"/>
    <dataValidation type="custom" allowBlank="1" showErrorMessage="1" errorTitle="Gestehungskosten Überdefiniert" error="Mindestens eine der Gestehungskosten muss vom Programm automatisch berechnet werden._x000a__x000a_Es dürfen nicht alle Gestehungskosten manuell überschrieben werden._x000a_" sqref="J116:K118" xr:uid="{00000000-0002-0000-0C00-000002000000}">
      <formula1>IF(COUNTIF($J$116:$J$118,"")-1&gt;=COUNTIF($C$116:$C$118,0),TRUE,FALSE)</formula1>
    </dataValidation>
    <dataValidation type="custom" allowBlank="1" showInputMessage="1" showErrorMessage="1" errorTitle="Eingabe ausserhalb Bereich" error="Bitte wählen Sie eine Betrachtungsdauer zwischen 1 und 50 Jahren." sqref="M83:N83" xr:uid="{00000000-0002-0000-0C00-000003000000}">
      <formula1>IF(AND(M83&gt;0,M83&lt;=50),TRUE,FALSE)</formula1>
    </dataValidation>
    <dataValidation type="decimal" allowBlank="1" showInputMessage="1" showErrorMessage="1" error="Wert muss zwischen 0 und 100 liegen" sqref="C66 C68 C64 C62" xr:uid="{00000000-0002-0000-0C00-000004000000}">
      <formula1>0</formula1>
      <formula2>1</formula2>
    </dataValidation>
  </dataValidations>
  <hyperlinks>
    <hyperlink ref="G2" location="Neu_in_Version" display="i" xr:uid="{00000000-0004-0000-0C00-000000000000}"/>
  </hyperlinks>
  <printOptions horizontalCentered="1"/>
  <pageMargins left="0.54" right="0.49" top="0.39370078740157483" bottom="0.59" header="0.39370078740157483" footer="0.31496062992125984"/>
  <pageSetup paperSize="9" scale="84" firstPageNumber="3" fitToHeight="0" orientation="portrait" r:id="rId1"/>
  <headerFooter scaleWithDoc="0">
    <oddFooter>&amp;L&amp;8Druckdatum  &amp;D&amp;C&amp;8&amp;F/&amp;A&amp;R&amp;8Seite &amp;P / &amp;N</oddFooter>
  </headerFooter>
  <rowBreaks count="1" manualBreakCount="1">
    <brk id="79" max="13"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8">
    <tabColor theme="9" tint="-0.499984740745262"/>
    <outlinePr summaryBelow="0"/>
    <pageSetUpPr fitToPage="1"/>
  </sheetPr>
  <dimension ref="A1:BP421"/>
  <sheetViews>
    <sheetView showGridLines="0" showZeros="0" zoomScaleNormal="100" zoomScaleSheetLayoutView="100" workbookViewId="0">
      <pane ySplit="13" topLeftCell="A14" activePane="bottomLeft" state="frozen"/>
      <selection activeCell="A8" sqref="A8:N8"/>
      <selection pane="bottomLeft" activeCell="B40" sqref="B40:D40"/>
    </sheetView>
  </sheetViews>
  <sheetFormatPr baseColWidth="10" defaultColWidth="11.42578125" defaultRowHeight="12.95" customHeight="1" x14ac:dyDescent="0.2"/>
  <cols>
    <col min="1" max="1" width="25.42578125" style="34" customWidth="1"/>
    <col min="2" max="2" width="12.42578125" style="33" customWidth="1"/>
    <col min="3" max="4" width="5.7109375" style="33" customWidth="1"/>
    <col min="5" max="5" width="6.85546875" style="33" customWidth="1"/>
    <col min="6" max="6" width="7.7109375" style="33" customWidth="1"/>
    <col min="7" max="8" width="4.85546875" style="32" customWidth="1"/>
    <col min="9" max="9" width="7.7109375" style="32" customWidth="1"/>
    <col min="10" max="10" width="9.7109375" style="34" customWidth="1"/>
    <col min="11" max="12" width="3.42578125" style="34" customWidth="1"/>
    <col min="13" max="13" width="9.7109375" style="34" customWidth="1"/>
    <col min="14" max="15" width="11.7109375" style="34" customWidth="1"/>
    <col min="16" max="16" width="7.42578125" style="123" customWidth="1"/>
    <col min="17" max="17" width="7.28515625" style="123" customWidth="1"/>
    <col min="18" max="18" width="8.28515625" style="123" customWidth="1"/>
    <col min="19" max="19" width="12.140625" style="127" customWidth="1"/>
    <col min="20" max="20" width="11.5703125" style="123" customWidth="1"/>
    <col min="21" max="21" width="10.140625" style="123" customWidth="1"/>
    <col min="22" max="22" width="11.5703125" style="123" customWidth="1"/>
    <col min="23" max="23" width="11" style="123" customWidth="1"/>
    <col min="24" max="24" width="10.140625" style="123" customWidth="1"/>
    <col min="25" max="25" width="8.5703125" style="123" customWidth="1"/>
    <col min="26" max="26" width="10.140625" style="123" customWidth="1"/>
    <col min="27" max="32" width="8.5703125" style="123" customWidth="1"/>
    <col min="33" max="35" width="8.5703125" style="174" customWidth="1"/>
    <col min="36" max="68" width="8.5703125" style="175" customWidth="1"/>
    <col min="69" max="69" width="5" style="32" customWidth="1"/>
    <col min="70" max="16384" width="11.42578125" style="32"/>
  </cols>
  <sheetData>
    <row r="1" spans="1:68" s="1571" customFormat="1" ht="54" customHeight="1" x14ac:dyDescent="0.2">
      <c r="D1" s="1556"/>
      <c r="E1" s="1556"/>
      <c r="F1" s="1556"/>
      <c r="G1" s="67"/>
      <c r="H1" s="67"/>
      <c r="I1" s="67"/>
    </row>
    <row r="2" spans="1:68" s="1571" customFormat="1" ht="15" customHeight="1" x14ac:dyDescent="0.25">
      <c r="A2" s="1565" t="str">
        <f>CONCATENATE("Variantenvergleich Energiesysteme - Version ",Versionsinfo!$B$4)</f>
        <v>Variantenvergleich Energiesysteme - Version 3.0</v>
      </c>
      <c r="B2" s="716"/>
      <c r="C2" s="716"/>
      <c r="D2" s="717"/>
      <c r="E2" s="651"/>
      <c r="F2" s="652" t="s">
        <v>586</v>
      </c>
      <c r="I2" s="67"/>
      <c r="L2" s="1376"/>
    </row>
    <row r="3" spans="1:68" s="425" customFormat="1" ht="12.75" customHeight="1" x14ac:dyDescent="0.2">
      <c r="A3" s="1557" t="s">
        <v>781</v>
      </c>
      <c r="D3" s="427"/>
      <c r="E3" s="427"/>
      <c r="F3" s="427"/>
      <c r="H3" s="903">
        <f>Projektdaten!$C$8</f>
        <v>0</v>
      </c>
      <c r="I3" s="903"/>
      <c r="J3" s="903"/>
      <c r="K3" s="903"/>
      <c r="L3" s="903"/>
      <c r="M3" s="903"/>
      <c r="N3" s="428"/>
    </row>
    <row r="4" spans="1:68" s="425" customFormat="1" ht="16.5" customHeight="1" x14ac:dyDescent="0.2">
      <c r="A4" s="430"/>
      <c r="H4" s="903">
        <f>Projektdaten!$J$8</f>
        <v>0</v>
      </c>
      <c r="I4" s="903"/>
      <c r="J4" s="904"/>
      <c r="K4" s="905"/>
      <c r="L4" s="905"/>
      <c r="M4" s="905"/>
    </row>
    <row r="5" spans="1:68" s="50" customFormat="1" ht="16.5" customHeight="1" x14ac:dyDescent="0.25">
      <c r="A5" s="1581" t="s">
        <v>716</v>
      </c>
      <c r="B5" s="601"/>
      <c r="H5" s="1435" t="str">
        <f>CONCATENATE("Version: ",Projektdaten!$F$13)</f>
        <v>Version: 1</v>
      </c>
      <c r="I5" s="1435"/>
      <c r="J5" s="1435"/>
      <c r="K5" s="1435"/>
      <c r="L5" s="2199">
        <f ca="1">Projektdaten!$F$15</f>
        <v>45372</v>
      </c>
      <c r="M5" s="2199"/>
      <c r="N5" s="901"/>
      <c r="O5" s="145"/>
      <c r="P5" s="123"/>
      <c r="Q5" s="126"/>
      <c r="R5" s="1376"/>
      <c r="S5" s="127"/>
      <c r="T5" s="123"/>
      <c r="U5" s="123"/>
      <c r="V5" s="123"/>
      <c r="W5" s="123"/>
      <c r="X5" s="123"/>
      <c r="Y5" s="123"/>
      <c r="Z5" s="123"/>
      <c r="AA5" s="123"/>
      <c r="AB5" s="123"/>
      <c r="AC5" s="123"/>
      <c r="AD5" s="123"/>
      <c r="AE5" s="123"/>
      <c r="AF5" s="123"/>
      <c r="AG5" s="174"/>
      <c r="AH5" s="174"/>
      <c r="AI5" s="174"/>
      <c r="AJ5" s="175"/>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c r="BN5" s="175"/>
      <c r="BO5" s="175"/>
      <c r="BP5" s="175"/>
    </row>
    <row r="6" spans="1:68" ht="13.5" customHeight="1" x14ac:dyDescent="0.2">
      <c r="B6" s="34"/>
    </row>
    <row r="7" spans="1:68" s="48" customFormat="1" ht="15" customHeight="1" x14ac:dyDescent="0.25">
      <c r="A7" s="280" t="s">
        <v>18</v>
      </c>
      <c r="B7" s="78">
        <f>EV_Var3!$C$7</f>
        <v>0</v>
      </c>
      <c r="C7" s="696"/>
      <c r="D7" s="167"/>
      <c r="E7" s="167"/>
      <c r="F7" s="1582">
        <f>EV_Var3!$J$7</f>
        <v>0</v>
      </c>
      <c r="G7" s="1582"/>
      <c r="H7" s="517"/>
      <c r="I7" s="517"/>
      <c r="J7" s="518"/>
      <c r="K7" s="518"/>
      <c r="L7" s="518"/>
      <c r="M7" s="518"/>
      <c r="O7" s="146"/>
      <c r="P7" s="144"/>
      <c r="Q7" s="128"/>
      <c r="R7" s="216"/>
      <c r="S7" s="125"/>
      <c r="T7" s="217"/>
      <c r="U7" s="183"/>
      <c r="V7" s="217"/>
      <c r="W7" s="217"/>
      <c r="X7" s="217"/>
      <c r="Y7" s="217"/>
      <c r="Z7" s="217"/>
      <c r="AA7" s="218"/>
      <c r="AB7" s="218"/>
      <c r="AC7" s="218"/>
      <c r="AD7" s="218"/>
      <c r="AE7" s="218"/>
      <c r="AF7" s="218"/>
      <c r="AG7" s="219"/>
      <c r="AH7" s="219"/>
      <c r="AI7" s="219"/>
      <c r="AJ7" s="220"/>
      <c r="AK7" s="220"/>
      <c r="AL7" s="221"/>
      <c r="AM7" s="221"/>
      <c r="AN7" s="221"/>
      <c r="AO7" s="221"/>
      <c r="AP7" s="221"/>
      <c r="AQ7" s="221"/>
      <c r="AR7" s="221"/>
      <c r="AS7" s="221"/>
      <c r="AT7" s="221"/>
      <c r="AU7" s="221"/>
      <c r="AV7" s="221"/>
      <c r="AW7" s="221"/>
      <c r="AX7" s="221"/>
      <c r="AY7" s="221"/>
      <c r="AZ7" s="221"/>
      <c r="BA7" s="221"/>
      <c r="BB7" s="221"/>
      <c r="BC7" s="221"/>
      <c r="BD7" s="221"/>
      <c r="BE7" s="221"/>
      <c r="BF7" s="221"/>
      <c r="BG7" s="221"/>
      <c r="BH7" s="221"/>
      <c r="BI7" s="221"/>
      <c r="BJ7" s="221"/>
      <c r="BK7" s="221"/>
      <c r="BL7" s="221"/>
      <c r="BM7" s="221"/>
      <c r="BN7" s="221"/>
      <c r="BO7" s="221"/>
      <c r="BP7" s="221"/>
    </row>
    <row r="8" spans="1:68" s="46" customFormat="1" ht="6" customHeight="1" x14ac:dyDescent="0.25">
      <c r="A8" s="47"/>
      <c r="G8" s="23" t="s">
        <v>11</v>
      </c>
      <c r="H8" s="23"/>
      <c r="I8" s="33"/>
      <c r="J8" s="33"/>
      <c r="K8" s="33"/>
      <c r="L8" s="33"/>
      <c r="M8" s="33"/>
      <c r="N8" s="33"/>
      <c r="O8" s="33"/>
      <c r="P8" s="123"/>
      <c r="Q8" s="129"/>
      <c r="R8" s="130"/>
      <c r="S8" s="125"/>
      <c r="T8" s="124"/>
      <c r="U8" s="124"/>
      <c r="V8" s="124"/>
      <c r="W8" s="124"/>
      <c r="X8" s="124"/>
      <c r="Y8" s="124"/>
      <c r="Z8" s="124"/>
      <c r="AA8" s="123"/>
      <c r="AB8" s="123"/>
      <c r="AC8" s="123"/>
      <c r="AD8" s="123"/>
      <c r="AE8" s="123"/>
      <c r="AF8" s="123"/>
      <c r="AG8" s="174"/>
      <c r="AH8" s="174"/>
      <c r="AI8" s="174"/>
      <c r="AJ8" s="175"/>
      <c r="AK8" s="175"/>
      <c r="AL8" s="175"/>
      <c r="AM8" s="175"/>
      <c r="AN8" s="175"/>
      <c r="AO8" s="175"/>
      <c r="AP8" s="175"/>
      <c r="AQ8" s="175"/>
      <c r="AR8" s="175"/>
      <c r="AS8" s="175"/>
      <c r="AT8" s="175"/>
      <c r="AU8" s="175"/>
      <c r="AV8" s="175"/>
      <c r="AW8" s="175"/>
      <c r="AX8" s="175"/>
      <c r="AY8" s="175"/>
      <c r="AZ8" s="175"/>
      <c r="BA8" s="175"/>
      <c r="BB8" s="175"/>
      <c r="BC8" s="175"/>
      <c r="BD8" s="175"/>
      <c r="BE8" s="175"/>
      <c r="BF8" s="175"/>
      <c r="BG8" s="175"/>
      <c r="BH8" s="175"/>
      <c r="BI8" s="175"/>
      <c r="BJ8" s="175"/>
      <c r="BK8" s="175"/>
      <c r="BL8" s="175"/>
      <c r="BM8" s="175"/>
      <c r="BN8" s="175"/>
      <c r="BO8" s="175"/>
      <c r="BP8" s="175"/>
    </row>
    <row r="9" spans="1:68" ht="17.25" customHeight="1" x14ac:dyDescent="0.25">
      <c r="A9" s="504" t="s">
        <v>629</v>
      </c>
      <c r="H9" s="148" t="s">
        <v>651</v>
      </c>
      <c r="I9" s="149">
        <f>IF(ISBLANK(Grunddaten!$O$8),Grunddaten!$N$8,Grunddaten!$O$8)</f>
        <v>2.2499999999999999E-2</v>
      </c>
      <c r="J9" s="510" t="s">
        <v>494</v>
      </c>
      <c r="K9" s="45"/>
      <c r="L9" s="45"/>
      <c r="M9" s="45"/>
      <c r="N9" s="45"/>
      <c r="O9" s="45"/>
      <c r="P9" s="131"/>
      <c r="Q9" s="124"/>
      <c r="R9" s="132"/>
      <c r="S9" s="125"/>
      <c r="T9" s="124"/>
      <c r="U9" s="124"/>
      <c r="V9" s="124"/>
      <c r="W9" s="124"/>
      <c r="X9" s="124"/>
      <c r="Y9" s="124"/>
      <c r="Z9" s="124"/>
    </row>
    <row r="10" spans="1:68" ht="2.25" customHeight="1" x14ac:dyDescent="0.2">
      <c r="N10" s="624"/>
      <c r="O10" s="623"/>
      <c r="P10" s="623"/>
      <c r="Q10" s="124"/>
      <c r="R10" s="124"/>
      <c r="S10" s="125"/>
      <c r="T10" s="124"/>
      <c r="U10" s="124"/>
      <c r="V10" s="124"/>
      <c r="W10" s="124"/>
      <c r="X10" s="124"/>
      <c r="Y10" s="124"/>
      <c r="Z10" s="124"/>
    </row>
    <row r="11" spans="1:68" s="176" customFormat="1" ht="11.25" customHeight="1" x14ac:dyDescent="0.2">
      <c r="A11" s="1049" t="s">
        <v>258</v>
      </c>
      <c r="B11" s="1108" t="s">
        <v>259</v>
      </c>
      <c r="C11" s="1100"/>
      <c r="D11" s="1109"/>
      <c r="E11" s="2378" t="s">
        <v>563</v>
      </c>
      <c r="F11" s="2379"/>
      <c r="G11" s="2378" t="s">
        <v>565</v>
      </c>
      <c r="H11" s="2379"/>
      <c r="I11" s="2376" t="s">
        <v>566</v>
      </c>
      <c r="J11" s="2376" t="s">
        <v>630</v>
      </c>
      <c r="K11" s="2697" t="s">
        <v>641</v>
      </c>
      <c r="L11" s="2698"/>
      <c r="M11" s="2699"/>
      <c r="N11" s="624"/>
      <c r="O11" s="623"/>
      <c r="P11" s="623"/>
      <c r="Q11" s="134"/>
      <c r="R11" s="134"/>
      <c r="S11" s="129"/>
      <c r="T11" s="124"/>
      <c r="U11" s="124"/>
      <c r="V11" s="124"/>
      <c r="W11" s="124"/>
      <c r="X11" s="124"/>
      <c r="Y11" s="124"/>
      <c r="Z11" s="123"/>
      <c r="AA11" s="123"/>
      <c r="AB11" s="123"/>
      <c r="AC11" s="123"/>
      <c r="AD11" s="123"/>
      <c r="AE11" s="123"/>
      <c r="AF11" s="174"/>
      <c r="AG11" s="174"/>
      <c r="AH11" s="174"/>
      <c r="AI11" s="175"/>
      <c r="AJ11" s="175"/>
    </row>
    <row r="12" spans="1:68" s="176" customFormat="1" ht="11.25" customHeight="1" x14ac:dyDescent="0.2">
      <c r="A12" s="1050"/>
      <c r="B12" s="1110"/>
      <c r="C12" s="1101"/>
      <c r="D12" s="1111"/>
      <c r="E12" s="2380"/>
      <c r="F12" s="2381"/>
      <c r="G12" s="2380"/>
      <c r="H12" s="2381"/>
      <c r="I12" s="2377"/>
      <c r="J12" s="2377"/>
      <c r="K12" s="2700"/>
      <c r="L12" s="2701"/>
      <c r="M12" s="2702"/>
      <c r="N12" s="624"/>
      <c r="O12" s="623"/>
      <c r="P12" s="623"/>
      <c r="Q12" s="134"/>
      <c r="R12" s="134"/>
      <c r="S12" s="129"/>
      <c r="T12" s="124"/>
      <c r="U12" s="124"/>
      <c r="V12" s="124"/>
      <c r="W12" s="124"/>
      <c r="X12" s="124"/>
      <c r="Y12" s="124"/>
      <c r="Z12" s="123"/>
      <c r="AA12" s="123"/>
      <c r="AB12" s="123"/>
      <c r="AC12" s="123"/>
      <c r="AD12" s="123"/>
      <c r="AE12" s="123"/>
      <c r="AF12" s="174"/>
      <c r="AG12" s="174"/>
      <c r="AH12" s="174"/>
      <c r="AI12" s="175"/>
      <c r="AJ12" s="175"/>
    </row>
    <row r="13" spans="1:68" s="176" customFormat="1" ht="11.25" customHeight="1" x14ac:dyDescent="0.2">
      <c r="A13" s="1053"/>
      <c r="B13" s="1112"/>
      <c r="C13" s="1054"/>
      <c r="D13" s="1113"/>
      <c r="E13" s="2483" t="s">
        <v>564</v>
      </c>
      <c r="F13" s="2484"/>
      <c r="G13" s="2483" t="s">
        <v>20</v>
      </c>
      <c r="H13" s="2484"/>
      <c r="I13" s="2696"/>
      <c r="J13" s="1114" t="s">
        <v>567</v>
      </c>
      <c r="K13" s="2483" t="s">
        <v>580</v>
      </c>
      <c r="L13" s="2349"/>
      <c r="M13" s="1102" t="s">
        <v>567</v>
      </c>
      <c r="N13" s="624"/>
      <c r="O13" s="623"/>
      <c r="P13" s="623"/>
      <c r="Q13" s="134"/>
      <c r="R13" s="134"/>
      <c r="S13" s="129"/>
      <c r="T13" s="124"/>
      <c r="U13" s="124"/>
      <c r="V13" s="124"/>
      <c r="W13" s="124"/>
      <c r="X13" s="124"/>
      <c r="Y13" s="124"/>
      <c r="Z13" s="123"/>
      <c r="AA13" s="123"/>
      <c r="AB13" s="123"/>
      <c r="AC13" s="123"/>
      <c r="AD13" s="123"/>
      <c r="AE13" s="123"/>
      <c r="AF13" s="174"/>
      <c r="AG13" s="174"/>
      <c r="AH13" s="174"/>
      <c r="AI13" s="175"/>
      <c r="AJ13" s="175"/>
    </row>
    <row r="14" spans="1:68" s="176" customFormat="1" ht="0.75" customHeight="1" x14ac:dyDescent="0.2">
      <c r="A14" s="1051"/>
      <c r="B14" s="1340"/>
      <c r="C14" s="1340"/>
      <c r="D14" s="1340"/>
      <c r="E14" s="1193"/>
      <c r="F14" s="1193"/>
      <c r="G14" s="1193"/>
      <c r="H14" s="1193"/>
      <c r="I14" s="1194"/>
      <c r="J14" s="1193"/>
      <c r="K14" s="1193"/>
      <c r="L14" s="1193"/>
      <c r="M14" s="1195"/>
      <c r="N14" s="1344"/>
      <c r="O14" s="722"/>
      <c r="P14" s="722"/>
      <c r="Q14" s="134"/>
      <c r="R14" s="134"/>
      <c r="S14" s="129"/>
      <c r="T14" s="124"/>
      <c r="U14" s="124"/>
      <c r="V14" s="124"/>
      <c r="W14" s="124"/>
      <c r="X14" s="124"/>
      <c r="Y14" s="124"/>
      <c r="Z14" s="123"/>
      <c r="AA14" s="123"/>
      <c r="AB14" s="123"/>
      <c r="AC14" s="123"/>
      <c r="AD14" s="123"/>
      <c r="AE14" s="123"/>
      <c r="AF14" s="174"/>
      <c r="AG14" s="174"/>
      <c r="AH14" s="174"/>
      <c r="AI14" s="175"/>
      <c r="AJ14" s="175"/>
    </row>
    <row r="15" spans="1:68" s="176" customFormat="1" ht="13.5" customHeight="1" x14ac:dyDescent="0.2">
      <c r="A15" s="2680" t="s">
        <v>554</v>
      </c>
      <c r="B15" s="2681"/>
      <c r="C15" s="2681"/>
      <c r="D15" s="2681"/>
      <c r="E15" s="2681"/>
      <c r="F15" s="2681"/>
      <c r="G15" s="2681"/>
      <c r="H15" s="2681"/>
      <c r="I15" s="2681"/>
      <c r="J15" s="2681"/>
      <c r="K15" s="2681"/>
      <c r="L15" s="2681"/>
      <c r="M15" s="2682"/>
      <c r="N15" s="624"/>
      <c r="O15" s="623"/>
      <c r="P15" s="623"/>
      <c r="Q15" s="134"/>
      <c r="R15" s="134"/>
      <c r="S15" s="129"/>
      <c r="T15" s="124"/>
      <c r="U15" s="124"/>
      <c r="V15" s="124"/>
      <c r="W15" s="124"/>
      <c r="X15" s="124"/>
      <c r="Y15" s="124"/>
      <c r="Z15" s="123"/>
      <c r="AA15" s="123"/>
      <c r="AB15" s="123"/>
      <c r="AC15" s="123"/>
      <c r="AD15" s="123"/>
      <c r="AE15" s="123"/>
      <c r="AF15" s="174"/>
      <c r="AG15" s="174"/>
      <c r="AH15" s="174"/>
      <c r="AI15" s="175"/>
      <c r="AJ15" s="175"/>
    </row>
    <row r="16" spans="1:68" s="36" customFormat="1" ht="12" customHeight="1" x14ac:dyDescent="0.2">
      <c r="A16" s="1042" t="str">
        <f>A40</f>
        <v>1. Wärmequelle Baumeister</v>
      </c>
      <c r="B16" s="2693">
        <f>B40</f>
        <v>0</v>
      </c>
      <c r="C16" s="2694">
        <f>C40</f>
        <v>0</v>
      </c>
      <c r="D16" s="2695">
        <f>D40</f>
        <v>0</v>
      </c>
      <c r="E16" s="2627">
        <f>E40</f>
        <v>0</v>
      </c>
      <c r="F16" s="2628"/>
      <c r="G16" s="1067"/>
      <c r="H16" s="1068"/>
      <c r="I16" s="1069"/>
      <c r="J16" s="982">
        <f>J40</f>
        <v>0</v>
      </c>
      <c r="K16" s="2705" t="str">
        <f t="shared" ref="K16:K38" si="0">IF(E16=0,"",M16/E16*100)</f>
        <v/>
      </c>
      <c r="L16" s="2706"/>
      <c r="M16" s="1064">
        <f>M40</f>
        <v>0</v>
      </c>
      <c r="N16" s="596"/>
      <c r="O16" s="595"/>
      <c r="P16" s="595"/>
      <c r="Q16" s="595"/>
      <c r="R16" s="136"/>
      <c r="S16" s="129"/>
      <c r="T16" s="129"/>
      <c r="U16" s="129"/>
      <c r="V16" s="129"/>
      <c r="W16" s="129"/>
      <c r="X16" s="129"/>
      <c r="Y16" s="129"/>
      <c r="Z16" s="133"/>
      <c r="AA16" s="133"/>
      <c r="AB16" s="133"/>
      <c r="AC16" s="133"/>
      <c r="AD16" s="133"/>
      <c r="AE16" s="133"/>
      <c r="AF16" s="222"/>
      <c r="AG16" s="222"/>
      <c r="AH16" s="222"/>
      <c r="AI16" s="176"/>
      <c r="AJ16" s="176"/>
      <c r="AK16" s="176"/>
      <c r="AL16" s="176"/>
      <c r="AM16" s="176"/>
      <c r="AN16" s="176"/>
      <c r="AO16" s="176"/>
      <c r="AP16" s="176"/>
      <c r="AQ16" s="176"/>
      <c r="AR16" s="176"/>
      <c r="AS16" s="176"/>
      <c r="AT16" s="176"/>
      <c r="AU16" s="176"/>
      <c r="AV16" s="176"/>
      <c r="AW16" s="176"/>
      <c r="AX16" s="176"/>
      <c r="AY16" s="176"/>
      <c r="AZ16" s="176"/>
      <c r="BA16" s="176"/>
      <c r="BB16" s="176"/>
      <c r="BC16" s="176"/>
      <c r="BD16" s="176"/>
      <c r="BE16" s="176"/>
      <c r="BF16" s="176"/>
      <c r="BG16" s="176"/>
      <c r="BH16" s="176"/>
      <c r="BI16" s="176"/>
      <c r="BJ16" s="176"/>
      <c r="BK16" s="176"/>
      <c r="BL16" s="176"/>
      <c r="BM16" s="176"/>
      <c r="BN16" s="176"/>
      <c r="BO16" s="176"/>
    </row>
    <row r="17" spans="1:67" s="36" customFormat="1" ht="12" customHeight="1" x14ac:dyDescent="0.2">
      <c r="A17" s="1043" t="str">
        <f>A55</f>
        <v>2. Wärmequelle Technisch</v>
      </c>
      <c r="B17" s="2638">
        <f>B55</f>
        <v>0</v>
      </c>
      <c r="C17" s="2639"/>
      <c r="D17" s="2640"/>
      <c r="E17" s="2599">
        <f>E55</f>
        <v>0</v>
      </c>
      <c r="F17" s="2600"/>
      <c r="G17" s="1070"/>
      <c r="H17" s="1071"/>
      <c r="I17" s="1072"/>
      <c r="J17" s="989">
        <f>J55</f>
        <v>0</v>
      </c>
      <c r="K17" s="2703" t="str">
        <f t="shared" si="0"/>
        <v/>
      </c>
      <c r="L17" s="2704"/>
      <c r="M17" s="1065">
        <f>M55</f>
        <v>0</v>
      </c>
      <c r="N17" s="596"/>
      <c r="O17" s="595"/>
      <c r="P17" s="595"/>
      <c r="Q17" s="595"/>
      <c r="R17" s="136"/>
      <c r="S17" s="129"/>
      <c r="T17" s="129"/>
      <c r="U17" s="129"/>
      <c r="V17" s="129"/>
      <c r="W17" s="129"/>
      <c r="X17" s="129"/>
      <c r="Y17" s="129"/>
      <c r="Z17" s="133"/>
      <c r="AA17" s="133"/>
      <c r="AB17" s="133"/>
      <c r="AC17" s="133"/>
      <c r="AD17" s="133"/>
      <c r="AE17" s="133"/>
      <c r="AF17" s="222"/>
      <c r="AG17" s="222"/>
      <c r="AH17" s="222"/>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36" customFormat="1" ht="12" customHeight="1" x14ac:dyDescent="0.2">
      <c r="A18" s="1043" t="str">
        <f>A70</f>
        <v>3. Energiezulieferung</v>
      </c>
      <c r="B18" s="2638">
        <f>B70</f>
        <v>0</v>
      </c>
      <c r="C18" s="2639"/>
      <c r="D18" s="2640"/>
      <c r="E18" s="2599">
        <f>E70</f>
        <v>0</v>
      </c>
      <c r="F18" s="2600"/>
      <c r="G18" s="1070"/>
      <c r="H18" s="1071"/>
      <c r="I18" s="1072"/>
      <c r="J18" s="989">
        <f>J70</f>
        <v>0</v>
      </c>
      <c r="K18" s="2703" t="str">
        <f t="shared" si="0"/>
        <v/>
      </c>
      <c r="L18" s="2704"/>
      <c r="M18" s="1065">
        <f>M70</f>
        <v>0</v>
      </c>
      <c r="N18" s="596"/>
      <c r="O18" s="595"/>
      <c r="P18" s="595"/>
      <c r="Q18" s="595"/>
      <c r="R18" s="136"/>
      <c r="S18" s="129"/>
      <c r="T18" s="129"/>
      <c r="U18" s="129"/>
      <c r="V18" s="129"/>
      <c r="W18" s="129"/>
      <c r="X18" s="129"/>
      <c r="Y18" s="129"/>
      <c r="Z18" s="133"/>
      <c r="AA18" s="133"/>
      <c r="AB18" s="133"/>
      <c r="AC18" s="133"/>
      <c r="AD18" s="133"/>
      <c r="AE18" s="133"/>
      <c r="AF18" s="222"/>
      <c r="AG18" s="222"/>
      <c r="AH18" s="222"/>
      <c r="AI18" s="176"/>
      <c r="AJ18" s="176"/>
      <c r="AK18" s="176"/>
      <c r="AL18" s="176"/>
      <c r="AM18" s="176"/>
      <c r="AN18" s="176"/>
      <c r="AO18" s="176"/>
      <c r="AP18" s="176"/>
      <c r="AQ18" s="176"/>
      <c r="AR18" s="176"/>
      <c r="AS18" s="176"/>
      <c r="AT18" s="176"/>
      <c r="AU18" s="176"/>
      <c r="AV18" s="176"/>
      <c r="AW18" s="176"/>
      <c r="AX18" s="176"/>
      <c r="AY18" s="176"/>
      <c r="AZ18" s="176"/>
      <c r="BA18" s="176"/>
      <c r="BB18" s="176"/>
      <c r="BC18" s="176"/>
      <c r="BD18" s="176"/>
      <c r="BE18" s="176"/>
      <c r="BF18" s="176"/>
      <c r="BG18" s="176"/>
      <c r="BH18" s="176"/>
      <c r="BI18" s="176"/>
      <c r="BJ18" s="176"/>
      <c r="BK18" s="176"/>
      <c r="BL18" s="176"/>
      <c r="BM18" s="176"/>
      <c r="BN18" s="176"/>
      <c r="BO18" s="176"/>
    </row>
    <row r="19" spans="1:67" s="36" customFormat="1" ht="12" customHeight="1" x14ac:dyDescent="0.2">
      <c r="A19" s="1043" t="str">
        <f>A85</f>
        <v>4. Wärme- / Kälteerzeugung</v>
      </c>
      <c r="B19" s="2638">
        <f>B85</f>
        <v>0</v>
      </c>
      <c r="C19" s="2639"/>
      <c r="D19" s="2640"/>
      <c r="E19" s="2599">
        <f>E85</f>
        <v>0</v>
      </c>
      <c r="F19" s="2600"/>
      <c r="G19" s="1070"/>
      <c r="H19" s="1071"/>
      <c r="I19" s="1072"/>
      <c r="J19" s="989">
        <f>J85</f>
        <v>0</v>
      </c>
      <c r="K19" s="2703" t="str">
        <f t="shared" si="0"/>
        <v/>
      </c>
      <c r="L19" s="2704"/>
      <c r="M19" s="1065">
        <f>M85</f>
        <v>0</v>
      </c>
      <c r="N19" s="596"/>
      <c r="O19" s="595"/>
      <c r="P19" s="595"/>
      <c r="Q19" s="595"/>
      <c r="R19" s="136"/>
      <c r="S19" s="129"/>
      <c r="T19" s="129"/>
      <c r="U19" s="129"/>
      <c r="V19" s="129"/>
      <c r="W19" s="129"/>
      <c r="X19" s="129"/>
      <c r="Y19" s="129"/>
      <c r="Z19" s="133"/>
      <c r="AA19" s="133"/>
      <c r="AB19" s="133"/>
      <c r="AC19" s="133"/>
      <c r="AD19" s="133"/>
      <c r="AE19" s="133"/>
      <c r="AF19" s="222"/>
      <c r="AG19" s="222"/>
      <c r="AH19" s="222"/>
      <c r="AI19" s="176"/>
      <c r="AJ19" s="176"/>
      <c r="AK19" s="176"/>
      <c r="AL19" s="176"/>
      <c r="AM19" s="176"/>
      <c r="AN19" s="176"/>
      <c r="AO19" s="176"/>
      <c r="AP19" s="176"/>
      <c r="AQ19" s="176"/>
      <c r="AR19" s="176"/>
      <c r="AS19" s="176"/>
      <c r="AT19" s="176"/>
      <c r="AU19" s="176"/>
      <c r="AV19" s="176"/>
      <c r="AW19" s="176"/>
      <c r="AX19" s="176"/>
      <c r="AY19" s="176"/>
      <c r="AZ19" s="176"/>
      <c r="BA19" s="176"/>
      <c r="BB19" s="176"/>
      <c r="BC19" s="176"/>
      <c r="BD19" s="176"/>
      <c r="BE19" s="176"/>
      <c r="BF19" s="176"/>
      <c r="BG19" s="176"/>
      <c r="BH19" s="176"/>
      <c r="BI19" s="176"/>
      <c r="BJ19" s="176"/>
      <c r="BK19" s="176"/>
      <c r="BL19" s="176"/>
      <c r="BM19" s="176"/>
      <c r="BN19" s="176"/>
      <c r="BO19" s="176"/>
    </row>
    <row r="20" spans="1:67" s="36" customFormat="1" ht="12" customHeight="1" x14ac:dyDescent="0.2">
      <c r="A20" s="1043" t="str">
        <f>A102</f>
        <v>5. Kaminanlage</v>
      </c>
      <c r="B20" s="2638">
        <f>B102</f>
        <v>0</v>
      </c>
      <c r="C20" s="2639"/>
      <c r="D20" s="2640"/>
      <c r="E20" s="2599">
        <f>E102</f>
        <v>0</v>
      </c>
      <c r="F20" s="2600"/>
      <c r="G20" s="1070"/>
      <c r="H20" s="1071"/>
      <c r="I20" s="1072"/>
      <c r="J20" s="989">
        <f>J102</f>
        <v>0</v>
      </c>
      <c r="K20" s="2703" t="str">
        <f t="shared" si="0"/>
        <v/>
      </c>
      <c r="L20" s="2704"/>
      <c r="M20" s="1065">
        <f>M102</f>
        <v>0</v>
      </c>
      <c r="N20" s="596"/>
      <c r="O20" s="595"/>
      <c r="P20" s="595"/>
      <c r="Q20" s="595"/>
      <c r="R20" s="136"/>
      <c r="S20" s="129"/>
      <c r="T20" s="129"/>
      <c r="U20" s="129"/>
      <c r="V20" s="129"/>
      <c r="W20" s="129"/>
      <c r="X20" s="129"/>
      <c r="Y20" s="129"/>
      <c r="Z20" s="133"/>
      <c r="AA20" s="133"/>
      <c r="AB20" s="133"/>
      <c r="AC20" s="133"/>
      <c r="AD20" s="133"/>
      <c r="AE20" s="133"/>
      <c r="AF20" s="222"/>
      <c r="AG20" s="222"/>
      <c r="AH20" s="222"/>
      <c r="AI20" s="176"/>
      <c r="AJ20" s="176"/>
      <c r="AK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BG20" s="176"/>
      <c r="BH20" s="176"/>
      <c r="BI20" s="176"/>
      <c r="BJ20" s="176"/>
      <c r="BK20" s="176"/>
      <c r="BL20" s="176"/>
      <c r="BM20" s="176"/>
      <c r="BN20" s="176"/>
      <c r="BO20" s="176"/>
    </row>
    <row r="21" spans="1:67" s="36" customFormat="1" ht="12" customHeight="1" x14ac:dyDescent="0.2">
      <c r="A21" s="1043" t="str">
        <f>A117</f>
        <v>6. Wärmeverteilung</v>
      </c>
      <c r="B21" s="2638">
        <f>B117</f>
        <v>0</v>
      </c>
      <c r="C21" s="2639"/>
      <c r="D21" s="2640"/>
      <c r="E21" s="2599">
        <f>E117</f>
        <v>0</v>
      </c>
      <c r="F21" s="2600"/>
      <c r="G21" s="1070"/>
      <c r="H21" s="1071"/>
      <c r="I21" s="1072"/>
      <c r="J21" s="989">
        <f>J117</f>
        <v>0</v>
      </c>
      <c r="K21" s="2703" t="str">
        <f t="shared" si="0"/>
        <v/>
      </c>
      <c r="L21" s="2704"/>
      <c r="M21" s="1065">
        <f>M117</f>
        <v>0</v>
      </c>
      <c r="N21" s="596"/>
      <c r="O21" s="595"/>
      <c r="P21" s="595"/>
      <c r="Q21" s="595"/>
      <c r="R21" s="136"/>
      <c r="S21" s="129"/>
      <c r="T21" s="129"/>
      <c r="U21" s="129"/>
      <c r="V21" s="129"/>
      <c r="W21" s="129"/>
      <c r="X21" s="129"/>
      <c r="Y21" s="129"/>
      <c r="Z21" s="133"/>
      <c r="AA21" s="133"/>
      <c r="AB21" s="133"/>
      <c r="AC21" s="133"/>
      <c r="AD21" s="133"/>
      <c r="AE21" s="133"/>
      <c r="AF21" s="222"/>
      <c r="AG21" s="222"/>
      <c r="AH21" s="222"/>
      <c r="AI21" s="176"/>
      <c r="AJ21" s="176"/>
      <c r="AK21" s="176"/>
      <c r="AL21" s="176"/>
      <c r="AM21" s="176"/>
      <c r="AN21" s="176"/>
      <c r="AO21" s="176"/>
      <c r="AP21" s="176"/>
      <c r="AQ21" s="176"/>
      <c r="AR21" s="176"/>
      <c r="AS21" s="176"/>
      <c r="AT21" s="176"/>
      <c r="AU21" s="176"/>
      <c r="AV21" s="176"/>
      <c r="AW21" s="176"/>
      <c r="AX21" s="176"/>
      <c r="AY21" s="176"/>
      <c r="AZ21" s="176"/>
      <c r="BA21" s="176"/>
      <c r="BB21" s="176"/>
      <c r="BC21" s="176"/>
      <c r="BD21" s="176"/>
      <c r="BE21" s="176"/>
      <c r="BF21" s="176"/>
      <c r="BG21" s="176"/>
      <c r="BH21" s="176"/>
      <c r="BI21" s="176"/>
      <c r="BJ21" s="176"/>
      <c r="BK21" s="176"/>
      <c r="BL21" s="176"/>
      <c r="BM21" s="176"/>
      <c r="BN21" s="176"/>
      <c r="BO21" s="176"/>
    </row>
    <row r="22" spans="1:67" s="36" customFormat="1" ht="12" customHeight="1" x14ac:dyDescent="0.2">
      <c r="A22" s="1043" t="str">
        <f>A132</f>
        <v>7. Wärme- / Kälteabgabe</v>
      </c>
      <c r="B22" s="2638">
        <f>B132</f>
        <v>0</v>
      </c>
      <c r="C22" s="2639"/>
      <c r="D22" s="2640"/>
      <c r="E22" s="2599">
        <f>E132</f>
        <v>0</v>
      </c>
      <c r="F22" s="2600"/>
      <c r="G22" s="1070"/>
      <c r="H22" s="1071"/>
      <c r="I22" s="1072"/>
      <c r="J22" s="989">
        <f>J132</f>
        <v>0</v>
      </c>
      <c r="K22" s="2703" t="str">
        <f t="shared" si="0"/>
        <v/>
      </c>
      <c r="L22" s="2704"/>
      <c r="M22" s="1065">
        <f>M132</f>
        <v>0</v>
      </c>
      <c r="N22" s="596"/>
      <c r="O22" s="595"/>
      <c r="P22" s="595"/>
      <c r="Q22" s="595"/>
      <c r="R22" s="136"/>
      <c r="S22" s="129"/>
      <c r="T22" s="129"/>
      <c r="U22" s="129"/>
      <c r="V22" s="129"/>
      <c r="W22" s="129"/>
      <c r="X22" s="129"/>
      <c r="Y22" s="129"/>
      <c r="Z22" s="133"/>
      <c r="AA22" s="133"/>
      <c r="AB22" s="133"/>
      <c r="AC22" s="133"/>
      <c r="AD22" s="133"/>
      <c r="AE22" s="133"/>
      <c r="AF22" s="222"/>
      <c r="AG22" s="222"/>
      <c r="AH22" s="222"/>
      <c r="AI22" s="176"/>
      <c r="AJ22" s="176"/>
      <c r="AK22" s="176"/>
      <c r="AL22" s="176"/>
      <c r="AM22" s="176"/>
      <c r="AN22" s="176"/>
      <c r="AO22" s="176"/>
      <c r="AP22" s="176"/>
      <c r="AQ22" s="176"/>
      <c r="AR22" s="176"/>
      <c r="AS22" s="176"/>
      <c r="AT22" s="176"/>
      <c r="AU22" s="176"/>
      <c r="AV22" s="176"/>
      <c r="AW22" s="176"/>
      <c r="AX22" s="176"/>
      <c r="AY22" s="176"/>
      <c r="AZ22" s="176"/>
      <c r="BA22" s="176"/>
      <c r="BB22" s="176"/>
      <c r="BC22" s="176"/>
      <c r="BD22" s="176"/>
      <c r="BE22" s="176"/>
      <c r="BF22" s="176"/>
      <c r="BG22" s="176"/>
      <c r="BH22" s="176"/>
      <c r="BI22" s="176"/>
      <c r="BJ22" s="176"/>
      <c r="BK22" s="176"/>
      <c r="BL22" s="176"/>
      <c r="BM22" s="176"/>
      <c r="BN22" s="176"/>
      <c r="BO22" s="176"/>
    </row>
    <row r="23" spans="1:67" s="36" customFormat="1" ht="12" customHeight="1" x14ac:dyDescent="0.2">
      <c r="A23" s="1043" t="str">
        <f>A147</f>
        <v>8. Sicherheit</v>
      </c>
      <c r="B23" s="2638">
        <f>B147</f>
        <v>0</v>
      </c>
      <c r="C23" s="2639"/>
      <c r="D23" s="2640"/>
      <c r="E23" s="2599">
        <f>E147</f>
        <v>0</v>
      </c>
      <c r="F23" s="2600"/>
      <c r="G23" s="1070"/>
      <c r="H23" s="1071"/>
      <c r="I23" s="1072"/>
      <c r="J23" s="989">
        <f>J147</f>
        <v>0</v>
      </c>
      <c r="K23" s="2703" t="str">
        <f t="shared" si="0"/>
        <v/>
      </c>
      <c r="L23" s="2704"/>
      <c r="M23" s="1065">
        <f>M147</f>
        <v>0</v>
      </c>
      <c r="N23" s="596"/>
      <c r="O23" s="595"/>
      <c r="P23" s="595"/>
      <c r="Q23" s="595"/>
      <c r="R23" s="136"/>
      <c r="S23" s="129"/>
      <c r="T23" s="129"/>
      <c r="U23" s="129"/>
      <c r="V23" s="129"/>
      <c r="W23" s="129"/>
      <c r="X23" s="129"/>
      <c r="Y23" s="129"/>
      <c r="Z23" s="133"/>
      <c r="AA23" s="133"/>
      <c r="AB23" s="133"/>
      <c r="AC23" s="133"/>
      <c r="AD23" s="133"/>
      <c r="AE23" s="133"/>
      <c r="AF23" s="222"/>
      <c r="AG23" s="222"/>
      <c r="AH23" s="222"/>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row>
    <row r="24" spans="1:67" s="36" customFormat="1" ht="12" customHeight="1" x14ac:dyDescent="0.2">
      <c r="A24" s="1043" t="str">
        <f>A162</f>
        <v>9. Sanitär</v>
      </c>
      <c r="B24" s="2638">
        <f>B162</f>
        <v>0</v>
      </c>
      <c r="C24" s="2639"/>
      <c r="D24" s="2640"/>
      <c r="E24" s="2599">
        <f>E162</f>
        <v>0</v>
      </c>
      <c r="F24" s="2600"/>
      <c r="G24" s="1070"/>
      <c r="H24" s="1071"/>
      <c r="I24" s="1072"/>
      <c r="J24" s="989">
        <f>J162</f>
        <v>0</v>
      </c>
      <c r="K24" s="2703" t="str">
        <f t="shared" si="0"/>
        <v/>
      </c>
      <c r="L24" s="2704"/>
      <c r="M24" s="1065">
        <f>M162</f>
        <v>0</v>
      </c>
      <c r="N24" s="596"/>
      <c r="O24" s="595"/>
      <c r="P24" s="595"/>
      <c r="Q24" s="595"/>
      <c r="R24" s="136"/>
      <c r="S24" s="129"/>
      <c r="T24" s="129"/>
      <c r="U24" s="129"/>
      <c r="V24" s="129"/>
      <c r="W24" s="129"/>
      <c r="X24" s="129"/>
      <c r="Y24" s="129"/>
      <c r="Z24" s="133"/>
      <c r="AA24" s="133"/>
      <c r="AB24" s="133"/>
      <c r="AC24" s="133"/>
      <c r="AD24" s="133"/>
      <c r="AE24" s="133"/>
      <c r="AF24" s="222"/>
      <c r="AG24" s="222"/>
      <c r="AH24" s="222"/>
      <c r="AI24" s="176"/>
      <c r="AJ24" s="176"/>
      <c r="AK24" s="176"/>
      <c r="AL24" s="176"/>
      <c r="AM24" s="176"/>
      <c r="AN24" s="176"/>
      <c r="AO24" s="176"/>
      <c r="AP24" s="176"/>
      <c r="AQ24" s="176"/>
      <c r="AR24" s="176"/>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row>
    <row r="25" spans="1:67" s="36" customFormat="1" ht="12" customHeight="1" x14ac:dyDescent="0.2">
      <c r="A25" s="1043" t="str">
        <f>A177</f>
        <v>10. Lüftung</v>
      </c>
      <c r="B25" s="2638">
        <f>B177</f>
        <v>0</v>
      </c>
      <c r="C25" s="2639"/>
      <c r="D25" s="2640"/>
      <c r="E25" s="2599">
        <f>E177</f>
        <v>0</v>
      </c>
      <c r="F25" s="2600"/>
      <c r="G25" s="1070"/>
      <c r="H25" s="1071"/>
      <c r="I25" s="1072"/>
      <c r="J25" s="989">
        <f>J177</f>
        <v>0</v>
      </c>
      <c r="K25" s="2703" t="str">
        <f t="shared" si="0"/>
        <v/>
      </c>
      <c r="L25" s="2704"/>
      <c r="M25" s="1065">
        <f>M177</f>
        <v>0</v>
      </c>
      <c r="N25" s="596"/>
      <c r="O25" s="595"/>
      <c r="P25" s="595"/>
      <c r="Q25" s="595"/>
      <c r="R25" s="136"/>
      <c r="S25" s="129"/>
      <c r="T25" s="129"/>
      <c r="U25" s="129"/>
      <c r="V25" s="129"/>
      <c r="W25" s="129"/>
      <c r="X25" s="129"/>
      <c r="Y25" s="129"/>
      <c r="Z25" s="133"/>
      <c r="AA25" s="133"/>
      <c r="AB25" s="133"/>
      <c r="AC25" s="133"/>
      <c r="AD25" s="133"/>
      <c r="AE25" s="133"/>
      <c r="AF25" s="222"/>
      <c r="AG25" s="222"/>
      <c r="AH25" s="222"/>
      <c r="AI25" s="176"/>
      <c r="AJ25" s="176"/>
      <c r="AK25" s="176"/>
      <c r="AL25" s="176"/>
      <c r="AM25" s="176"/>
      <c r="AN25" s="176"/>
      <c r="AO25" s="176"/>
      <c r="AP25" s="176"/>
      <c r="AQ25" s="176"/>
      <c r="AR25" s="176"/>
      <c r="AS25" s="176"/>
      <c r="AT25" s="176"/>
      <c r="AU25" s="176"/>
      <c r="AV25" s="176"/>
      <c r="AW25" s="176"/>
      <c r="AX25" s="176"/>
      <c r="AY25" s="176"/>
      <c r="AZ25" s="176"/>
      <c r="BA25" s="176"/>
      <c r="BB25" s="176"/>
      <c r="BC25" s="176"/>
      <c r="BD25" s="176"/>
      <c r="BE25" s="176"/>
      <c r="BF25" s="176"/>
      <c r="BG25" s="176"/>
      <c r="BH25" s="176"/>
      <c r="BI25" s="176"/>
      <c r="BJ25" s="176"/>
      <c r="BK25" s="176"/>
      <c r="BL25" s="176"/>
      <c r="BM25" s="176"/>
      <c r="BN25" s="176"/>
      <c r="BO25" s="176"/>
    </row>
    <row r="26" spans="1:67" s="36" customFormat="1" ht="12" customHeight="1" x14ac:dyDescent="0.2">
      <c r="A26" s="1043" t="str">
        <f>A192</f>
        <v>11. Metallbauarbeiten</v>
      </c>
      <c r="B26" s="2638">
        <f>B192</f>
        <v>0</v>
      </c>
      <c r="C26" s="2639"/>
      <c r="D26" s="2640"/>
      <c r="E26" s="2599">
        <f>E192</f>
        <v>0</v>
      </c>
      <c r="F26" s="2600"/>
      <c r="G26" s="1070"/>
      <c r="H26" s="1071"/>
      <c r="I26" s="1072"/>
      <c r="J26" s="989">
        <f>J192</f>
        <v>0</v>
      </c>
      <c r="K26" s="2703" t="str">
        <f t="shared" si="0"/>
        <v/>
      </c>
      <c r="L26" s="2704"/>
      <c r="M26" s="1065">
        <f>M192</f>
        <v>0</v>
      </c>
      <c r="N26" s="596"/>
      <c r="O26" s="595"/>
      <c r="P26" s="595"/>
      <c r="Q26" s="595"/>
      <c r="R26" s="136"/>
      <c r="S26" s="129"/>
      <c r="T26" s="129"/>
      <c r="U26" s="129"/>
      <c r="V26" s="129"/>
      <c r="W26" s="129"/>
      <c r="X26" s="129"/>
      <c r="Y26" s="129"/>
      <c r="Z26" s="133"/>
      <c r="AA26" s="133"/>
      <c r="AB26" s="133"/>
      <c r="AC26" s="133"/>
      <c r="AD26" s="133"/>
      <c r="AE26" s="133"/>
      <c r="AF26" s="222"/>
      <c r="AG26" s="222"/>
      <c r="AH26" s="222"/>
      <c r="AI26" s="176"/>
      <c r="AJ26" s="176"/>
      <c r="AK26" s="176"/>
      <c r="AL26" s="176"/>
      <c r="AM26" s="176"/>
      <c r="AN26" s="176"/>
      <c r="AO26" s="176"/>
      <c r="AP26" s="176"/>
      <c r="AQ26" s="176"/>
      <c r="AR26" s="176"/>
      <c r="AS26" s="176"/>
      <c r="AT26" s="176"/>
      <c r="AU26" s="176"/>
      <c r="AV26" s="176"/>
      <c r="AW26" s="176"/>
      <c r="AX26" s="176"/>
      <c r="AY26" s="176"/>
      <c r="AZ26" s="176"/>
      <c r="BA26" s="176"/>
      <c r="BB26" s="176"/>
      <c r="BC26" s="176"/>
      <c r="BD26" s="176"/>
      <c r="BE26" s="176"/>
      <c r="BF26" s="176"/>
      <c r="BG26" s="176"/>
      <c r="BH26" s="176"/>
      <c r="BI26" s="176"/>
      <c r="BJ26" s="176"/>
      <c r="BK26" s="176"/>
      <c r="BL26" s="176"/>
      <c r="BM26" s="176"/>
      <c r="BN26" s="176"/>
      <c r="BO26" s="176"/>
    </row>
    <row r="27" spans="1:67" s="36" customFormat="1" ht="12" customHeight="1" x14ac:dyDescent="0.2">
      <c r="A27" s="1043" t="str">
        <f>A207</f>
        <v>12. Bauliches Zentrale</v>
      </c>
      <c r="B27" s="2638">
        <f>B207</f>
        <v>0</v>
      </c>
      <c r="C27" s="2639"/>
      <c r="D27" s="2640"/>
      <c r="E27" s="2599">
        <f>E207</f>
        <v>0</v>
      </c>
      <c r="F27" s="2600"/>
      <c r="G27" s="1070"/>
      <c r="H27" s="1071"/>
      <c r="I27" s="1072"/>
      <c r="J27" s="989">
        <f>J207</f>
        <v>0</v>
      </c>
      <c r="K27" s="2703" t="str">
        <f t="shared" si="0"/>
        <v/>
      </c>
      <c r="L27" s="2704"/>
      <c r="M27" s="1065">
        <f>M207</f>
        <v>0</v>
      </c>
      <c r="N27" s="596"/>
      <c r="O27" s="595"/>
      <c r="P27" s="595"/>
      <c r="Q27" s="595"/>
      <c r="R27" s="136"/>
      <c r="S27" s="129"/>
      <c r="T27" s="129"/>
      <c r="U27" s="129"/>
      <c r="V27" s="129"/>
      <c r="W27" s="129"/>
      <c r="X27" s="129"/>
      <c r="Y27" s="129"/>
      <c r="Z27" s="133"/>
      <c r="AA27" s="133"/>
      <c r="AB27" s="133"/>
      <c r="AC27" s="133"/>
      <c r="AD27" s="133"/>
      <c r="AE27" s="133"/>
      <c r="AF27" s="222"/>
      <c r="AG27" s="222"/>
      <c r="AH27" s="222"/>
      <c r="AI27" s="176"/>
      <c r="AJ27" s="176"/>
      <c r="AK27" s="176"/>
      <c r="AL27" s="176"/>
      <c r="AM27" s="176"/>
      <c r="AN27" s="176"/>
      <c r="AO27" s="176"/>
      <c r="AP27" s="176"/>
      <c r="AQ27" s="176"/>
      <c r="AR27" s="176"/>
      <c r="AS27" s="176"/>
      <c r="AT27" s="176"/>
      <c r="AU27" s="176"/>
      <c r="AV27" s="176"/>
      <c r="AW27" s="176"/>
      <c r="AX27" s="176"/>
      <c r="AY27" s="176"/>
      <c r="AZ27" s="176"/>
      <c r="BA27" s="176"/>
      <c r="BB27" s="176"/>
      <c r="BC27" s="176"/>
      <c r="BD27" s="176"/>
      <c r="BE27" s="176"/>
      <c r="BF27" s="176"/>
      <c r="BG27" s="176"/>
      <c r="BH27" s="176"/>
      <c r="BI27" s="176"/>
      <c r="BJ27" s="176"/>
      <c r="BK27" s="176"/>
      <c r="BL27" s="176"/>
      <c r="BM27" s="176"/>
      <c r="BN27" s="176"/>
      <c r="BO27" s="176"/>
    </row>
    <row r="28" spans="1:67" s="36" customFormat="1" ht="12" customHeight="1" x14ac:dyDescent="0.2">
      <c r="A28" s="1043" t="str">
        <f>A222</f>
        <v>13. Wärmeverbund Baumeister</v>
      </c>
      <c r="B28" s="2638">
        <f>B222</f>
        <v>0</v>
      </c>
      <c r="C28" s="2639"/>
      <c r="D28" s="2640"/>
      <c r="E28" s="2599">
        <f>E222</f>
        <v>0</v>
      </c>
      <c r="F28" s="2600"/>
      <c r="G28" s="1070"/>
      <c r="H28" s="1071"/>
      <c r="I28" s="1072"/>
      <c r="J28" s="989">
        <f>J222</f>
        <v>0</v>
      </c>
      <c r="K28" s="2703" t="str">
        <f t="shared" si="0"/>
        <v/>
      </c>
      <c r="L28" s="2704"/>
      <c r="M28" s="1065">
        <f>M222</f>
        <v>0</v>
      </c>
      <c r="N28" s="596"/>
      <c r="O28" s="595"/>
      <c r="P28" s="595"/>
      <c r="Q28" s="595"/>
      <c r="R28" s="136"/>
      <c r="S28" s="129"/>
      <c r="T28" s="129"/>
      <c r="U28" s="129"/>
      <c r="V28" s="129"/>
      <c r="W28" s="129"/>
      <c r="X28" s="129"/>
      <c r="Y28" s="129"/>
      <c r="Z28" s="133"/>
      <c r="AA28" s="133"/>
      <c r="AB28" s="133"/>
      <c r="AC28" s="133"/>
      <c r="AD28" s="133"/>
      <c r="AE28" s="133"/>
      <c r="AF28" s="222"/>
      <c r="AG28" s="222"/>
      <c r="AH28" s="222"/>
      <c r="AI28" s="176"/>
      <c r="AJ28" s="176"/>
      <c r="AK28" s="176"/>
      <c r="AL28" s="176"/>
      <c r="AM28" s="176"/>
      <c r="AN28" s="176"/>
      <c r="AO28" s="176"/>
      <c r="AP28" s="176"/>
      <c r="AQ28" s="176"/>
      <c r="AR28" s="176"/>
      <c r="AS28" s="176"/>
      <c r="AT28" s="176"/>
      <c r="AU28" s="176"/>
      <c r="AV28" s="176"/>
      <c r="AW28" s="176"/>
      <c r="AX28" s="176"/>
      <c r="AY28" s="176"/>
      <c r="AZ28" s="176"/>
      <c r="BA28" s="176"/>
      <c r="BB28" s="176"/>
      <c r="BC28" s="176"/>
      <c r="BD28" s="176"/>
      <c r="BE28" s="176"/>
      <c r="BF28" s="176"/>
      <c r="BG28" s="176"/>
      <c r="BH28" s="176"/>
      <c r="BI28" s="176"/>
      <c r="BJ28" s="176"/>
      <c r="BK28" s="176"/>
      <c r="BL28" s="176"/>
      <c r="BM28" s="176"/>
      <c r="BN28" s="176"/>
      <c r="BO28" s="176"/>
    </row>
    <row r="29" spans="1:67" s="36" customFormat="1" ht="12" customHeight="1" x14ac:dyDescent="0.2">
      <c r="A29" s="1043" t="str">
        <f>A237</f>
        <v>14. Wärmeverbund Leitungen</v>
      </c>
      <c r="B29" s="2638">
        <f>B237</f>
        <v>0</v>
      </c>
      <c r="C29" s="2639"/>
      <c r="D29" s="2640"/>
      <c r="E29" s="2599">
        <f>E237</f>
        <v>0</v>
      </c>
      <c r="F29" s="2600"/>
      <c r="G29" s="1070"/>
      <c r="H29" s="1071"/>
      <c r="I29" s="1072"/>
      <c r="J29" s="989">
        <f>J237</f>
        <v>0</v>
      </c>
      <c r="K29" s="2703" t="str">
        <f t="shared" si="0"/>
        <v/>
      </c>
      <c r="L29" s="2704"/>
      <c r="M29" s="1065">
        <f>M237</f>
        <v>0</v>
      </c>
      <c r="N29" s="596"/>
      <c r="O29" s="595"/>
      <c r="P29" s="595"/>
      <c r="Q29" s="595"/>
      <c r="R29" s="136"/>
      <c r="S29" s="129"/>
      <c r="T29" s="129"/>
      <c r="U29" s="129"/>
      <c r="V29" s="129"/>
      <c r="W29" s="129"/>
      <c r="X29" s="129"/>
      <c r="Y29" s="129"/>
      <c r="Z29" s="133"/>
      <c r="AA29" s="133"/>
      <c r="AB29" s="133"/>
      <c r="AC29" s="133"/>
      <c r="AD29" s="133"/>
      <c r="AE29" s="133"/>
      <c r="AF29" s="222"/>
      <c r="AG29" s="222"/>
      <c r="AH29" s="222"/>
      <c r="AI29" s="176"/>
      <c r="AJ29" s="176"/>
      <c r="AK29" s="176"/>
      <c r="AL29" s="176"/>
      <c r="AM29" s="176"/>
      <c r="AN29" s="176"/>
      <c r="AO29" s="176"/>
      <c r="AP29" s="176"/>
      <c r="AQ29" s="176"/>
      <c r="AR29" s="176"/>
      <c r="AS29" s="176"/>
      <c r="AT29" s="176"/>
      <c r="AU29" s="176"/>
      <c r="AV29" s="176"/>
      <c r="AW29" s="176"/>
      <c r="AX29" s="176"/>
      <c r="AY29" s="176"/>
      <c r="AZ29" s="176"/>
      <c r="BA29" s="176"/>
      <c r="BB29" s="176"/>
      <c r="BC29" s="176"/>
      <c r="BD29" s="176"/>
      <c r="BE29" s="176"/>
      <c r="BF29" s="176"/>
      <c r="BG29" s="176"/>
      <c r="BH29" s="176"/>
      <c r="BI29" s="176"/>
      <c r="BJ29" s="176"/>
      <c r="BK29" s="176"/>
      <c r="BL29" s="176"/>
      <c r="BM29" s="176"/>
      <c r="BN29" s="176"/>
      <c r="BO29" s="176"/>
    </row>
    <row r="30" spans="1:67" s="36" customFormat="1" ht="12" customHeight="1" x14ac:dyDescent="0.2">
      <c r="A30" s="1043" t="str">
        <f>A252</f>
        <v>15. MSRL</v>
      </c>
      <c r="B30" s="2638">
        <f>B252</f>
        <v>0</v>
      </c>
      <c r="C30" s="2639"/>
      <c r="D30" s="2640"/>
      <c r="E30" s="2599">
        <f>E252</f>
        <v>0</v>
      </c>
      <c r="F30" s="2600"/>
      <c r="G30" s="1070"/>
      <c r="H30" s="1071"/>
      <c r="I30" s="1072"/>
      <c r="J30" s="989">
        <f>J252</f>
        <v>0</v>
      </c>
      <c r="K30" s="2703" t="str">
        <f t="shared" si="0"/>
        <v/>
      </c>
      <c r="L30" s="2704"/>
      <c r="M30" s="1065">
        <f>M252</f>
        <v>0</v>
      </c>
      <c r="N30" s="596"/>
      <c r="O30" s="595"/>
      <c r="P30" s="595"/>
      <c r="Q30" s="595"/>
      <c r="R30" s="136"/>
      <c r="S30" s="129"/>
      <c r="T30" s="129"/>
      <c r="U30" s="129"/>
      <c r="V30" s="129"/>
      <c r="W30" s="129"/>
      <c r="X30" s="129"/>
      <c r="Y30" s="129"/>
      <c r="Z30" s="133"/>
      <c r="AA30" s="133"/>
      <c r="AB30" s="133"/>
      <c r="AC30" s="133"/>
      <c r="AD30" s="133"/>
      <c r="AE30" s="133"/>
      <c r="AF30" s="222"/>
      <c r="AG30" s="222"/>
      <c r="AH30" s="222"/>
      <c r="AI30" s="176"/>
      <c r="AJ30" s="176"/>
      <c r="AK30" s="176"/>
      <c r="AL30" s="176"/>
      <c r="AM30" s="176"/>
      <c r="AN30" s="176"/>
      <c r="AO30" s="176"/>
      <c r="AP30" s="176"/>
      <c r="AQ30" s="176"/>
      <c r="AR30" s="176"/>
      <c r="AS30" s="176"/>
      <c r="AT30" s="176"/>
      <c r="AU30" s="176"/>
      <c r="AV30" s="176"/>
      <c r="AW30" s="176"/>
      <c r="AX30" s="176"/>
      <c r="AY30" s="176"/>
      <c r="AZ30" s="176"/>
      <c r="BA30" s="176"/>
      <c r="BB30" s="176"/>
      <c r="BC30" s="176"/>
      <c r="BD30" s="176"/>
      <c r="BE30" s="176"/>
      <c r="BF30" s="176"/>
      <c r="BG30" s="176"/>
      <c r="BH30" s="176"/>
      <c r="BI30" s="176"/>
      <c r="BJ30" s="176"/>
      <c r="BK30" s="176"/>
      <c r="BL30" s="176"/>
      <c r="BM30" s="176"/>
      <c r="BN30" s="176"/>
      <c r="BO30" s="176"/>
    </row>
    <row r="31" spans="1:67" s="36" customFormat="1" ht="12" customHeight="1" x14ac:dyDescent="0.2">
      <c r="A31" s="1043" t="str">
        <f>A267</f>
        <v>16. Elektro</v>
      </c>
      <c r="B31" s="2638">
        <f>B267</f>
        <v>0</v>
      </c>
      <c r="C31" s="2639"/>
      <c r="D31" s="2640"/>
      <c r="E31" s="2599">
        <f>E267</f>
        <v>0</v>
      </c>
      <c r="F31" s="2600"/>
      <c r="G31" s="1070"/>
      <c r="H31" s="1071"/>
      <c r="I31" s="1072"/>
      <c r="J31" s="989">
        <f>J267</f>
        <v>0</v>
      </c>
      <c r="K31" s="2703" t="str">
        <f t="shared" si="0"/>
        <v/>
      </c>
      <c r="L31" s="2704"/>
      <c r="M31" s="1065">
        <f>M267</f>
        <v>0</v>
      </c>
      <c r="N31" s="596"/>
      <c r="O31" s="595"/>
      <c r="P31" s="595"/>
      <c r="Q31" s="595"/>
      <c r="R31" s="136"/>
      <c r="S31" s="129"/>
      <c r="T31" s="129"/>
      <c r="U31" s="129"/>
      <c r="V31" s="129"/>
      <c r="W31" s="129"/>
      <c r="X31" s="129"/>
      <c r="Y31" s="129"/>
      <c r="Z31" s="133"/>
      <c r="AA31" s="133"/>
      <c r="AB31" s="133"/>
      <c r="AC31" s="133"/>
      <c r="AD31" s="133"/>
      <c r="AE31" s="133"/>
      <c r="AF31" s="222"/>
      <c r="AG31" s="222"/>
      <c r="AH31" s="222"/>
      <c r="AI31" s="176"/>
      <c r="AJ31" s="176"/>
      <c r="AK31" s="176"/>
      <c r="AL31" s="176"/>
      <c r="AM31" s="176"/>
      <c r="AN31" s="176"/>
      <c r="AO31" s="176"/>
      <c r="AP31" s="176"/>
      <c r="AQ31" s="176"/>
      <c r="AR31" s="176"/>
      <c r="AS31" s="176"/>
      <c r="AT31" s="176"/>
      <c r="AU31" s="176"/>
      <c r="AV31" s="176"/>
      <c r="AW31" s="176"/>
      <c r="AX31" s="176"/>
      <c r="AY31" s="176"/>
      <c r="AZ31" s="176"/>
      <c r="BA31" s="176"/>
      <c r="BB31" s="176"/>
      <c r="BC31" s="176"/>
      <c r="BD31" s="176"/>
      <c r="BE31" s="176"/>
      <c r="BF31" s="176"/>
      <c r="BG31" s="176"/>
      <c r="BH31" s="176"/>
      <c r="BI31" s="176"/>
      <c r="BJ31" s="176"/>
      <c r="BK31" s="176"/>
      <c r="BL31" s="176"/>
      <c r="BM31" s="176"/>
      <c r="BN31" s="176"/>
      <c r="BO31" s="176"/>
    </row>
    <row r="32" spans="1:67" s="36" customFormat="1" ht="12" customHeight="1" x14ac:dyDescent="0.2">
      <c r="A32" s="1043" t="str">
        <f>+A282</f>
        <v>17. Baumeister</v>
      </c>
      <c r="B32" s="2683">
        <f>+B282</f>
        <v>0</v>
      </c>
      <c r="C32" s="2684"/>
      <c r="D32" s="2685"/>
      <c r="E32" s="2599">
        <f>+E282</f>
        <v>0</v>
      </c>
      <c r="F32" s="2600"/>
      <c r="G32" s="1070"/>
      <c r="H32" s="1071"/>
      <c r="I32" s="1072"/>
      <c r="J32" s="989">
        <f>+J282</f>
        <v>0</v>
      </c>
      <c r="K32" s="2703" t="str">
        <f t="shared" si="0"/>
        <v/>
      </c>
      <c r="L32" s="2704"/>
      <c r="M32" s="1065">
        <f>+M282</f>
        <v>0</v>
      </c>
      <c r="N32" s="596"/>
      <c r="O32" s="595"/>
      <c r="P32" s="595"/>
      <c r="Q32" s="595"/>
      <c r="R32" s="136"/>
      <c r="S32" s="129"/>
      <c r="T32" s="129"/>
      <c r="U32" s="129"/>
      <c r="V32" s="129"/>
      <c r="W32" s="129"/>
      <c r="X32" s="129"/>
      <c r="Y32" s="129"/>
      <c r="Z32" s="133"/>
      <c r="AA32" s="133"/>
      <c r="AB32" s="133"/>
      <c r="AC32" s="133"/>
      <c r="AD32" s="133"/>
      <c r="AE32" s="133"/>
      <c r="AF32" s="222"/>
      <c r="AG32" s="222"/>
      <c r="AH32" s="222"/>
      <c r="AI32" s="176"/>
      <c r="AJ32" s="176"/>
      <c r="AK32" s="176"/>
      <c r="AL32" s="176"/>
      <c r="AM32" s="176"/>
      <c r="AN32" s="176"/>
      <c r="AO32" s="176"/>
      <c r="AP32" s="176"/>
      <c r="AQ32" s="176"/>
      <c r="AR32" s="176"/>
      <c r="AS32" s="176"/>
      <c r="AT32" s="176"/>
      <c r="AU32" s="176"/>
      <c r="AV32" s="176"/>
      <c r="AW32" s="176"/>
      <c r="AX32" s="176"/>
      <c r="AY32" s="176"/>
      <c r="AZ32" s="176"/>
      <c r="BA32" s="176"/>
      <c r="BB32" s="176"/>
      <c r="BC32" s="176"/>
      <c r="BD32" s="176"/>
      <c r="BE32" s="176"/>
      <c r="BF32" s="176"/>
      <c r="BG32" s="176"/>
      <c r="BH32" s="176"/>
      <c r="BI32" s="176"/>
      <c r="BJ32" s="176"/>
      <c r="BK32" s="176"/>
      <c r="BL32" s="176"/>
      <c r="BM32" s="176"/>
      <c r="BN32" s="176"/>
      <c r="BO32" s="176"/>
    </row>
    <row r="33" spans="1:67" s="36" customFormat="1" ht="12" customHeight="1" x14ac:dyDescent="0.2">
      <c r="A33" s="1043" t="str">
        <f>A297</f>
        <v>18. Weiteres (ohne Baumeister)</v>
      </c>
      <c r="B33" s="2638">
        <f>B297</f>
        <v>0</v>
      </c>
      <c r="C33" s="2639"/>
      <c r="D33" s="2640"/>
      <c r="E33" s="2599">
        <f>E297</f>
        <v>0</v>
      </c>
      <c r="F33" s="2600"/>
      <c r="G33" s="1070"/>
      <c r="H33" s="1071"/>
      <c r="I33" s="1072"/>
      <c r="J33" s="989">
        <f>J297</f>
        <v>0</v>
      </c>
      <c r="K33" s="2703" t="str">
        <f t="shared" si="0"/>
        <v/>
      </c>
      <c r="L33" s="2704"/>
      <c r="M33" s="1065">
        <f>M297</f>
        <v>0</v>
      </c>
      <c r="N33" s="596"/>
      <c r="O33" s="595"/>
      <c r="P33" s="595"/>
      <c r="Q33" s="595"/>
      <c r="R33" s="136"/>
      <c r="S33" s="129"/>
      <c r="T33" s="129"/>
      <c r="U33" s="129"/>
      <c r="V33" s="129"/>
      <c r="W33" s="129"/>
      <c r="X33" s="129"/>
      <c r="Y33" s="129"/>
      <c r="Z33" s="133"/>
      <c r="AA33" s="133"/>
      <c r="AB33" s="133"/>
      <c r="AC33" s="133"/>
      <c r="AD33" s="133"/>
      <c r="AE33" s="133"/>
      <c r="AF33" s="222"/>
      <c r="AG33" s="222"/>
      <c r="AH33" s="222"/>
      <c r="AI33" s="176"/>
      <c r="AJ33" s="176"/>
      <c r="AK33" s="176"/>
      <c r="AL33" s="176"/>
      <c r="AM33" s="176"/>
      <c r="AN33" s="176"/>
      <c r="AO33" s="176"/>
      <c r="AP33" s="176"/>
      <c r="AQ33" s="176"/>
      <c r="AR33" s="176"/>
      <c r="AS33" s="176"/>
      <c r="AT33" s="176"/>
      <c r="AU33" s="176"/>
      <c r="AV33" s="176"/>
      <c r="AW33" s="176"/>
      <c r="AX33" s="176"/>
      <c r="AY33" s="176"/>
      <c r="AZ33" s="176"/>
      <c r="BA33" s="176"/>
      <c r="BB33" s="176"/>
      <c r="BC33" s="176"/>
      <c r="BD33" s="176"/>
      <c r="BE33" s="176"/>
      <c r="BF33" s="176"/>
      <c r="BG33" s="176"/>
      <c r="BH33" s="176"/>
      <c r="BI33" s="176"/>
      <c r="BJ33" s="176"/>
      <c r="BK33" s="176"/>
      <c r="BL33" s="176"/>
      <c r="BM33" s="176"/>
      <c r="BN33" s="176"/>
      <c r="BO33" s="176"/>
    </row>
    <row r="34" spans="1:67" s="36" customFormat="1" ht="12" customHeight="1" x14ac:dyDescent="0.2">
      <c r="A34" s="1043" t="str">
        <f>A312</f>
        <v>19. Baunebenkosten</v>
      </c>
      <c r="B34" s="2638">
        <f>B312</f>
        <v>0</v>
      </c>
      <c r="C34" s="2639"/>
      <c r="D34" s="2640"/>
      <c r="E34" s="2599">
        <f>E312</f>
        <v>0</v>
      </c>
      <c r="F34" s="2600"/>
      <c r="G34" s="1070"/>
      <c r="H34" s="1071"/>
      <c r="I34" s="1072"/>
      <c r="J34" s="989">
        <f>J312</f>
        <v>0</v>
      </c>
      <c r="K34" s="2703" t="str">
        <f t="shared" si="0"/>
        <v/>
      </c>
      <c r="L34" s="2704"/>
      <c r="M34" s="1065">
        <f>M312</f>
        <v>0</v>
      </c>
      <c r="N34" s="596"/>
      <c r="O34" s="595"/>
      <c r="P34" s="595"/>
      <c r="Q34" s="595"/>
      <c r="R34" s="136"/>
      <c r="S34" s="129"/>
      <c r="T34" s="129"/>
      <c r="U34" s="129"/>
      <c r="V34" s="129"/>
      <c r="W34" s="129"/>
      <c r="X34" s="129"/>
      <c r="Y34" s="129"/>
      <c r="Z34" s="133"/>
      <c r="AA34" s="133"/>
      <c r="AB34" s="133"/>
      <c r="AC34" s="133"/>
      <c r="AD34" s="133"/>
      <c r="AE34" s="133"/>
      <c r="AF34" s="222"/>
      <c r="AG34" s="222"/>
      <c r="AH34" s="222"/>
      <c r="AI34" s="176"/>
      <c r="AJ34" s="176"/>
      <c r="AK34" s="176"/>
      <c r="AL34" s="176"/>
      <c r="AM34" s="176"/>
      <c r="AN34" s="176"/>
      <c r="AO34" s="176"/>
      <c r="AP34" s="176"/>
      <c r="AQ34" s="176"/>
      <c r="AR34" s="176"/>
      <c r="AS34" s="176"/>
      <c r="AT34" s="176"/>
      <c r="AU34" s="176"/>
      <c r="AV34" s="176"/>
      <c r="AW34" s="176"/>
      <c r="AX34" s="176"/>
      <c r="AY34" s="176"/>
      <c r="AZ34" s="176"/>
      <c r="BA34" s="176"/>
      <c r="BB34" s="176"/>
      <c r="BC34" s="176"/>
      <c r="BD34" s="176"/>
      <c r="BE34" s="176"/>
      <c r="BF34" s="176"/>
      <c r="BG34" s="176"/>
      <c r="BH34" s="176"/>
      <c r="BI34" s="176"/>
      <c r="BJ34" s="176"/>
      <c r="BK34" s="176"/>
      <c r="BL34" s="176"/>
      <c r="BM34" s="176"/>
      <c r="BN34" s="176"/>
      <c r="BO34" s="176"/>
    </row>
    <row r="35" spans="1:67" s="36" customFormat="1" ht="12" customHeight="1" x14ac:dyDescent="0.2">
      <c r="A35" s="1043" t="str">
        <f>A327</f>
        <v>20. Unvorhergesehenes</v>
      </c>
      <c r="B35" s="2638">
        <f>B327</f>
        <v>0</v>
      </c>
      <c r="C35" s="2639"/>
      <c r="D35" s="2640"/>
      <c r="E35" s="2599">
        <f>E327</f>
        <v>0</v>
      </c>
      <c r="F35" s="2600"/>
      <c r="G35" s="1070"/>
      <c r="H35" s="1071"/>
      <c r="I35" s="1072"/>
      <c r="J35" s="989">
        <f>J327</f>
        <v>0</v>
      </c>
      <c r="K35" s="2703" t="str">
        <f t="shared" si="0"/>
        <v/>
      </c>
      <c r="L35" s="2704"/>
      <c r="M35" s="1065">
        <f>M327</f>
        <v>0</v>
      </c>
      <c r="N35" s="596"/>
      <c r="O35" s="595"/>
      <c r="P35" s="595"/>
      <c r="Q35" s="595"/>
      <c r="R35" s="136"/>
      <c r="S35" s="129"/>
      <c r="T35" s="129"/>
      <c r="U35" s="129"/>
      <c r="V35" s="129"/>
      <c r="W35" s="129"/>
      <c r="X35" s="129"/>
      <c r="Y35" s="129"/>
      <c r="Z35" s="133"/>
      <c r="AA35" s="133"/>
      <c r="AB35" s="133"/>
      <c r="AC35" s="133"/>
      <c r="AD35" s="133"/>
      <c r="AE35" s="133"/>
      <c r="AF35" s="222"/>
      <c r="AG35" s="222"/>
      <c r="AH35" s="222"/>
      <c r="AI35" s="176"/>
      <c r="AJ35" s="176"/>
      <c r="AK35" s="176"/>
      <c r="AL35" s="176"/>
      <c r="AM35" s="176"/>
      <c r="AN35" s="176"/>
      <c r="AO35" s="176"/>
      <c r="AP35" s="176"/>
      <c r="AQ35" s="176"/>
      <c r="AR35" s="176"/>
      <c r="AS35" s="176"/>
      <c r="AT35" s="176"/>
      <c r="AU35" s="176"/>
      <c r="AV35" s="176"/>
      <c r="AW35" s="176"/>
      <c r="AX35" s="176"/>
      <c r="AY35" s="176"/>
      <c r="AZ35" s="176"/>
      <c r="BA35" s="176"/>
      <c r="BB35" s="176"/>
      <c r="BC35" s="176"/>
      <c r="BD35" s="176"/>
      <c r="BE35" s="176"/>
      <c r="BF35" s="176"/>
      <c r="BG35" s="176"/>
      <c r="BH35" s="176"/>
      <c r="BI35" s="176"/>
      <c r="BJ35" s="176"/>
      <c r="BK35" s="176"/>
      <c r="BL35" s="176"/>
      <c r="BM35" s="176"/>
      <c r="BN35" s="176"/>
      <c r="BO35" s="176"/>
    </row>
    <row r="36" spans="1:67" s="36" customFormat="1" ht="12" customHeight="1" x14ac:dyDescent="0.2">
      <c r="A36" s="1043" t="str">
        <f>A341</f>
        <v>21. Honorare / Nebenkosten</v>
      </c>
      <c r="B36" s="2638">
        <f>B341</f>
        <v>0</v>
      </c>
      <c r="C36" s="2639"/>
      <c r="D36" s="2640"/>
      <c r="E36" s="2599">
        <f>E341</f>
        <v>0</v>
      </c>
      <c r="F36" s="2600"/>
      <c r="G36" s="1070"/>
      <c r="H36" s="1071"/>
      <c r="I36" s="1072"/>
      <c r="J36" s="989">
        <f>J341</f>
        <v>0</v>
      </c>
      <c r="K36" s="2703" t="str">
        <f t="shared" si="0"/>
        <v/>
      </c>
      <c r="L36" s="2704"/>
      <c r="M36" s="1065">
        <f>M341</f>
        <v>0</v>
      </c>
      <c r="N36" s="596"/>
      <c r="O36" s="595"/>
      <c r="P36" s="595"/>
      <c r="Q36" s="595"/>
      <c r="R36" s="136"/>
      <c r="S36" s="129"/>
      <c r="T36" s="129"/>
      <c r="U36" s="129"/>
      <c r="V36" s="129"/>
      <c r="W36" s="129"/>
      <c r="X36" s="129"/>
      <c r="Y36" s="129"/>
      <c r="Z36" s="133"/>
      <c r="AA36" s="133"/>
      <c r="AB36" s="133"/>
      <c r="AC36" s="133"/>
      <c r="AD36" s="133"/>
      <c r="AE36" s="133"/>
      <c r="AF36" s="222"/>
      <c r="AG36" s="222"/>
      <c r="AH36" s="222"/>
      <c r="AI36" s="176"/>
      <c r="AJ36" s="176"/>
      <c r="AK36" s="176"/>
      <c r="AL36" s="176"/>
      <c r="AM36" s="176"/>
      <c r="AN36" s="176"/>
      <c r="AO36" s="176"/>
      <c r="AP36" s="176"/>
      <c r="AQ36" s="176"/>
      <c r="AR36" s="176"/>
      <c r="AS36" s="176"/>
      <c r="AT36" s="176"/>
      <c r="AU36" s="176"/>
      <c r="AV36" s="176"/>
      <c r="AW36" s="176"/>
      <c r="AX36" s="176"/>
      <c r="AY36" s="176"/>
      <c r="AZ36" s="176"/>
      <c r="BA36" s="176"/>
      <c r="BB36" s="176"/>
      <c r="BC36" s="176"/>
      <c r="BD36" s="176"/>
      <c r="BE36" s="176"/>
      <c r="BF36" s="176"/>
      <c r="BG36" s="176"/>
      <c r="BH36" s="176"/>
      <c r="BI36" s="176"/>
      <c r="BJ36" s="176"/>
      <c r="BK36" s="176"/>
      <c r="BL36" s="176"/>
      <c r="BM36" s="176"/>
      <c r="BN36" s="176"/>
      <c r="BO36" s="176"/>
    </row>
    <row r="37" spans="1:67" s="36" customFormat="1" ht="12" customHeight="1" x14ac:dyDescent="0.2">
      <c r="A37" s="1044" t="str">
        <f>A398</f>
        <v>22. Betriebsführung</v>
      </c>
      <c r="B37" s="2608">
        <f>B398</f>
        <v>0</v>
      </c>
      <c r="C37" s="2609"/>
      <c r="D37" s="2610"/>
      <c r="E37" s="2601">
        <f>E398</f>
        <v>0</v>
      </c>
      <c r="F37" s="2602"/>
      <c r="G37" s="1073"/>
      <c r="H37" s="1074"/>
      <c r="I37" s="1075"/>
      <c r="J37" s="997">
        <f>J398</f>
        <v>0</v>
      </c>
      <c r="K37" s="2688" t="str">
        <f t="shared" si="0"/>
        <v/>
      </c>
      <c r="L37" s="2689"/>
      <c r="M37" s="1066">
        <f>M398</f>
        <v>0</v>
      </c>
      <c r="N37" s="596"/>
      <c r="O37" s="595"/>
      <c r="P37" s="595"/>
      <c r="Q37" s="595"/>
      <c r="R37" s="136"/>
      <c r="S37" s="129"/>
      <c r="T37" s="129"/>
      <c r="U37" s="129"/>
      <c r="V37" s="129"/>
      <c r="W37" s="129"/>
      <c r="X37" s="129"/>
      <c r="Y37" s="129"/>
      <c r="Z37" s="133"/>
      <c r="AA37" s="133"/>
      <c r="AB37" s="133"/>
      <c r="AC37" s="133"/>
      <c r="AD37" s="133"/>
      <c r="AE37" s="133"/>
      <c r="AF37" s="222"/>
      <c r="AG37" s="222"/>
      <c r="AH37" s="222"/>
      <c r="AI37" s="176"/>
      <c r="AJ37" s="176"/>
      <c r="AK37" s="176"/>
      <c r="AL37" s="176"/>
      <c r="AM37" s="176"/>
      <c r="AN37" s="176"/>
      <c r="AO37" s="176"/>
      <c r="AP37" s="176"/>
      <c r="AQ37" s="176"/>
      <c r="AR37" s="176"/>
      <c r="AS37" s="176"/>
      <c r="AT37" s="176"/>
      <c r="AU37" s="176"/>
      <c r="AV37" s="176"/>
      <c r="AW37" s="176"/>
      <c r="AX37" s="176"/>
      <c r="AY37" s="176"/>
      <c r="AZ37" s="176"/>
      <c r="BA37" s="176"/>
      <c r="BB37" s="176"/>
      <c r="BC37" s="176"/>
      <c r="BD37" s="176"/>
      <c r="BE37" s="176"/>
      <c r="BF37" s="176"/>
      <c r="BG37" s="176"/>
      <c r="BH37" s="176"/>
      <c r="BI37" s="176"/>
      <c r="BJ37" s="176"/>
      <c r="BK37" s="176"/>
      <c r="BL37" s="176"/>
      <c r="BM37" s="176"/>
      <c r="BN37" s="176"/>
      <c r="BO37" s="176"/>
    </row>
    <row r="38" spans="1:67" s="39" customFormat="1" ht="14.1" customHeight="1" x14ac:dyDescent="0.2">
      <c r="A38" s="1103" t="s">
        <v>525</v>
      </c>
      <c r="B38" s="1104"/>
      <c r="C38" s="1105"/>
      <c r="D38" s="1106"/>
      <c r="E38" s="2614">
        <f>E404</f>
        <v>0</v>
      </c>
      <c r="F38" s="2615"/>
      <c r="G38" s="1076"/>
      <c r="H38" s="1077"/>
      <c r="I38" s="1078"/>
      <c r="J38" s="1052">
        <f>J404</f>
        <v>0</v>
      </c>
      <c r="K38" s="2709" t="str">
        <f t="shared" si="0"/>
        <v/>
      </c>
      <c r="L38" s="2710"/>
      <c r="M38" s="1107">
        <f>M404</f>
        <v>0</v>
      </c>
      <c r="N38" s="410"/>
      <c r="O38" s="68"/>
      <c r="P38" s="68"/>
      <c r="Q38" s="68"/>
      <c r="R38" s="602"/>
      <c r="S38" s="130"/>
      <c r="T38" s="130"/>
      <c r="U38" s="130"/>
      <c r="V38" s="130"/>
      <c r="W38" s="130"/>
      <c r="X38" s="130"/>
      <c r="Y38" s="130"/>
      <c r="Z38" s="603"/>
      <c r="AA38" s="603"/>
      <c r="AB38" s="603"/>
      <c r="AC38" s="603"/>
      <c r="AD38" s="603"/>
      <c r="AE38" s="603"/>
      <c r="AF38" s="604"/>
      <c r="AG38" s="604"/>
      <c r="AH38" s="604"/>
    </row>
    <row r="39" spans="1:67" s="36" customFormat="1" ht="10.5" customHeight="1" x14ac:dyDescent="0.2">
      <c r="A39" s="1348"/>
      <c r="B39" s="2690"/>
      <c r="C39" s="2691"/>
      <c r="D39" s="2692"/>
      <c r="E39" s="2601"/>
      <c r="F39" s="2602"/>
      <c r="G39" s="1088" t="s">
        <v>11</v>
      </c>
      <c r="H39" s="1089"/>
      <c r="I39" s="1083"/>
      <c r="J39" s="1084"/>
      <c r="K39" s="1087"/>
      <c r="L39" s="1307"/>
      <c r="M39" s="1317"/>
      <c r="N39" s="410"/>
      <c r="O39" s="68"/>
      <c r="P39" s="68"/>
      <c r="Q39" s="135"/>
      <c r="R39" s="136"/>
      <c r="S39" s="129"/>
      <c r="T39" s="129"/>
      <c r="U39" s="129"/>
      <c r="V39" s="129"/>
      <c r="W39" s="129"/>
      <c r="X39" s="129"/>
      <c r="Y39" s="129"/>
      <c r="Z39" s="133"/>
      <c r="AA39" s="133"/>
      <c r="AB39" s="133"/>
      <c r="AC39" s="133"/>
      <c r="AD39" s="133"/>
      <c r="AE39" s="133"/>
      <c r="AF39" s="222"/>
      <c r="AG39" s="222"/>
      <c r="AH39" s="222"/>
      <c r="AI39" s="176"/>
      <c r="AJ39" s="176"/>
      <c r="AK39" s="176"/>
      <c r="AL39" s="176"/>
      <c r="AM39" s="176"/>
      <c r="AN39" s="176"/>
      <c r="AO39" s="176"/>
      <c r="AP39" s="176"/>
      <c r="AQ39" s="176"/>
      <c r="AR39" s="176"/>
      <c r="AS39" s="176"/>
      <c r="AT39" s="176"/>
      <c r="AU39" s="176"/>
      <c r="AV39" s="176"/>
      <c r="AW39" s="176"/>
      <c r="AX39" s="176"/>
      <c r="AY39" s="176"/>
      <c r="AZ39" s="176"/>
      <c r="BA39" s="176"/>
      <c r="BB39" s="176"/>
      <c r="BC39" s="176"/>
      <c r="BD39" s="176"/>
      <c r="BE39" s="176"/>
      <c r="BF39" s="176"/>
      <c r="BG39" s="176"/>
      <c r="BH39" s="176"/>
      <c r="BI39" s="176"/>
      <c r="BJ39" s="176"/>
      <c r="BK39" s="176"/>
      <c r="BL39" s="176"/>
      <c r="BM39" s="176"/>
      <c r="BN39" s="176"/>
      <c r="BO39" s="176"/>
    </row>
    <row r="40" spans="1:67" s="36" customFormat="1" ht="10.5" customHeight="1" x14ac:dyDescent="0.2">
      <c r="A40" s="1115" t="s">
        <v>260</v>
      </c>
      <c r="B40" s="2611"/>
      <c r="C40" s="2612"/>
      <c r="D40" s="2613"/>
      <c r="E40" s="2676">
        <f>SUM(E41:E53)</f>
        <v>0</v>
      </c>
      <c r="F40" s="2677"/>
      <c r="G40" s="2678"/>
      <c r="H40" s="2679"/>
      <c r="I40" s="1116">
        <f>IF(E40=0,0,J40/E40)</f>
        <v>0</v>
      </c>
      <c r="J40" s="1117">
        <f>SUM(J41:J53)</f>
        <v>0</v>
      </c>
      <c r="K40" s="2686">
        <f>IF(E40=0,0,M40/E40*100)</f>
        <v>0</v>
      </c>
      <c r="L40" s="2687"/>
      <c r="M40" s="1118">
        <f>SUM(M41:M53)</f>
        <v>0</v>
      </c>
      <c r="N40" s="506"/>
      <c r="O40" s="177">
        <f t="shared" ref="O40:O54" si="1">IF(ISBLANK(H40),G40,H40)</f>
        <v>0</v>
      </c>
      <c r="P40" s="366"/>
      <c r="Q40" s="135"/>
      <c r="R40" s="136"/>
      <c r="S40" s="129"/>
      <c r="T40" s="129"/>
      <c r="U40" s="129"/>
      <c r="V40" s="129"/>
      <c r="W40" s="129"/>
      <c r="X40" s="129"/>
      <c r="Y40" s="129"/>
      <c r="Z40" s="133"/>
      <c r="AA40" s="133"/>
      <c r="AB40" s="133"/>
      <c r="AC40" s="133"/>
      <c r="AD40" s="133"/>
      <c r="AE40" s="133"/>
      <c r="AF40" s="222"/>
      <c r="AG40" s="222"/>
      <c r="AH40" s="222"/>
      <c r="AI40" s="176"/>
      <c r="AJ40" s="176"/>
      <c r="AK40" s="176"/>
      <c r="AL40" s="176"/>
      <c r="AM40" s="176"/>
      <c r="AN40" s="176"/>
      <c r="AO40" s="176"/>
      <c r="AP40" s="176"/>
      <c r="AQ40" s="176"/>
      <c r="AR40" s="176"/>
      <c r="AS40" s="176"/>
      <c r="AT40" s="176"/>
      <c r="AU40" s="176"/>
      <c r="AV40" s="176"/>
      <c r="AW40" s="176"/>
      <c r="AX40" s="176"/>
      <c r="AY40" s="176"/>
      <c r="AZ40" s="176"/>
      <c r="BA40" s="176"/>
      <c r="BB40" s="176"/>
      <c r="BC40" s="176"/>
      <c r="BD40" s="176"/>
      <c r="BE40" s="176"/>
      <c r="BF40" s="176"/>
      <c r="BG40" s="176"/>
      <c r="BH40" s="176"/>
      <c r="BI40" s="176"/>
      <c r="BJ40" s="176"/>
      <c r="BK40" s="176"/>
      <c r="BL40" s="176"/>
      <c r="BM40" s="176"/>
      <c r="BN40" s="176"/>
      <c r="BO40" s="176"/>
    </row>
    <row r="41" spans="1:67" s="36" customFormat="1" ht="10.5" customHeight="1" x14ac:dyDescent="0.2">
      <c r="A41" s="1359" t="s">
        <v>261</v>
      </c>
      <c r="B41" s="2743"/>
      <c r="C41" s="2744"/>
      <c r="D41" s="2745"/>
      <c r="E41" s="2746"/>
      <c r="F41" s="2788"/>
      <c r="G41" s="1056">
        <v>30</v>
      </c>
      <c r="H41" s="1057"/>
      <c r="I41" s="1079">
        <f t="shared" ref="I41:I54" si="2">IF($O41&gt;0,-PMT(($I$9),$O41,1),0)</f>
        <v>4.6199342169092869E-2</v>
      </c>
      <c r="J41" s="1080">
        <f t="shared" ref="J41:J53" si="3">ROUND(E41*I41,0)</f>
        <v>0</v>
      </c>
      <c r="K41" s="1060">
        <v>1.5</v>
      </c>
      <c r="L41" s="1304"/>
      <c r="M41" s="1085">
        <f t="shared" ref="M41:M54" si="4">ROUND(E41/100*IF(ISBLANK(L41),K41,L41),0)</f>
        <v>0</v>
      </c>
      <c r="N41" s="506"/>
      <c r="O41" s="365">
        <f t="shared" si="1"/>
        <v>30</v>
      </c>
      <c r="P41" s="366"/>
      <c r="Q41" s="135"/>
      <c r="R41" s="136"/>
      <c r="S41" s="129"/>
      <c r="T41" s="129"/>
      <c r="U41" s="129"/>
      <c r="V41" s="129"/>
      <c r="W41" s="129"/>
      <c r="X41" s="129"/>
      <c r="Y41" s="129"/>
      <c r="Z41" s="133"/>
      <c r="AA41" s="133"/>
      <c r="AB41" s="133"/>
      <c r="AC41" s="133"/>
      <c r="AD41" s="133"/>
      <c r="AE41" s="133"/>
      <c r="AF41" s="222"/>
      <c r="AG41" s="222"/>
      <c r="AH41" s="222"/>
      <c r="AI41" s="176"/>
      <c r="AJ41" s="176"/>
      <c r="AK41" s="176"/>
      <c r="AL41" s="176"/>
      <c r="AM41" s="176"/>
      <c r="AN41" s="176"/>
      <c r="AO41" s="176"/>
      <c r="AP41" s="176"/>
      <c r="AQ41" s="176"/>
      <c r="AR41" s="176"/>
      <c r="AS41" s="176"/>
      <c r="AT41" s="176"/>
      <c r="AU41" s="176"/>
      <c r="AV41" s="176"/>
      <c r="AW41" s="176"/>
      <c r="AX41" s="176"/>
      <c r="AY41" s="176"/>
      <c r="AZ41" s="176"/>
      <c r="BA41" s="176"/>
      <c r="BB41" s="176"/>
      <c r="BC41" s="176"/>
      <c r="BD41" s="176"/>
      <c r="BE41" s="176"/>
      <c r="BF41" s="176"/>
      <c r="BG41" s="176"/>
      <c r="BH41" s="176"/>
      <c r="BI41" s="176"/>
      <c r="BJ41" s="176"/>
      <c r="BK41" s="176"/>
      <c r="BL41" s="176"/>
      <c r="BM41" s="176"/>
      <c r="BN41" s="176"/>
      <c r="BO41" s="176"/>
    </row>
    <row r="42" spans="1:67" s="36" customFormat="1" ht="10.5" customHeight="1" x14ac:dyDescent="0.2">
      <c r="A42" s="1043" t="s">
        <v>262</v>
      </c>
      <c r="B42" s="2594"/>
      <c r="C42" s="2595"/>
      <c r="D42" s="2596"/>
      <c r="E42" s="2395"/>
      <c r="F42" s="2789"/>
      <c r="G42" s="1058">
        <v>30</v>
      </c>
      <c r="H42" s="1059"/>
      <c r="I42" s="1081">
        <f t="shared" si="2"/>
        <v>4.6199342169092869E-2</v>
      </c>
      <c r="J42" s="1082">
        <f t="shared" si="3"/>
        <v>0</v>
      </c>
      <c r="K42" s="1061">
        <v>2</v>
      </c>
      <c r="L42" s="1305"/>
      <c r="M42" s="1086">
        <f t="shared" si="4"/>
        <v>0</v>
      </c>
      <c r="N42" s="506"/>
      <c r="O42" s="365">
        <f t="shared" si="1"/>
        <v>30</v>
      </c>
      <c r="P42" s="366"/>
      <c r="Q42" s="135"/>
      <c r="R42" s="136"/>
      <c r="S42" s="129"/>
      <c r="T42" s="129"/>
      <c r="U42" s="129"/>
      <c r="V42" s="129"/>
      <c r="W42" s="129"/>
      <c r="X42" s="129"/>
      <c r="Y42" s="129"/>
      <c r="Z42" s="133"/>
      <c r="AA42" s="133"/>
      <c r="AB42" s="133"/>
      <c r="AC42" s="133"/>
      <c r="AD42" s="133"/>
      <c r="AE42" s="133"/>
      <c r="AF42" s="222"/>
      <c r="AG42" s="222"/>
      <c r="AH42" s="222"/>
      <c r="AI42" s="176"/>
      <c r="AJ42" s="176"/>
      <c r="AK42" s="176"/>
      <c r="AL42" s="176"/>
      <c r="AM42" s="176"/>
      <c r="AN42" s="176"/>
      <c r="AO42" s="176"/>
      <c r="AP42" s="176"/>
      <c r="AQ42" s="176"/>
      <c r="AR42" s="176"/>
      <c r="AS42" s="176"/>
      <c r="AT42" s="176"/>
      <c r="AU42" s="176"/>
      <c r="AV42" s="176"/>
      <c r="AW42" s="176"/>
      <c r="AX42" s="176"/>
      <c r="AY42" s="176"/>
      <c r="AZ42" s="176"/>
      <c r="BA42" s="176"/>
      <c r="BB42" s="176"/>
      <c r="BC42" s="176"/>
      <c r="BD42" s="176"/>
      <c r="BE42" s="176"/>
      <c r="BF42" s="176"/>
      <c r="BG42" s="176"/>
      <c r="BH42" s="176"/>
      <c r="BI42" s="176"/>
      <c r="BJ42" s="176"/>
      <c r="BK42" s="176"/>
      <c r="BL42" s="176"/>
      <c r="BM42" s="176"/>
      <c r="BN42" s="176"/>
      <c r="BO42" s="176"/>
    </row>
    <row r="43" spans="1:67" s="36" customFormat="1" ht="10.5" customHeight="1" x14ac:dyDescent="0.2">
      <c r="A43" s="1043" t="s">
        <v>394</v>
      </c>
      <c r="B43" s="2594"/>
      <c r="C43" s="2595"/>
      <c r="D43" s="2596"/>
      <c r="E43" s="2395"/>
      <c r="F43" s="2789"/>
      <c r="G43" s="1058">
        <v>30</v>
      </c>
      <c r="H43" s="1059"/>
      <c r="I43" s="1081">
        <f t="shared" si="2"/>
        <v>4.6199342169092869E-2</v>
      </c>
      <c r="J43" s="1082">
        <f t="shared" si="3"/>
        <v>0</v>
      </c>
      <c r="K43" s="1061">
        <v>2</v>
      </c>
      <c r="L43" s="1305"/>
      <c r="M43" s="1086">
        <f t="shared" si="4"/>
        <v>0</v>
      </c>
      <c r="N43" s="506"/>
      <c r="O43" s="365">
        <f t="shared" si="1"/>
        <v>30</v>
      </c>
      <c r="P43" s="366"/>
      <c r="Q43" s="135"/>
      <c r="R43" s="136"/>
      <c r="S43" s="129"/>
      <c r="T43" s="129"/>
      <c r="U43" s="129"/>
      <c r="V43" s="129"/>
      <c r="W43" s="129"/>
      <c r="X43" s="129"/>
      <c r="Y43" s="129"/>
      <c r="Z43" s="133"/>
      <c r="AA43" s="133"/>
      <c r="AB43" s="133"/>
      <c r="AC43" s="133"/>
      <c r="AD43" s="133"/>
      <c r="AE43" s="133"/>
      <c r="AF43" s="222"/>
      <c r="AG43" s="222"/>
      <c r="AH43" s="222"/>
      <c r="AI43" s="176"/>
      <c r="AJ43" s="176"/>
      <c r="AK43" s="176"/>
      <c r="AL43" s="176"/>
      <c r="AM43" s="176"/>
      <c r="AN43" s="176"/>
      <c r="AO43" s="176"/>
      <c r="AP43" s="176"/>
      <c r="AQ43" s="176"/>
      <c r="AR43" s="176"/>
      <c r="AS43" s="176"/>
      <c r="AT43" s="176"/>
      <c r="AU43" s="176"/>
      <c r="AV43" s="176"/>
      <c r="AW43" s="176"/>
      <c r="AX43" s="176"/>
      <c r="AY43" s="176"/>
      <c r="AZ43" s="176"/>
      <c r="BA43" s="176"/>
      <c r="BB43" s="176"/>
      <c r="BC43" s="176"/>
      <c r="BD43" s="176"/>
      <c r="BE43" s="176"/>
      <c r="BF43" s="176"/>
      <c r="BG43" s="176"/>
      <c r="BH43" s="176"/>
      <c r="BI43" s="176"/>
      <c r="BJ43" s="176"/>
      <c r="BK43" s="176"/>
      <c r="BL43" s="176"/>
      <c r="BM43" s="176"/>
      <c r="BN43" s="176"/>
      <c r="BO43" s="176"/>
    </row>
    <row r="44" spans="1:67" s="36" customFormat="1" ht="10.5" customHeight="1" x14ac:dyDescent="0.2">
      <c r="A44" s="1043" t="s">
        <v>671</v>
      </c>
      <c r="B44" s="2594"/>
      <c r="C44" s="2595"/>
      <c r="D44" s="2596"/>
      <c r="E44" s="2395"/>
      <c r="F44" s="2789"/>
      <c r="G44" s="1058">
        <v>30</v>
      </c>
      <c r="H44" s="1059"/>
      <c r="I44" s="1081">
        <f t="shared" si="2"/>
        <v>4.6199342169092869E-2</v>
      </c>
      <c r="J44" s="1082">
        <f t="shared" si="3"/>
        <v>0</v>
      </c>
      <c r="K44" s="1061">
        <v>0.5</v>
      </c>
      <c r="L44" s="1305"/>
      <c r="M44" s="1086">
        <f t="shared" si="4"/>
        <v>0</v>
      </c>
      <c r="N44" s="506"/>
      <c r="O44" s="365">
        <f t="shared" si="1"/>
        <v>30</v>
      </c>
      <c r="P44" s="366"/>
      <c r="Q44" s="135"/>
      <c r="R44" s="136"/>
      <c r="S44" s="129"/>
      <c r="T44" s="129"/>
      <c r="U44" s="129"/>
      <c r="V44" s="129"/>
      <c r="W44" s="129"/>
      <c r="X44" s="129"/>
      <c r="Y44" s="129"/>
      <c r="Z44" s="133"/>
      <c r="AA44" s="133"/>
      <c r="AB44" s="133"/>
      <c r="AC44" s="133"/>
      <c r="AD44" s="133"/>
      <c r="AE44" s="133"/>
      <c r="AF44" s="222"/>
      <c r="AG44" s="222"/>
      <c r="AH44" s="222"/>
      <c r="AI44" s="176"/>
      <c r="AJ44" s="176"/>
      <c r="AK44" s="176"/>
      <c r="AL44" s="176"/>
      <c r="AM44" s="176"/>
      <c r="AN44" s="176"/>
      <c r="AO44" s="176"/>
      <c r="AP44" s="176"/>
      <c r="AQ44" s="176"/>
      <c r="AR44" s="176"/>
      <c r="AS44" s="176"/>
      <c r="AT44" s="176"/>
      <c r="AU44" s="176"/>
      <c r="AV44" s="176"/>
      <c r="AW44" s="176"/>
      <c r="AX44" s="176"/>
      <c r="AY44" s="176"/>
      <c r="AZ44" s="176"/>
      <c r="BA44" s="176"/>
      <c r="BB44" s="176"/>
      <c r="BC44" s="176"/>
      <c r="BD44" s="176"/>
      <c r="BE44" s="176"/>
      <c r="BF44" s="176"/>
      <c r="BG44" s="176"/>
      <c r="BH44" s="176"/>
      <c r="BI44" s="176"/>
      <c r="BJ44" s="176"/>
      <c r="BK44" s="176"/>
      <c r="BL44" s="176"/>
      <c r="BM44" s="176"/>
      <c r="BN44" s="176"/>
      <c r="BO44" s="176"/>
    </row>
    <row r="45" spans="1:67" s="36" customFormat="1" ht="10.5" customHeight="1" x14ac:dyDescent="0.2">
      <c r="A45" s="1043" t="s">
        <v>395</v>
      </c>
      <c r="B45" s="2594"/>
      <c r="C45" s="2595"/>
      <c r="D45" s="2596"/>
      <c r="E45" s="2395"/>
      <c r="F45" s="2789"/>
      <c r="G45" s="1058">
        <v>30</v>
      </c>
      <c r="H45" s="1059"/>
      <c r="I45" s="1081">
        <f t="shared" si="2"/>
        <v>4.6199342169092869E-2</v>
      </c>
      <c r="J45" s="1082">
        <f t="shared" si="3"/>
        <v>0</v>
      </c>
      <c r="K45" s="1061">
        <v>0</v>
      </c>
      <c r="L45" s="1305"/>
      <c r="M45" s="1086">
        <f t="shared" si="4"/>
        <v>0</v>
      </c>
      <c r="N45" s="506"/>
      <c r="O45" s="365">
        <f t="shared" si="1"/>
        <v>30</v>
      </c>
      <c r="P45" s="366"/>
      <c r="Q45" s="135"/>
      <c r="R45" s="136"/>
      <c r="S45" s="129"/>
      <c r="T45" s="129"/>
      <c r="U45" s="129"/>
      <c r="V45" s="129"/>
      <c r="W45" s="129"/>
      <c r="X45" s="129"/>
      <c r="Y45" s="129"/>
      <c r="Z45" s="133"/>
      <c r="AA45" s="133"/>
      <c r="AB45" s="133"/>
      <c r="AC45" s="133"/>
      <c r="AD45" s="133"/>
      <c r="AE45" s="133"/>
      <c r="AF45" s="222"/>
      <c r="AG45" s="222"/>
      <c r="AH45" s="222"/>
      <c r="AI45" s="176"/>
      <c r="AJ45" s="176"/>
      <c r="AK45" s="176"/>
      <c r="AL45" s="176"/>
      <c r="AM45" s="176"/>
      <c r="AN45" s="176"/>
      <c r="AO45" s="176"/>
      <c r="AP45" s="176"/>
      <c r="AQ45" s="176"/>
      <c r="AR45" s="176"/>
      <c r="AS45" s="176"/>
      <c r="AT45" s="176"/>
      <c r="AU45" s="176"/>
      <c r="AV45" s="176"/>
      <c r="AW45" s="176"/>
      <c r="AX45" s="176"/>
      <c r="AY45" s="176"/>
      <c r="AZ45" s="176"/>
      <c r="BA45" s="176"/>
      <c r="BB45" s="176"/>
      <c r="BC45" s="176"/>
      <c r="BD45" s="176"/>
      <c r="BE45" s="176"/>
      <c r="BF45" s="176"/>
      <c r="BG45" s="176"/>
      <c r="BH45" s="176"/>
      <c r="BI45" s="176"/>
      <c r="BJ45" s="176"/>
      <c r="BK45" s="176"/>
      <c r="BL45" s="176"/>
      <c r="BM45" s="176"/>
      <c r="BN45" s="176"/>
      <c r="BO45" s="176"/>
    </row>
    <row r="46" spans="1:67" s="36" customFormat="1" ht="10.5" customHeight="1" x14ac:dyDescent="0.2">
      <c r="A46" s="1043" t="s">
        <v>263</v>
      </c>
      <c r="B46" s="2594"/>
      <c r="C46" s="2595"/>
      <c r="D46" s="2596"/>
      <c r="E46" s="2395"/>
      <c r="F46" s="2789"/>
      <c r="G46" s="1058">
        <v>30</v>
      </c>
      <c r="H46" s="1059"/>
      <c r="I46" s="1081">
        <f t="shared" si="2"/>
        <v>4.6199342169092869E-2</v>
      </c>
      <c r="J46" s="1082">
        <f t="shared" si="3"/>
        <v>0</v>
      </c>
      <c r="K46" s="1061">
        <v>1.5</v>
      </c>
      <c r="L46" s="1305"/>
      <c r="M46" s="1086">
        <f t="shared" si="4"/>
        <v>0</v>
      </c>
      <c r="N46" s="506"/>
      <c r="O46" s="365">
        <f t="shared" si="1"/>
        <v>30</v>
      </c>
      <c r="P46" s="366"/>
      <c r="Q46" s="135"/>
      <c r="R46" s="136"/>
      <c r="S46" s="129"/>
      <c r="T46" s="129"/>
      <c r="U46" s="129"/>
      <c r="V46" s="129"/>
      <c r="W46" s="129"/>
      <c r="X46" s="129"/>
      <c r="Y46" s="129"/>
      <c r="Z46" s="133"/>
      <c r="AA46" s="133"/>
      <c r="AB46" s="133"/>
      <c r="AC46" s="133"/>
      <c r="AD46" s="133"/>
      <c r="AE46" s="133"/>
      <c r="AF46" s="222"/>
      <c r="AG46" s="222"/>
      <c r="AH46" s="222"/>
      <c r="AI46" s="176"/>
      <c r="AJ46" s="176"/>
      <c r="AK46" s="176"/>
      <c r="AL46" s="176"/>
      <c r="AM46" s="176"/>
      <c r="AN46" s="176"/>
      <c r="AO46" s="176"/>
      <c r="AP46" s="176"/>
      <c r="AQ46" s="176"/>
      <c r="AR46" s="176"/>
      <c r="AS46" s="176"/>
      <c r="AT46" s="176"/>
      <c r="AU46" s="176"/>
      <c r="AV46" s="176"/>
      <c r="AW46" s="176"/>
      <c r="AX46" s="176"/>
      <c r="AY46" s="176"/>
      <c r="AZ46" s="176"/>
      <c r="BA46" s="176"/>
      <c r="BB46" s="176"/>
      <c r="BC46" s="176"/>
      <c r="BD46" s="176"/>
      <c r="BE46" s="176"/>
      <c r="BF46" s="176"/>
      <c r="BG46" s="176"/>
      <c r="BH46" s="176"/>
      <c r="BI46" s="176"/>
      <c r="BJ46" s="176"/>
      <c r="BK46" s="176"/>
      <c r="BL46" s="176"/>
      <c r="BM46" s="176"/>
      <c r="BN46" s="176"/>
      <c r="BO46" s="176"/>
    </row>
    <row r="47" spans="1:67" s="36" customFormat="1" ht="10.5" customHeight="1" x14ac:dyDescent="0.2">
      <c r="A47" s="1043" t="s">
        <v>672</v>
      </c>
      <c r="B47" s="2594"/>
      <c r="C47" s="2595"/>
      <c r="D47" s="2596"/>
      <c r="E47" s="2395"/>
      <c r="F47" s="2789"/>
      <c r="G47" s="1058">
        <v>30</v>
      </c>
      <c r="H47" s="1059"/>
      <c r="I47" s="1081">
        <f t="shared" si="2"/>
        <v>4.6199342169092869E-2</v>
      </c>
      <c r="J47" s="1082">
        <f t="shared" si="3"/>
        <v>0</v>
      </c>
      <c r="K47" s="1061">
        <v>2.5</v>
      </c>
      <c r="L47" s="1305"/>
      <c r="M47" s="1086">
        <f t="shared" si="4"/>
        <v>0</v>
      </c>
      <c r="N47" s="506"/>
      <c r="O47" s="365">
        <f t="shared" si="1"/>
        <v>30</v>
      </c>
      <c r="P47" s="366"/>
      <c r="Q47" s="135"/>
      <c r="R47" s="136"/>
      <c r="S47" s="129"/>
      <c r="T47" s="129"/>
      <c r="U47" s="129"/>
      <c r="V47" s="129"/>
      <c r="W47" s="129"/>
      <c r="X47" s="129"/>
      <c r="Y47" s="129"/>
      <c r="Z47" s="133"/>
      <c r="AA47" s="133"/>
      <c r="AB47" s="133"/>
      <c r="AC47" s="133"/>
      <c r="AD47" s="133"/>
      <c r="AE47" s="133"/>
      <c r="AF47" s="222"/>
      <c r="AG47" s="222"/>
      <c r="AH47" s="222"/>
      <c r="AI47" s="176"/>
      <c r="AJ47" s="176"/>
      <c r="AK47" s="176"/>
      <c r="AL47" s="176"/>
      <c r="AM47" s="176"/>
      <c r="AN47" s="176"/>
      <c r="AO47" s="176"/>
      <c r="AP47" s="176"/>
      <c r="AQ47" s="176"/>
      <c r="AR47" s="176"/>
      <c r="AS47" s="176"/>
      <c r="AT47" s="176"/>
      <c r="AU47" s="176"/>
      <c r="AV47" s="176"/>
      <c r="AW47" s="176"/>
      <c r="AX47" s="176"/>
      <c r="AY47" s="176"/>
      <c r="AZ47" s="176"/>
      <c r="BA47" s="176"/>
      <c r="BB47" s="176"/>
      <c r="BC47" s="176"/>
      <c r="BD47" s="176"/>
      <c r="BE47" s="176"/>
      <c r="BF47" s="176"/>
      <c r="BG47" s="176"/>
      <c r="BH47" s="176"/>
      <c r="BI47" s="176"/>
      <c r="BJ47" s="176"/>
      <c r="BK47" s="176"/>
      <c r="BL47" s="176"/>
      <c r="BM47" s="176"/>
      <c r="BN47" s="176"/>
      <c r="BO47" s="176"/>
    </row>
    <row r="48" spans="1:67" s="36" customFormat="1" ht="10.5" customHeight="1" x14ac:dyDescent="0.2">
      <c r="A48" s="1055"/>
      <c r="B48" s="2594"/>
      <c r="C48" s="2595"/>
      <c r="D48" s="2596"/>
      <c r="E48" s="2395"/>
      <c r="F48" s="2396"/>
      <c r="G48" s="2590"/>
      <c r="H48" s="2591"/>
      <c r="I48" s="1081">
        <f t="shared" si="2"/>
        <v>0</v>
      </c>
      <c r="J48" s="1082">
        <f t="shared" si="3"/>
        <v>0</v>
      </c>
      <c r="K48" s="2588"/>
      <c r="L48" s="2589"/>
      <c r="M48" s="1086">
        <f t="shared" si="4"/>
        <v>0</v>
      </c>
      <c r="N48" s="506"/>
      <c r="O48" s="365">
        <f t="shared" si="1"/>
        <v>0</v>
      </c>
      <c r="P48" s="366"/>
      <c r="Q48" s="135"/>
      <c r="R48" s="136"/>
      <c r="S48" s="129"/>
      <c r="T48" s="129"/>
      <c r="U48" s="129"/>
      <c r="V48" s="129"/>
      <c r="W48" s="129"/>
      <c r="X48" s="129"/>
      <c r="Y48" s="129"/>
      <c r="Z48" s="133"/>
      <c r="AA48" s="133"/>
      <c r="AB48" s="133"/>
      <c r="AC48" s="133"/>
      <c r="AD48" s="133"/>
      <c r="AE48" s="133"/>
      <c r="AF48" s="222"/>
      <c r="AG48" s="222"/>
      <c r="AH48" s="222"/>
      <c r="AI48" s="176"/>
      <c r="AJ48" s="176"/>
      <c r="AK48" s="176"/>
      <c r="AL48" s="176"/>
      <c r="AM48" s="176"/>
      <c r="AN48" s="176"/>
      <c r="AO48" s="176"/>
      <c r="AP48" s="176"/>
      <c r="AQ48" s="176"/>
      <c r="AR48" s="176"/>
      <c r="AS48" s="176"/>
      <c r="AT48" s="176"/>
      <c r="AU48" s="176"/>
      <c r="AV48" s="176"/>
      <c r="AW48" s="176"/>
      <c r="AX48" s="176"/>
      <c r="AY48" s="176"/>
      <c r="AZ48" s="176"/>
      <c r="BA48" s="176"/>
      <c r="BB48" s="176"/>
      <c r="BC48" s="176"/>
      <c r="BD48" s="176"/>
      <c r="BE48" s="176"/>
      <c r="BF48" s="176"/>
      <c r="BG48" s="176"/>
      <c r="BH48" s="176"/>
      <c r="BI48" s="176"/>
      <c r="BJ48" s="176"/>
      <c r="BK48" s="176"/>
      <c r="BL48" s="176"/>
      <c r="BM48" s="176"/>
      <c r="BN48" s="176"/>
      <c r="BO48" s="176"/>
    </row>
    <row r="49" spans="1:67" s="36" customFormat="1" ht="10.5" customHeight="1" x14ac:dyDescent="0.2">
      <c r="A49" s="1055"/>
      <c r="B49" s="2594"/>
      <c r="C49" s="2595"/>
      <c r="D49" s="2596"/>
      <c r="E49" s="2395"/>
      <c r="F49" s="2396"/>
      <c r="G49" s="2590"/>
      <c r="H49" s="2591"/>
      <c r="I49" s="1081">
        <f t="shared" si="2"/>
        <v>0</v>
      </c>
      <c r="J49" s="1082">
        <f t="shared" si="3"/>
        <v>0</v>
      </c>
      <c r="K49" s="2588"/>
      <c r="L49" s="2589"/>
      <c r="M49" s="1086">
        <f t="shared" si="4"/>
        <v>0</v>
      </c>
      <c r="N49" s="506"/>
      <c r="O49" s="365">
        <f t="shared" si="1"/>
        <v>0</v>
      </c>
      <c r="P49" s="366"/>
      <c r="Q49" s="135"/>
      <c r="R49" s="136"/>
      <c r="S49" s="129"/>
      <c r="T49" s="129"/>
      <c r="U49" s="129"/>
      <c r="V49" s="129"/>
      <c r="W49" s="129"/>
      <c r="X49" s="129"/>
      <c r="Y49" s="129"/>
      <c r="Z49" s="133"/>
      <c r="AA49" s="133"/>
      <c r="AB49" s="133"/>
      <c r="AC49" s="133"/>
      <c r="AD49" s="133"/>
      <c r="AE49" s="133"/>
      <c r="AF49" s="222"/>
      <c r="AG49" s="222"/>
      <c r="AH49" s="222"/>
      <c r="AI49" s="176"/>
      <c r="AJ49" s="176"/>
      <c r="AK49" s="176"/>
      <c r="AL49" s="176"/>
      <c r="AM49" s="176"/>
      <c r="AN49" s="176"/>
      <c r="AO49" s="176"/>
      <c r="AP49" s="176"/>
      <c r="AQ49" s="176"/>
      <c r="AR49" s="176"/>
      <c r="AS49" s="176"/>
      <c r="AT49" s="176"/>
      <c r="AU49" s="176"/>
      <c r="AV49" s="176"/>
      <c r="AW49" s="176"/>
      <c r="AX49" s="176"/>
      <c r="AY49" s="176"/>
      <c r="AZ49" s="176"/>
      <c r="BA49" s="176"/>
      <c r="BB49" s="176"/>
      <c r="BC49" s="176"/>
      <c r="BD49" s="176"/>
      <c r="BE49" s="176"/>
      <c r="BF49" s="176"/>
      <c r="BG49" s="176"/>
      <c r="BH49" s="176"/>
      <c r="BI49" s="176"/>
      <c r="BJ49" s="176"/>
      <c r="BK49" s="176"/>
      <c r="BL49" s="176"/>
      <c r="BM49" s="176"/>
      <c r="BN49" s="176"/>
      <c r="BO49" s="176"/>
    </row>
    <row r="50" spans="1:67" s="36" customFormat="1" ht="10.5" customHeight="1" x14ac:dyDescent="0.2">
      <c r="A50" s="1055"/>
      <c r="B50" s="2594"/>
      <c r="C50" s="2595"/>
      <c r="D50" s="2596"/>
      <c r="E50" s="2395"/>
      <c r="F50" s="2396"/>
      <c r="G50" s="2590"/>
      <c r="H50" s="2591"/>
      <c r="I50" s="1081">
        <f t="shared" si="2"/>
        <v>0</v>
      </c>
      <c r="J50" s="1082">
        <f t="shared" si="3"/>
        <v>0</v>
      </c>
      <c r="K50" s="2588"/>
      <c r="L50" s="2589"/>
      <c r="M50" s="1086">
        <f t="shared" si="4"/>
        <v>0</v>
      </c>
      <c r="N50" s="506"/>
      <c r="O50" s="365">
        <f t="shared" si="1"/>
        <v>0</v>
      </c>
      <c r="P50" s="366"/>
      <c r="Q50" s="135"/>
      <c r="R50" s="136"/>
      <c r="S50" s="129"/>
      <c r="T50" s="129"/>
      <c r="U50" s="129"/>
      <c r="V50" s="129"/>
      <c r="W50" s="129"/>
      <c r="X50" s="129"/>
      <c r="Y50" s="129"/>
      <c r="Z50" s="133"/>
      <c r="AA50" s="133"/>
      <c r="AB50" s="133"/>
      <c r="AC50" s="133"/>
      <c r="AD50" s="133"/>
      <c r="AE50" s="133"/>
      <c r="AF50" s="222"/>
      <c r="AG50" s="222"/>
      <c r="AH50" s="222"/>
      <c r="AI50" s="176"/>
      <c r="AJ50" s="176"/>
      <c r="AK50" s="176"/>
      <c r="AL50" s="176"/>
      <c r="AM50" s="176"/>
      <c r="AN50" s="176"/>
      <c r="AO50" s="176"/>
      <c r="AP50" s="176"/>
      <c r="AQ50" s="176"/>
      <c r="AR50" s="176"/>
      <c r="AS50" s="176"/>
      <c r="AT50" s="176"/>
      <c r="AU50" s="176"/>
      <c r="AV50" s="176"/>
      <c r="AW50" s="176"/>
      <c r="AX50" s="176"/>
      <c r="AY50" s="176"/>
      <c r="AZ50" s="176"/>
      <c r="BA50" s="176"/>
      <c r="BB50" s="176"/>
      <c r="BC50" s="176"/>
      <c r="BD50" s="176"/>
      <c r="BE50" s="176"/>
      <c r="BF50" s="176"/>
      <c r="BG50" s="176"/>
      <c r="BH50" s="176"/>
      <c r="BI50" s="176"/>
      <c r="BJ50" s="176"/>
      <c r="BK50" s="176"/>
      <c r="BL50" s="176"/>
      <c r="BM50" s="176"/>
      <c r="BN50" s="176"/>
      <c r="BO50" s="176"/>
    </row>
    <row r="51" spans="1:67" s="36" customFormat="1" ht="10.5" customHeight="1" x14ac:dyDescent="0.2">
      <c r="A51" s="1055"/>
      <c r="B51" s="2594"/>
      <c r="C51" s="2595"/>
      <c r="D51" s="2596"/>
      <c r="E51" s="2395"/>
      <c r="F51" s="2396"/>
      <c r="G51" s="2590"/>
      <c r="H51" s="2591"/>
      <c r="I51" s="1081">
        <f t="shared" si="2"/>
        <v>0</v>
      </c>
      <c r="J51" s="1082">
        <f t="shared" si="3"/>
        <v>0</v>
      </c>
      <c r="K51" s="2588"/>
      <c r="L51" s="2589"/>
      <c r="M51" s="1086">
        <f t="shared" si="4"/>
        <v>0</v>
      </c>
      <c r="N51" s="506"/>
      <c r="O51" s="365">
        <f t="shared" si="1"/>
        <v>0</v>
      </c>
      <c r="P51" s="366"/>
      <c r="Q51" s="135"/>
      <c r="R51" s="136"/>
      <c r="S51" s="129"/>
      <c r="T51" s="129"/>
      <c r="U51" s="129"/>
      <c r="V51" s="129"/>
      <c r="W51" s="129"/>
      <c r="X51" s="129"/>
      <c r="Y51" s="129"/>
      <c r="Z51" s="133"/>
      <c r="AA51" s="133"/>
      <c r="AB51" s="133"/>
      <c r="AC51" s="133"/>
      <c r="AD51" s="133"/>
      <c r="AE51" s="133"/>
      <c r="AF51" s="222"/>
      <c r="AG51" s="222"/>
      <c r="AH51" s="222"/>
      <c r="AI51" s="176"/>
      <c r="AJ51" s="176"/>
      <c r="AK51" s="176"/>
      <c r="AL51" s="176"/>
      <c r="AM51" s="176"/>
      <c r="AN51" s="176"/>
      <c r="AO51" s="176"/>
      <c r="AP51" s="176"/>
      <c r="AQ51" s="176"/>
      <c r="AR51" s="176"/>
      <c r="AS51" s="176"/>
      <c r="AT51" s="176"/>
      <c r="AU51" s="176"/>
      <c r="AV51" s="176"/>
      <c r="AW51" s="176"/>
      <c r="AX51" s="176"/>
      <c r="AY51" s="176"/>
      <c r="AZ51" s="176"/>
      <c r="BA51" s="176"/>
      <c r="BB51" s="176"/>
      <c r="BC51" s="176"/>
      <c r="BD51" s="176"/>
      <c r="BE51" s="176"/>
      <c r="BF51" s="176"/>
      <c r="BG51" s="176"/>
      <c r="BH51" s="176"/>
      <c r="BI51" s="176"/>
      <c r="BJ51" s="176"/>
      <c r="BK51" s="176"/>
      <c r="BL51" s="176"/>
      <c r="BM51" s="176"/>
      <c r="BN51" s="176"/>
      <c r="BO51" s="176"/>
    </row>
    <row r="52" spans="1:67" s="36" customFormat="1" ht="10.5" customHeight="1" x14ac:dyDescent="0.2">
      <c r="A52" s="1055"/>
      <c r="B52" s="2594"/>
      <c r="C52" s="2595"/>
      <c r="D52" s="2596"/>
      <c r="E52" s="2395"/>
      <c r="F52" s="2396"/>
      <c r="G52" s="2590"/>
      <c r="H52" s="2591"/>
      <c r="I52" s="1081">
        <f t="shared" si="2"/>
        <v>0</v>
      </c>
      <c r="J52" s="1082">
        <f t="shared" si="3"/>
        <v>0</v>
      </c>
      <c r="K52" s="2588"/>
      <c r="L52" s="2589"/>
      <c r="M52" s="1086">
        <f t="shared" si="4"/>
        <v>0</v>
      </c>
      <c r="N52" s="506"/>
      <c r="O52" s="365">
        <f t="shared" si="1"/>
        <v>0</v>
      </c>
      <c r="P52" s="366"/>
      <c r="Q52" s="135"/>
      <c r="R52" s="136"/>
      <c r="S52" s="129"/>
      <c r="T52" s="129"/>
      <c r="U52" s="129"/>
      <c r="V52" s="129"/>
      <c r="W52" s="129"/>
      <c r="X52" s="129"/>
      <c r="Y52" s="129"/>
      <c r="Z52" s="133"/>
      <c r="AA52" s="133"/>
      <c r="AB52" s="133"/>
      <c r="AC52" s="133"/>
      <c r="AD52" s="133"/>
      <c r="AE52" s="133"/>
      <c r="AF52" s="222"/>
      <c r="AG52" s="222"/>
      <c r="AH52" s="222"/>
      <c r="AI52" s="176"/>
      <c r="AJ52" s="176"/>
      <c r="AK52" s="176"/>
      <c r="AL52" s="176"/>
      <c r="AM52" s="176"/>
      <c r="AN52" s="176"/>
      <c r="AO52" s="176"/>
      <c r="AP52" s="176"/>
      <c r="AQ52" s="176"/>
      <c r="AR52" s="176"/>
      <c r="AS52" s="176"/>
      <c r="AT52" s="176"/>
      <c r="AU52" s="176"/>
      <c r="AV52" s="176"/>
      <c r="AW52" s="176"/>
      <c r="AX52" s="176"/>
      <c r="AY52" s="176"/>
      <c r="AZ52" s="176"/>
      <c r="BA52" s="176"/>
      <c r="BB52" s="176"/>
      <c r="BC52" s="176"/>
      <c r="BD52" s="176"/>
      <c r="BE52" s="176"/>
      <c r="BF52" s="176"/>
      <c r="BG52" s="176"/>
      <c r="BH52" s="176"/>
      <c r="BI52" s="176"/>
      <c r="BJ52" s="176"/>
      <c r="BK52" s="176"/>
      <c r="BL52" s="176"/>
      <c r="BM52" s="176"/>
      <c r="BN52" s="176"/>
      <c r="BO52" s="176"/>
    </row>
    <row r="53" spans="1:67" s="36" customFormat="1" ht="10.5" customHeight="1" x14ac:dyDescent="0.2">
      <c r="A53" s="1055"/>
      <c r="B53" s="2594"/>
      <c r="C53" s="2595"/>
      <c r="D53" s="2596"/>
      <c r="E53" s="2395"/>
      <c r="F53" s="2396"/>
      <c r="G53" s="2590"/>
      <c r="H53" s="2591"/>
      <c r="I53" s="1081">
        <f t="shared" si="2"/>
        <v>0</v>
      </c>
      <c r="J53" s="1082">
        <f t="shared" si="3"/>
        <v>0</v>
      </c>
      <c r="K53" s="2588"/>
      <c r="L53" s="2589"/>
      <c r="M53" s="1086">
        <f t="shared" si="4"/>
        <v>0</v>
      </c>
      <c r="N53" s="506"/>
      <c r="O53" s="365">
        <f t="shared" si="1"/>
        <v>0</v>
      </c>
      <c r="P53" s="366"/>
      <c r="Q53" s="135"/>
      <c r="R53" s="136"/>
      <c r="S53" s="129"/>
      <c r="T53" s="129"/>
      <c r="U53" s="129"/>
      <c r="V53" s="129"/>
      <c r="W53" s="129"/>
      <c r="X53" s="129"/>
      <c r="Y53" s="129"/>
      <c r="Z53" s="133"/>
      <c r="AA53" s="133"/>
      <c r="AB53" s="133"/>
      <c r="AC53" s="133"/>
      <c r="AD53" s="133"/>
      <c r="AE53" s="133"/>
      <c r="AF53" s="222"/>
      <c r="AG53" s="222"/>
      <c r="AH53" s="222"/>
      <c r="AI53" s="176"/>
      <c r="AJ53" s="176"/>
      <c r="AK53" s="176"/>
      <c r="AL53" s="176"/>
      <c r="AM53" s="176"/>
      <c r="AN53" s="176"/>
      <c r="AO53" s="176"/>
      <c r="AP53" s="176"/>
      <c r="AQ53" s="176"/>
      <c r="AR53" s="176"/>
      <c r="AS53" s="176"/>
      <c r="AT53" s="176"/>
      <c r="AU53" s="176"/>
      <c r="AV53" s="176"/>
      <c r="AW53" s="176"/>
      <c r="AX53" s="176"/>
      <c r="AY53" s="176"/>
      <c r="AZ53" s="176"/>
      <c r="BA53" s="176"/>
      <c r="BB53" s="176"/>
      <c r="BC53" s="176"/>
      <c r="BD53" s="176"/>
      <c r="BE53" s="176"/>
      <c r="BF53" s="176"/>
      <c r="BG53" s="176"/>
      <c r="BH53" s="176"/>
      <c r="BI53" s="176"/>
      <c r="BJ53" s="176"/>
      <c r="BK53" s="176"/>
      <c r="BL53" s="176"/>
      <c r="BM53" s="176"/>
      <c r="BN53" s="176"/>
      <c r="BO53" s="176"/>
    </row>
    <row r="54" spans="1:67" s="36" customFormat="1" ht="10.5" customHeight="1" x14ac:dyDescent="0.2">
      <c r="A54" s="1348"/>
      <c r="B54" s="2690"/>
      <c r="C54" s="2691"/>
      <c r="D54" s="2692"/>
      <c r="E54" s="2601"/>
      <c r="F54" s="2602"/>
      <c r="G54" s="1088"/>
      <c r="H54" s="1089"/>
      <c r="I54" s="1083">
        <f t="shared" si="2"/>
        <v>0</v>
      </c>
      <c r="J54" s="1084"/>
      <c r="K54" s="1087"/>
      <c r="L54" s="1307"/>
      <c r="M54" s="1317">
        <f t="shared" si="4"/>
        <v>0</v>
      </c>
      <c r="N54" s="506"/>
      <c r="O54" s="365">
        <f t="shared" si="1"/>
        <v>0</v>
      </c>
      <c r="P54" s="366"/>
      <c r="Q54" s="135"/>
      <c r="R54" s="136"/>
      <c r="S54" s="129"/>
      <c r="T54" s="129"/>
      <c r="U54" s="129"/>
      <c r="V54" s="129"/>
      <c r="W54" s="129"/>
      <c r="X54" s="129"/>
      <c r="Y54" s="129"/>
      <c r="Z54" s="133"/>
      <c r="AA54" s="133"/>
      <c r="AB54" s="133"/>
      <c r="AC54" s="133"/>
      <c r="AD54" s="133"/>
      <c r="AE54" s="133"/>
      <c r="AF54" s="222"/>
      <c r="AG54" s="222"/>
      <c r="AH54" s="222"/>
      <c r="AI54" s="176"/>
      <c r="AJ54" s="176"/>
      <c r="AK54" s="176"/>
      <c r="AL54" s="176"/>
      <c r="AM54" s="176"/>
      <c r="AN54" s="176"/>
      <c r="AO54" s="176"/>
      <c r="AP54" s="176"/>
      <c r="AQ54" s="176"/>
      <c r="AR54" s="176"/>
      <c r="AS54" s="176"/>
      <c r="AT54" s="176"/>
      <c r="AU54" s="176"/>
      <c r="AV54" s="176"/>
      <c r="AW54" s="176"/>
      <c r="AX54" s="176"/>
      <c r="AY54" s="176"/>
      <c r="AZ54" s="176"/>
      <c r="BA54" s="176"/>
      <c r="BB54" s="176"/>
      <c r="BC54" s="176"/>
      <c r="BD54" s="176"/>
      <c r="BE54" s="176"/>
      <c r="BF54" s="176"/>
      <c r="BG54" s="176"/>
      <c r="BH54" s="176"/>
      <c r="BI54" s="176"/>
      <c r="BJ54" s="176"/>
      <c r="BK54" s="176"/>
      <c r="BL54" s="176"/>
      <c r="BM54" s="176"/>
      <c r="BN54" s="176"/>
      <c r="BO54" s="176"/>
    </row>
    <row r="55" spans="1:67" s="36" customFormat="1" ht="10.5" customHeight="1" x14ac:dyDescent="0.2">
      <c r="A55" s="1115" t="s">
        <v>264</v>
      </c>
      <c r="B55" s="2611"/>
      <c r="C55" s="2612"/>
      <c r="D55" s="2613"/>
      <c r="E55" s="2676">
        <f>SUM(E56:E68)</f>
        <v>0</v>
      </c>
      <c r="F55" s="2677"/>
      <c r="G55" s="2678"/>
      <c r="H55" s="2679"/>
      <c r="I55" s="1116">
        <f>IF(E55=0,0,J55/E55)</f>
        <v>0</v>
      </c>
      <c r="J55" s="1117">
        <f>SUM(J56:J68)</f>
        <v>0</v>
      </c>
      <c r="K55" s="2686">
        <f>IF(E55=0,0,M55/E55*100)</f>
        <v>0</v>
      </c>
      <c r="L55" s="2687"/>
      <c r="M55" s="1118">
        <f>SUM(M56:M68)</f>
        <v>0</v>
      </c>
      <c r="N55" s="506"/>
      <c r="O55" s="178">
        <f>IF(H55="",G55,H55)</f>
        <v>0</v>
      </c>
      <c r="P55" s="366"/>
      <c r="Q55" s="135"/>
      <c r="R55" s="136"/>
      <c r="S55" s="129"/>
      <c r="T55" s="129"/>
      <c r="U55" s="129"/>
      <c r="V55" s="129"/>
      <c r="W55" s="129"/>
      <c r="X55" s="129"/>
      <c r="Y55" s="129"/>
      <c r="Z55" s="133"/>
      <c r="AA55" s="133"/>
      <c r="AB55" s="133"/>
      <c r="AC55" s="133"/>
      <c r="AD55" s="133"/>
      <c r="AE55" s="133"/>
      <c r="AF55" s="222"/>
      <c r="AG55" s="222"/>
      <c r="AH55" s="222"/>
      <c r="AI55" s="176"/>
      <c r="AJ55" s="176"/>
      <c r="AK55" s="176"/>
      <c r="AL55" s="176"/>
      <c r="AM55" s="176"/>
      <c r="AN55" s="176"/>
      <c r="AO55" s="176"/>
      <c r="AP55" s="176"/>
      <c r="AQ55" s="176"/>
      <c r="AR55" s="176"/>
      <c r="AS55" s="176"/>
      <c r="AT55" s="176"/>
      <c r="AU55" s="176"/>
      <c r="AV55" s="176"/>
      <c r="AW55" s="176"/>
      <c r="AX55" s="176"/>
      <c r="AY55" s="176"/>
      <c r="AZ55" s="176"/>
      <c r="BA55" s="176"/>
      <c r="BB55" s="176"/>
      <c r="BC55" s="176"/>
      <c r="BD55" s="176"/>
      <c r="BE55" s="176"/>
      <c r="BF55" s="176"/>
      <c r="BG55" s="176"/>
      <c r="BH55" s="176"/>
      <c r="BI55" s="176"/>
      <c r="BJ55" s="176"/>
      <c r="BK55" s="176"/>
      <c r="BL55" s="176"/>
      <c r="BM55" s="176"/>
      <c r="BN55" s="176"/>
      <c r="BO55" s="176"/>
    </row>
    <row r="56" spans="1:67" s="36" customFormat="1" ht="10.5" customHeight="1" x14ac:dyDescent="0.2">
      <c r="A56" s="1359" t="s">
        <v>265</v>
      </c>
      <c r="B56" s="2743"/>
      <c r="C56" s="2744"/>
      <c r="D56" s="2745"/>
      <c r="E56" s="2746"/>
      <c r="F56" s="2788"/>
      <c r="G56" s="1056">
        <v>50</v>
      </c>
      <c r="H56" s="1057"/>
      <c r="I56" s="1079">
        <f t="shared" ref="I56:I69" si="5">IF($O56&gt;0,-PMT(($I$9),$O56,1),0)</f>
        <v>3.3518358840153369E-2</v>
      </c>
      <c r="J56" s="1080">
        <f t="shared" ref="J56:J68" si="6">ROUND(E56*I56,0)</f>
        <v>0</v>
      </c>
      <c r="K56" s="1060">
        <v>0</v>
      </c>
      <c r="L56" s="1304"/>
      <c r="M56" s="1085">
        <f t="shared" ref="M56:M69" si="7">ROUND(E56/100*IF(ISBLANK(L56),K56,L56),0)</f>
        <v>0</v>
      </c>
      <c r="N56" s="506"/>
      <c r="O56" s="365">
        <f t="shared" ref="O56:O69" si="8">IF(ISBLANK(H56),G56,H56)</f>
        <v>50</v>
      </c>
      <c r="P56" s="366"/>
      <c r="Q56" s="135"/>
      <c r="R56" s="136"/>
      <c r="S56" s="129"/>
      <c r="T56" s="129"/>
      <c r="U56" s="129"/>
      <c r="V56" s="129"/>
      <c r="W56" s="129"/>
      <c r="X56" s="129"/>
      <c r="Y56" s="129"/>
      <c r="Z56" s="133"/>
      <c r="AA56" s="133"/>
      <c r="AB56" s="133"/>
      <c r="AC56" s="133"/>
      <c r="AD56" s="133"/>
      <c r="AE56" s="133"/>
      <c r="AF56" s="222"/>
      <c r="AG56" s="222"/>
      <c r="AH56" s="222"/>
      <c r="AI56" s="176"/>
      <c r="AJ56" s="176"/>
      <c r="AK56" s="176"/>
      <c r="AL56" s="176"/>
      <c r="AM56" s="176"/>
      <c r="AN56" s="176"/>
      <c r="AO56" s="176"/>
      <c r="AP56" s="176"/>
      <c r="AQ56" s="176"/>
      <c r="AR56" s="176"/>
      <c r="AS56" s="176"/>
      <c r="AT56" s="176"/>
      <c r="AU56" s="176"/>
      <c r="AV56" s="176"/>
      <c r="AW56" s="176"/>
      <c r="AX56" s="176"/>
      <c r="AY56" s="176"/>
      <c r="AZ56" s="176"/>
      <c r="BA56" s="176"/>
      <c r="BB56" s="176"/>
      <c r="BC56" s="176"/>
      <c r="BD56" s="176"/>
      <c r="BE56" s="176"/>
      <c r="BF56" s="176"/>
      <c r="BG56" s="176"/>
      <c r="BH56" s="176"/>
      <c r="BI56" s="176"/>
      <c r="BJ56" s="176"/>
      <c r="BK56" s="176"/>
      <c r="BL56" s="176"/>
      <c r="BM56" s="176"/>
      <c r="BN56" s="176"/>
      <c r="BO56" s="176"/>
    </row>
    <row r="57" spans="1:67" s="36" customFormat="1" ht="10.5" customHeight="1" x14ac:dyDescent="0.2">
      <c r="A57" s="1043" t="s">
        <v>266</v>
      </c>
      <c r="B57" s="2594"/>
      <c r="C57" s="2595"/>
      <c r="D57" s="2596"/>
      <c r="E57" s="2395"/>
      <c r="F57" s="2789"/>
      <c r="G57" s="1058">
        <v>30</v>
      </c>
      <c r="H57" s="1059"/>
      <c r="I57" s="1081">
        <f t="shared" si="5"/>
        <v>4.6199342169092869E-2</v>
      </c>
      <c r="J57" s="1082">
        <f t="shared" si="6"/>
        <v>0</v>
      </c>
      <c r="K57" s="1061"/>
      <c r="L57" s="1305"/>
      <c r="M57" s="1086">
        <f t="shared" si="7"/>
        <v>0</v>
      </c>
      <c r="N57" s="506"/>
      <c r="O57" s="365">
        <f t="shared" si="8"/>
        <v>30</v>
      </c>
      <c r="P57" s="366"/>
      <c r="Q57" s="135"/>
      <c r="R57" s="136"/>
      <c r="S57" s="129"/>
      <c r="T57" s="129"/>
      <c r="U57" s="129"/>
      <c r="V57" s="129"/>
      <c r="W57" s="129"/>
      <c r="X57" s="129"/>
      <c r="Y57" s="129"/>
      <c r="Z57" s="133"/>
      <c r="AA57" s="133"/>
      <c r="AB57" s="133"/>
      <c r="AC57" s="133"/>
      <c r="AD57" s="133"/>
      <c r="AE57" s="133"/>
      <c r="AF57" s="222"/>
      <c r="AG57" s="222"/>
      <c r="AH57" s="222"/>
      <c r="AI57" s="176"/>
      <c r="AJ57" s="176"/>
      <c r="AK57" s="176"/>
      <c r="AL57" s="176"/>
      <c r="AM57" s="176"/>
      <c r="AN57" s="176"/>
      <c r="AO57" s="176"/>
      <c r="AP57" s="176"/>
      <c r="AQ57" s="176"/>
      <c r="AR57" s="176"/>
      <c r="AS57" s="176"/>
      <c r="AT57" s="176"/>
      <c r="AU57" s="176"/>
      <c r="AV57" s="176"/>
      <c r="AW57" s="176"/>
      <c r="AX57" s="176"/>
      <c r="AY57" s="176"/>
      <c r="AZ57" s="176"/>
      <c r="BA57" s="176"/>
      <c r="BB57" s="176"/>
      <c r="BC57" s="176"/>
      <c r="BD57" s="176"/>
      <c r="BE57" s="176"/>
      <c r="BF57" s="176"/>
      <c r="BG57" s="176"/>
      <c r="BH57" s="176"/>
      <c r="BI57" s="176"/>
      <c r="BJ57" s="176"/>
      <c r="BK57" s="176"/>
      <c r="BL57" s="176"/>
      <c r="BM57" s="176"/>
      <c r="BN57" s="176"/>
      <c r="BO57" s="176"/>
    </row>
    <row r="58" spans="1:67" s="36" customFormat="1" ht="10.5" customHeight="1" x14ac:dyDescent="0.2">
      <c r="A58" s="1043" t="s">
        <v>396</v>
      </c>
      <c r="B58" s="2594"/>
      <c r="C58" s="2595"/>
      <c r="D58" s="2596"/>
      <c r="E58" s="2395"/>
      <c r="F58" s="2789"/>
      <c r="G58" s="1058">
        <v>20</v>
      </c>
      <c r="H58" s="1059"/>
      <c r="I58" s="1081">
        <f t="shared" si="5"/>
        <v>6.2642070767998229E-2</v>
      </c>
      <c r="J58" s="1082">
        <f t="shared" si="6"/>
        <v>0</v>
      </c>
      <c r="K58" s="1061">
        <v>2.5</v>
      </c>
      <c r="L58" s="1305"/>
      <c r="M58" s="1086">
        <f t="shared" si="7"/>
        <v>0</v>
      </c>
      <c r="N58" s="506"/>
      <c r="O58" s="365">
        <f t="shared" si="8"/>
        <v>20</v>
      </c>
      <c r="P58" s="366"/>
      <c r="Q58" s="135"/>
      <c r="R58" s="136"/>
      <c r="S58" s="129"/>
      <c r="T58" s="129"/>
      <c r="U58" s="129"/>
      <c r="V58" s="129"/>
      <c r="W58" s="129"/>
      <c r="X58" s="129"/>
      <c r="Y58" s="129"/>
      <c r="Z58" s="133"/>
      <c r="AA58" s="133"/>
      <c r="AB58" s="133"/>
      <c r="AC58" s="133"/>
      <c r="AD58" s="133"/>
      <c r="AE58" s="133"/>
      <c r="AF58" s="222"/>
      <c r="AG58" s="222"/>
      <c r="AH58" s="222"/>
      <c r="AI58" s="176"/>
      <c r="AJ58" s="176"/>
      <c r="AK58" s="176"/>
      <c r="AL58" s="176"/>
      <c r="AM58" s="176"/>
      <c r="AN58" s="176"/>
      <c r="AO58" s="176"/>
      <c r="AP58" s="176"/>
      <c r="AQ58" s="176"/>
      <c r="AR58" s="176"/>
      <c r="AS58" s="176"/>
      <c r="AT58" s="176"/>
      <c r="AU58" s="176"/>
      <c r="AV58" s="176"/>
      <c r="AW58" s="176"/>
      <c r="AX58" s="176"/>
      <c r="AY58" s="176"/>
      <c r="AZ58" s="176"/>
      <c r="BA58" s="176"/>
      <c r="BB58" s="176"/>
      <c r="BC58" s="176"/>
      <c r="BD58" s="176"/>
      <c r="BE58" s="176"/>
      <c r="BF58" s="176"/>
      <c r="BG58" s="176"/>
      <c r="BH58" s="176"/>
      <c r="BI58" s="176"/>
      <c r="BJ58" s="176"/>
      <c r="BK58" s="176"/>
      <c r="BL58" s="176"/>
      <c r="BM58" s="176"/>
      <c r="BN58" s="176"/>
      <c r="BO58" s="176"/>
    </row>
    <row r="59" spans="1:67" s="36" customFormat="1" ht="10.5" customHeight="1" x14ac:dyDescent="0.2">
      <c r="A59" s="1043" t="s">
        <v>267</v>
      </c>
      <c r="B59" s="2594"/>
      <c r="C59" s="2595"/>
      <c r="D59" s="2596"/>
      <c r="E59" s="2395"/>
      <c r="F59" s="2789"/>
      <c r="G59" s="1058">
        <v>20</v>
      </c>
      <c r="H59" s="1059"/>
      <c r="I59" s="1081">
        <f t="shared" si="5"/>
        <v>6.2642070767998229E-2</v>
      </c>
      <c r="J59" s="1082">
        <f t="shared" si="6"/>
        <v>0</v>
      </c>
      <c r="K59" s="1061">
        <v>3.5</v>
      </c>
      <c r="L59" s="1305"/>
      <c r="M59" s="1086">
        <f t="shared" si="7"/>
        <v>0</v>
      </c>
      <c r="N59" s="506"/>
      <c r="O59" s="365">
        <f t="shared" si="8"/>
        <v>20</v>
      </c>
      <c r="P59" s="366"/>
      <c r="Q59" s="135"/>
      <c r="R59" s="136"/>
      <c r="S59" s="129"/>
      <c r="T59" s="129"/>
      <c r="U59" s="129"/>
      <c r="V59" s="129"/>
      <c r="W59" s="129"/>
      <c r="X59" s="129"/>
      <c r="Y59" s="129"/>
      <c r="Z59" s="133"/>
      <c r="AA59" s="133"/>
      <c r="AB59" s="133"/>
      <c r="AC59" s="133"/>
      <c r="AD59" s="133"/>
      <c r="AE59" s="133"/>
      <c r="AF59" s="222"/>
      <c r="AG59" s="222"/>
      <c r="AH59" s="222"/>
      <c r="AI59" s="176"/>
      <c r="AJ59" s="176"/>
      <c r="AK59" s="176"/>
      <c r="AL59" s="176"/>
      <c r="AM59" s="176"/>
      <c r="AN59" s="176"/>
      <c r="AO59" s="176"/>
      <c r="AP59" s="176"/>
      <c r="AQ59" s="176"/>
      <c r="AR59" s="176"/>
      <c r="AS59" s="176"/>
      <c r="AT59" s="176"/>
      <c r="AU59" s="176"/>
      <c r="AV59" s="176"/>
      <c r="AW59" s="176"/>
      <c r="AX59" s="176"/>
      <c r="AY59" s="176"/>
      <c r="AZ59" s="176"/>
      <c r="BA59" s="176"/>
      <c r="BB59" s="176"/>
      <c r="BC59" s="176"/>
      <c r="BD59" s="176"/>
      <c r="BE59" s="176"/>
      <c r="BF59" s="176"/>
      <c r="BG59" s="176"/>
      <c r="BH59" s="176"/>
      <c r="BI59" s="176"/>
      <c r="BJ59" s="176"/>
      <c r="BK59" s="176"/>
      <c r="BL59" s="176"/>
      <c r="BM59" s="176"/>
      <c r="BN59" s="176"/>
      <c r="BO59" s="176"/>
    </row>
    <row r="60" spans="1:67" s="36" customFormat="1" ht="10.5" customHeight="1" x14ac:dyDescent="0.2">
      <c r="A60" s="1043" t="s">
        <v>268</v>
      </c>
      <c r="B60" s="2594"/>
      <c r="C60" s="2595"/>
      <c r="D60" s="2596"/>
      <c r="E60" s="2395"/>
      <c r="F60" s="2789"/>
      <c r="G60" s="1058">
        <v>20</v>
      </c>
      <c r="H60" s="1059"/>
      <c r="I60" s="1081">
        <f t="shared" si="5"/>
        <v>6.2642070767998229E-2</v>
      </c>
      <c r="J60" s="1082">
        <f t="shared" si="6"/>
        <v>0</v>
      </c>
      <c r="K60" s="1061">
        <v>3</v>
      </c>
      <c r="L60" s="1305"/>
      <c r="M60" s="1086">
        <f t="shared" si="7"/>
        <v>0</v>
      </c>
      <c r="N60" s="506"/>
      <c r="O60" s="365">
        <f t="shared" si="8"/>
        <v>20</v>
      </c>
      <c r="P60" s="366"/>
      <c r="Q60" s="135"/>
      <c r="R60" s="136"/>
      <c r="S60" s="129"/>
      <c r="T60" s="129"/>
      <c r="U60" s="129"/>
      <c r="V60" s="129"/>
      <c r="W60" s="129"/>
      <c r="X60" s="129"/>
      <c r="Y60" s="129"/>
      <c r="Z60" s="133"/>
      <c r="AA60" s="133"/>
      <c r="AB60" s="133"/>
      <c r="AC60" s="133"/>
      <c r="AD60" s="133"/>
      <c r="AE60" s="133"/>
      <c r="AF60" s="222"/>
      <c r="AG60" s="222"/>
      <c r="AH60" s="222"/>
      <c r="AI60" s="176"/>
      <c r="AJ60" s="176"/>
      <c r="AK60" s="176"/>
      <c r="AL60" s="176"/>
      <c r="AM60" s="176"/>
      <c r="AN60" s="176"/>
      <c r="AO60" s="176"/>
      <c r="AP60" s="176"/>
      <c r="AQ60" s="176"/>
      <c r="AR60" s="176"/>
      <c r="AS60" s="176"/>
      <c r="AT60" s="176"/>
      <c r="AU60" s="176"/>
      <c r="AV60" s="176"/>
      <c r="AW60" s="176"/>
      <c r="AX60" s="176"/>
      <c r="AY60" s="176"/>
      <c r="AZ60" s="176"/>
      <c r="BA60" s="176"/>
      <c r="BB60" s="176"/>
      <c r="BC60" s="176"/>
      <c r="BD60" s="176"/>
      <c r="BE60" s="176"/>
      <c r="BF60" s="176"/>
      <c r="BG60" s="176"/>
      <c r="BH60" s="176"/>
      <c r="BI60" s="176"/>
      <c r="BJ60" s="176"/>
      <c r="BK60" s="176"/>
      <c r="BL60" s="176"/>
      <c r="BM60" s="176"/>
      <c r="BN60" s="176"/>
      <c r="BO60" s="176"/>
    </row>
    <row r="61" spans="1:67" s="36" customFormat="1" ht="10.5" customHeight="1" x14ac:dyDescent="0.2">
      <c r="A61" s="1043" t="s">
        <v>269</v>
      </c>
      <c r="B61" s="2594"/>
      <c r="C61" s="2595"/>
      <c r="D61" s="2596"/>
      <c r="E61" s="2395"/>
      <c r="F61" s="2789"/>
      <c r="G61" s="1058">
        <v>20</v>
      </c>
      <c r="H61" s="1059"/>
      <c r="I61" s="1081">
        <f t="shared" si="5"/>
        <v>6.2642070767998229E-2</v>
      </c>
      <c r="J61" s="1082">
        <f t="shared" si="6"/>
        <v>0</v>
      </c>
      <c r="K61" s="1061">
        <v>2</v>
      </c>
      <c r="L61" s="1305"/>
      <c r="M61" s="1086">
        <f t="shared" si="7"/>
        <v>0</v>
      </c>
      <c r="N61" s="506"/>
      <c r="O61" s="365">
        <f t="shared" si="8"/>
        <v>20</v>
      </c>
      <c r="P61" s="366"/>
      <c r="Q61" s="135"/>
      <c r="R61" s="136"/>
      <c r="S61" s="129"/>
      <c r="T61" s="129"/>
      <c r="U61" s="129"/>
      <c r="V61" s="129"/>
      <c r="W61" s="129"/>
      <c r="X61" s="129"/>
      <c r="Y61" s="129"/>
      <c r="Z61" s="133"/>
      <c r="AA61" s="133"/>
      <c r="AB61" s="133"/>
      <c r="AC61" s="133"/>
      <c r="AD61" s="133"/>
      <c r="AE61" s="133"/>
      <c r="AF61" s="222"/>
      <c r="AG61" s="222"/>
      <c r="AH61" s="222"/>
      <c r="AI61" s="176"/>
      <c r="AJ61" s="176"/>
      <c r="AK61" s="176"/>
      <c r="AL61" s="176"/>
      <c r="AM61" s="176"/>
      <c r="AN61" s="176"/>
      <c r="AO61" s="176"/>
      <c r="AP61" s="176"/>
      <c r="AQ61" s="176"/>
      <c r="AR61" s="176"/>
      <c r="AS61" s="176"/>
      <c r="AT61" s="176"/>
      <c r="AU61" s="176"/>
      <c r="AV61" s="176"/>
      <c r="AW61" s="176"/>
      <c r="AX61" s="176"/>
      <c r="AY61" s="176"/>
      <c r="AZ61" s="176"/>
      <c r="BA61" s="176"/>
      <c r="BB61" s="176"/>
      <c r="BC61" s="176"/>
      <c r="BD61" s="176"/>
      <c r="BE61" s="176"/>
      <c r="BF61" s="176"/>
      <c r="BG61" s="176"/>
      <c r="BH61" s="176"/>
      <c r="BI61" s="176"/>
      <c r="BJ61" s="176"/>
      <c r="BK61" s="176"/>
      <c r="BL61" s="176"/>
      <c r="BM61" s="176"/>
      <c r="BN61" s="176"/>
      <c r="BO61" s="176"/>
    </row>
    <row r="62" spans="1:67" s="36" customFormat="1" ht="10.5" customHeight="1" x14ac:dyDescent="0.2">
      <c r="A62" s="1043" t="s">
        <v>270</v>
      </c>
      <c r="B62" s="2594"/>
      <c r="C62" s="2595"/>
      <c r="D62" s="2596"/>
      <c r="E62" s="2395"/>
      <c r="F62" s="2789"/>
      <c r="G62" s="1058">
        <v>20</v>
      </c>
      <c r="H62" s="1059"/>
      <c r="I62" s="1081">
        <f t="shared" si="5"/>
        <v>6.2642070767998229E-2</v>
      </c>
      <c r="J62" s="1082">
        <f t="shared" si="6"/>
        <v>0</v>
      </c>
      <c r="K62" s="1061">
        <v>3</v>
      </c>
      <c r="L62" s="1305"/>
      <c r="M62" s="1086">
        <f t="shared" si="7"/>
        <v>0</v>
      </c>
      <c r="N62" s="506"/>
      <c r="O62" s="365">
        <f t="shared" si="8"/>
        <v>20</v>
      </c>
      <c r="P62" s="366"/>
      <c r="Q62" s="135"/>
      <c r="R62" s="136"/>
      <c r="S62" s="129"/>
      <c r="T62" s="129"/>
      <c r="U62" s="129"/>
      <c r="V62" s="129"/>
      <c r="W62" s="129"/>
      <c r="X62" s="129"/>
      <c r="Y62" s="129"/>
      <c r="Z62" s="133"/>
      <c r="AA62" s="133"/>
      <c r="AB62" s="133"/>
      <c r="AC62" s="133"/>
      <c r="AD62" s="133"/>
      <c r="AE62" s="133"/>
      <c r="AF62" s="222"/>
      <c r="AG62" s="222"/>
      <c r="AH62" s="222"/>
      <c r="AI62" s="176"/>
      <c r="AJ62" s="176"/>
      <c r="AK62" s="176"/>
      <c r="AL62" s="176"/>
      <c r="AM62" s="176"/>
      <c r="AN62" s="176"/>
      <c r="AO62" s="176"/>
      <c r="AP62" s="176"/>
      <c r="AQ62" s="176"/>
      <c r="AR62" s="176"/>
      <c r="AS62" s="176"/>
      <c r="AT62" s="176"/>
      <c r="AU62" s="176"/>
      <c r="AV62" s="176"/>
      <c r="AW62" s="176"/>
      <c r="AX62" s="176"/>
      <c r="AY62" s="176"/>
      <c r="AZ62" s="176"/>
      <c r="BA62" s="176"/>
      <c r="BB62" s="176"/>
      <c r="BC62" s="176"/>
      <c r="BD62" s="176"/>
      <c r="BE62" s="176"/>
      <c r="BF62" s="176"/>
      <c r="BG62" s="176"/>
      <c r="BH62" s="176"/>
      <c r="BI62" s="176"/>
      <c r="BJ62" s="176"/>
      <c r="BK62" s="176"/>
      <c r="BL62" s="176"/>
      <c r="BM62" s="176"/>
      <c r="BN62" s="176"/>
      <c r="BO62" s="176"/>
    </row>
    <row r="63" spans="1:67" s="36" customFormat="1" ht="10.5" customHeight="1" x14ac:dyDescent="0.2">
      <c r="A63" s="1043" t="s">
        <v>271</v>
      </c>
      <c r="B63" s="2594"/>
      <c r="C63" s="2595"/>
      <c r="D63" s="2596"/>
      <c r="E63" s="2395"/>
      <c r="F63" s="2789"/>
      <c r="G63" s="1058">
        <v>20</v>
      </c>
      <c r="H63" s="1059"/>
      <c r="I63" s="1081">
        <f t="shared" si="5"/>
        <v>6.2642070767998229E-2</v>
      </c>
      <c r="J63" s="1082">
        <f t="shared" si="6"/>
        <v>0</v>
      </c>
      <c r="K63" s="1061">
        <v>3</v>
      </c>
      <c r="L63" s="1305"/>
      <c r="M63" s="1086">
        <f t="shared" si="7"/>
        <v>0</v>
      </c>
      <c r="N63" s="506"/>
      <c r="O63" s="365">
        <f t="shared" si="8"/>
        <v>20</v>
      </c>
      <c r="P63" s="366"/>
      <c r="Q63" s="135"/>
      <c r="R63" s="136"/>
      <c r="S63" s="129"/>
      <c r="T63" s="129"/>
      <c r="U63" s="129"/>
      <c r="V63" s="129"/>
      <c r="W63" s="129"/>
      <c r="X63" s="129"/>
      <c r="Y63" s="129"/>
      <c r="Z63" s="133"/>
      <c r="AA63" s="133"/>
      <c r="AB63" s="133"/>
      <c r="AC63" s="133"/>
      <c r="AD63" s="133"/>
      <c r="AE63" s="133"/>
      <c r="AF63" s="222"/>
      <c r="AG63" s="222"/>
      <c r="AH63" s="222"/>
      <c r="AI63" s="176"/>
      <c r="AJ63" s="176"/>
      <c r="AK63" s="176"/>
      <c r="AL63" s="176"/>
      <c r="AM63" s="176"/>
      <c r="AN63" s="176"/>
      <c r="AO63" s="176"/>
      <c r="AP63" s="176"/>
      <c r="AQ63" s="176"/>
      <c r="AR63" s="176"/>
      <c r="AS63" s="176"/>
      <c r="AT63" s="176"/>
      <c r="AU63" s="176"/>
      <c r="AV63" s="176"/>
      <c r="AW63" s="176"/>
      <c r="AX63" s="176"/>
      <c r="AY63" s="176"/>
      <c r="AZ63" s="176"/>
      <c r="BA63" s="176"/>
      <c r="BB63" s="176"/>
      <c r="BC63" s="176"/>
      <c r="BD63" s="176"/>
      <c r="BE63" s="176"/>
      <c r="BF63" s="176"/>
      <c r="BG63" s="176"/>
      <c r="BH63" s="176"/>
      <c r="BI63" s="176"/>
      <c r="BJ63" s="176"/>
      <c r="BK63" s="176"/>
      <c r="BL63" s="176"/>
      <c r="BM63" s="176"/>
      <c r="BN63" s="176"/>
      <c r="BO63" s="176"/>
    </row>
    <row r="64" spans="1:67" s="36" customFormat="1" ht="10.5" customHeight="1" x14ac:dyDescent="0.2">
      <c r="A64" s="1043" t="s">
        <v>272</v>
      </c>
      <c r="B64" s="2594"/>
      <c r="C64" s="2595"/>
      <c r="D64" s="2596"/>
      <c r="E64" s="2395"/>
      <c r="F64" s="2789"/>
      <c r="G64" s="1058">
        <v>40</v>
      </c>
      <c r="H64" s="1059"/>
      <c r="I64" s="1081">
        <f t="shared" si="5"/>
        <v>3.8177378061076156E-2</v>
      </c>
      <c r="J64" s="1082">
        <f t="shared" si="6"/>
        <v>0</v>
      </c>
      <c r="K64" s="1061">
        <v>0</v>
      </c>
      <c r="L64" s="1305"/>
      <c r="M64" s="1086">
        <f t="shared" si="7"/>
        <v>0</v>
      </c>
      <c r="N64" s="506"/>
      <c r="O64" s="365">
        <f t="shared" si="8"/>
        <v>40</v>
      </c>
      <c r="P64" s="366"/>
      <c r="Q64" s="135"/>
      <c r="R64" s="136"/>
      <c r="S64" s="129"/>
      <c r="T64" s="129"/>
      <c r="U64" s="129"/>
      <c r="V64" s="129"/>
      <c r="W64" s="129"/>
      <c r="X64" s="129"/>
      <c r="Y64" s="129"/>
      <c r="Z64" s="133"/>
      <c r="AA64" s="133"/>
      <c r="AB64" s="133"/>
      <c r="AC64" s="133"/>
      <c r="AD64" s="133"/>
      <c r="AE64" s="133"/>
      <c r="AF64" s="222"/>
      <c r="AG64" s="222"/>
      <c r="AH64" s="222"/>
      <c r="AI64" s="176"/>
      <c r="AJ64" s="176"/>
      <c r="AK64" s="176"/>
      <c r="AL64" s="176"/>
      <c r="AM64" s="176"/>
      <c r="AN64" s="176"/>
      <c r="AO64" s="176"/>
      <c r="AP64" s="176"/>
      <c r="AQ64" s="176"/>
      <c r="AR64" s="176"/>
      <c r="AS64" s="176"/>
      <c r="AT64" s="176"/>
      <c r="AU64" s="176"/>
      <c r="AV64" s="176"/>
      <c r="AW64" s="176"/>
      <c r="AX64" s="176"/>
      <c r="AY64" s="176"/>
      <c r="AZ64" s="176"/>
      <c r="BA64" s="176"/>
      <c r="BB64" s="176"/>
      <c r="BC64" s="176"/>
      <c r="BD64" s="176"/>
      <c r="BE64" s="176"/>
      <c r="BF64" s="176"/>
      <c r="BG64" s="176"/>
      <c r="BH64" s="176"/>
      <c r="BI64" s="176"/>
      <c r="BJ64" s="176"/>
      <c r="BK64" s="176"/>
      <c r="BL64" s="176"/>
      <c r="BM64" s="176"/>
      <c r="BN64" s="176"/>
      <c r="BO64" s="176"/>
    </row>
    <row r="65" spans="1:67" s="36" customFormat="1" ht="10.5" customHeight="1" x14ac:dyDescent="0.2">
      <c r="A65" s="1043" t="s">
        <v>273</v>
      </c>
      <c r="B65" s="2594"/>
      <c r="C65" s="2595"/>
      <c r="D65" s="2596"/>
      <c r="E65" s="2395"/>
      <c r="F65" s="2789"/>
      <c r="G65" s="1058">
        <v>20</v>
      </c>
      <c r="H65" s="1059"/>
      <c r="I65" s="1081">
        <f t="shared" si="5"/>
        <v>6.2642070767998229E-2</v>
      </c>
      <c r="J65" s="1082">
        <f t="shared" si="6"/>
        <v>0</v>
      </c>
      <c r="K65" s="1061">
        <v>8</v>
      </c>
      <c r="L65" s="1305"/>
      <c r="M65" s="1086">
        <f t="shared" si="7"/>
        <v>0</v>
      </c>
      <c r="N65" s="506"/>
      <c r="O65" s="365">
        <f t="shared" si="8"/>
        <v>20</v>
      </c>
      <c r="P65" s="366"/>
      <c r="Q65" s="135"/>
      <c r="R65" s="136"/>
      <c r="S65" s="129"/>
      <c r="T65" s="129"/>
      <c r="U65" s="129"/>
      <c r="V65" s="129"/>
      <c r="W65" s="129"/>
      <c r="X65" s="129"/>
      <c r="Y65" s="129"/>
      <c r="Z65" s="133"/>
      <c r="AA65" s="133"/>
      <c r="AB65" s="133"/>
      <c r="AC65" s="133"/>
      <c r="AD65" s="133"/>
      <c r="AE65" s="133"/>
      <c r="AF65" s="222"/>
      <c r="AG65" s="222"/>
      <c r="AH65" s="222"/>
      <c r="AI65" s="176"/>
      <c r="AJ65" s="176"/>
      <c r="AK65" s="176"/>
      <c r="AL65" s="176"/>
      <c r="AM65" s="176"/>
      <c r="AN65" s="176"/>
      <c r="AO65" s="176"/>
      <c r="AP65" s="176"/>
      <c r="AQ65" s="176"/>
      <c r="AR65" s="176"/>
      <c r="AS65" s="176"/>
      <c r="AT65" s="176"/>
      <c r="AU65" s="176"/>
      <c r="AV65" s="176"/>
      <c r="AW65" s="176"/>
      <c r="AX65" s="176"/>
      <c r="AY65" s="176"/>
      <c r="AZ65" s="176"/>
      <c r="BA65" s="176"/>
      <c r="BB65" s="176"/>
      <c r="BC65" s="176"/>
      <c r="BD65" s="176"/>
      <c r="BE65" s="176"/>
      <c r="BF65" s="176"/>
      <c r="BG65" s="176"/>
      <c r="BH65" s="176"/>
      <c r="BI65" s="176"/>
      <c r="BJ65" s="176"/>
      <c r="BK65" s="176"/>
      <c r="BL65" s="176"/>
      <c r="BM65" s="176"/>
      <c r="BN65" s="176"/>
      <c r="BO65" s="176"/>
    </row>
    <row r="66" spans="1:67" s="36" customFormat="1" ht="10.5" customHeight="1" x14ac:dyDescent="0.2">
      <c r="A66" s="1043" t="s">
        <v>274</v>
      </c>
      <c r="B66" s="2594"/>
      <c r="C66" s="2595"/>
      <c r="D66" s="2596"/>
      <c r="E66" s="2395"/>
      <c r="F66" s="2789"/>
      <c r="G66" s="1058">
        <v>20</v>
      </c>
      <c r="H66" s="1059"/>
      <c r="I66" s="1081">
        <f t="shared" si="5"/>
        <v>6.2642070767998229E-2</v>
      </c>
      <c r="J66" s="1082">
        <f t="shared" si="6"/>
        <v>0</v>
      </c>
      <c r="K66" s="1061">
        <v>0</v>
      </c>
      <c r="L66" s="1305"/>
      <c r="M66" s="1086">
        <f t="shared" si="7"/>
        <v>0</v>
      </c>
      <c r="N66" s="506"/>
      <c r="O66" s="365">
        <f t="shared" si="8"/>
        <v>20</v>
      </c>
      <c r="P66" s="366"/>
      <c r="Q66" s="135"/>
      <c r="R66" s="136"/>
      <c r="S66" s="129"/>
      <c r="T66" s="129"/>
      <c r="U66" s="129"/>
      <c r="V66" s="129"/>
      <c r="W66" s="129"/>
      <c r="X66" s="129"/>
      <c r="Y66" s="129"/>
      <c r="Z66" s="133"/>
      <c r="AA66" s="133"/>
      <c r="AB66" s="133"/>
      <c r="AC66" s="133"/>
      <c r="AD66" s="133"/>
      <c r="AE66" s="133"/>
      <c r="AF66" s="222"/>
      <c r="AG66" s="222"/>
      <c r="AH66" s="222"/>
      <c r="AI66" s="176"/>
      <c r="AJ66" s="176"/>
      <c r="AK66" s="176"/>
      <c r="AL66" s="176"/>
      <c r="AM66" s="176"/>
      <c r="AN66" s="176"/>
      <c r="AO66" s="176"/>
      <c r="AP66" s="176"/>
      <c r="AQ66" s="176"/>
      <c r="AR66" s="176"/>
      <c r="AS66" s="176"/>
      <c r="AT66" s="176"/>
      <c r="AU66" s="176"/>
      <c r="AV66" s="176"/>
      <c r="AW66" s="176"/>
      <c r="AX66" s="176"/>
      <c r="AY66" s="176"/>
      <c r="AZ66" s="176"/>
      <c r="BA66" s="176"/>
      <c r="BB66" s="176"/>
      <c r="BC66" s="176"/>
      <c r="BD66" s="176"/>
      <c r="BE66" s="176"/>
      <c r="BF66" s="176"/>
      <c r="BG66" s="176"/>
      <c r="BH66" s="176"/>
      <c r="BI66" s="176"/>
      <c r="BJ66" s="176"/>
      <c r="BK66" s="176"/>
      <c r="BL66" s="176"/>
      <c r="BM66" s="176"/>
      <c r="BN66" s="176"/>
      <c r="BO66" s="176"/>
    </row>
    <row r="67" spans="1:67" s="36" customFormat="1" ht="10.5" customHeight="1" x14ac:dyDescent="0.2">
      <c r="A67" s="1055"/>
      <c r="B67" s="2594"/>
      <c r="C67" s="2595"/>
      <c r="D67" s="2596"/>
      <c r="E67" s="2395"/>
      <c r="F67" s="2396"/>
      <c r="G67" s="2590"/>
      <c r="H67" s="2591"/>
      <c r="I67" s="1081">
        <f t="shared" si="5"/>
        <v>0</v>
      </c>
      <c r="J67" s="1082">
        <f t="shared" si="6"/>
        <v>0</v>
      </c>
      <c r="K67" s="2588"/>
      <c r="L67" s="2589"/>
      <c r="M67" s="1086">
        <f t="shared" si="7"/>
        <v>0</v>
      </c>
      <c r="N67" s="506"/>
      <c r="O67" s="365">
        <f t="shared" si="8"/>
        <v>0</v>
      </c>
      <c r="P67" s="366"/>
      <c r="Q67" s="135"/>
      <c r="R67" s="136"/>
      <c r="S67" s="129"/>
      <c r="T67" s="129"/>
      <c r="U67" s="129"/>
      <c r="V67" s="129"/>
      <c r="W67" s="129"/>
      <c r="X67" s="129"/>
      <c r="Y67" s="129"/>
      <c r="Z67" s="133"/>
      <c r="AA67" s="133"/>
      <c r="AB67" s="133"/>
      <c r="AC67" s="133"/>
      <c r="AD67" s="133"/>
      <c r="AE67" s="133"/>
      <c r="AF67" s="222"/>
      <c r="AG67" s="222"/>
      <c r="AH67" s="222"/>
      <c r="AI67" s="176"/>
      <c r="AJ67" s="176"/>
      <c r="AK67" s="176"/>
      <c r="AL67" s="176"/>
      <c r="AM67" s="176"/>
      <c r="AN67" s="176"/>
      <c r="AO67" s="176"/>
      <c r="AP67" s="176"/>
      <c r="AQ67" s="176"/>
      <c r="AR67" s="176"/>
      <c r="AS67" s="176"/>
      <c r="AT67" s="176"/>
      <c r="AU67" s="176"/>
      <c r="AV67" s="176"/>
      <c r="AW67" s="176"/>
      <c r="AX67" s="176"/>
      <c r="AY67" s="176"/>
      <c r="AZ67" s="176"/>
      <c r="BA67" s="176"/>
      <c r="BB67" s="176"/>
      <c r="BC67" s="176"/>
      <c r="BD67" s="176"/>
      <c r="BE67" s="176"/>
      <c r="BF67" s="176"/>
      <c r="BG67" s="176"/>
      <c r="BH67" s="176"/>
      <c r="BI67" s="176"/>
      <c r="BJ67" s="176"/>
      <c r="BK67" s="176"/>
      <c r="BL67" s="176"/>
      <c r="BM67" s="176"/>
      <c r="BN67" s="176"/>
      <c r="BO67" s="176"/>
    </row>
    <row r="68" spans="1:67" s="36" customFormat="1" ht="10.5" customHeight="1" x14ac:dyDescent="0.2">
      <c r="A68" s="1055"/>
      <c r="B68" s="2594"/>
      <c r="C68" s="2595"/>
      <c r="D68" s="2596"/>
      <c r="E68" s="2395"/>
      <c r="F68" s="2396"/>
      <c r="G68" s="2590"/>
      <c r="H68" s="2591"/>
      <c r="I68" s="1081">
        <f t="shared" si="5"/>
        <v>0</v>
      </c>
      <c r="J68" s="1082">
        <f t="shared" si="6"/>
        <v>0</v>
      </c>
      <c r="K68" s="2588"/>
      <c r="L68" s="2589"/>
      <c r="M68" s="1086">
        <f t="shared" si="7"/>
        <v>0</v>
      </c>
      <c r="N68" s="506"/>
      <c r="O68" s="365">
        <f t="shared" si="8"/>
        <v>0</v>
      </c>
      <c r="P68" s="366"/>
      <c r="Q68" s="135"/>
      <c r="R68" s="136"/>
      <c r="S68" s="129"/>
      <c r="T68" s="129"/>
      <c r="U68" s="129"/>
      <c r="V68" s="129"/>
      <c r="W68" s="129"/>
      <c r="X68" s="129"/>
      <c r="Y68" s="129"/>
      <c r="Z68" s="133"/>
      <c r="AA68" s="133"/>
      <c r="AB68" s="133"/>
      <c r="AC68" s="133"/>
      <c r="AD68" s="133"/>
      <c r="AE68" s="133"/>
      <c r="AF68" s="222"/>
      <c r="AG68" s="222"/>
      <c r="AH68" s="222"/>
      <c r="AI68" s="176"/>
      <c r="AJ68" s="176"/>
      <c r="AK68" s="176"/>
      <c r="AL68" s="176"/>
      <c r="AM68" s="176"/>
      <c r="AN68" s="176"/>
      <c r="AO68" s="176"/>
      <c r="AP68" s="176"/>
      <c r="AQ68" s="176"/>
      <c r="AR68" s="176"/>
      <c r="AS68" s="176"/>
      <c r="AT68" s="176"/>
      <c r="AU68" s="176"/>
      <c r="AV68" s="176"/>
      <c r="AW68" s="176"/>
      <c r="AX68" s="176"/>
      <c r="AY68" s="176"/>
      <c r="AZ68" s="176"/>
      <c r="BA68" s="176"/>
      <c r="BB68" s="176"/>
      <c r="BC68" s="176"/>
      <c r="BD68" s="176"/>
      <c r="BE68" s="176"/>
      <c r="BF68" s="176"/>
      <c r="BG68" s="176"/>
      <c r="BH68" s="176"/>
      <c r="BI68" s="176"/>
      <c r="BJ68" s="176"/>
      <c r="BK68" s="176"/>
      <c r="BL68" s="176"/>
      <c r="BM68" s="176"/>
      <c r="BN68" s="176"/>
      <c r="BO68" s="176"/>
    </row>
    <row r="69" spans="1:67" s="36" customFormat="1" ht="10.5" customHeight="1" x14ac:dyDescent="0.2">
      <c r="A69" s="1348"/>
      <c r="B69" s="2690"/>
      <c r="C69" s="2691"/>
      <c r="D69" s="2692"/>
      <c r="E69" s="2601"/>
      <c r="F69" s="2602"/>
      <c r="G69" s="1088"/>
      <c r="H69" s="1089"/>
      <c r="I69" s="1083">
        <f t="shared" si="5"/>
        <v>0</v>
      </c>
      <c r="J69" s="1084"/>
      <c r="K69" s="1087"/>
      <c r="L69" s="1307"/>
      <c r="M69" s="1317">
        <f t="shared" si="7"/>
        <v>0</v>
      </c>
      <c r="N69" s="506"/>
      <c r="O69" s="365">
        <f t="shared" si="8"/>
        <v>0</v>
      </c>
      <c r="P69" s="366"/>
      <c r="Q69" s="135"/>
      <c r="R69" s="136"/>
      <c r="S69" s="129"/>
      <c r="T69" s="129"/>
      <c r="U69" s="129"/>
      <c r="V69" s="129"/>
      <c r="W69" s="129"/>
      <c r="X69" s="129"/>
      <c r="Y69" s="129"/>
      <c r="Z69" s="133"/>
      <c r="AA69" s="133"/>
      <c r="AB69" s="133"/>
      <c r="AC69" s="133"/>
      <c r="AD69" s="133"/>
      <c r="AE69" s="133"/>
      <c r="AF69" s="222"/>
      <c r="AG69" s="222"/>
      <c r="AH69" s="222"/>
      <c r="AI69" s="176"/>
      <c r="AJ69" s="176"/>
      <c r="AK69" s="176"/>
      <c r="AL69" s="176"/>
      <c r="AM69" s="176"/>
      <c r="AN69" s="176"/>
      <c r="AO69" s="176"/>
      <c r="AP69" s="176"/>
      <c r="AQ69" s="176"/>
      <c r="AR69" s="176"/>
      <c r="AS69" s="176"/>
      <c r="AT69" s="176"/>
      <c r="AU69" s="176"/>
      <c r="AV69" s="176"/>
      <c r="AW69" s="176"/>
      <c r="AX69" s="176"/>
      <c r="AY69" s="176"/>
      <c r="AZ69" s="176"/>
      <c r="BA69" s="176"/>
      <c r="BB69" s="176"/>
      <c r="BC69" s="176"/>
      <c r="BD69" s="176"/>
      <c r="BE69" s="176"/>
      <c r="BF69" s="176"/>
      <c r="BG69" s="176"/>
      <c r="BH69" s="176"/>
      <c r="BI69" s="176"/>
      <c r="BJ69" s="176"/>
      <c r="BK69" s="176"/>
      <c r="BL69" s="176"/>
      <c r="BM69" s="176"/>
      <c r="BN69" s="176"/>
      <c r="BO69" s="176"/>
    </row>
    <row r="70" spans="1:67" s="36" customFormat="1" ht="10.5" customHeight="1" x14ac:dyDescent="0.2">
      <c r="A70" s="1115" t="s">
        <v>275</v>
      </c>
      <c r="B70" s="2611"/>
      <c r="C70" s="2612"/>
      <c r="D70" s="2613"/>
      <c r="E70" s="2676">
        <f>SUM(E71:E83)</f>
        <v>0</v>
      </c>
      <c r="F70" s="2677"/>
      <c r="G70" s="2678"/>
      <c r="H70" s="2679"/>
      <c r="I70" s="1116">
        <f>IF(E70=0,0,J70/E70)</f>
        <v>0</v>
      </c>
      <c r="J70" s="1117">
        <f>SUM(J71:J83)</f>
        <v>0</v>
      </c>
      <c r="K70" s="2686">
        <f>IF(E70=0,0,M70/E70*100)</f>
        <v>0</v>
      </c>
      <c r="L70" s="2687"/>
      <c r="M70" s="1118">
        <f>SUM(M71:M83)</f>
        <v>0</v>
      </c>
      <c r="N70" s="506"/>
      <c r="O70" s="178">
        <f>IF(H70="",G70,H70)</f>
        <v>0</v>
      </c>
      <c r="P70" s="366"/>
      <c r="Q70" s="135"/>
      <c r="R70" s="136"/>
      <c r="S70" s="129"/>
      <c r="T70" s="129"/>
      <c r="U70" s="129"/>
      <c r="V70" s="129"/>
      <c r="W70" s="129"/>
      <c r="X70" s="129"/>
      <c r="Y70" s="129"/>
      <c r="Z70" s="133"/>
      <c r="AA70" s="133"/>
      <c r="AB70" s="133"/>
      <c r="AC70" s="133"/>
      <c r="AD70" s="133"/>
      <c r="AE70" s="133"/>
      <c r="AF70" s="222"/>
      <c r="AG70" s="222"/>
      <c r="AH70" s="222"/>
      <c r="AI70" s="176"/>
      <c r="AJ70" s="176"/>
      <c r="AK70" s="176"/>
      <c r="AL70" s="176"/>
      <c r="AM70" s="176"/>
      <c r="AN70" s="176"/>
      <c r="AO70" s="176"/>
      <c r="AP70" s="176"/>
      <c r="AQ70" s="176"/>
      <c r="AR70" s="176"/>
      <c r="AS70" s="176"/>
      <c r="AT70" s="176"/>
      <c r="AU70" s="176"/>
      <c r="AV70" s="176"/>
      <c r="AW70" s="176"/>
      <c r="AX70" s="176"/>
      <c r="AY70" s="176"/>
      <c r="AZ70" s="176"/>
      <c r="BA70" s="176"/>
      <c r="BB70" s="176"/>
      <c r="BC70" s="176"/>
      <c r="BD70" s="176"/>
      <c r="BE70" s="176"/>
      <c r="BF70" s="176"/>
      <c r="BG70" s="176"/>
      <c r="BH70" s="176"/>
      <c r="BI70" s="176"/>
      <c r="BJ70" s="176"/>
      <c r="BK70" s="176"/>
      <c r="BL70" s="176"/>
      <c r="BM70" s="176"/>
      <c r="BN70" s="176"/>
      <c r="BO70" s="176"/>
    </row>
    <row r="71" spans="1:67" s="36" customFormat="1" ht="10.5" customHeight="1" x14ac:dyDescent="0.2">
      <c r="A71" s="1359" t="s">
        <v>276</v>
      </c>
      <c r="B71" s="2743"/>
      <c r="C71" s="2744"/>
      <c r="D71" s="2745"/>
      <c r="E71" s="2746"/>
      <c r="F71" s="2788"/>
      <c r="G71" s="1056">
        <v>40</v>
      </c>
      <c r="H71" s="1057"/>
      <c r="I71" s="1079">
        <f t="shared" ref="I71:I84" si="9">IF($O71&gt;0,-PMT(($I$9),$O71,1),0)</f>
        <v>3.8177378061076156E-2</v>
      </c>
      <c r="J71" s="1080">
        <f t="shared" ref="J71:J83" si="10">ROUND(E71*I71,0)</f>
        <v>0</v>
      </c>
      <c r="K71" s="1060">
        <v>1.5</v>
      </c>
      <c r="L71" s="1304"/>
      <c r="M71" s="1085">
        <f t="shared" ref="M71:M84" si="11">ROUND(E71/100*IF(ISBLANK(L71),K71,L71),0)</f>
        <v>0</v>
      </c>
      <c r="N71" s="506"/>
      <c r="O71" s="365">
        <f t="shared" ref="O71:O84" si="12">IF(ISBLANK(H71),G71,H71)</f>
        <v>40</v>
      </c>
      <c r="P71" s="366"/>
      <c r="Q71" s="135"/>
      <c r="R71" s="136"/>
      <c r="S71" s="129"/>
      <c r="T71" s="129"/>
      <c r="U71" s="129"/>
      <c r="V71" s="129"/>
      <c r="W71" s="129"/>
      <c r="X71" s="129"/>
      <c r="Y71" s="129"/>
      <c r="Z71" s="133"/>
      <c r="AA71" s="133"/>
      <c r="AB71" s="133"/>
      <c r="AC71" s="133"/>
      <c r="AD71" s="133"/>
      <c r="AE71" s="133"/>
      <c r="AF71" s="222"/>
      <c r="AG71" s="222"/>
      <c r="AH71" s="222"/>
      <c r="AI71" s="176"/>
      <c r="AJ71" s="176"/>
      <c r="AK71" s="176"/>
      <c r="AL71" s="176"/>
      <c r="AM71" s="176"/>
      <c r="AN71" s="176"/>
      <c r="AO71" s="176"/>
      <c r="AP71" s="176"/>
      <c r="AQ71" s="176"/>
      <c r="AR71" s="176"/>
      <c r="AS71" s="176"/>
      <c r="AT71" s="176"/>
      <c r="AU71" s="176"/>
      <c r="AV71" s="176"/>
      <c r="AW71" s="176"/>
      <c r="AX71" s="176"/>
      <c r="AY71" s="176"/>
      <c r="AZ71" s="176"/>
      <c r="BA71" s="176"/>
      <c r="BB71" s="176"/>
      <c r="BC71" s="176"/>
      <c r="BD71" s="176"/>
      <c r="BE71" s="176"/>
      <c r="BF71" s="176"/>
      <c r="BG71" s="176"/>
      <c r="BH71" s="176"/>
      <c r="BI71" s="176"/>
      <c r="BJ71" s="176"/>
      <c r="BK71" s="176"/>
      <c r="BL71" s="176"/>
      <c r="BM71" s="176"/>
      <c r="BN71" s="176"/>
      <c r="BO71" s="176"/>
    </row>
    <row r="72" spans="1:67" s="36" customFormat="1" ht="10.5" customHeight="1" x14ac:dyDescent="0.2">
      <c r="A72" s="1043" t="s">
        <v>277</v>
      </c>
      <c r="B72" s="2594"/>
      <c r="C72" s="2595"/>
      <c r="D72" s="2596"/>
      <c r="E72" s="2395"/>
      <c r="F72" s="2789"/>
      <c r="G72" s="1058">
        <v>40</v>
      </c>
      <c r="H72" s="1059"/>
      <c r="I72" s="1081">
        <f t="shared" si="9"/>
        <v>3.8177378061076156E-2</v>
      </c>
      <c r="J72" s="1082">
        <f t="shared" si="10"/>
        <v>0</v>
      </c>
      <c r="K72" s="1061">
        <v>0.5</v>
      </c>
      <c r="L72" s="1305"/>
      <c r="M72" s="1086">
        <f t="shared" si="11"/>
        <v>0</v>
      </c>
      <c r="N72" s="506"/>
      <c r="O72" s="365">
        <f t="shared" si="12"/>
        <v>40</v>
      </c>
      <c r="P72" s="366"/>
      <c r="Q72" s="135"/>
      <c r="R72" s="136"/>
      <c r="S72" s="129"/>
      <c r="T72" s="129"/>
      <c r="U72" s="129"/>
      <c r="V72" s="129"/>
      <c r="W72" s="129"/>
      <c r="X72" s="129"/>
      <c r="Y72" s="129"/>
      <c r="Z72" s="133"/>
      <c r="AA72" s="133"/>
      <c r="AB72" s="133"/>
      <c r="AC72" s="133"/>
      <c r="AD72" s="133"/>
      <c r="AE72" s="133"/>
      <c r="AF72" s="222"/>
      <c r="AG72" s="222"/>
      <c r="AH72" s="222"/>
      <c r="AI72" s="176"/>
      <c r="AJ72" s="176"/>
      <c r="AK72" s="176"/>
      <c r="AL72" s="176"/>
      <c r="AM72" s="176"/>
      <c r="AN72" s="176"/>
      <c r="AO72" s="176"/>
      <c r="AP72" s="176"/>
      <c r="AQ72" s="176"/>
      <c r="AR72" s="176"/>
      <c r="AS72" s="176"/>
      <c r="AT72" s="176"/>
      <c r="AU72" s="176"/>
      <c r="AV72" s="176"/>
      <c r="AW72" s="176"/>
      <c r="AX72" s="176"/>
      <c r="AY72" s="176"/>
      <c r="AZ72" s="176"/>
      <c r="BA72" s="176"/>
      <c r="BB72" s="176"/>
      <c r="BC72" s="176"/>
      <c r="BD72" s="176"/>
      <c r="BE72" s="176"/>
      <c r="BF72" s="176"/>
      <c r="BG72" s="176"/>
      <c r="BH72" s="176"/>
      <c r="BI72" s="176"/>
      <c r="BJ72" s="176"/>
      <c r="BK72" s="176"/>
      <c r="BL72" s="176"/>
      <c r="BM72" s="176"/>
      <c r="BN72" s="176"/>
      <c r="BO72" s="176"/>
    </row>
    <row r="73" spans="1:67" s="36" customFormat="1" ht="10.5" customHeight="1" x14ac:dyDescent="0.2">
      <c r="A73" s="1043" t="s">
        <v>278</v>
      </c>
      <c r="B73" s="2594"/>
      <c r="C73" s="2595"/>
      <c r="D73" s="2596"/>
      <c r="E73" s="2395"/>
      <c r="F73" s="2789"/>
      <c r="G73" s="1058">
        <v>20</v>
      </c>
      <c r="H73" s="1059"/>
      <c r="I73" s="1081">
        <f t="shared" si="9"/>
        <v>6.2642070767998229E-2</v>
      </c>
      <c r="J73" s="1082">
        <f t="shared" si="10"/>
        <v>0</v>
      </c>
      <c r="K73" s="1061">
        <v>1</v>
      </c>
      <c r="L73" s="1305"/>
      <c r="M73" s="1086">
        <f t="shared" si="11"/>
        <v>0</v>
      </c>
      <c r="N73" s="506"/>
      <c r="O73" s="365">
        <f t="shared" si="12"/>
        <v>20</v>
      </c>
      <c r="P73" s="366"/>
      <c r="Q73" s="135"/>
      <c r="R73" s="136"/>
      <c r="S73" s="129"/>
      <c r="T73" s="129"/>
      <c r="U73" s="129"/>
      <c r="V73" s="129"/>
      <c r="W73" s="129"/>
      <c r="X73" s="129"/>
      <c r="Y73" s="129"/>
      <c r="Z73" s="133"/>
      <c r="AA73" s="133"/>
      <c r="AB73" s="133"/>
      <c r="AC73" s="133"/>
      <c r="AD73" s="133"/>
      <c r="AE73" s="133"/>
      <c r="AF73" s="222"/>
      <c r="AG73" s="222"/>
      <c r="AH73" s="222"/>
      <c r="AI73" s="176"/>
      <c r="AJ73" s="176"/>
      <c r="AK73" s="176"/>
      <c r="AL73" s="176"/>
      <c r="AM73" s="176"/>
      <c r="AN73" s="176"/>
      <c r="AO73" s="176"/>
      <c r="AP73" s="176"/>
      <c r="AQ73" s="176"/>
      <c r="AR73" s="176"/>
      <c r="AS73" s="176"/>
      <c r="AT73" s="176"/>
      <c r="AU73" s="176"/>
      <c r="AV73" s="176"/>
      <c r="AW73" s="176"/>
      <c r="AX73" s="176"/>
      <c r="AY73" s="176"/>
      <c r="AZ73" s="176"/>
      <c r="BA73" s="176"/>
      <c r="BB73" s="176"/>
      <c r="BC73" s="176"/>
      <c r="BD73" s="176"/>
      <c r="BE73" s="176"/>
      <c r="BF73" s="176"/>
      <c r="BG73" s="176"/>
      <c r="BH73" s="176"/>
      <c r="BI73" s="176"/>
      <c r="BJ73" s="176"/>
      <c r="BK73" s="176"/>
      <c r="BL73" s="176"/>
      <c r="BM73" s="176"/>
      <c r="BN73" s="176"/>
      <c r="BO73" s="176"/>
    </row>
    <row r="74" spans="1:67" s="36" customFormat="1" ht="10.5" customHeight="1" x14ac:dyDescent="0.2">
      <c r="A74" s="1043" t="s">
        <v>279</v>
      </c>
      <c r="B74" s="2594"/>
      <c r="C74" s="2595"/>
      <c r="D74" s="2596"/>
      <c r="E74" s="2395"/>
      <c r="F74" s="2789"/>
      <c r="G74" s="1058">
        <v>30</v>
      </c>
      <c r="H74" s="1059"/>
      <c r="I74" s="1081">
        <f t="shared" si="9"/>
        <v>4.6199342169092869E-2</v>
      </c>
      <c r="J74" s="1082">
        <f t="shared" si="10"/>
        <v>0</v>
      </c>
      <c r="K74" s="1061">
        <v>2</v>
      </c>
      <c r="L74" s="1305"/>
      <c r="M74" s="1086">
        <f t="shared" si="11"/>
        <v>0</v>
      </c>
      <c r="N74" s="506"/>
      <c r="O74" s="365">
        <f t="shared" si="12"/>
        <v>30</v>
      </c>
      <c r="P74" s="366"/>
      <c r="Q74" s="135"/>
      <c r="R74" s="136"/>
      <c r="S74" s="129"/>
      <c r="T74" s="129"/>
      <c r="U74" s="129"/>
      <c r="V74" s="129"/>
      <c r="W74" s="129"/>
      <c r="X74" s="129"/>
      <c r="Y74" s="129"/>
      <c r="Z74" s="133"/>
      <c r="AA74" s="133"/>
      <c r="AB74" s="133"/>
      <c r="AC74" s="133"/>
      <c r="AD74" s="133"/>
      <c r="AE74" s="133"/>
      <c r="AF74" s="222"/>
      <c r="AG74" s="222"/>
      <c r="AH74" s="222"/>
      <c r="AI74" s="176"/>
      <c r="AJ74" s="176"/>
      <c r="AK74" s="176"/>
      <c r="AL74" s="176"/>
      <c r="AM74" s="176"/>
      <c r="AN74" s="176"/>
      <c r="AO74" s="176"/>
      <c r="AP74" s="176"/>
      <c r="AQ74" s="176"/>
      <c r="AR74" s="176"/>
      <c r="AS74" s="176"/>
      <c r="AT74" s="176"/>
      <c r="AU74" s="176"/>
      <c r="AV74" s="176"/>
      <c r="AW74" s="176"/>
      <c r="AX74" s="176"/>
      <c r="AY74" s="176"/>
      <c r="AZ74" s="176"/>
      <c r="BA74" s="176"/>
      <c r="BB74" s="176"/>
      <c r="BC74" s="176"/>
      <c r="BD74" s="176"/>
      <c r="BE74" s="176"/>
      <c r="BF74" s="176"/>
      <c r="BG74" s="176"/>
      <c r="BH74" s="176"/>
      <c r="BI74" s="176"/>
      <c r="BJ74" s="176"/>
      <c r="BK74" s="176"/>
      <c r="BL74" s="176"/>
      <c r="BM74" s="176"/>
      <c r="BN74" s="176"/>
      <c r="BO74" s="176"/>
    </row>
    <row r="75" spans="1:67" s="36" customFormat="1" ht="10.5" customHeight="1" x14ac:dyDescent="0.2">
      <c r="A75" s="1043" t="s">
        <v>280</v>
      </c>
      <c r="B75" s="2594"/>
      <c r="C75" s="2595"/>
      <c r="D75" s="2596"/>
      <c r="E75" s="2395"/>
      <c r="F75" s="2789"/>
      <c r="G75" s="1058">
        <v>30</v>
      </c>
      <c r="H75" s="1059"/>
      <c r="I75" s="1081">
        <f t="shared" si="9"/>
        <v>4.6199342169092869E-2</v>
      </c>
      <c r="J75" s="1082">
        <f t="shared" si="10"/>
        <v>0</v>
      </c>
      <c r="K75" s="1061">
        <v>1.5</v>
      </c>
      <c r="L75" s="1305"/>
      <c r="M75" s="1086">
        <f t="shared" si="11"/>
        <v>0</v>
      </c>
      <c r="N75" s="506"/>
      <c r="O75" s="365">
        <f t="shared" si="12"/>
        <v>30</v>
      </c>
      <c r="P75" s="366"/>
      <c r="Q75" s="135"/>
      <c r="R75" s="136"/>
      <c r="S75" s="129"/>
      <c r="T75" s="129"/>
      <c r="U75" s="129"/>
      <c r="V75" s="129"/>
      <c r="W75" s="129"/>
      <c r="X75" s="129"/>
      <c r="Y75" s="129"/>
      <c r="Z75" s="133"/>
      <c r="AA75" s="133"/>
      <c r="AB75" s="133"/>
      <c r="AC75" s="133"/>
      <c r="AD75" s="133"/>
      <c r="AE75" s="133"/>
      <c r="AF75" s="222"/>
      <c r="AG75" s="222"/>
      <c r="AH75" s="222"/>
      <c r="AI75" s="176"/>
      <c r="AJ75" s="176"/>
      <c r="AK75" s="176"/>
      <c r="AL75" s="176"/>
      <c r="AM75" s="176"/>
      <c r="AN75" s="176"/>
      <c r="AO75" s="176"/>
      <c r="AP75" s="176"/>
      <c r="AQ75" s="176"/>
      <c r="AR75" s="176"/>
      <c r="AS75" s="176"/>
      <c r="AT75" s="176"/>
      <c r="AU75" s="176"/>
      <c r="AV75" s="176"/>
      <c r="AW75" s="176"/>
      <c r="AX75" s="176"/>
      <c r="AY75" s="176"/>
      <c r="AZ75" s="176"/>
      <c r="BA75" s="176"/>
      <c r="BB75" s="176"/>
      <c r="BC75" s="176"/>
      <c r="BD75" s="176"/>
      <c r="BE75" s="176"/>
      <c r="BF75" s="176"/>
      <c r="BG75" s="176"/>
      <c r="BH75" s="176"/>
      <c r="BI75" s="176"/>
      <c r="BJ75" s="176"/>
      <c r="BK75" s="176"/>
      <c r="BL75" s="176"/>
      <c r="BM75" s="176"/>
      <c r="BN75" s="176"/>
      <c r="BO75" s="176"/>
    </row>
    <row r="76" spans="1:67" s="36" customFormat="1" ht="10.5" customHeight="1" x14ac:dyDescent="0.2">
      <c r="A76" s="1043" t="s">
        <v>281</v>
      </c>
      <c r="B76" s="2594"/>
      <c r="C76" s="2595"/>
      <c r="D76" s="2596"/>
      <c r="E76" s="2395"/>
      <c r="F76" s="2789"/>
      <c r="G76" s="1058">
        <v>20</v>
      </c>
      <c r="H76" s="1059"/>
      <c r="I76" s="1081">
        <f t="shared" si="9"/>
        <v>6.2642070767998229E-2</v>
      </c>
      <c r="J76" s="1082">
        <f t="shared" si="10"/>
        <v>0</v>
      </c>
      <c r="K76" s="1061">
        <v>1</v>
      </c>
      <c r="L76" s="1305"/>
      <c r="M76" s="1086">
        <f t="shared" si="11"/>
        <v>0</v>
      </c>
      <c r="N76" s="506"/>
      <c r="O76" s="365">
        <f t="shared" si="12"/>
        <v>20</v>
      </c>
      <c r="P76" s="366"/>
      <c r="Q76" s="135"/>
      <c r="R76" s="136"/>
      <c r="S76" s="129"/>
      <c r="T76" s="129"/>
      <c r="U76" s="129"/>
      <c r="V76" s="129"/>
      <c r="W76" s="129"/>
      <c r="X76" s="129"/>
      <c r="Y76" s="129"/>
      <c r="Z76" s="133"/>
      <c r="AA76" s="133"/>
      <c r="AB76" s="133"/>
      <c r="AC76" s="133"/>
      <c r="AD76" s="133"/>
      <c r="AE76" s="133"/>
      <c r="AF76" s="222"/>
      <c r="AG76" s="222"/>
      <c r="AH76" s="222"/>
      <c r="AI76" s="176"/>
      <c r="AJ76" s="176"/>
      <c r="AK76" s="176"/>
      <c r="AL76" s="176"/>
      <c r="AM76" s="176"/>
      <c r="AN76" s="176"/>
      <c r="AO76" s="176"/>
      <c r="AP76" s="176"/>
      <c r="AQ76" s="176"/>
      <c r="AR76" s="176"/>
      <c r="AS76" s="176"/>
      <c r="AT76" s="176"/>
      <c r="AU76" s="176"/>
      <c r="AV76" s="176"/>
      <c r="AW76" s="176"/>
      <c r="AX76" s="176"/>
      <c r="AY76" s="176"/>
      <c r="AZ76" s="176"/>
      <c r="BA76" s="176"/>
      <c r="BB76" s="176"/>
      <c r="BC76" s="176"/>
      <c r="BD76" s="176"/>
      <c r="BE76" s="176"/>
      <c r="BF76" s="176"/>
      <c r="BG76" s="176"/>
      <c r="BH76" s="176"/>
      <c r="BI76" s="176"/>
      <c r="BJ76" s="176"/>
      <c r="BK76" s="176"/>
      <c r="BL76" s="176"/>
      <c r="BM76" s="176"/>
      <c r="BN76" s="176"/>
      <c r="BO76" s="176"/>
    </row>
    <row r="77" spans="1:67" s="36" customFormat="1" ht="10.5" customHeight="1" x14ac:dyDescent="0.2">
      <c r="A77" s="1043" t="s">
        <v>673</v>
      </c>
      <c r="B77" s="2594"/>
      <c r="C77" s="2595"/>
      <c r="D77" s="2596"/>
      <c r="E77" s="2395"/>
      <c r="F77" s="2789"/>
      <c r="G77" s="1058">
        <v>15</v>
      </c>
      <c r="H77" s="1059"/>
      <c r="I77" s="1081">
        <f t="shared" si="9"/>
        <v>7.9288524964265278E-2</v>
      </c>
      <c r="J77" s="1082">
        <f t="shared" si="10"/>
        <v>0</v>
      </c>
      <c r="K77" s="1061">
        <v>4</v>
      </c>
      <c r="L77" s="1305"/>
      <c r="M77" s="1086">
        <f t="shared" si="11"/>
        <v>0</v>
      </c>
      <c r="N77" s="506"/>
      <c r="O77" s="365">
        <f t="shared" si="12"/>
        <v>15</v>
      </c>
      <c r="P77" s="366"/>
      <c r="Q77" s="135"/>
      <c r="R77" s="136"/>
      <c r="S77" s="129"/>
      <c r="T77" s="129"/>
      <c r="U77" s="129"/>
      <c r="V77" s="129"/>
      <c r="W77" s="129"/>
      <c r="X77" s="129"/>
      <c r="Y77" s="129"/>
      <c r="Z77" s="133"/>
      <c r="AA77" s="133"/>
      <c r="AB77" s="133"/>
      <c r="AC77" s="133"/>
      <c r="AD77" s="133"/>
      <c r="AE77" s="133"/>
      <c r="AF77" s="222"/>
      <c r="AG77" s="222"/>
      <c r="AH77" s="222"/>
      <c r="AI77" s="176"/>
      <c r="AJ77" s="176"/>
      <c r="AK77" s="176"/>
      <c r="AL77" s="176"/>
      <c r="AM77" s="176"/>
      <c r="AN77" s="176"/>
      <c r="AO77" s="176"/>
      <c r="AP77" s="176"/>
      <c r="AQ77" s="176"/>
      <c r="AR77" s="176"/>
      <c r="AS77" s="176"/>
      <c r="AT77" s="176"/>
      <c r="AU77" s="176"/>
      <c r="AV77" s="176"/>
      <c r="AW77" s="176"/>
      <c r="AX77" s="176"/>
      <c r="AY77" s="176"/>
      <c r="AZ77" s="176"/>
      <c r="BA77" s="176"/>
      <c r="BB77" s="176"/>
      <c r="BC77" s="176"/>
      <c r="BD77" s="176"/>
      <c r="BE77" s="176"/>
      <c r="BF77" s="176"/>
      <c r="BG77" s="176"/>
      <c r="BH77" s="176"/>
      <c r="BI77" s="176"/>
      <c r="BJ77" s="176"/>
      <c r="BK77" s="176"/>
      <c r="BL77" s="176"/>
      <c r="BM77" s="176"/>
      <c r="BN77" s="176"/>
      <c r="BO77" s="176"/>
    </row>
    <row r="78" spans="1:67" s="36" customFormat="1" ht="10.5" customHeight="1" x14ac:dyDescent="0.2">
      <c r="A78" s="1055"/>
      <c r="B78" s="2594"/>
      <c r="C78" s="2595"/>
      <c r="D78" s="2596"/>
      <c r="E78" s="2395"/>
      <c r="F78" s="2396"/>
      <c r="G78" s="2590"/>
      <c r="H78" s="2591"/>
      <c r="I78" s="1081">
        <f t="shared" si="9"/>
        <v>0</v>
      </c>
      <c r="J78" s="1082">
        <f t="shared" si="10"/>
        <v>0</v>
      </c>
      <c r="K78" s="2588"/>
      <c r="L78" s="2589"/>
      <c r="M78" s="1086">
        <f t="shared" si="11"/>
        <v>0</v>
      </c>
      <c r="N78" s="506"/>
      <c r="O78" s="365">
        <f t="shared" si="12"/>
        <v>0</v>
      </c>
      <c r="P78" s="366"/>
      <c r="Q78" s="135"/>
      <c r="R78" s="136"/>
      <c r="S78" s="129"/>
      <c r="T78" s="129"/>
      <c r="U78" s="129"/>
      <c r="V78" s="129"/>
      <c r="W78" s="129"/>
      <c r="X78" s="129"/>
      <c r="Y78" s="129"/>
      <c r="Z78" s="133"/>
      <c r="AA78" s="133"/>
      <c r="AB78" s="133"/>
      <c r="AC78" s="133"/>
      <c r="AD78" s="133"/>
      <c r="AE78" s="133"/>
      <c r="AF78" s="222"/>
      <c r="AG78" s="222"/>
      <c r="AH78" s="222"/>
      <c r="AI78" s="176"/>
      <c r="AJ78" s="176"/>
      <c r="AK78" s="176"/>
      <c r="AL78" s="176"/>
      <c r="AM78" s="176"/>
      <c r="AN78" s="176"/>
      <c r="AO78" s="176"/>
      <c r="AP78" s="176"/>
      <c r="AQ78" s="176"/>
      <c r="AR78" s="176"/>
      <c r="AS78" s="176"/>
      <c r="AT78" s="176"/>
      <c r="AU78" s="176"/>
      <c r="AV78" s="176"/>
      <c r="AW78" s="176"/>
      <c r="AX78" s="176"/>
      <c r="AY78" s="176"/>
      <c r="AZ78" s="176"/>
      <c r="BA78" s="176"/>
      <c r="BB78" s="176"/>
      <c r="BC78" s="176"/>
      <c r="BD78" s="176"/>
      <c r="BE78" s="176"/>
      <c r="BF78" s="176"/>
      <c r="BG78" s="176"/>
      <c r="BH78" s="176"/>
      <c r="BI78" s="176"/>
      <c r="BJ78" s="176"/>
      <c r="BK78" s="176"/>
      <c r="BL78" s="176"/>
      <c r="BM78" s="176"/>
      <c r="BN78" s="176"/>
      <c r="BO78" s="176"/>
    </row>
    <row r="79" spans="1:67" s="36" customFormat="1" ht="10.5" customHeight="1" x14ac:dyDescent="0.2">
      <c r="A79" s="1055"/>
      <c r="B79" s="2594"/>
      <c r="C79" s="2595"/>
      <c r="D79" s="2596"/>
      <c r="E79" s="2395"/>
      <c r="F79" s="2396"/>
      <c r="G79" s="2590"/>
      <c r="H79" s="2591"/>
      <c r="I79" s="1081">
        <f t="shared" si="9"/>
        <v>0</v>
      </c>
      <c r="J79" s="1082">
        <f t="shared" si="10"/>
        <v>0</v>
      </c>
      <c r="K79" s="2588"/>
      <c r="L79" s="2589"/>
      <c r="M79" s="1086">
        <f t="shared" si="11"/>
        <v>0</v>
      </c>
      <c r="N79" s="506"/>
      <c r="O79" s="365">
        <f t="shared" si="12"/>
        <v>0</v>
      </c>
      <c r="P79" s="366"/>
      <c r="Q79" s="135"/>
      <c r="R79" s="136"/>
      <c r="S79" s="129"/>
      <c r="T79" s="129"/>
      <c r="U79" s="129"/>
      <c r="V79" s="129"/>
      <c r="W79" s="129"/>
      <c r="X79" s="129"/>
      <c r="Y79" s="129"/>
      <c r="Z79" s="133"/>
      <c r="AA79" s="133"/>
      <c r="AB79" s="133"/>
      <c r="AC79" s="133"/>
      <c r="AD79" s="133"/>
      <c r="AE79" s="133"/>
      <c r="AF79" s="222"/>
      <c r="AG79" s="222"/>
      <c r="AH79" s="222"/>
      <c r="AI79" s="176"/>
      <c r="AJ79" s="176"/>
      <c r="AK79" s="176"/>
      <c r="AL79" s="176"/>
      <c r="AM79" s="176"/>
      <c r="AN79" s="176"/>
      <c r="AO79" s="176"/>
      <c r="AP79" s="176"/>
      <c r="AQ79" s="176"/>
      <c r="AR79" s="176"/>
      <c r="AS79" s="176"/>
      <c r="AT79" s="176"/>
      <c r="AU79" s="176"/>
      <c r="AV79" s="176"/>
      <c r="AW79" s="176"/>
      <c r="AX79" s="176"/>
      <c r="AY79" s="176"/>
      <c r="AZ79" s="176"/>
      <c r="BA79" s="176"/>
      <c r="BB79" s="176"/>
      <c r="BC79" s="176"/>
      <c r="BD79" s="176"/>
      <c r="BE79" s="176"/>
      <c r="BF79" s="176"/>
      <c r="BG79" s="176"/>
      <c r="BH79" s="176"/>
      <c r="BI79" s="176"/>
      <c r="BJ79" s="176"/>
      <c r="BK79" s="176"/>
      <c r="BL79" s="176"/>
      <c r="BM79" s="176"/>
      <c r="BN79" s="176"/>
      <c r="BO79" s="176"/>
    </row>
    <row r="80" spans="1:67" s="36" customFormat="1" ht="10.5" customHeight="1" x14ac:dyDescent="0.2">
      <c r="A80" s="1055"/>
      <c r="B80" s="2594"/>
      <c r="C80" s="2595"/>
      <c r="D80" s="2596"/>
      <c r="E80" s="2395"/>
      <c r="F80" s="2396"/>
      <c r="G80" s="2590"/>
      <c r="H80" s="2591"/>
      <c r="I80" s="1081">
        <f t="shared" si="9"/>
        <v>0</v>
      </c>
      <c r="J80" s="1082">
        <f t="shared" si="10"/>
        <v>0</v>
      </c>
      <c r="K80" s="2588"/>
      <c r="L80" s="2589"/>
      <c r="M80" s="1086">
        <f t="shared" si="11"/>
        <v>0</v>
      </c>
      <c r="N80" s="506"/>
      <c r="O80" s="365">
        <f t="shared" si="12"/>
        <v>0</v>
      </c>
      <c r="P80" s="366"/>
      <c r="Q80" s="135"/>
      <c r="R80" s="136"/>
      <c r="S80" s="129"/>
      <c r="T80" s="129"/>
      <c r="U80" s="129"/>
      <c r="V80" s="129"/>
      <c r="W80" s="129"/>
      <c r="X80" s="129"/>
      <c r="Y80" s="129"/>
      <c r="Z80" s="133"/>
      <c r="AA80" s="133"/>
      <c r="AB80" s="133"/>
      <c r="AC80" s="133"/>
      <c r="AD80" s="133"/>
      <c r="AE80" s="133"/>
      <c r="AF80" s="222"/>
      <c r="AG80" s="222"/>
      <c r="AH80" s="222"/>
      <c r="AI80" s="176"/>
      <c r="AJ80" s="176"/>
      <c r="AK80" s="176"/>
      <c r="AL80" s="176"/>
      <c r="AM80" s="176"/>
      <c r="AN80" s="176"/>
      <c r="AO80" s="176"/>
      <c r="AP80" s="176"/>
      <c r="AQ80" s="176"/>
      <c r="AR80" s="176"/>
      <c r="AS80" s="176"/>
      <c r="AT80" s="176"/>
      <c r="AU80" s="176"/>
      <c r="AV80" s="176"/>
      <c r="AW80" s="176"/>
      <c r="AX80" s="176"/>
      <c r="AY80" s="176"/>
      <c r="AZ80" s="176"/>
      <c r="BA80" s="176"/>
      <c r="BB80" s="176"/>
      <c r="BC80" s="176"/>
      <c r="BD80" s="176"/>
      <c r="BE80" s="176"/>
      <c r="BF80" s="176"/>
      <c r="BG80" s="176"/>
      <c r="BH80" s="176"/>
      <c r="BI80" s="176"/>
      <c r="BJ80" s="176"/>
      <c r="BK80" s="176"/>
      <c r="BL80" s="176"/>
      <c r="BM80" s="176"/>
      <c r="BN80" s="176"/>
      <c r="BO80" s="176"/>
    </row>
    <row r="81" spans="1:67" s="36" customFormat="1" ht="10.5" customHeight="1" x14ac:dyDescent="0.2">
      <c r="A81" s="1055"/>
      <c r="B81" s="2594"/>
      <c r="C81" s="2595"/>
      <c r="D81" s="2596"/>
      <c r="E81" s="2395"/>
      <c r="F81" s="2396"/>
      <c r="G81" s="2590"/>
      <c r="H81" s="2591"/>
      <c r="I81" s="1081">
        <f t="shared" si="9"/>
        <v>0</v>
      </c>
      <c r="J81" s="1082">
        <f t="shared" si="10"/>
        <v>0</v>
      </c>
      <c r="K81" s="2588"/>
      <c r="L81" s="2589"/>
      <c r="M81" s="1086">
        <f t="shared" si="11"/>
        <v>0</v>
      </c>
      <c r="N81" s="506"/>
      <c r="O81" s="365">
        <f t="shared" si="12"/>
        <v>0</v>
      </c>
      <c r="P81" s="366"/>
      <c r="Q81" s="135"/>
      <c r="R81" s="136"/>
      <c r="S81" s="129"/>
      <c r="T81" s="129"/>
      <c r="U81" s="129"/>
      <c r="V81" s="129"/>
      <c r="W81" s="129"/>
      <c r="X81" s="129"/>
      <c r="Y81" s="129"/>
      <c r="Z81" s="133"/>
      <c r="AA81" s="133"/>
      <c r="AB81" s="133"/>
      <c r="AC81" s="133"/>
      <c r="AD81" s="133"/>
      <c r="AE81" s="133"/>
      <c r="AF81" s="222"/>
      <c r="AG81" s="222"/>
      <c r="AH81" s="222"/>
      <c r="AI81" s="176"/>
      <c r="AJ81" s="176"/>
      <c r="AK81" s="176"/>
      <c r="AL81" s="176"/>
      <c r="AM81" s="176"/>
      <c r="AN81" s="176"/>
      <c r="AO81" s="176"/>
      <c r="AP81" s="176"/>
      <c r="AQ81" s="176"/>
      <c r="AR81" s="176"/>
      <c r="AS81" s="176"/>
      <c r="AT81" s="176"/>
      <c r="AU81" s="176"/>
      <c r="AV81" s="176"/>
      <c r="AW81" s="176"/>
      <c r="AX81" s="176"/>
      <c r="AY81" s="176"/>
      <c r="AZ81" s="176"/>
      <c r="BA81" s="176"/>
      <c r="BB81" s="176"/>
      <c r="BC81" s="176"/>
      <c r="BD81" s="176"/>
      <c r="BE81" s="176"/>
      <c r="BF81" s="176"/>
      <c r="BG81" s="176"/>
      <c r="BH81" s="176"/>
      <c r="BI81" s="176"/>
      <c r="BJ81" s="176"/>
      <c r="BK81" s="176"/>
      <c r="BL81" s="176"/>
      <c r="BM81" s="176"/>
      <c r="BN81" s="176"/>
      <c r="BO81" s="176"/>
    </row>
    <row r="82" spans="1:67" s="36" customFormat="1" ht="10.5" customHeight="1" x14ac:dyDescent="0.2">
      <c r="A82" s="1055"/>
      <c r="B82" s="2594"/>
      <c r="C82" s="2595"/>
      <c r="D82" s="2596"/>
      <c r="E82" s="2395"/>
      <c r="F82" s="2396"/>
      <c r="G82" s="2590"/>
      <c r="H82" s="2591"/>
      <c r="I82" s="1081">
        <f t="shared" si="9"/>
        <v>0</v>
      </c>
      <c r="J82" s="1082">
        <f t="shared" si="10"/>
        <v>0</v>
      </c>
      <c r="K82" s="2588"/>
      <c r="L82" s="2589"/>
      <c r="M82" s="1086">
        <f t="shared" si="11"/>
        <v>0</v>
      </c>
      <c r="N82" s="506"/>
      <c r="O82" s="365">
        <f t="shared" si="12"/>
        <v>0</v>
      </c>
      <c r="P82" s="366"/>
      <c r="Q82" s="135"/>
      <c r="R82" s="136"/>
      <c r="S82" s="129"/>
      <c r="T82" s="129"/>
      <c r="U82" s="129"/>
      <c r="V82" s="129"/>
      <c r="W82" s="129"/>
      <c r="X82" s="129"/>
      <c r="Y82" s="129"/>
      <c r="Z82" s="133"/>
      <c r="AA82" s="133"/>
      <c r="AB82" s="133"/>
      <c r="AC82" s="133"/>
      <c r="AD82" s="133"/>
      <c r="AE82" s="133"/>
      <c r="AF82" s="222"/>
      <c r="AG82" s="222"/>
      <c r="AH82" s="222"/>
      <c r="AI82" s="176"/>
      <c r="AJ82" s="176"/>
      <c r="AK82" s="176"/>
      <c r="AL82" s="176"/>
      <c r="AM82" s="176"/>
      <c r="AN82" s="176"/>
      <c r="AO82" s="176"/>
      <c r="AP82" s="176"/>
      <c r="AQ82" s="176"/>
      <c r="AR82" s="176"/>
      <c r="AS82" s="176"/>
      <c r="AT82" s="176"/>
      <c r="AU82" s="176"/>
      <c r="AV82" s="176"/>
      <c r="AW82" s="176"/>
      <c r="AX82" s="176"/>
      <c r="AY82" s="176"/>
      <c r="AZ82" s="176"/>
      <c r="BA82" s="176"/>
      <c r="BB82" s="176"/>
      <c r="BC82" s="176"/>
      <c r="BD82" s="176"/>
      <c r="BE82" s="176"/>
      <c r="BF82" s="176"/>
      <c r="BG82" s="176"/>
      <c r="BH82" s="176"/>
      <c r="BI82" s="176"/>
      <c r="BJ82" s="176"/>
      <c r="BK82" s="176"/>
      <c r="BL82" s="176"/>
      <c r="BM82" s="176"/>
      <c r="BN82" s="176"/>
      <c r="BO82" s="176"/>
    </row>
    <row r="83" spans="1:67" s="36" customFormat="1" ht="10.5" customHeight="1" x14ac:dyDescent="0.2">
      <c r="A83" s="1055"/>
      <c r="B83" s="2594"/>
      <c r="C83" s="2595"/>
      <c r="D83" s="2596"/>
      <c r="E83" s="2395"/>
      <c r="F83" s="2396"/>
      <c r="G83" s="2590"/>
      <c r="H83" s="2591"/>
      <c r="I83" s="1081">
        <f t="shared" si="9"/>
        <v>0</v>
      </c>
      <c r="J83" s="1082">
        <f t="shared" si="10"/>
        <v>0</v>
      </c>
      <c r="K83" s="2588"/>
      <c r="L83" s="2589"/>
      <c r="M83" s="1086">
        <f t="shared" si="11"/>
        <v>0</v>
      </c>
      <c r="N83" s="506"/>
      <c r="O83" s="365">
        <f t="shared" si="12"/>
        <v>0</v>
      </c>
      <c r="P83" s="366"/>
      <c r="Q83" s="135"/>
      <c r="R83" s="136"/>
      <c r="S83" s="129"/>
      <c r="T83" s="129"/>
      <c r="U83" s="129"/>
      <c r="V83" s="129"/>
      <c r="W83" s="129"/>
      <c r="X83" s="129"/>
      <c r="Y83" s="129"/>
      <c r="Z83" s="133"/>
      <c r="AA83" s="133"/>
      <c r="AB83" s="133"/>
      <c r="AC83" s="133"/>
      <c r="AD83" s="133"/>
      <c r="AE83" s="133"/>
      <c r="AF83" s="222"/>
      <c r="AG83" s="222"/>
      <c r="AH83" s="222"/>
      <c r="AI83" s="176"/>
      <c r="AJ83" s="176"/>
      <c r="AK83" s="176"/>
      <c r="AL83" s="176"/>
      <c r="AM83" s="176"/>
      <c r="AN83" s="176"/>
      <c r="AO83" s="176"/>
      <c r="AP83" s="176"/>
      <c r="AQ83" s="176"/>
      <c r="AR83" s="176"/>
      <c r="AS83" s="176"/>
      <c r="AT83" s="176"/>
      <c r="AU83" s="176"/>
      <c r="AV83" s="176"/>
      <c r="AW83" s="176"/>
      <c r="AX83" s="176"/>
      <c r="AY83" s="176"/>
      <c r="AZ83" s="176"/>
      <c r="BA83" s="176"/>
      <c r="BB83" s="176"/>
      <c r="BC83" s="176"/>
      <c r="BD83" s="176"/>
      <c r="BE83" s="176"/>
      <c r="BF83" s="176"/>
      <c r="BG83" s="176"/>
      <c r="BH83" s="176"/>
      <c r="BI83" s="176"/>
      <c r="BJ83" s="176"/>
      <c r="BK83" s="176"/>
      <c r="BL83" s="176"/>
      <c r="BM83" s="176"/>
      <c r="BN83" s="176"/>
      <c r="BO83" s="176"/>
    </row>
    <row r="84" spans="1:67" s="36" customFormat="1" ht="10.5" customHeight="1" x14ac:dyDescent="0.2">
      <c r="A84" s="1348"/>
      <c r="B84" s="2690"/>
      <c r="C84" s="2691"/>
      <c r="D84" s="2692"/>
      <c r="E84" s="2601"/>
      <c r="F84" s="2602"/>
      <c r="G84" s="1088"/>
      <c r="H84" s="1089"/>
      <c r="I84" s="1083">
        <f t="shared" si="9"/>
        <v>0</v>
      </c>
      <c r="J84" s="1084"/>
      <c r="K84" s="1087"/>
      <c r="L84" s="1307"/>
      <c r="M84" s="1317">
        <f t="shared" si="11"/>
        <v>0</v>
      </c>
      <c r="N84" s="506"/>
      <c r="O84" s="365">
        <f t="shared" si="12"/>
        <v>0</v>
      </c>
      <c r="P84" s="366"/>
      <c r="Q84" s="135"/>
      <c r="R84" s="136"/>
      <c r="S84" s="129"/>
      <c r="T84" s="129"/>
      <c r="U84" s="129"/>
      <c r="V84" s="129"/>
      <c r="W84" s="129"/>
      <c r="X84" s="129"/>
      <c r="Y84" s="129"/>
      <c r="Z84" s="133"/>
      <c r="AA84" s="133"/>
      <c r="AB84" s="133"/>
      <c r="AC84" s="133"/>
      <c r="AD84" s="133"/>
      <c r="AE84" s="133"/>
      <c r="AF84" s="222"/>
      <c r="AG84" s="222"/>
      <c r="AH84" s="222"/>
      <c r="AI84" s="176"/>
      <c r="AJ84" s="176"/>
      <c r="AK84" s="176"/>
      <c r="AL84" s="176"/>
      <c r="AM84" s="176"/>
      <c r="AN84" s="176"/>
      <c r="AO84" s="176"/>
      <c r="AP84" s="176"/>
      <c r="AQ84" s="176"/>
      <c r="AR84" s="176"/>
      <c r="AS84" s="176"/>
      <c r="AT84" s="176"/>
      <c r="AU84" s="176"/>
      <c r="AV84" s="176"/>
      <c r="AW84" s="176"/>
      <c r="AX84" s="176"/>
      <c r="AY84" s="176"/>
      <c r="AZ84" s="176"/>
      <c r="BA84" s="176"/>
      <c r="BB84" s="176"/>
      <c r="BC84" s="176"/>
      <c r="BD84" s="176"/>
      <c r="BE84" s="176"/>
      <c r="BF84" s="176"/>
      <c r="BG84" s="176"/>
      <c r="BH84" s="176"/>
      <c r="BI84" s="176"/>
      <c r="BJ84" s="176"/>
      <c r="BK84" s="176"/>
      <c r="BL84" s="176"/>
      <c r="BM84" s="176"/>
      <c r="BN84" s="176"/>
      <c r="BO84" s="176"/>
    </row>
    <row r="85" spans="1:67" s="36" customFormat="1" ht="10.5" customHeight="1" x14ac:dyDescent="0.2">
      <c r="A85" s="1115" t="s">
        <v>282</v>
      </c>
      <c r="B85" s="2611"/>
      <c r="C85" s="2612"/>
      <c r="D85" s="2613"/>
      <c r="E85" s="2676">
        <f>SUM(E86:E100)</f>
        <v>0</v>
      </c>
      <c r="F85" s="2677"/>
      <c r="G85" s="2678"/>
      <c r="H85" s="2679"/>
      <c r="I85" s="1116">
        <f>IF(E85=0,0,J85/E85)</f>
        <v>0</v>
      </c>
      <c r="J85" s="1117">
        <f>SUM(J86:J100)</f>
        <v>0</v>
      </c>
      <c r="K85" s="2686">
        <f>IF(E85=0,0,M85/E85*100)</f>
        <v>0</v>
      </c>
      <c r="L85" s="2687"/>
      <c r="M85" s="1118">
        <f>SUM(M86:M100)</f>
        <v>0</v>
      </c>
      <c r="N85" s="506"/>
      <c r="O85" s="178">
        <f>IF(H85="",G85,H85)</f>
        <v>0</v>
      </c>
      <c r="P85" s="366"/>
      <c r="Q85" s="135"/>
      <c r="R85" s="136"/>
      <c r="S85" s="129"/>
      <c r="T85" s="129"/>
      <c r="U85" s="129"/>
      <c r="V85" s="129"/>
      <c r="W85" s="129"/>
      <c r="X85" s="129"/>
      <c r="Y85" s="129"/>
      <c r="Z85" s="133"/>
      <c r="AA85" s="133"/>
      <c r="AB85" s="133"/>
      <c r="AC85" s="133"/>
      <c r="AD85" s="133"/>
      <c r="AE85" s="133"/>
      <c r="AF85" s="222"/>
      <c r="AG85" s="222"/>
      <c r="AH85" s="222"/>
      <c r="AI85" s="176"/>
      <c r="AJ85" s="176"/>
      <c r="AK85" s="176"/>
      <c r="AL85" s="176"/>
      <c r="AM85" s="176"/>
      <c r="AN85" s="176"/>
      <c r="AO85" s="176"/>
      <c r="AP85" s="176"/>
      <c r="AQ85" s="176"/>
      <c r="AR85" s="176"/>
      <c r="AS85" s="176"/>
      <c r="AT85" s="176"/>
      <c r="AU85" s="176"/>
      <c r="AV85" s="176"/>
      <c r="AW85" s="176"/>
      <c r="AX85" s="176"/>
      <c r="AY85" s="176"/>
      <c r="AZ85" s="176"/>
      <c r="BA85" s="176"/>
      <c r="BB85" s="176"/>
      <c r="BC85" s="176"/>
      <c r="BD85" s="176"/>
      <c r="BE85" s="176"/>
      <c r="BF85" s="176"/>
      <c r="BG85" s="176"/>
      <c r="BH85" s="176"/>
      <c r="BI85" s="176"/>
      <c r="BJ85" s="176"/>
      <c r="BK85" s="176"/>
      <c r="BL85" s="176"/>
      <c r="BM85" s="176"/>
      <c r="BN85" s="176"/>
      <c r="BO85" s="176"/>
    </row>
    <row r="86" spans="1:67" s="36" customFormat="1" ht="10.5" customHeight="1" x14ac:dyDescent="0.2">
      <c r="A86" s="1359" t="s">
        <v>47</v>
      </c>
      <c r="B86" s="2743"/>
      <c r="C86" s="2744"/>
      <c r="D86" s="2745"/>
      <c r="E86" s="2746"/>
      <c r="F86" s="2788"/>
      <c r="G86" s="1056">
        <v>20</v>
      </c>
      <c r="H86" s="1057"/>
      <c r="I86" s="1079">
        <f t="shared" ref="I86:I101" si="13">IF($O86&gt;0,-PMT(($I$9),$O86,1),0)</f>
        <v>6.2642070767998229E-2</v>
      </c>
      <c r="J86" s="1080">
        <f t="shared" ref="J86:J100" si="14">ROUND(E86*I86,0)</f>
        <v>0</v>
      </c>
      <c r="K86" s="1060">
        <v>2.5</v>
      </c>
      <c r="L86" s="1304"/>
      <c r="M86" s="1085">
        <f t="shared" ref="M86:M101" si="15">ROUND(E86/100*IF(ISBLANK(L86),K86,L86),0)</f>
        <v>0</v>
      </c>
      <c r="N86" s="506"/>
      <c r="O86" s="365">
        <f t="shared" ref="O86:O101" si="16">IF(ISBLANK(H86),G86,H86)</f>
        <v>20</v>
      </c>
      <c r="P86" s="366"/>
      <c r="Q86" s="135"/>
      <c r="R86" s="136"/>
      <c r="S86" s="129"/>
      <c r="T86" s="129"/>
      <c r="U86" s="129"/>
      <c r="V86" s="129"/>
      <c r="W86" s="129"/>
      <c r="X86" s="129"/>
      <c r="Y86" s="129"/>
      <c r="Z86" s="133"/>
      <c r="AA86" s="133"/>
      <c r="AB86" s="133"/>
      <c r="AC86" s="133"/>
      <c r="AD86" s="133"/>
      <c r="AE86" s="133"/>
      <c r="AF86" s="222"/>
      <c r="AG86" s="222"/>
      <c r="AH86" s="222"/>
      <c r="AI86" s="176"/>
      <c r="AJ86" s="176"/>
      <c r="AK86" s="176"/>
      <c r="AL86" s="176"/>
      <c r="AM86" s="176"/>
      <c r="AN86" s="176"/>
      <c r="AO86" s="176"/>
      <c r="AP86" s="176"/>
      <c r="AQ86" s="176"/>
      <c r="AR86" s="176"/>
      <c r="AS86" s="176"/>
      <c r="AT86" s="176"/>
      <c r="AU86" s="176"/>
      <c r="AV86" s="176"/>
      <c r="AW86" s="176"/>
      <c r="AX86" s="176"/>
      <c r="AY86" s="176"/>
      <c r="AZ86" s="176"/>
      <c r="BA86" s="176"/>
      <c r="BB86" s="176"/>
      <c r="BC86" s="176"/>
      <c r="BD86" s="176"/>
      <c r="BE86" s="176"/>
      <c r="BF86" s="176"/>
      <c r="BG86" s="176"/>
      <c r="BH86" s="176"/>
      <c r="BI86" s="176"/>
      <c r="BJ86" s="176"/>
      <c r="BK86" s="176"/>
      <c r="BL86" s="176"/>
      <c r="BM86" s="176"/>
      <c r="BN86" s="176"/>
      <c r="BO86" s="176"/>
    </row>
    <row r="87" spans="1:67" s="36" customFormat="1" ht="10.5" customHeight="1" x14ac:dyDescent="0.2">
      <c r="A87" s="1043" t="s">
        <v>48</v>
      </c>
      <c r="B87" s="2594"/>
      <c r="C87" s="2595"/>
      <c r="D87" s="2596"/>
      <c r="E87" s="2395"/>
      <c r="F87" s="2789"/>
      <c r="G87" s="1058">
        <v>20</v>
      </c>
      <c r="H87" s="1059"/>
      <c r="I87" s="1081">
        <f t="shared" si="13"/>
        <v>6.2642070767998229E-2</v>
      </c>
      <c r="J87" s="1082">
        <f t="shared" si="14"/>
        <v>0</v>
      </c>
      <c r="K87" s="1061">
        <v>2.5</v>
      </c>
      <c r="L87" s="1305"/>
      <c r="M87" s="1086">
        <f t="shared" si="15"/>
        <v>0</v>
      </c>
      <c r="N87" s="506"/>
      <c r="O87" s="365">
        <f t="shared" si="16"/>
        <v>20</v>
      </c>
      <c r="P87" s="366"/>
      <c r="Q87" s="135"/>
      <c r="R87" s="136"/>
      <c r="S87" s="129"/>
      <c r="T87" s="129"/>
      <c r="U87" s="129"/>
      <c r="V87" s="129"/>
      <c r="W87" s="129"/>
      <c r="X87" s="129"/>
      <c r="Y87" s="129"/>
      <c r="Z87" s="133"/>
      <c r="AA87" s="133"/>
      <c r="AB87" s="133"/>
      <c r="AC87" s="133"/>
      <c r="AD87" s="133"/>
      <c r="AE87" s="133"/>
      <c r="AF87" s="222"/>
      <c r="AG87" s="222"/>
      <c r="AH87" s="222"/>
      <c r="AI87" s="176"/>
      <c r="AJ87" s="176"/>
      <c r="AK87" s="176"/>
      <c r="AL87" s="176"/>
      <c r="AM87" s="176"/>
      <c r="AN87" s="176"/>
      <c r="AO87" s="176"/>
      <c r="AP87" s="176"/>
      <c r="AQ87" s="176"/>
      <c r="AR87" s="176"/>
      <c r="AS87" s="176"/>
      <c r="AT87" s="176"/>
      <c r="AU87" s="176"/>
      <c r="AV87" s="176"/>
      <c r="AW87" s="176"/>
      <c r="AX87" s="176"/>
      <c r="AY87" s="176"/>
      <c r="AZ87" s="176"/>
      <c r="BA87" s="176"/>
      <c r="BB87" s="176"/>
      <c r="BC87" s="176"/>
      <c r="BD87" s="176"/>
      <c r="BE87" s="176"/>
      <c r="BF87" s="176"/>
      <c r="BG87" s="176"/>
      <c r="BH87" s="176"/>
      <c r="BI87" s="176"/>
      <c r="BJ87" s="176"/>
      <c r="BK87" s="176"/>
      <c r="BL87" s="176"/>
      <c r="BM87" s="176"/>
      <c r="BN87" s="176"/>
      <c r="BO87" s="176"/>
    </row>
    <row r="88" spans="1:67" s="36" customFormat="1" ht="10.5" customHeight="1" x14ac:dyDescent="0.2">
      <c r="A88" s="1043" t="s">
        <v>676</v>
      </c>
      <c r="B88" s="2594"/>
      <c r="C88" s="2595"/>
      <c r="D88" s="2596"/>
      <c r="E88" s="2395"/>
      <c r="F88" s="2789"/>
      <c r="G88" s="1058">
        <v>20</v>
      </c>
      <c r="H88" s="1059"/>
      <c r="I88" s="1081">
        <f t="shared" si="13"/>
        <v>6.2642070767998229E-2</v>
      </c>
      <c r="J88" s="1082">
        <f t="shared" si="14"/>
        <v>0</v>
      </c>
      <c r="K88" s="1061">
        <v>5</v>
      </c>
      <c r="L88" s="1305"/>
      <c r="M88" s="1086">
        <f t="shared" si="15"/>
        <v>0</v>
      </c>
      <c r="N88" s="506"/>
      <c r="O88" s="365">
        <f t="shared" si="16"/>
        <v>20</v>
      </c>
      <c r="P88" s="366"/>
      <c r="Q88" s="135"/>
      <c r="R88" s="136"/>
      <c r="S88" s="129"/>
      <c r="T88" s="129"/>
      <c r="U88" s="129"/>
      <c r="V88" s="129"/>
      <c r="W88" s="129"/>
      <c r="X88" s="129"/>
      <c r="Y88" s="129"/>
      <c r="Z88" s="133"/>
      <c r="AA88" s="133"/>
      <c r="AB88" s="133"/>
      <c r="AC88" s="133"/>
      <c r="AD88" s="133"/>
      <c r="AE88" s="133"/>
      <c r="AF88" s="222"/>
      <c r="AG88" s="222"/>
      <c r="AH88" s="222"/>
      <c r="AI88" s="176"/>
      <c r="AJ88" s="176"/>
      <c r="AK88" s="176"/>
      <c r="AL88" s="176"/>
      <c r="AM88" s="176"/>
      <c r="AN88" s="176"/>
      <c r="AO88" s="176"/>
      <c r="AP88" s="176"/>
      <c r="AQ88" s="176"/>
      <c r="AR88" s="176"/>
      <c r="AS88" s="176"/>
      <c r="AT88" s="176"/>
      <c r="AU88" s="176"/>
      <c r="AV88" s="176"/>
      <c r="AW88" s="176"/>
      <c r="AX88" s="176"/>
      <c r="AY88" s="176"/>
      <c r="AZ88" s="176"/>
      <c r="BA88" s="176"/>
      <c r="BB88" s="176"/>
      <c r="BC88" s="176"/>
      <c r="BD88" s="176"/>
      <c r="BE88" s="176"/>
      <c r="BF88" s="176"/>
      <c r="BG88" s="176"/>
      <c r="BH88" s="176"/>
      <c r="BI88" s="176"/>
      <c r="BJ88" s="176"/>
      <c r="BK88" s="176"/>
      <c r="BL88" s="176"/>
      <c r="BM88" s="176"/>
      <c r="BN88" s="176"/>
      <c r="BO88" s="176"/>
    </row>
    <row r="89" spans="1:67" s="36" customFormat="1" ht="10.5" customHeight="1" x14ac:dyDescent="0.2">
      <c r="A89" s="1043" t="s">
        <v>64</v>
      </c>
      <c r="B89" s="2594"/>
      <c r="C89" s="2595"/>
      <c r="D89" s="2596"/>
      <c r="E89" s="2395"/>
      <c r="F89" s="2789"/>
      <c r="G89" s="1058">
        <v>20</v>
      </c>
      <c r="H89" s="1059"/>
      <c r="I89" s="1081">
        <f t="shared" si="13"/>
        <v>6.2642070767998229E-2</v>
      </c>
      <c r="J89" s="1082">
        <f t="shared" si="14"/>
        <v>0</v>
      </c>
      <c r="K89" s="1061">
        <v>3.5</v>
      </c>
      <c r="L89" s="1305"/>
      <c r="M89" s="1086">
        <f t="shared" si="15"/>
        <v>0</v>
      </c>
      <c r="N89" s="506"/>
      <c r="O89" s="365">
        <f t="shared" si="16"/>
        <v>20</v>
      </c>
      <c r="P89" s="366"/>
      <c r="Q89" s="135"/>
      <c r="R89" s="136"/>
      <c r="S89" s="129"/>
      <c r="T89" s="129"/>
      <c r="U89" s="129"/>
      <c r="V89" s="129"/>
      <c r="W89" s="129"/>
      <c r="X89" s="129"/>
      <c r="Y89" s="129"/>
      <c r="Z89" s="133"/>
      <c r="AA89" s="133"/>
      <c r="AB89" s="133"/>
      <c r="AC89" s="133"/>
      <c r="AD89" s="133"/>
      <c r="AE89" s="133"/>
      <c r="AF89" s="222"/>
      <c r="AG89" s="222"/>
      <c r="AH89" s="222"/>
      <c r="AI89" s="176"/>
      <c r="AJ89" s="176"/>
      <c r="AK89" s="176"/>
      <c r="AL89" s="176"/>
      <c r="AM89" s="176"/>
      <c r="AN89" s="176"/>
      <c r="AO89" s="176"/>
      <c r="AP89" s="176"/>
      <c r="AQ89" s="176"/>
      <c r="AR89" s="176"/>
      <c r="AS89" s="176"/>
      <c r="AT89" s="176"/>
      <c r="AU89" s="176"/>
      <c r="AV89" s="176"/>
      <c r="AW89" s="176"/>
      <c r="AX89" s="176"/>
      <c r="AY89" s="176"/>
      <c r="AZ89" s="176"/>
      <c r="BA89" s="176"/>
      <c r="BB89" s="176"/>
      <c r="BC89" s="176"/>
      <c r="BD89" s="176"/>
      <c r="BE89" s="176"/>
      <c r="BF89" s="176"/>
      <c r="BG89" s="176"/>
      <c r="BH89" s="176"/>
      <c r="BI89" s="176"/>
      <c r="BJ89" s="176"/>
      <c r="BK89" s="176"/>
      <c r="BL89" s="176"/>
      <c r="BM89" s="176"/>
      <c r="BN89" s="176"/>
      <c r="BO89" s="176"/>
    </row>
    <row r="90" spans="1:67" s="36" customFormat="1" ht="10.5" customHeight="1" x14ac:dyDescent="0.2">
      <c r="A90" s="1043" t="s">
        <v>71</v>
      </c>
      <c r="B90" s="2594"/>
      <c r="C90" s="2595"/>
      <c r="D90" s="2596"/>
      <c r="E90" s="2395"/>
      <c r="F90" s="2789"/>
      <c r="G90" s="1058">
        <v>20</v>
      </c>
      <c r="H90" s="1059"/>
      <c r="I90" s="1081">
        <f t="shared" si="13"/>
        <v>6.2642070767998229E-2</v>
      </c>
      <c r="J90" s="1082">
        <f t="shared" si="14"/>
        <v>0</v>
      </c>
      <c r="K90" s="1061">
        <v>3.5</v>
      </c>
      <c r="L90" s="1305"/>
      <c r="M90" s="1086">
        <f t="shared" si="15"/>
        <v>0</v>
      </c>
      <c r="N90" s="506"/>
      <c r="O90" s="365">
        <f t="shared" si="16"/>
        <v>20</v>
      </c>
      <c r="P90" s="366"/>
      <c r="Q90" s="135"/>
      <c r="R90" s="136"/>
      <c r="S90" s="129"/>
      <c r="T90" s="129"/>
      <c r="U90" s="129"/>
      <c r="V90" s="129"/>
      <c r="W90" s="129"/>
      <c r="X90" s="129"/>
      <c r="Y90" s="129"/>
      <c r="Z90" s="133"/>
      <c r="AA90" s="133"/>
      <c r="AB90" s="133"/>
      <c r="AC90" s="133"/>
      <c r="AD90" s="133"/>
      <c r="AE90" s="133"/>
      <c r="AF90" s="222"/>
      <c r="AG90" s="222"/>
      <c r="AH90" s="222"/>
      <c r="AI90" s="176"/>
      <c r="AJ90" s="176"/>
      <c r="AK90" s="176"/>
      <c r="AL90" s="176"/>
      <c r="AM90" s="176"/>
      <c r="AN90" s="176"/>
      <c r="AO90" s="176"/>
      <c r="AP90" s="176"/>
      <c r="AQ90" s="176"/>
      <c r="AR90" s="176"/>
      <c r="AS90" s="176"/>
      <c r="AT90" s="176"/>
      <c r="AU90" s="176"/>
      <c r="AV90" s="176"/>
      <c r="AW90" s="176"/>
      <c r="AX90" s="176"/>
      <c r="AY90" s="176"/>
      <c r="AZ90" s="176"/>
      <c r="BA90" s="176"/>
      <c r="BB90" s="176"/>
      <c r="BC90" s="176"/>
      <c r="BD90" s="176"/>
      <c r="BE90" s="176"/>
      <c r="BF90" s="176"/>
      <c r="BG90" s="176"/>
      <c r="BH90" s="176"/>
      <c r="BI90" s="176"/>
      <c r="BJ90" s="176"/>
      <c r="BK90" s="176"/>
      <c r="BL90" s="176"/>
      <c r="BM90" s="176"/>
      <c r="BN90" s="176"/>
      <c r="BO90" s="176"/>
    </row>
    <row r="91" spans="1:67" s="36" customFormat="1" ht="10.5" customHeight="1" x14ac:dyDescent="0.2">
      <c r="A91" s="1043" t="s">
        <v>677</v>
      </c>
      <c r="B91" s="2594"/>
      <c r="C91" s="2595"/>
      <c r="D91" s="2596"/>
      <c r="E91" s="2395"/>
      <c r="F91" s="2789"/>
      <c r="G91" s="1058">
        <v>20</v>
      </c>
      <c r="H91" s="1059"/>
      <c r="I91" s="1081">
        <f t="shared" si="13"/>
        <v>6.2642070767998229E-2</v>
      </c>
      <c r="J91" s="1082">
        <f t="shared" si="14"/>
        <v>0</v>
      </c>
      <c r="K91" s="1061">
        <v>3.5</v>
      </c>
      <c r="L91" s="1305"/>
      <c r="M91" s="1086">
        <f t="shared" si="15"/>
        <v>0</v>
      </c>
      <c r="N91" s="506"/>
      <c r="O91" s="365">
        <f t="shared" si="16"/>
        <v>20</v>
      </c>
      <c r="P91" s="366"/>
      <c r="Q91" s="135"/>
      <c r="R91" s="136"/>
      <c r="S91" s="129"/>
      <c r="T91" s="129"/>
      <c r="U91" s="129"/>
      <c r="V91" s="129"/>
      <c r="W91" s="129"/>
      <c r="X91" s="129"/>
      <c r="Y91" s="129"/>
      <c r="Z91" s="133"/>
      <c r="AA91" s="133"/>
      <c r="AB91" s="133"/>
      <c r="AC91" s="133"/>
      <c r="AD91" s="133"/>
      <c r="AE91" s="133"/>
      <c r="AF91" s="222"/>
      <c r="AG91" s="222"/>
      <c r="AH91" s="222"/>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row>
    <row r="92" spans="1:67" s="36" customFormat="1" ht="10.5" customHeight="1" x14ac:dyDescent="0.2">
      <c r="A92" s="1043" t="s">
        <v>79</v>
      </c>
      <c r="B92" s="2594"/>
      <c r="C92" s="2595"/>
      <c r="D92" s="2596"/>
      <c r="E92" s="2395"/>
      <c r="F92" s="2789"/>
      <c r="G92" s="1058">
        <v>20</v>
      </c>
      <c r="H92" s="1059"/>
      <c r="I92" s="1081">
        <f t="shared" si="13"/>
        <v>6.2642070767998229E-2</v>
      </c>
      <c r="J92" s="1082">
        <f t="shared" si="14"/>
        <v>0</v>
      </c>
      <c r="K92" s="1061">
        <v>3.5</v>
      </c>
      <c r="L92" s="1305"/>
      <c r="M92" s="1086">
        <f t="shared" si="15"/>
        <v>0</v>
      </c>
      <c r="N92" s="506"/>
      <c r="O92" s="365">
        <f t="shared" si="16"/>
        <v>20</v>
      </c>
      <c r="P92" s="366"/>
      <c r="Q92" s="135"/>
      <c r="R92" s="136"/>
      <c r="S92" s="129"/>
      <c r="T92" s="129"/>
      <c r="U92" s="129"/>
      <c r="V92" s="129"/>
      <c r="W92" s="129"/>
      <c r="X92" s="129"/>
      <c r="Y92" s="129"/>
      <c r="Z92" s="133"/>
      <c r="AA92" s="133"/>
      <c r="AB92" s="133"/>
      <c r="AC92" s="133"/>
      <c r="AD92" s="133"/>
      <c r="AE92" s="133"/>
      <c r="AF92" s="222"/>
      <c r="AG92" s="222"/>
      <c r="AH92" s="222"/>
      <c r="AI92" s="176"/>
      <c r="AJ92" s="176"/>
      <c r="AK92" s="176"/>
      <c r="AL92" s="176"/>
      <c r="AM92" s="176"/>
      <c r="AN92" s="176"/>
      <c r="AO92" s="176"/>
      <c r="AP92" s="176"/>
      <c r="AQ92" s="176"/>
      <c r="AR92" s="176"/>
      <c r="AS92" s="176"/>
      <c r="AT92" s="176"/>
      <c r="AU92" s="176"/>
      <c r="AV92" s="176"/>
      <c r="AW92" s="176"/>
      <c r="AX92" s="176"/>
      <c r="AY92" s="176"/>
      <c r="AZ92" s="176"/>
      <c r="BA92" s="176"/>
      <c r="BB92" s="176"/>
      <c r="BC92" s="176"/>
      <c r="BD92" s="176"/>
      <c r="BE92" s="176"/>
      <c r="BF92" s="176"/>
      <c r="BG92" s="176"/>
      <c r="BH92" s="176"/>
      <c r="BI92" s="176"/>
      <c r="BJ92" s="176"/>
      <c r="BK92" s="176"/>
      <c r="BL92" s="176"/>
      <c r="BM92" s="176"/>
      <c r="BN92" s="176"/>
      <c r="BO92" s="176"/>
    </row>
    <row r="93" spans="1:67" s="36" customFormat="1" ht="10.5" customHeight="1" x14ac:dyDescent="0.2">
      <c r="A93" s="1043" t="s">
        <v>149</v>
      </c>
      <c r="B93" s="2594"/>
      <c r="C93" s="2595"/>
      <c r="D93" s="2596"/>
      <c r="E93" s="2395"/>
      <c r="F93" s="2789"/>
      <c r="G93" s="1058">
        <v>20</v>
      </c>
      <c r="H93" s="1059"/>
      <c r="I93" s="1081">
        <f t="shared" si="13"/>
        <v>6.2642070767998229E-2</v>
      </c>
      <c r="J93" s="1082">
        <f t="shared" si="14"/>
        <v>0</v>
      </c>
      <c r="K93" s="1061">
        <v>3.5</v>
      </c>
      <c r="L93" s="1305"/>
      <c r="M93" s="1086">
        <f t="shared" si="15"/>
        <v>0</v>
      </c>
      <c r="N93" s="506"/>
      <c r="O93" s="365">
        <f t="shared" si="16"/>
        <v>20</v>
      </c>
      <c r="P93" s="366"/>
      <c r="Q93" s="135"/>
      <c r="R93" s="136"/>
      <c r="S93" s="129"/>
      <c r="T93" s="129"/>
      <c r="U93" s="129"/>
      <c r="V93" s="129"/>
      <c r="W93" s="129"/>
      <c r="X93" s="129"/>
      <c r="Y93" s="129"/>
      <c r="Z93" s="133"/>
      <c r="AA93" s="133"/>
      <c r="AB93" s="133"/>
      <c r="AC93" s="133"/>
      <c r="AD93" s="133"/>
      <c r="AE93" s="133"/>
      <c r="AF93" s="222"/>
      <c r="AG93" s="222"/>
      <c r="AH93" s="222"/>
      <c r="AI93" s="176"/>
      <c r="AJ93" s="176"/>
      <c r="AK93" s="176"/>
      <c r="AL93" s="176"/>
      <c r="AM93" s="176"/>
      <c r="AN93" s="176"/>
      <c r="AO93" s="176"/>
      <c r="AP93" s="176"/>
      <c r="AQ93" s="176"/>
      <c r="AR93" s="176"/>
      <c r="AS93" s="176"/>
      <c r="AT93" s="176"/>
      <c r="AU93" s="176"/>
      <c r="AV93" s="176"/>
      <c r="AW93" s="176"/>
      <c r="AX93" s="176"/>
      <c r="AY93" s="176"/>
      <c r="AZ93" s="176"/>
      <c r="BA93" s="176"/>
      <c r="BB93" s="176"/>
      <c r="BC93" s="176"/>
      <c r="BD93" s="176"/>
      <c r="BE93" s="176"/>
      <c r="BF93" s="176"/>
      <c r="BG93" s="176"/>
      <c r="BH93" s="176"/>
      <c r="BI93" s="176"/>
      <c r="BJ93" s="176"/>
      <c r="BK93" s="176"/>
      <c r="BL93" s="176"/>
      <c r="BM93" s="176"/>
      <c r="BN93" s="176"/>
      <c r="BO93" s="176"/>
    </row>
    <row r="94" spans="1:67" s="36" customFormat="1" ht="10.5" customHeight="1" x14ac:dyDescent="0.2">
      <c r="A94" s="1043" t="s">
        <v>674</v>
      </c>
      <c r="B94" s="2594"/>
      <c r="C94" s="2595"/>
      <c r="D94" s="2596"/>
      <c r="E94" s="2395"/>
      <c r="F94" s="2789"/>
      <c r="G94" s="1058">
        <v>20</v>
      </c>
      <c r="H94" s="1059"/>
      <c r="I94" s="1081">
        <f t="shared" si="13"/>
        <v>6.2642070767998229E-2</v>
      </c>
      <c r="J94" s="1082">
        <f t="shared" si="14"/>
        <v>0</v>
      </c>
      <c r="K94" s="1061">
        <v>1.5</v>
      </c>
      <c r="L94" s="1305"/>
      <c r="M94" s="1086">
        <f t="shared" si="15"/>
        <v>0</v>
      </c>
      <c r="N94" s="506"/>
      <c r="O94" s="365">
        <f t="shared" si="16"/>
        <v>20</v>
      </c>
      <c r="P94" s="366"/>
      <c r="Q94" s="135"/>
      <c r="R94" s="136"/>
      <c r="S94" s="129"/>
      <c r="T94" s="129"/>
      <c r="U94" s="129"/>
      <c r="V94" s="129"/>
      <c r="W94" s="129"/>
      <c r="X94" s="129"/>
      <c r="Y94" s="129"/>
      <c r="Z94" s="133"/>
      <c r="AA94" s="133"/>
      <c r="AB94" s="133"/>
      <c r="AC94" s="133"/>
      <c r="AD94" s="133"/>
      <c r="AE94" s="133"/>
      <c r="AF94" s="222"/>
      <c r="AG94" s="222"/>
      <c r="AH94" s="222"/>
      <c r="AI94" s="176"/>
      <c r="AJ94" s="176"/>
      <c r="AK94" s="176"/>
      <c r="AL94" s="176"/>
      <c r="AM94" s="176"/>
      <c r="AN94" s="176"/>
      <c r="AO94" s="176"/>
      <c r="AP94" s="176"/>
      <c r="AQ94" s="176"/>
      <c r="AR94" s="176"/>
      <c r="AS94" s="176"/>
      <c r="AT94" s="176"/>
      <c r="AU94" s="176"/>
      <c r="AV94" s="176"/>
      <c r="AW94" s="176"/>
      <c r="AX94" s="176"/>
      <c r="AY94" s="176"/>
      <c r="AZ94" s="176"/>
      <c r="BA94" s="176"/>
      <c r="BB94" s="176"/>
      <c r="BC94" s="176"/>
      <c r="BD94" s="176"/>
      <c r="BE94" s="176"/>
      <c r="BF94" s="176"/>
      <c r="BG94" s="176"/>
      <c r="BH94" s="176"/>
      <c r="BI94" s="176"/>
      <c r="BJ94" s="176"/>
      <c r="BK94" s="176"/>
      <c r="BL94" s="176"/>
      <c r="BM94" s="176"/>
      <c r="BN94" s="176"/>
      <c r="BO94" s="176"/>
    </row>
    <row r="95" spans="1:67" s="36" customFormat="1" ht="10.5" customHeight="1" x14ac:dyDescent="0.2">
      <c r="A95" s="1043" t="s">
        <v>675</v>
      </c>
      <c r="B95" s="2594"/>
      <c r="C95" s="2595"/>
      <c r="D95" s="2596"/>
      <c r="E95" s="2395"/>
      <c r="F95" s="2789"/>
      <c r="G95" s="1058">
        <v>20</v>
      </c>
      <c r="H95" s="1059"/>
      <c r="I95" s="1081">
        <f t="shared" si="13"/>
        <v>6.2642070767998229E-2</v>
      </c>
      <c r="J95" s="1082">
        <f t="shared" ref="J95:J96" si="17">ROUND(E95*I95,0)</f>
        <v>0</v>
      </c>
      <c r="K95" s="1061">
        <v>1.5</v>
      </c>
      <c r="L95" s="1305"/>
      <c r="M95" s="1086">
        <f t="shared" ref="M95:M96" si="18">ROUND(E95/100*IF(ISBLANK(L95),K95,L95),0)</f>
        <v>0</v>
      </c>
      <c r="N95" s="704"/>
      <c r="O95" s="365">
        <f t="shared" ref="O95:O96" si="19">IF(ISBLANK(H95),G95,H95)</f>
        <v>20</v>
      </c>
      <c r="P95" s="366"/>
      <c r="Q95" s="135"/>
      <c r="R95" s="136"/>
      <c r="S95" s="129"/>
      <c r="T95" s="129"/>
      <c r="U95" s="129"/>
      <c r="V95" s="129"/>
      <c r="W95" s="129"/>
      <c r="X95" s="129"/>
      <c r="Y95" s="129"/>
      <c r="Z95" s="133"/>
      <c r="AA95" s="133"/>
      <c r="AB95" s="133"/>
      <c r="AC95" s="133"/>
      <c r="AD95" s="133"/>
      <c r="AE95" s="133"/>
      <c r="AF95" s="222"/>
      <c r="AG95" s="222"/>
      <c r="AH95" s="222"/>
      <c r="AI95" s="176"/>
      <c r="AJ95" s="176"/>
      <c r="AK95" s="176"/>
      <c r="AL95" s="176"/>
      <c r="AM95" s="176"/>
      <c r="AN95" s="176"/>
      <c r="AO95" s="176"/>
      <c r="AP95" s="176"/>
      <c r="AQ95" s="176"/>
      <c r="AR95" s="176"/>
      <c r="AS95" s="176"/>
      <c r="AT95" s="176"/>
      <c r="AU95" s="176"/>
      <c r="AV95" s="176"/>
      <c r="AW95" s="176"/>
      <c r="AX95" s="176"/>
      <c r="AY95" s="176"/>
      <c r="AZ95" s="176"/>
      <c r="BA95" s="176"/>
      <c r="BB95" s="176"/>
      <c r="BC95" s="176"/>
      <c r="BD95" s="176"/>
      <c r="BE95" s="176"/>
      <c r="BF95" s="176"/>
      <c r="BG95" s="176"/>
      <c r="BH95" s="176"/>
      <c r="BI95" s="176"/>
      <c r="BJ95" s="176"/>
      <c r="BK95" s="176"/>
      <c r="BL95" s="176"/>
      <c r="BM95" s="176"/>
      <c r="BN95" s="176"/>
      <c r="BO95" s="176"/>
    </row>
    <row r="96" spans="1:67" s="36" customFormat="1" ht="10.5" customHeight="1" x14ac:dyDescent="0.2">
      <c r="A96" s="1043" t="s">
        <v>283</v>
      </c>
      <c r="B96" s="2594"/>
      <c r="C96" s="2595"/>
      <c r="D96" s="2596"/>
      <c r="E96" s="2395"/>
      <c r="F96" s="2789"/>
      <c r="G96" s="1058">
        <v>30</v>
      </c>
      <c r="H96" s="1059"/>
      <c r="I96" s="1081">
        <f t="shared" si="13"/>
        <v>4.6199342169092869E-2</v>
      </c>
      <c r="J96" s="1082">
        <f t="shared" si="17"/>
        <v>0</v>
      </c>
      <c r="K96" s="1061">
        <v>0.5</v>
      </c>
      <c r="L96" s="1305"/>
      <c r="M96" s="1086">
        <f t="shared" si="18"/>
        <v>0</v>
      </c>
      <c r="N96" s="704"/>
      <c r="O96" s="365">
        <f t="shared" si="19"/>
        <v>30</v>
      </c>
      <c r="P96" s="366"/>
      <c r="Q96" s="135"/>
      <c r="R96" s="136"/>
      <c r="S96" s="129"/>
      <c r="T96" s="129"/>
      <c r="U96" s="129"/>
      <c r="V96" s="129"/>
      <c r="W96" s="129"/>
      <c r="X96" s="129"/>
      <c r="Y96" s="129"/>
      <c r="Z96" s="133"/>
      <c r="AA96" s="133"/>
      <c r="AB96" s="133"/>
      <c r="AC96" s="133"/>
      <c r="AD96" s="133"/>
      <c r="AE96" s="133"/>
      <c r="AF96" s="222"/>
      <c r="AG96" s="222"/>
      <c r="AH96" s="222"/>
      <c r="AI96" s="176"/>
      <c r="AJ96" s="176"/>
      <c r="AK96" s="176"/>
      <c r="AL96" s="176"/>
      <c r="AM96" s="176"/>
      <c r="AN96" s="176"/>
      <c r="AO96" s="176"/>
      <c r="AP96" s="176"/>
      <c r="AQ96" s="176"/>
      <c r="AR96" s="176"/>
      <c r="AS96" s="176"/>
      <c r="AT96" s="176"/>
      <c r="AU96" s="176"/>
      <c r="AV96" s="176"/>
      <c r="AW96" s="176"/>
      <c r="AX96" s="176"/>
      <c r="AY96" s="176"/>
      <c r="AZ96" s="176"/>
      <c r="BA96" s="176"/>
      <c r="BB96" s="176"/>
      <c r="BC96" s="176"/>
      <c r="BD96" s="176"/>
      <c r="BE96" s="176"/>
      <c r="BF96" s="176"/>
      <c r="BG96" s="176"/>
      <c r="BH96" s="176"/>
      <c r="BI96" s="176"/>
      <c r="BJ96" s="176"/>
      <c r="BK96" s="176"/>
      <c r="BL96" s="176"/>
      <c r="BM96" s="176"/>
      <c r="BN96" s="176"/>
      <c r="BO96" s="176"/>
    </row>
    <row r="97" spans="1:67" s="36" customFormat="1" ht="10.5" customHeight="1" x14ac:dyDescent="0.2">
      <c r="A97" s="1043" t="s">
        <v>284</v>
      </c>
      <c r="B97" s="2594"/>
      <c r="C97" s="2595"/>
      <c r="D97" s="2596"/>
      <c r="E97" s="2395"/>
      <c r="F97" s="2789"/>
      <c r="G97" s="1058">
        <v>30</v>
      </c>
      <c r="H97" s="1059"/>
      <c r="I97" s="1081">
        <f t="shared" si="13"/>
        <v>4.6199342169092869E-2</v>
      </c>
      <c r="J97" s="1082">
        <f t="shared" si="14"/>
        <v>0</v>
      </c>
      <c r="K97" s="1061">
        <v>0.5</v>
      </c>
      <c r="L97" s="1305"/>
      <c r="M97" s="1086">
        <f t="shared" si="15"/>
        <v>0</v>
      </c>
      <c r="N97" s="506"/>
      <c r="O97" s="365">
        <f t="shared" si="16"/>
        <v>30</v>
      </c>
      <c r="P97" s="366"/>
      <c r="Q97" s="135"/>
      <c r="R97" s="136"/>
      <c r="S97" s="129"/>
      <c r="T97" s="129"/>
      <c r="U97" s="129"/>
      <c r="V97" s="129"/>
      <c r="W97" s="129"/>
      <c r="X97" s="129"/>
      <c r="Y97" s="129"/>
      <c r="Z97" s="133"/>
      <c r="AA97" s="133"/>
      <c r="AB97" s="133"/>
      <c r="AC97" s="133"/>
      <c r="AD97" s="133"/>
      <c r="AE97" s="133"/>
      <c r="AF97" s="222"/>
      <c r="AG97" s="222"/>
      <c r="AH97" s="222"/>
      <c r="AI97" s="176"/>
      <c r="AJ97" s="176"/>
      <c r="AK97" s="176"/>
      <c r="AL97" s="176"/>
      <c r="AM97" s="176"/>
      <c r="AN97" s="176"/>
      <c r="AO97" s="176"/>
      <c r="AP97" s="176"/>
      <c r="AQ97" s="176"/>
      <c r="AR97" s="176"/>
      <c r="AS97" s="176"/>
      <c r="AT97" s="176"/>
      <c r="AU97" s="176"/>
      <c r="AV97" s="176"/>
      <c r="AW97" s="176"/>
      <c r="AX97" s="176"/>
      <c r="AY97" s="176"/>
      <c r="AZ97" s="176"/>
      <c r="BA97" s="176"/>
      <c r="BB97" s="176"/>
      <c r="BC97" s="176"/>
      <c r="BD97" s="176"/>
      <c r="BE97" s="176"/>
      <c r="BF97" s="176"/>
      <c r="BG97" s="176"/>
      <c r="BH97" s="176"/>
      <c r="BI97" s="176"/>
      <c r="BJ97" s="176"/>
      <c r="BK97" s="176"/>
      <c r="BL97" s="176"/>
      <c r="BM97" s="176"/>
      <c r="BN97" s="176"/>
      <c r="BO97" s="176"/>
    </row>
    <row r="98" spans="1:67" s="36" customFormat="1" ht="10.5" customHeight="1" x14ac:dyDescent="0.2">
      <c r="A98" s="1043" t="s">
        <v>274</v>
      </c>
      <c r="B98" s="2594"/>
      <c r="C98" s="2595"/>
      <c r="D98" s="2596"/>
      <c r="E98" s="2395"/>
      <c r="F98" s="2789"/>
      <c r="G98" s="1058">
        <v>30</v>
      </c>
      <c r="H98" s="1059"/>
      <c r="I98" s="1081">
        <f t="shared" si="13"/>
        <v>4.6199342169092869E-2</v>
      </c>
      <c r="J98" s="1082">
        <f t="shared" si="14"/>
        <v>0</v>
      </c>
      <c r="K98" s="1061">
        <v>0</v>
      </c>
      <c r="L98" s="1305"/>
      <c r="M98" s="1086">
        <f t="shared" si="15"/>
        <v>0</v>
      </c>
      <c r="N98" s="506"/>
      <c r="O98" s="365">
        <f t="shared" si="16"/>
        <v>30</v>
      </c>
      <c r="P98" s="366"/>
      <c r="Q98" s="135"/>
      <c r="R98" s="136"/>
      <c r="S98" s="129"/>
      <c r="T98" s="129"/>
      <c r="U98" s="129"/>
      <c r="V98" s="129"/>
      <c r="W98" s="129"/>
      <c r="X98" s="129"/>
      <c r="Y98" s="129"/>
      <c r="Z98" s="133"/>
      <c r="AA98" s="133"/>
      <c r="AB98" s="133"/>
      <c r="AC98" s="133"/>
      <c r="AD98" s="133"/>
      <c r="AE98" s="133"/>
      <c r="AF98" s="222"/>
      <c r="AG98" s="222"/>
      <c r="AH98" s="222"/>
      <c r="AI98" s="176"/>
      <c r="AJ98" s="176"/>
      <c r="AK98" s="176"/>
      <c r="AL98" s="176"/>
      <c r="AM98" s="176"/>
      <c r="AN98" s="176"/>
      <c r="AO98" s="176"/>
      <c r="AP98" s="176"/>
      <c r="AQ98" s="176"/>
      <c r="AR98" s="176"/>
      <c r="AS98" s="176"/>
      <c r="AT98" s="176"/>
      <c r="AU98" s="176"/>
      <c r="AV98" s="176"/>
      <c r="AW98" s="176"/>
      <c r="AX98" s="176"/>
      <c r="AY98" s="176"/>
      <c r="AZ98" s="176"/>
      <c r="BA98" s="176"/>
      <c r="BB98" s="176"/>
      <c r="BC98" s="176"/>
      <c r="BD98" s="176"/>
      <c r="BE98" s="176"/>
      <c r="BF98" s="176"/>
      <c r="BG98" s="176"/>
      <c r="BH98" s="176"/>
      <c r="BI98" s="176"/>
      <c r="BJ98" s="176"/>
      <c r="BK98" s="176"/>
      <c r="BL98" s="176"/>
      <c r="BM98" s="176"/>
      <c r="BN98" s="176"/>
      <c r="BO98" s="176"/>
    </row>
    <row r="99" spans="1:67" s="36" customFormat="1" ht="10.5" customHeight="1" x14ac:dyDescent="0.2">
      <c r="A99" s="1055"/>
      <c r="B99" s="2594"/>
      <c r="C99" s="2595"/>
      <c r="D99" s="2596"/>
      <c r="E99" s="2395"/>
      <c r="F99" s="2396"/>
      <c r="G99" s="2590"/>
      <c r="H99" s="2591"/>
      <c r="I99" s="1081">
        <f t="shared" si="13"/>
        <v>0</v>
      </c>
      <c r="J99" s="1082">
        <f t="shared" si="14"/>
        <v>0</v>
      </c>
      <c r="K99" s="2588"/>
      <c r="L99" s="2589"/>
      <c r="M99" s="1086">
        <f t="shared" si="15"/>
        <v>0</v>
      </c>
      <c r="N99" s="506"/>
      <c r="O99" s="365">
        <f t="shared" si="16"/>
        <v>0</v>
      </c>
      <c r="P99" s="366"/>
      <c r="Q99" s="135"/>
      <c r="R99" s="136"/>
      <c r="S99" s="129"/>
      <c r="T99" s="129"/>
      <c r="U99" s="129"/>
      <c r="V99" s="129"/>
      <c r="W99" s="129"/>
      <c r="X99" s="129"/>
      <c r="Y99" s="129"/>
      <c r="Z99" s="133"/>
      <c r="AA99" s="133"/>
      <c r="AB99" s="133"/>
      <c r="AC99" s="133"/>
      <c r="AD99" s="133"/>
      <c r="AE99" s="133"/>
      <c r="AF99" s="222"/>
      <c r="AG99" s="222"/>
      <c r="AH99" s="222"/>
      <c r="AI99" s="176"/>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row>
    <row r="100" spans="1:67" s="36" customFormat="1" ht="10.5" customHeight="1" x14ac:dyDescent="0.2">
      <c r="A100" s="1055"/>
      <c r="B100" s="2594"/>
      <c r="C100" s="2595"/>
      <c r="D100" s="2596"/>
      <c r="E100" s="2395"/>
      <c r="F100" s="2396"/>
      <c r="G100" s="2590"/>
      <c r="H100" s="2591"/>
      <c r="I100" s="1081">
        <f t="shared" si="13"/>
        <v>0</v>
      </c>
      <c r="J100" s="1082">
        <f t="shared" si="14"/>
        <v>0</v>
      </c>
      <c r="K100" s="2588"/>
      <c r="L100" s="2589"/>
      <c r="M100" s="1086">
        <f t="shared" si="15"/>
        <v>0</v>
      </c>
      <c r="N100" s="506"/>
      <c r="O100" s="365">
        <f t="shared" si="16"/>
        <v>0</v>
      </c>
      <c r="P100" s="366"/>
      <c r="Q100" s="135"/>
      <c r="R100" s="136"/>
      <c r="S100" s="129"/>
      <c r="T100" s="129"/>
      <c r="U100" s="129"/>
      <c r="V100" s="129"/>
      <c r="W100" s="129"/>
      <c r="X100" s="129"/>
      <c r="Y100" s="129"/>
      <c r="Z100" s="133"/>
      <c r="AA100" s="133"/>
      <c r="AB100" s="133"/>
      <c r="AC100" s="133"/>
      <c r="AD100" s="133"/>
      <c r="AE100" s="133"/>
      <c r="AF100" s="222"/>
      <c r="AG100" s="222"/>
      <c r="AH100" s="222"/>
      <c r="AI100" s="176"/>
      <c r="AJ100" s="176"/>
      <c r="AK100" s="176"/>
      <c r="AL100" s="176"/>
      <c r="AM100" s="176"/>
      <c r="AN100" s="176"/>
      <c r="AO100" s="176"/>
      <c r="AP100" s="176"/>
      <c r="AQ100" s="176"/>
      <c r="AR100" s="176"/>
      <c r="AS100" s="176"/>
      <c r="AT100" s="176"/>
      <c r="AU100" s="176"/>
      <c r="AV100" s="176"/>
      <c r="AW100" s="176"/>
      <c r="AX100" s="176"/>
      <c r="AY100" s="176"/>
      <c r="AZ100" s="176"/>
      <c r="BA100" s="176"/>
      <c r="BB100" s="176"/>
      <c r="BC100" s="176"/>
      <c r="BD100" s="176"/>
      <c r="BE100" s="176"/>
      <c r="BF100" s="176"/>
      <c r="BG100" s="176"/>
      <c r="BH100" s="176"/>
      <c r="BI100" s="176"/>
      <c r="BJ100" s="176"/>
      <c r="BK100" s="176"/>
      <c r="BL100" s="176"/>
      <c r="BM100" s="176"/>
      <c r="BN100" s="176"/>
      <c r="BO100" s="176"/>
    </row>
    <row r="101" spans="1:67" s="36" customFormat="1" ht="10.5" customHeight="1" x14ac:dyDescent="0.2">
      <c r="A101" s="1348"/>
      <c r="B101" s="2690"/>
      <c r="C101" s="2691"/>
      <c r="D101" s="2692"/>
      <c r="E101" s="2601"/>
      <c r="F101" s="2602"/>
      <c r="G101" s="1088"/>
      <c r="H101" s="1089"/>
      <c r="I101" s="1083">
        <f t="shared" si="13"/>
        <v>0</v>
      </c>
      <c r="J101" s="1084"/>
      <c r="K101" s="1087"/>
      <c r="L101" s="1307"/>
      <c r="M101" s="1317">
        <f t="shared" si="15"/>
        <v>0</v>
      </c>
      <c r="N101" s="506"/>
      <c r="O101" s="365">
        <f t="shared" si="16"/>
        <v>0</v>
      </c>
      <c r="P101" s="366"/>
      <c r="Q101" s="135"/>
      <c r="R101" s="136"/>
      <c r="S101" s="129"/>
      <c r="T101" s="129"/>
      <c r="U101" s="129"/>
      <c r="V101" s="129"/>
      <c r="W101" s="129"/>
      <c r="X101" s="129"/>
      <c r="Y101" s="129"/>
      <c r="Z101" s="133"/>
      <c r="AA101" s="133"/>
      <c r="AB101" s="133"/>
      <c r="AC101" s="133"/>
      <c r="AD101" s="133"/>
      <c r="AE101" s="133"/>
      <c r="AF101" s="222"/>
      <c r="AG101" s="222"/>
      <c r="AH101" s="222"/>
      <c r="AI101" s="176"/>
      <c r="AJ101" s="176"/>
      <c r="AK101" s="176"/>
      <c r="AL101" s="176"/>
      <c r="AM101" s="176"/>
      <c r="AN101" s="176"/>
      <c r="AO101" s="176"/>
      <c r="AP101" s="176"/>
      <c r="AQ101" s="176"/>
      <c r="AR101" s="176"/>
      <c r="AS101" s="176"/>
      <c r="AT101" s="176"/>
      <c r="AU101" s="176"/>
      <c r="AV101" s="176"/>
      <c r="AW101" s="176"/>
      <c r="AX101" s="176"/>
      <c r="AY101" s="176"/>
      <c r="AZ101" s="176"/>
      <c r="BA101" s="176"/>
      <c r="BB101" s="176"/>
      <c r="BC101" s="176"/>
      <c r="BD101" s="176"/>
      <c r="BE101" s="176"/>
      <c r="BF101" s="176"/>
      <c r="BG101" s="176"/>
      <c r="BH101" s="176"/>
      <c r="BI101" s="176"/>
      <c r="BJ101" s="176"/>
      <c r="BK101" s="176"/>
      <c r="BL101" s="176"/>
      <c r="BM101" s="176"/>
      <c r="BN101" s="176"/>
      <c r="BO101" s="176"/>
    </row>
    <row r="102" spans="1:67" s="36" customFormat="1" ht="10.5" customHeight="1" x14ac:dyDescent="0.2">
      <c r="A102" s="1115" t="s">
        <v>285</v>
      </c>
      <c r="B102" s="2611"/>
      <c r="C102" s="2612"/>
      <c r="D102" s="2613"/>
      <c r="E102" s="2676">
        <f>SUM(E103:E115)</f>
        <v>0</v>
      </c>
      <c r="F102" s="2677"/>
      <c r="G102" s="2678"/>
      <c r="H102" s="2679"/>
      <c r="I102" s="1116">
        <f>IF(E102=0,0,J102/E102)</f>
        <v>0</v>
      </c>
      <c r="J102" s="1117">
        <f>SUM(J103:J115)</f>
        <v>0</v>
      </c>
      <c r="K102" s="2686">
        <f>IF(E102=0,0,M102/E102*100)</f>
        <v>0</v>
      </c>
      <c r="L102" s="2687"/>
      <c r="M102" s="1118">
        <f>SUM(M103:M115)</f>
        <v>0</v>
      </c>
      <c r="N102" s="506"/>
      <c r="O102" s="178">
        <f>IF(H102="",G102,H102)</f>
        <v>0</v>
      </c>
      <c r="P102" s="366"/>
      <c r="Q102" s="135"/>
      <c r="R102" s="136"/>
      <c r="S102" s="129"/>
      <c r="T102" s="129"/>
      <c r="U102" s="129"/>
      <c r="V102" s="129"/>
      <c r="W102" s="129"/>
      <c r="X102" s="129"/>
      <c r="Y102" s="129"/>
      <c r="Z102" s="133"/>
      <c r="AA102" s="133"/>
      <c r="AB102" s="133"/>
      <c r="AC102" s="133"/>
      <c r="AD102" s="133"/>
      <c r="AE102" s="133"/>
      <c r="AF102" s="222"/>
      <c r="AG102" s="222"/>
      <c r="AH102" s="222"/>
      <c r="AI102" s="176"/>
      <c r="AJ102" s="176"/>
      <c r="AK102" s="176"/>
      <c r="AL102" s="176"/>
      <c r="AM102" s="176"/>
      <c r="AN102" s="176"/>
      <c r="AO102" s="176"/>
      <c r="AP102" s="176"/>
      <c r="AQ102" s="176"/>
      <c r="AR102" s="176"/>
      <c r="AS102" s="176"/>
      <c r="AT102" s="176"/>
      <c r="AU102" s="176"/>
      <c r="AV102" s="176"/>
      <c r="AW102" s="176"/>
      <c r="AX102" s="176"/>
      <c r="AY102" s="176"/>
      <c r="AZ102" s="176"/>
      <c r="BA102" s="176"/>
      <c r="BB102" s="176"/>
      <c r="BC102" s="176"/>
      <c r="BD102" s="176"/>
      <c r="BE102" s="176"/>
      <c r="BF102" s="176"/>
      <c r="BG102" s="176"/>
      <c r="BH102" s="176"/>
      <c r="BI102" s="176"/>
      <c r="BJ102" s="176"/>
      <c r="BK102" s="176"/>
      <c r="BL102" s="176"/>
      <c r="BM102" s="176"/>
      <c r="BN102" s="176"/>
      <c r="BO102" s="176"/>
    </row>
    <row r="103" spans="1:67" s="36" customFormat="1" ht="10.5" customHeight="1" x14ac:dyDescent="0.2">
      <c r="A103" s="1359" t="s">
        <v>397</v>
      </c>
      <c r="B103" s="2743"/>
      <c r="C103" s="2744"/>
      <c r="D103" s="2745"/>
      <c r="E103" s="2746"/>
      <c r="F103" s="2788"/>
      <c r="G103" s="1056">
        <v>20</v>
      </c>
      <c r="H103" s="1057"/>
      <c r="I103" s="1079">
        <f t="shared" ref="I103:I116" si="20">IF($O103&gt;0,-PMT(($I$9),$O103,1),0)</f>
        <v>6.2642070767998229E-2</v>
      </c>
      <c r="J103" s="1080">
        <f t="shared" ref="J103:J115" si="21">ROUND(E103*I103,0)</f>
        <v>0</v>
      </c>
      <c r="K103" s="1060">
        <v>2.5</v>
      </c>
      <c r="L103" s="1304"/>
      <c r="M103" s="1085">
        <f t="shared" ref="M103:M116" si="22">ROUND(E103/100*IF(ISBLANK(L103),K103,L103),0)</f>
        <v>0</v>
      </c>
      <c r="N103" s="506"/>
      <c r="O103" s="365">
        <f t="shared" ref="O103:O116" si="23">IF(ISBLANK(H103),G103,H103)</f>
        <v>20</v>
      </c>
      <c r="P103" s="366"/>
      <c r="Q103" s="135"/>
      <c r="R103" s="136"/>
      <c r="S103" s="129"/>
      <c r="T103" s="129"/>
      <c r="U103" s="129"/>
      <c r="V103" s="129"/>
      <c r="W103" s="129"/>
      <c r="X103" s="129"/>
      <c r="Y103" s="129"/>
      <c r="Z103" s="133"/>
      <c r="AA103" s="133"/>
      <c r="AB103" s="133"/>
      <c r="AC103" s="133"/>
      <c r="AD103" s="133"/>
      <c r="AE103" s="133"/>
      <c r="AF103" s="222"/>
      <c r="AG103" s="222"/>
      <c r="AH103" s="222"/>
      <c r="AI103" s="176"/>
      <c r="AJ103" s="176"/>
      <c r="AK103" s="176"/>
      <c r="AL103" s="176"/>
      <c r="AM103" s="176"/>
      <c r="AN103" s="176"/>
      <c r="AO103" s="176"/>
      <c r="AP103" s="176"/>
      <c r="AQ103" s="176"/>
      <c r="AR103" s="176"/>
      <c r="AS103" s="176"/>
      <c r="AT103" s="176"/>
      <c r="AU103" s="176"/>
      <c r="AV103" s="176"/>
      <c r="AW103" s="176"/>
      <c r="AX103" s="176"/>
      <c r="AY103" s="176"/>
      <c r="AZ103" s="176"/>
      <c r="BA103" s="176"/>
      <c r="BB103" s="176"/>
      <c r="BC103" s="176"/>
      <c r="BD103" s="176"/>
      <c r="BE103" s="176"/>
      <c r="BF103" s="176"/>
      <c r="BG103" s="176"/>
      <c r="BH103" s="176"/>
      <c r="BI103" s="176"/>
      <c r="BJ103" s="176"/>
      <c r="BK103" s="176"/>
      <c r="BL103" s="176"/>
      <c r="BM103" s="176"/>
      <c r="BN103" s="176"/>
      <c r="BO103" s="176"/>
    </row>
    <row r="104" spans="1:67" s="36" customFormat="1" ht="10.5" customHeight="1" x14ac:dyDescent="0.2">
      <c r="A104" s="1043" t="s">
        <v>398</v>
      </c>
      <c r="B104" s="2594"/>
      <c r="C104" s="2595"/>
      <c r="D104" s="2596"/>
      <c r="E104" s="2395"/>
      <c r="F104" s="2789"/>
      <c r="G104" s="1058">
        <v>20</v>
      </c>
      <c r="H104" s="1059"/>
      <c r="I104" s="1081">
        <f t="shared" si="20"/>
        <v>6.2642070767998229E-2</v>
      </c>
      <c r="J104" s="1082">
        <f t="shared" si="21"/>
        <v>0</v>
      </c>
      <c r="K104" s="1061">
        <v>2.5</v>
      </c>
      <c r="L104" s="1305"/>
      <c r="M104" s="1086">
        <f t="shared" si="22"/>
        <v>0</v>
      </c>
      <c r="N104" s="506"/>
      <c r="O104" s="365">
        <f t="shared" si="23"/>
        <v>20</v>
      </c>
      <c r="P104" s="366"/>
      <c r="Q104" s="135"/>
      <c r="R104" s="136"/>
      <c r="S104" s="129"/>
      <c r="T104" s="129"/>
      <c r="U104" s="129"/>
      <c r="V104" s="129"/>
      <c r="W104" s="129"/>
      <c r="X104" s="129"/>
      <c r="Y104" s="129"/>
      <c r="Z104" s="133"/>
      <c r="AA104" s="133"/>
      <c r="AB104" s="133"/>
      <c r="AC104" s="133"/>
      <c r="AD104" s="133"/>
      <c r="AE104" s="133"/>
      <c r="AF104" s="222"/>
      <c r="AG104" s="222"/>
      <c r="AH104" s="222"/>
      <c r="AI104" s="176"/>
      <c r="AJ104" s="176"/>
      <c r="AK104" s="176"/>
      <c r="AL104" s="176"/>
      <c r="AM104" s="176"/>
      <c r="AN104" s="176"/>
      <c r="AO104" s="176"/>
      <c r="AP104" s="176"/>
      <c r="AQ104" s="176"/>
      <c r="AR104" s="176"/>
      <c r="AS104" s="176"/>
      <c r="AT104" s="176"/>
      <c r="AU104" s="176"/>
      <c r="AV104" s="176"/>
      <c r="AW104" s="176"/>
      <c r="AX104" s="176"/>
      <c r="AY104" s="176"/>
      <c r="AZ104" s="176"/>
      <c r="BA104" s="176"/>
      <c r="BB104" s="176"/>
      <c r="BC104" s="176"/>
      <c r="BD104" s="176"/>
      <c r="BE104" s="176"/>
      <c r="BF104" s="176"/>
      <c r="BG104" s="176"/>
      <c r="BH104" s="176"/>
      <c r="BI104" s="176"/>
      <c r="BJ104" s="176"/>
      <c r="BK104" s="176"/>
      <c r="BL104" s="176"/>
      <c r="BM104" s="176"/>
      <c r="BN104" s="176"/>
      <c r="BO104" s="176"/>
    </row>
    <row r="105" spans="1:67" s="36" customFormat="1" ht="10.5" customHeight="1" x14ac:dyDescent="0.2">
      <c r="A105" s="1043" t="s">
        <v>286</v>
      </c>
      <c r="B105" s="2594"/>
      <c r="C105" s="2595"/>
      <c r="D105" s="2596"/>
      <c r="E105" s="2395"/>
      <c r="F105" s="2789"/>
      <c r="G105" s="1058">
        <v>15</v>
      </c>
      <c r="H105" s="1059"/>
      <c r="I105" s="1081">
        <f t="shared" si="20"/>
        <v>7.9288524964265278E-2</v>
      </c>
      <c r="J105" s="1082">
        <f t="shared" si="21"/>
        <v>0</v>
      </c>
      <c r="K105" s="1061">
        <v>3.5</v>
      </c>
      <c r="L105" s="1305"/>
      <c r="M105" s="1086">
        <f t="shared" si="22"/>
        <v>0</v>
      </c>
      <c r="N105" s="506"/>
      <c r="O105" s="365">
        <f t="shared" si="23"/>
        <v>15</v>
      </c>
      <c r="P105" s="366"/>
      <c r="Q105" s="135"/>
      <c r="R105" s="136"/>
      <c r="S105" s="129"/>
      <c r="T105" s="129"/>
      <c r="U105" s="129"/>
      <c r="V105" s="129"/>
      <c r="W105" s="129"/>
      <c r="X105" s="129"/>
      <c r="Y105" s="129"/>
      <c r="Z105" s="133"/>
      <c r="AA105" s="133"/>
      <c r="AB105" s="133"/>
      <c r="AC105" s="133"/>
      <c r="AD105" s="133"/>
      <c r="AE105" s="133"/>
      <c r="AF105" s="222"/>
      <c r="AG105" s="222"/>
      <c r="AH105" s="222"/>
      <c r="AI105" s="176"/>
      <c r="AJ105" s="176"/>
      <c r="AK105" s="176"/>
      <c r="AL105" s="176"/>
      <c r="AM105" s="176"/>
      <c r="AN105" s="176"/>
      <c r="AO105" s="176"/>
      <c r="AP105" s="176"/>
      <c r="AQ105" s="176"/>
      <c r="AR105" s="176"/>
      <c r="AS105" s="176"/>
      <c r="AT105" s="176"/>
      <c r="AU105" s="176"/>
      <c r="AV105" s="176"/>
      <c r="AW105" s="176"/>
      <c r="AX105" s="176"/>
      <c r="AY105" s="176"/>
      <c r="AZ105" s="176"/>
      <c r="BA105" s="176"/>
      <c r="BB105" s="176"/>
      <c r="BC105" s="176"/>
      <c r="BD105" s="176"/>
      <c r="BE105" s="176"/>
      <c r="BF105" s="176"/>
      <c r="BG105" s="176"/>
      <c r="BH105" s="176"/>
      <c r="BI105" s="176"/>
      <c r="BJ105" s="176"/>
      <c r="BK105" s="176"/>
      <c r="BL105" s="176"/>
      <c r="BM105" s="176"/>
      <c r="BN105" s="176"/>
      <c r="BO105" s="176"/>
    </row>
    <row r="106" spans="1:67" s="36" customFormat="1" ht="10.5" customHeight="1" x14ac:dyDescent="0.2">
      <c r="A106" s="1043" t="s">
        <v>287</v>
      </c>
      <c r="B106" s="2594"/>
      <c r="C106" s="2595"/>
      <c r="D106" s="2596"/>
      <c r="E106" s="2395"/>
      <c r="F106" s="2789"/>
      <c r="G106" s="1058">
        <v>15</v>
      </c>
      <c r="H106" s="1059"/>
      <c r="I106" s="1081">
        <f t="shared" si="20"/>
        <v>7.9288524964265278E-2</v>
      </c>
      <c r="J106" s="1082">
        <f t="shared" si="21"/>
        <v>0</v>
      </c>
      <c r="K106" s="1061">
        <v>3.5</v>
      </c>
      <c r="L106" s="1305"/>
      <c r="M106" s="1086">
        <f t="shared" si="22"/>
        <v>0</v>
      </c>
      <c r="N106" s="506"/>
      <c r="O106" s="365">
        <f t="shared" si="23"/>
        <v>15</v>
      </c>
      <c r="P106" s="366"/>
      <c r="Q106" s="135"/>
      <c r="R106" s="136"/>
      <c r="S106" s="129"/>
      <c r="T106" s="129"/>
      <c r="U106" s="129"/>
      <c r="V106" s="129"/>
      <c r="W106" s="129"/>
      <c r="X106" s="129"/>
      <c r="Y106" s="129"/>
      <c r="Z106" s="133"/>
      <c r="AA106" s="133"/>
      <c r="AB106" s="133"/>
      <c r="AC106" s="133"/>
      <c r="AD106" s="133"/>
      <c r="AE106" s="133"/>
      <c r="AF106" s="222"/>
      <c r="AG106" s="222"/>
      <c r="AH106" s="222"/>
      <c r="AI106" s="176"/>
      <c r="AJ106" s="176"/>
      <c r="AK106" s="176"/>
      <c r="AL106" s="176"/>
      <c r="AM106" s="176"/>
      <c r="AN106" s="176"/>
      <c r="AO106" s="176"/>
      <c r="AP106" s="176"/>
      <c r="AQ106" s="176"/>
      <c r="AR106" s="176"/>
      <c r="AS106" s="176"/>
      <c r="AT106" s="176"/>
      <c r="AU106" s="176"/>
      <c r="AV106" s="176"/>
      <c r="AW106" s="176"/>
      <c r="AX106" s="176"/>
      <c r="AY106" s="176"/>
      <c r="AZ106" s="176"/>
      <c r="BA106" s="176"/>
      <c r="BB106" s="176"/>
      <c r="BC106" s="176"/>
      <c r="BD106" s="176"/>
      <c r="BE106" s="176"/>
      <c r="BF106" s="176"/>
      <c r="BG106" s="176"/>
      <c r="BH106" s="176"/>
      <c r="BI106" s="176"/>
      <c r="BJ106" s="176"/>
      <c r="BK106" s="176"/>
      <c r="BL106" s="176"/>
      <c r="BM106" s="176"/>
      <c r="BN106" s="176"/>
      <c r="BO106" s="176"/>
    </row>
    <row r="107" spans="1:67" s="36" customFormat="1" ht="10.5" customHeight="1" x14ac:dyDescent="0.2">
      <c r="A107" s="1055"/>
      <c r="B107" s="2594"/>
      <c r="C107" s="2595"/>
      <c r="D107" s="2596"/>
      <c r="E107" s="2395"/>
      <c r="F107" s="2396"/>
      <c r="G107" s="2590"/>
      <c r="H107" s="2591"/>
      <c r="I107" s="1081">
        <f t="shared" si="20"/>
        <v>0</v>
      </c>
      <c r="J107" s="1082">
        <f t="shared" si="21"/>
        <v>0</v>
      </c>
      <c r="K107" s="2588"/>
      <c r="L107" s="2589"/>
      <c r="M107" s="1086">
        <f t="shared" si="22"/>
        <v>0</v>
      </c>
      <c r="N107" s="506"/>
      <c r="O107" s="365">
        <f t="shared" si="23"/>
        <v>0</v>
      </c>
      <c r="P107" s="366"/>
      <c r="Q107" s="135"/>
      <c r="R107" s="136"/>
      <c r="S107" s="129"/>
      <c r="T107" s="129"/>
      <c r="U107" s="129"/>
      <c r="V107" s="129"/>
      <c r="W107" s="129"/>
      <c r="X107" s="129"/>
      <c r="Y107" s="129"/>
      <c r="Z107" s="133"/>
      <c r="AA107" s="133"/>
      <c r="AB107" s="133"/>
      <c r="AC107" s="133"/>
      <c r="AD107" s="133"/>
      <c r="AE107" s="133"/>
      <c r="AF107" s="222"/>
      <c r="AG107" s="222"/>
      <c r="AH107" s="222"/>
      <c r="AI107" s="176"/>
      <c r="AJ107" s="176"/>
      <c r="AK107" s="176"/>
      <c r="AL107" s="176"/>
      <c r="AM107" s="176"/>
      <c r="AN107" s="176"/>
      <c r="AO107" s="176"/>
      <c r="AP107" s="176"/>
      <c r="AQ107" s="176"/>
      <c r="AR107" s="176"/>
      <c r="AS107" s="176"/>
      <c r="AT107" s="176"/>
      <c r="AU107" s="176"/>
      <c r="AV107" s="176"/>
      <c r="AW107" s="176"/>
      <c r="AX107" s="176"/>
      <c r="AY107" s="176"/>
      <c r="AZ107" s="176"/>
      <c r="BA107" s="176"/>
      <c r="BB107" s="176"/>
      <c r="BC107" s="176"/>
      <c r="BD107" s="176"/>
      <c r="BE107" s="176"/>
      <c r="BF107" s="176"/>
      <c r="BG107" s="176"/>
      <c r="BH107" s="176"/>
      <c r="BI107" s="176"/>
      <c r="BJ107" s="176"/>
      <c r="BK107" s="176"/>
      <c r="BL107" s="176"/>
      <c r="BM107" s="176"/>
      <c r="BN107" s="176"/>
      <c r="BO107" s="176"/>
    </row>
    <row r="108" spans="1:67" s="36" customFormat="1" ht="10.5" customHeight="1" x14ac:dyDescent="0.2">
      <c r="A108" s="1055"/>
      <c r="B108" s="2594"/>
      <c r="C108" s="2595"/>
      <c r="D108" s="2596"/>
      <c r="E108" s="2395"/>
      <c r="F108" s="2396"/>
      <c r="G108" s="2590"/>
      <c r="H108" s="2591"/>
      <c r="I108" s="1081">
        <f t="shared" si="20"/>
        <v>0</v>
      </c>
      <c r="J108" s="1082">
        <f t="shared" si="21"/>
        <v>0</v>
      </c>
      <c r="K108" s="2588"/>
      <c r="L108" s="2589"/>
      <c r="M108" s="1086">
        <f t="shared" si="22"/>
        <v>0</v>
      </c>
      <c r="N108" s="506"/>
      <c r="O108" s="365">
        <f t="shared" si="23"/>
        <v>0</v>
      </c>
      <c r="P108" s="366"/>
      <c r="Q108" s="135"/>
      <c r="R108" s="136"/>
      <c r="S108" s="129"/>
      <c r="T108" s="129"/>
      <c r="U108" s="129"/>
      <c r="V108" s="129"/>
      <c r="W108" s="129"/>
      <c r="X108" s="129"/>
      <c r="Y108" s="129"/>
      <c r="Z108" s="133"/>
      <c r="AA108" s="133"/>
      <c r="AB108" s="133"/>
      <c r="AC108" s="133"/>
      <c r="AD108" s="133"/>
      <c r="AE108" s="133"/>
      <c r="AF108" s="222"/>
      <c r="AG108" s="222"/>
      <c r="AH108" s="222"/>
      <c r="AI108" s="176"/>
      <c r="AJ108" s="176"/>
      <c r="AK108" s="176"/>
      <c r="AL108" s="176"/>
      <c r="AM108" s="176"/>
      <c r="AN108" s="176"/>
      <c r="AO108" s="176"/>
      <c r="AP108" s="176"/>
      <c r="AQ108" s="176"/>
      <c r="AR108" s="176"/>
      <c r="AS108" s="176"/>
      <c r="AT108" s="176"/>
      <c r="AU108" s="176"/>
      <c r="AV108" s="176"/>
      <c r="AW108" s="176"/>
      <c r="AX108" s="176"/>
      <c r="AY108" s="176"/>
      <c r="AZ108" s="176"/>
      <c r="BA108" s="176"/>
      <c r="BB108" s="176"/>
      <c r="BC108" s="176"/>
      <c r="BD108" s="176"/>
      <c r="BE108" s="176"/>
      <c r="BF108" s="176"/>
      <c r="BG108" s="176"/>
      <c r="BH108" s="176"/>
      <c r="BI108" s="176"/>
      <c r="BJ108" s="176"/>
      <c r="BK108" s="176"/>
      <c r="BL108" s="176"/>
      <c r="BM108" s="176"/>
      <c r="BN108" s="176"/>
      <c r="BO108" s="176"/>
    </row>
    <row r="109" spans="1:67" s="36" customFormat="1" ht="10.5" customHeight="1" x14ac:dyDescent="0.2">
      <c r="A109" s="1055"/>
      <c r="B109" s="2594"/>
      <c r="C109" s="2595"/>
      <c r="D109" s="2596"/>
      <c r="E109" s="2395"/>
      <c r="F109" s="2396"/>
      <c r="G109" s="2590"/>
      <c r="H109" s="2591"/>
      <c r="I109" s="1081">
        <f t="shared" si="20"/>
        <v>0</v>
      </c>
      <c r="J109" s="1082">
        <f t="shared" si="21"/>
        <v>0</v>
      </c>
      <c r="K109" s="2588"/>
      <c r="L109" s="2589"/>
      <c r="M109" s="1086">
        <f t="shared" si="22"/>
        <v>0</v>
      </c>
      <c r="N109" s="506"/>
      <c r="O109" s="365">
        <f t="shared" si="23"/>
        <v>0</v>
      </c>
      <c r="P109" s="366"/>
      <c r="Q109" s="135"/>
      <c r="R109" s="136"/>
      <c r="S109" s="129"/>
      <c r="T109" s="129"/>
      <c r="U109" s="129"/>
      <c r="V109" s="129"/>
      <c r="W109" s="129"/>
      <c r="X109" s="129"/>
      <c r="Y109" s="129"/>
      <c r="Z109" s="133"/>
      <c r="AA109" s="133"/>
      <c r="AB109" s="133"/>
      <c r="AC109" s="133"/>
      <c r="AD109" s="133"/>
      <c r="AE109" s="133"/>
      <c r="AF109" s="222"/>
      <c r="AG109" s="222"/>
      <c r="AH109" s="222"/>
      <c r="AI109" s="176"/>
      <c r="AJ109" s="176"/>
      <c r="AK109" s="176"/>
      <c r="AL109" s="176"/>
      <c r="AM109" s="176"/>
      <c r="AN109" s="176"/>
      <c r="AO109" s="176"/>
      <c r="AP109" s="176"/>
      <c r="AQ109" s="176"/>
      <c r="AR109" s="176"/>
      <c r="AS109" s="176"/>
      <c r="AT109" s="176"/>
      <c r="AU109" s="176"/>
      <c r="AV109" s="176"/>
      <c r="AW109" s="176"/>
      <c r="AX109" s="176"/>
      <c r="AY109" s="176"/>
      <c r="AZ109" s="176"/>
      <c r="BA109" s="176"/>
      <c r="BB109" s="176"/>
      <c r="BC109" s="176"/>
      <c r="BD109" s="176"/>
      <c r="BE109" s="176"/>
      <c r="BF109" s="176"/>
      <c r="BG109" s="176"/>
      <c r="BH109" s="176"/>
      <c r="BI109" s="176"/>
      <c r="BJ109" s="176"/>
      <c r="BK109" s="176"/>
      <c r="BL109" s="176"/>
      <c r="BM109" s="176"/>
      <c r="BN109" s="176"/>
      <c r="BO109" s="176"/>
    </row>
    <row r="110" spans="1:67" s="36" customFormat="1" ht="10.5" customHeight="1" x14ac:dyDescent="0.2">
      <c r="A110" s="1055"/>
      <c r="B110" s="2594"/>
      <c r="C110" s="2595"/>
      <c r="D110" s="2596"/>
      <c r="E110" s="2395"/>
      <c r="F110" s="2396"/>
      <c r="G110" s="2590"/>
      <c r="H110" s="2591"/>
      <c r="I110" s="1081">
        <f t="shared" si="20"/>
        <v>0</v>
      </c>
      <c r="J110" s="1082">
        <f t="shared" si="21"/>
        <v>0</v>
      </c>
      <c r="K110" s="2588"/>
      <c r="L110" s="2589"/>
      <c r="M110" s="1086">
        <f t="shared" si="22"/>
        <v>0</v>
      </c>
      <c r="N110" s="506"/>
      <c r="O110" s="365">
        <f t="shared" si="23"/>
        <v>0</v>
      </c>
      <c r="P110" s="366"/>
      <c r="Q110" s="135"/>
      <c r="R110" s="136"/>
      <c r="S110" s="129"/>
      <c r="T110" s="129"/>
      <c r="U110" s="129"/>
      <c r="V110" s="129"/>
      <c r="W110" s="129"/>
      <c r="X110" s="129"/>
      <c r="Y110" s="129"/>
      <c r="Z110" s="133"/>
      <c r="AA110" s="133"/>
      <c r="AB110" s="133"/>
      <c r="AC110" s="133"/>
      <c r="AD110" s="133"/>
      <c r="AE110" s="133"/>
      <c r="AF110" s="222"/>
      <c r="AG110" s="222"/>
      <c r="AH110" s="222"/>
      <c r="AI110" s="176"/>
      <c r="AJ110" s="176"/>
      <c r="AK110" s="176"/>
      <c r="AL110" s="176"/>
      <c r="AM110" s="176"/>
      <c r="AN110" s="176"/>
      <c r="AO110" s="176"/>
      <c r="AP110" s="176"/>
      <c r="AQ110" s="176"/>
      <c r="AR110" s="176"/>
      <c r="AS110" s="176"/>
      <c r="AT110" s="176"/>
      <c r="AU110" s="176"/>
      <c r="AV110" s="176"/>
      <c r="AW110" s="176"/>
      <c r="AX110" s="176"/>
      <c r="AY110" s="176"/>
      <c r="AZ110" s="176"/>
      <c r="BA110" s="176"/>
      <c r="BB110" s="176"/>
      <c r="BC110" s="176"/>
      <c r="BD110" s="176"/>
      <c r="BE110" s="176"/>
      <c r="BF110" s="176"/>
      <c r="BG110" s="176"/>
      <c r="BH110" s="176"/>
      <c r="BI110" s="176"/>
      <c r="BJ110" s="176"/>
      <c r="BK110" s="176"/>
      <c r="BL110" s="176"/>
      <c r="BM110" s="176"/>
      <c r="BN110" s="176"/>
      <c r="BO110" s="176"/>
    </row>
    <row r="111" spans="1:67" s="36" customFormat="1" ht="10.5" customHeight="1" x14ac:dyDescent="0.2">
      <c r="A111" s="1055"/>
      <c r="B111" s="2594"/>
      <c r="C111" s="2595"/>
      <c r="D111" s="2596"/>
      <c r="E111" s="2395"/>
      <c r="F111" s="2396"/>
      <c r="G111" s="2590"/>
      <c r="H111" s="2591"/>
      <c r="I111" s="1081">
        <f t="shared" si="20"/>
        <v>0</v>
      </c>
      <c r="J111" s="1082">
        <f t="shared" si="21"/>
        <v>0</v>
      </c>
      <c r="K111" s="2588"/>
      <c r="L111" s="2589"/>
      <c r="M111" s="1086">
        <f t="shared" si="22"/>
        <v>0</v>
      </c>
      <c r="N111" s="506"/>
      <c r="O111" s="365">
        <f t="shared" si="23"/>
        <v>0</v>
      </c>
      <c r="P111" s="366"/>
      <c r="Q111" s="135"/>
      <c r="R111" s="136"/>
      <c r="S111" s="129"/>
      <c r="T111" s="129"/>
      <c r="U111" s="129"/>
      <c r="V111" s="129"/>
      <c r="W111" s="129"/>
      <c r="X111" s="129"/>
      <c r="Y111" s="129"/>
      <c r="Z111" s="133"/>
      <c r="AA111" s="133"/>
      <c r="AB111" s="133"/>
      <c r="AC111" s="133"/>
      <c r="AD111" s="133"/>
      <c r="AE111" s="133"/>
      <c r="AF111" s="222"/>
      <c r="AG111" s="222"/>
      <c r="AH111" s="222"/>
      <c r="AI111" s="176"/>
      <c r="AJ111" s="176"/>
      <c r="AK111" s="176"/>
      <c r="AL111" s="176"/>
      <c r="AM111" s="176"/>
      <c r="AN111" s="176"/>
      <c r="AO111" s="176"/>
      <c r="AP111" s="176"/>
      <c r="AQ111" s="176"/>
      <c r="AR111" s="176"/>
      <c r="AS111" s="176"/>
      <c r="AT111" s="176"/>
      <c r="AU111" s="176"/>
      <c r="AV111" s="176"/>
      <c r="AW111" s="176"/>
      <c r="AX111" s="176"/>
      <c r="AY111" s="176"/>
      <c r="AZ111" s="176"/>
      <c r="BA111" s="176"/>
      <c r="BB111" s="176"/>
      <c r="BC111" s="176"/>
      <c r="BD111" s="176"/>
      <c r="BE111" s="176"/>
      <c r="BF111" s="176"/>
      <c r="BG111" s="176"/>
      <c r="BH111" s="176"/>
      <c r="BI111" s="176"/>
      <c r="BJ111" s="176"/>
      <c r="BK111" s="176"/>
      <c r="BL111" s="176"/>
      <c r="BM111" s="176"/>
      <c r="BN111" s="176"/>
      <c r="BO111" s="176"/>
    </row>
    <row r="112" spans="1:67" s="36" customFormat="1" ht="10.5" customHeight="1" x14ac:dyDescent="0.2">
      <c r="A112" s="1055"/>
      <c r="B112" s="2594"/>
      <c r="C112" s="2595"/>
      <c r="D112" s="2596"/>
      <c r="E112" s="2395"/>
      <c r="F112" s="2396"/>
      <c r="G112" s="2590"/>
      <c r="H112" s="2591"/>
      <c r="I112" s="1081">
        <f t="shared" si="20"/>
        <v>0</v>
      </c>
      <c r="J112" s="1082">
        <f t="shared" si="21"/>
        <v>0</v>
      </c>
      <c r="K112" s="2588"/>
      <c r="L112" s="2589"/>
      <c r="M112" s="1086">
        <f t="shared" si="22"/>
        <v>0</v>
      </c>
      <c r="N112" s="506"/>
      <c r="O112" s="365">
        <f t="shared" si="23"/>
        <v>0</v>
      </c>
      <c r="P112" s="366"/>
      <c r="Q112" s="135"/>
      <c r="R112" s="136"/>
      <c r="S112" s="129"/>
      <c r="T112" s="129"/>
      <c r="U112" s="129"/>
      <c r="V112" s="129"/>
      <c r="W112" s="129"/>
      <c r="X112" s="129"/>
      <c r="Y112" s="129"/>
      <c r="Z112" s="133"/>
      <c r="AA112" s="133"/>
      <c r="AB112" s="133"/>
      <c r="AC112" s="133"/>
      <c r="AD112" s="133"/>
      <c r="AE112" s="133"/>
      <c r="AF112" s="222"/>
      <c r="AG112" s="222"/>
      <c r="AH112" s="222"/>
      <c r="AI112" s="176"/>
      <c r="AJ112" s="176"/>
      <c r="AK112" s="176"/>
      <c r="AL112" s="176"/>
      <c r="AM112" s="176"/>
      <c r="AN112" s="176"/>
      <c r="AO112" s="176"/>
      <c r="AP112" s="176"/>
      <c r="AQ112" s="176"/>
      <c r="AR112" s="176"/>
      <c r="AS112" s="176"/>
      <c r="AT112" s="176"/>
      <c r="AU112" s="176"/>
      <c r="AV112" s="176"/>
      <c r="AW112" s="176"/>
      <c r="AX112" s="176"/>
      <c r="AY112" s="176"/>
      <c r="AZ112" s="176"/>
      <c r="BA112" s="176"/>
      <c r="BB112" s="176"/>
      <c r="BC112" s="176"/>
      <c r="BD112" s="176"/>
      <c r="BE112" s="176"/>
      <c r="BF112" s="176"/>
      <c r="BG112" s="176"/>
      <c r="BH112" s="176"/>
      <c r="BI112" s="176"/>
      <c r="BJ112" s="176"/>
      <c r="BK112" s="176"/>
      <c r="BL112" s="176"/>
      <c r="BM112" s="176"/>
      <c r="BN112" s="176"/>
      <c r="BO112" s="176"/>
    </row>
    <row r="113" spans="1:67" s="36" customFormat="1" ht="10.5" customHeight="1" x14ac:dyDescent="0.2">
      <c r="A113" s="1055"/>
      <c r="B113" s="2594"/>
      <c r="C113" s="2595"/>
      <c r="D113" s="2596"/>
      <c r="E113" s="2395"/>
      <c r="F113" s="2396"/>
      <c r="G113" s="2590"/>
      <c r="H113" s="2591"/>
      <c r="I113" s="1081">
        <f t="shared" si="20"/>
        <v>0</v>
      </c>
      <c r="J113" s="1082">
        <f t="shared" si="21"/>
        <v>0</v>
      </c>
      <c r="K113" s="2588"/>
      <c r="L113" s="2589"/>
      <c r="M113" s="1086">
        <f t="shared" si="22"/>
        <v>0</v>
      </c>
      <c r="N113" s="506"/>
      <c r="O113" s="365">
        <f t="shared" si="23"/>
        <v>0</v>
      </c>
      <c r="P113" s="366"/>
      <c r="Q113" s="135"/>
      <c r="R113" s="136"/>
      <c r="S113" s="129"/>
      <c r="T113" s="129"/>
      <c r="U113" s="129"/>
      <c r="V113" s="129"/>
      <c r="W113" s="129"/>
      <c r="X113" s="129"/>
      <c r="Y113" s="129"/>
      <c r="Z113" s="133"/>
      <c r="AA113" s="133"/>
      <c r="AB113" s="133"/>
      <c r="AC113" s="133"/>
      <c r="AD113" s="133"/>
      <c r="AE113" s="133"/>
      <c r="AF113" s="222"/>
      <c r="AG113" s="222"/>
      <c r="AH113" s="222"/>
      <c r="AI113" s="176"/>
      <c r="AJ113" s="176"/>
      <c r="AK113" s="176"/>
      <c r="AL113" s="176"/>
      <c r="AM113" s="176"/>
      <c r="AN113" s="176"/>
      <c r="AO113" s="176"/>
      <c r="AP113" s="176"/>
      <c r="AQ113" s="176"/>
      <c r="AR113" s="176"/>
      <c r="AS113" s="176"/>
      <c r="AT113" s="176"/>
      <c r="AU113" s="176"/>
      <c r="AV113" s="176"/>
      <c r="AW113" s="176"/>
      <c r="AX113" s="176"/>
      <c r="AY113" s="176"/>
      <c r="AZ113" s="176"/>
      <c r="BA113" s="176"/>
      <c r="BB113" s="176"/>
      <c r="BC113" s="176"/>
      <c r="BD113" s="176"/>
      <c r="BE113" s="176"/>
      <c r="BF113" s="176"/>
      <c r="BG113" s="176"/>
      <c r="BH113" s="176"/>
      <c r="BI113" s="176"/>
      <c r="BJ113" s="176"/>
      <c r="BK113" s="176"/>
      <c r="BL113" s="176"/>
      <c r="BM113" s="176"/>
      <c r="BN113" s="176"/>
      <c r="BO113" s="176"/>
    </row>
    <row r="114" spans="1:67" s="36" customFormat="1" ht="10.5" customHeight="1" x14ac:dyDescent="0.2">
      <c r="A114" s="1055"/>
      <c r="B114" s="2594"/>
      <c r="C114" s="2595"/>
      <c r="D114" s="2596"/>
      <c r="E114" s="2395"/>
      <c r="F114" s="2396"/>
      <c r="G114" s="2590"/>
      <c r="H114" s="2591"/>
      <c r="I114" s="1081">
        <f t="shared" si="20"/>
        <v>0</v>
      </c>
      <c r="J114" s="1082">
        <f t="shared" si="21"/>
        <v>0</v>
      </c>
      <c r="K114" s="2588"/>
      <c r="L114" s="2589"/>
      <c r="M114" s="1086">
        <f t="shared" si="22"/>
        <v>0</v>
      </c>
      <c r="N114" s="506"/>
      <c r="O114" s="365">
        <f t="shared" si="23"/>
        <v>0</v>
      </c>
      <c r="P114" s="366"/>
      <c r="Q114" s="135"/>
      <c r="R114" s="136"/>
      <c r="S114" s="129"/>
      <c r="T114" s="129"/>
      <c r="U114" s="129"/>
      <c r="V114" s="129"/>
      <c r="W114" s="129"/>
      <c r="X114" s="129"/>
      <c r="Y114" s="129"/>
      <c r="Z114" s="133"/>
      <c r="AA114" s="133"/>
      <c r="AB114" s="133"/>
      <c r="AC114" s="133"/>
      <c r="AD114" s="133"/>
      <c r="AE114" s="133"/>
      <c r="AF114" s="222"/>
      <c r="AG114" s="222"/>
      <c r="AH114" s="222"/>
      <c r="AI114" s="176"/>
      <c r="AJ114" s="176"/>
      <c r="AK114" s="176"/>
      <c r="AL114" s="176"/>
      <c r="AM114" s="176"/>
      <c r="AN114" s="176"/>
      <c r="AO114" s="176"/>
      <c r="AP114" s="176"/>
      <c r="AQ114" s="176"/>
      <c r="AR114" s="176"/>
      <c r="AS114" s="176"/>
      <c r="AT114" s="176"/>
      <c r="AU114" s="176"/>
      <c r="AV114" s="176"/>
      <c r="AW114" s="176"/>
      <c r="AX114" s="176"/>
      <c r="AY114" s="176"/>
      <c r="AZ114" s="176"/>
      <c r="BA114" s="176"/>
      <c r="BB114" s="176"/>
      <c r="BC114" s="176"/>
      <c r="BD114" s="176"/>
      <c r="BE114" s="176"/>
      <c r="BF114" s="176"/>
      <c r="BG114" s="176"/>
      <c r="BH114" s="176"/>
      <c r="BI114" s="176"/>
      <c r="BJ114" s="176"/>
      <c r="BK114" s="176"/>
      <c r="BL114" s="176"/>
      <c r="BM114" s="176"/>
      <c r="BN114" s="176"/>
      <c r="BO114" s="176"/>
    </row>
    <row r="115" spans="1:67" s="36" customFormat="1" ht="10.5" customHeight="1" x14ac:dyDescent="0.2">
      <c r="A115" s="1055"/>
      <c r="B115" s="2594"/>
      <c r="C115" s="2595"/>
      <c r="D115" s="2596"/>
      <c r="E115" s="2395"/>
      <c r="F115" s="2396"/>
      <c r="G115" s="2590"/>
      <c r="H115" s="2591"/>
      <c r="I115" s="1081">
        <f t="shared" si="20"/>
        <v>0</v>
      </c>
      <c r="J115" s="1082">
        <f t="shared" si="21"/>
        <v>0</v>
      </c>
      <c r="K115" s="2588"/>
      <c r="L115" s="2589"/>
      <c r="M115" s="1086">
        <f t="shared" si="22"/>
        <v>0</v>
      </c>
      <c r="N115" s="506"/>
      <c r="O115" s="365">
        <f t="shared" si="23"/>
        <v>0</v>
      </c>
      <c r="P115" s="366"/>
      <c r="Q115" s="135"/>
      <c r="R115" s="136"/>
      <c r="S115" s="129"/>
      <c r="T115" s="129"/>
      <c r="U115" s="129"/>
      <c r="V115" s="129"/>
      <c r="W115" s="129"/>
      <c r="X115" s="129"/>
      <c r="Y115" s="129"/>
      <c r="Z115" s="133"/>
      <c r="AA115" s="133"/>
      <c r="AB115" s="133"/>
      <c r="AC115" s="133"/>
      <c r="AD115" s="133"/>
      <c r="AE115" s="133"/>
      <c r="AF115" s="222"/>
      <c r="AG115" s="222"/>
      <c r="AH115" s="222"/>
      <c r="AI115" s="176"/>
      <c r="AJ115" s="176"/>
      <c r="AK115" s="176"/>
      <c r="AL115" s="176"/>
      <c r="AM115" s="176"/>
      <c r="AN115" s="176"/>
      <c r="AO115" s="176"/>
      <c r="AP115" s="176"/>
      <c r="AQ115" s="176"/>
      <c r="AR115" s="176"/>
      <c r="AS115" s="176"/>
      <c r="AT115" s="176"/>
      <c r="AU115" s="176"/>
      <c r="AV115" s="176"/>
      <c r="AW115" s="176"/>
      <c r="AX115" s="176"/>
      <c r="AY115" s="176"/>
      <c r="AZ115" s="176"/>
      <c r="BA115" s="176"/>
      <c r="BB115" s="176"/>
      <c r="BC115" s="176"/>
      <c r="BD115" s="176"/>
      <c r="BE115" s="176"/>
      <c r="BF115" s="176"/>
      <c r="BG115" s="176"/>
      <c r="BH115" s="176"/>
      <c r="BI115" s="176"/>
      <c r="BJ115" s="176"/>
      <c r="BK115" s="176"/>
      <c r="BL115" s="176"/>
      <c r="BM115" s="176"/>
      <c r="BN115" s="176"/>
      <c r="BO115" s="176"/>
    </row>
    <row r="116" spans="1:67" s="36" customFormat="1" ht="10.5" customHeight="1" x14ac:dyDescent="0.2">
      <c r="A116" s="1348"/>
      <c r="B116" s="2690"/>
      <c r="C116" s="2691"/>
      <c r="D116" s="2692"/>
      <c r="E116" s="2601"/>
      <c r="F116" s="2602"/>
      <c r="G116" s="1088"/>
      <c r="H116" s="1089"/>
      <c r="I116" s="1083">
        <f t="shared" si="20"/>
        <v>0</v>
      </c>
      <c r="J116" s="1084"/>
      <c r="K116" s="1087"/>
      <c r="L116" s="1307"/>
      <c r="M116" s="1317">
        <f t="shared" si="22"/>
        <v>0</v>
      </c>
      <c r="N116" s="506"/>
      <c r="O116" s="365">
        <f t="shared" si="23"/>
        <v>0</v>
      </c>
      <c r="P116" s="366"/>
      <c r="Q116" s="135"/>
      <c r="R116" s="136"/>
      <c r="S116" s="129"/>
      <c r="T116" s="129"/>
      <c r="U116" s="129"/>
      <c r="V116" s="129"/>
      <c r="W116" s="129"/>
      <c r="X116" s="129"/>
      <c r="Y116" s="129"/>
      <c r="Z116" s="133"/>
      <c r="AA116" s="133"/>
      <c r="AB116" s="133"/>
      <c r="AC116" s="133"/>
      <c r="AD116" s="133"/>
      <c r="AE116" s="133"/>
      <c r="AF116" s="222"/>
      <c r="AG116" s="222"/>
      <c r="AH116" s="222"/>
      <c r="AI116" s="176"/>
      <c r="AJ116" s="176"/>
      <c r="AK116" s="176"/>
      <c r="AL116" s="176"/>
      <c r="AM116" s="176"/>
      <c r="AN116" s="176"/>
      <c r="AO116" s="176"/>
      <c r="AP116" s="176"/>
      <c r="AQ116" s="176"/>
      <c r="AR116" s="176"/>
      <c r="AS116" s="176"/>
      <c r="AT116" s="176"/>
      <c r="AU116" s="176"/>
      <c r="AV116" s="176"/>
      <c r="AW116" s="176"/>
      <c r="AX116" s="176"/>
      <c r="AY116" s="176"/>
      <c r="AZ116" s="176"/>
      <c r="BA116" s="176"/>
      <c r="BB116" s="176"/>
      <c r="BC116" s="176"/>
      <c r="BD116" s="176"/>
      <c r="BE116" s="176"/>
      <c r="BF116" s="176"/>
      <c r="BG116" s="176"/>
      <c r="BH116" s="176"/>
      <c r="BI116" s="176"/>
      <c r="BJ116" s="176"/>
      <c r="BK116" s="176"/>
      <c r="BL116" s="176"/>
      <c r="BM116" s="176"/>
      <c r="BN116" s="176"/>
      <c r="BO116" s="176"/>
    </row>
    <row r="117" spans="1:67" s="36" customFormat="1" ht="10.5" customHeight="1" x14ac:dyDescent="0.2">
      <c r="A117" s="1115" t="s">
        <v>288</v>
      </c>
      <c r="B117" s="2611"/>
      <c r="C117" s="2612"/>
      <c r="D117" s="2613"/>
      <c r="E117" s="2676">
        <f>SUM(E118:E130)</f>
        <v>0</v>
      </c>
      <c r="F117" s="2677"/>
      <c r="G117" s="2678"/>
      <c r="H117" s="2679"/>
      <c r="I117" s="1116">
        <f>IF(E117=0,0,J117/E117)</f>
        <v>0</v>
      </c>
      <c r="J117" s="1117">
        <f>SUM(J118:J130)</f>
        <v>0</v>
      </c>
      <c r="K117" s="2686">
        <f>IF(E117=0,0,M117/E117*100)</f>
        <v>0</v>
      </c>
      <c r="L117" s="2687"/>
      <c r="M117" s="1118">
        <f>SUM(M118:M130)</f>
        <v>0</v>
      </c>
      <c r="N117" s="506"/>
      <c r="O117" s="178">
        <f>IF(H117="",G117,H117)</f>
        <v>0</v>
      </c>
      <c r="P117" s="366"/>
      <c r="Q117" s="135"/>
      <c r="R117" s="136"/>
      <c r="S117" s="129"/>
      <c r="T117" s="129"/>
      <c r="U117" s="129"/>
      <c r="V117" s="129"/>
      <c r="W117" s="129"/>
      <c r="X117" s="129"/>
      <c r="Y117" s="129"/>
      <c r="Z117" s="133"/>
      <c r="AA117" s="133"/>
      <c r="AB117" s="133"/>
      <c r="AC117" s="133"/>
      <c r="AD117" s="133"/>
      <c r="AE117" s="133"/>
      <c r="AF117" s="222"/>
      <c r="AG117" s="222"/>
      <c r="AH117" s="222"/>
      <c r="AI117" s="176"/>
      <c r="AJ117" s="176"/>
      <c r="AK117" s="176"/>
      <c r="AL117" s="176"/>
      <c r="AM117" s="176"/>
      <c r="AN117" s="176"/>
      <c r="AO117" s="176"/>
      <c r="AP117" s="176"/>
      <c r="AQ117" s="176"/>
      <c r="AR117" s="176"/>
      <c r="AS117" s="176"/>
      <c r="AT117" s="176"/>
      <c r="AU117" s="176"/>
      <c r="AV117" s="176"/>
      <c r="AW117" s="176"/>
      <c r="AX117" s="176"/>
      <c r="AY117" s="176"/>
      <c r="AZ117" s="176"/>
      <c r="BA117" s="176"/>
      <c r="BB117" s="176"/>
      <c r="BC117" s="176"/>
      <c r="BD117" s="176"/>
      <c r="BE117" s="176"/>
      <c r="BF117" s="176"/>
      <c r="BG117" s="176"/>
      <c r="BH117" s="176"/>
      <c r="BI117" s="176"/>
      <c r="BJ117" s="176"/>
      <c r="BK117" s="176"/>
      <c r="BL117" s="176"/>
      <c r="BM117" s="176"/>
      <c r="BN117" s="176"/>
      <c r="BO117" s="176"/>
    </row>
    <row r="118" spans="1:67" s="36" customFormat="1" ht="10.5" customHeight="1" x14ac:dyDescent="0.2">
      <c r="A118" s="1359" t="s">
        <v>289</v>
      </c>
      <c r="B118" s="2743"/>
      <c r="C118" s="2744"/>
      <c r="D118" s="2745"/>
      <c r="E118" s="2746"/>
      <c r="F118" s="2788"/>
      <c r="G118" s="1056">
        <v>30</v>
      </c>
      <c r="H118" s="1057"/>
      <c r="I118" s="1079">
        <f t="shared" ref="I118:I131" si="24">IF($O118&gt;0,-PMT(($I$9),$O118,1),0)</f>
        <v>4.6199342169092869E-2</v>
      </c>
      <c r="J118" s="1080">
        <f t="shared" ref="J118:J130" si="25">ROUND(E118*I118,0)</f>
        <v>0</v>
      </c>
      <c r="K118" s="1060">
        <v>1</v>
      </c>
      <c r="L118" s="1304"/>
      <c r="M118" s="1085">
        <f t="shared" ref="M118:M131" si="26">ROUND(E118/100*IF(ISBLANK(L118),K118,L118),0)</f>
        <v>0</v>
      </c>
      <c r="N118" s="506"/>
      <c r="O118" s="365">
        <f t="shared" ref="O118:O131" si="27">IF(ISBLANK(H118),G118,H118)</f>
        <v>30</v>
      </c>
      <c r="P118" s="366"/>
      <c r="Q118" s="135"/>
      <c r="R118" s="136"/>
      <c r="S118" s="129"/>
      <c r="T118" s="129"/>
      <c r="U118" s="129"/>
      <c r="V118" s="129"/>
      <c r="W118" s="129"/>
      <c r="X118" s="129"/>
      <c r="Y118" s="129"/>
      <c r="Z118" s="133"/>
      <c r="AA118" s="133"/>
      <c r="AB118" s="133"/>
      <c r="AC118" s="133"/>
      <c r="AD118" s="133"/>
      <c r="AE118" s="133"/>
      <c r="AF118" s="222"/>
      <c r="AG118" s="222"/>
      <c r="AH118" s="222"/>
      <c r="AI118" s="176"/>
      <c r="AJ118" s="176"/>
      <c r="AK118" s="176"/>
      <c r="AL118" s="176"/>
      <c r="AM118" s="176"/>
      <c r="AN118" s="176"/>
      <c r="AO118" s="176"/>
      <c r="AP118" s="176"/>
      <c r="AQ118" s="176"/>
      <c r="AR118" s="176"/>
      <c r="AS118" s="176"/>
      <c r="AT118" s="176"/>
      <c r="AU118" s="176"/>
      <c r="AV118" s="176"/>
      <c r="AW118" s="176"/>
      <c r="AX118" s="176"/>
      <c r="AY118" s="176"/>
      <c r="AZ118" s="176"/>
      <c r="BA118" s="176"/>
      <c r="BB118" s="176"/>
      <c r="BC118" s="176"/>
      <c r="BD118" s="176"/>
      <c r="BE118" s="176"/>
      <c r="BF118" s="176"/>
      <c r="BG118" s="176"/>
      <c r="BH118" s="176"/>
      <c r="BI118" s="176"/>
      <c r="BJ118" s="176"/>
      <c r="BK118" s="176"/>
      <c r="BL118" s="176"/>
      <c r="BM118" s="176"/>
      <c r="BN118" s="176"/>
      <c r="BO118" s="176"/>
    </row>
    <row r="119" spans="1:67" s="36" customFormat="1" ht="10.5" customHeight="1" x14ac:dyDescent="0.2">
      <c r="A119" s="1043" t="s">
        <v>290</v>
      </c>
      <c r="B119" s="2594"/>
      <c r="C119" s="2595"/>
      <c r="D119" s="2596"/>
      <c r="E119" s="2395"/>
      <c r="F119" s="2789"/>
      <c r="G119" s="1058">
        <v>20</v>
      </c>
      <c r="H119" s="1059"/>
      <c r="I119" s="1081">
        <f t="shared" si="24"/>
        <v>6.2642070767998229E-2</v>
      </c>
      <c r="J119" s="1082">
        <f t="shared" si="25"/>
        <v>0</v>
      </c>
      <c r="K119" s="1061">
        <v>1</v>
      </c>
      <c r="L119" s="1305"/>
      <c r="M119" s="1086">
        <f t="shared" si="26"/>
        <v>0</v>
      </c>
      <c r="N119" s="506"/>
      <c r="O119" s="365">
        <f t="shared" si="27"/>
        <v>20</v>
      </c>
      <c r="P119" s="366"/>
      <c r="Q119" s="135"/>
      <c r="R119" s="136"/>
      <c r="S119" s="129"/>
      <c r="T119" s="129"/>
      <c r="U119" s="129"/>
      <c r="V119" s="129"/>
      <c r="W119" s="129"/>
      <c r="X119" s="129"/>
      <c r="Y119" s="129"/>
      <c r="Z119" s="133"/>
      <c r="AA119" s="133"/>
      <c r="AB119" s="133"/>
      <c r="AC119" s="133"/>
      <c r="AD119" s="133"/>
      <c r="AE119" s="133"/>
      <c r="AF119" s="222"/>
      <c r="AG119" s="222"/>
      <c r="AH119" s="222"/>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row>
    <row r="120" spans="1:67" s="36" customFormat="1" ht="10.5" customHeight="1" x14ac:dyDescent="0.2">
      <c r="A120" s="1043" t="s">
        <v>291</v>
      </c>
      <c r="B120" s="2594"/>
      <c r="C120" s="2595"/>
      <c r="D120" s="2596"/>
      <c r="E120" s="2395"/>
      <c r="F120" s="2789"/>
      <c r="G120" s="1058">
        <v>30</v>
      </c>
      <c r="H120" s="1059"/>
      <c r="I120" s="1081">
        <f t="shared" si="24"/>
        <v>4.6199342169092869E-2</v>
      </c>
      <c r="J120" s="1082">
        <f t="shared" si="25"/>
        <v>0</v>
      </c>
      <c r="K120" s="1061">
        <v>1</v>
      </c>
      <c r="L120" s="1305"/>
      <c r="M120" s="1086">
        <f t="shared" si="26"/>
        <v>0</v>
      </c>
      <c r="N120" s="506"/>
      <c r="O120" s="365">
        <f t="shared" si="27"/>
        <v>30</v>
      </c>
      <c r="P120" s="366"/>
      <c r="Q120" s="135"/>
      <c r="R120" s="136"/>
      <c r="S120" s="129"/>
      <c r="T120" s="129"/>
      <c r="U120" s="129"/>
      <c r="V120" s="129"/>
      <c r="W120" s="129"/>
      <c r="X120" s="129"/>
      <c r="Y120" s="129"/>
      <c r="Z120" s="133"/>
      <c r="AA120" s="133"/>
      <c r="AB120" s="133"/>
      <c r="AC120" s="133"/>
      <c r="AD120" s="133"/>
      <c r="AE120" s="133"/>
      <c r="AF120" s="222"/>
      <c r="AG120" s="222"/>
      <c r="AH120" s="222"/>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row>
    <row r="121" spans="1:67" s="36" customFormat="1" ht="10.5" customHeight="1" x14ac:dyDescent="0.2">
      <c r="A121" s="1043" t="s">
        <v>292</v>
      </c>
      <c r="B121" s="2594"/>
      <c r="C121" s="2595"/>
      <c r="D121" s="2596"/>
      <c r="E121" s="2395"/>
      <c r="F121" s="2789"/>
      <c r="G121" s="1058">
        <v>20</v>
      </c>
      <c r="H121" s="1059"/>
      <c r="I121" s="1081">
        <f t="shared" si="24"/>
        <v>6.2642070767998229E-2</v>
      </c>
      <c r="J121" s="1082">
        <f t="shared" si="25"/>
        <v>0</v>
      </c>
      <c r="K121" s="1061">
        <v>1.5</v>
      </c>
      <c r="L121" s="1305"/>
      <c r="M121" s="1086">
        <f t="shared" si="26"/>
        <v>0</v>
      </c>
      <c r="N121" s="506"/>
      <c r="O121" s="365">
        <f t="shared" si="27"/>
        <v>20</v>
      </c>
      <c r="P121" s="366"/>
      <c r="Q121" s="135"/>
      <c r="R121" s="136"/>
      <c r="S121" s="129"/>
      <c r="T121" s="129"/>
      <c r="U121" s="129"/>
      <c r="V121" s="129"/>
      <c r="W121" s="129"/>
      <c r="X121" s="129"/>
      <c r="Y121" s="129"/>
      <c r="Z121" s="133"/>
      <c r="AA121" s="133"/>
      <c r="AB121" s="133"/>
      <c r="AC121" s="133"/>
      <c r="AD121" s="133"/>
      <c r="AE121" s="133"/>
      <c r="AF121" s="222"/>
      <c r="AG121" s="222"/>
      <c r="AH121" s="222"/>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row>
    <row r="122" spans="1:67" s="36" customFormat="1" ht="10.5" customHeight="1" x14ac:dyDescent="0.2">
      <c r="A122" s="1043" t="s">
        <v>293</v>
      </c>
      <c r="B122" s="2594"/>
      <c r="C122" s="2595"/>
      <c r="D122" s="2596"/>
      <c r="E122" s="2395"/>
      <c r="F122" s="2789"/>
      <c r="G122" s="1058">
        <v>30</v>
      </c>
      <c r="H122" s="1059"/>
      <c r="I122" s="1081">
        <f t="shared" si="24"/>
        <v>4.6199342169092869E-2</v>
      </c>
      <c r="J122" s="1082">
        <f t="shared" si="25"/>
        <v>0</v>
      </c>
      <c r="K122" s="1061">
        <v>1</v>
      </c>
      <c r="L122" s="1305"/>
      <c r="M122" s="1086">
        <f t="shared" si="26"/>
        <v>0</v>
      </c>
      <c r="N122" s="506"/>
      <c r="O122" s="365">
        <f t="shared" si="27"/>
        <v>30</v>
      </c>
      <c r="P122" s="366"/>
      <c r="Q122" s="135"/>
      <c r="R122" s="136"/>
      <c r="S122" s="129"/>
      <c r="T122" s="129"/>
      <c r="U122" s="129"/>
      <c r="V122" s="129"/>
      <c r="W122" s="129"/>
      <c r="X122" s="129"/>
      <c r="Y122" s="129"/>
      <c r="Z122" s="133"/>
      <c r="AA122" s="133"/>
      <c r="AB122" s="133"/>
      <c r="AC122" s="133"/>
      <c r="AD122" s="133"/>
      <c r="AE122" s="133"/>
      <c r="AF122" s="222"/>
      <c r="AG122" s="222"/>
      <c r="AH122" s="222"/>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row>
    <row r="123" spans="1:67" s="36" customFormat="1" ht="10.5" customHeight="1" x14ac:dyDescent="0.2">
      <c r="A123" s="1043" t="s">
        <v>294</v>
      </c>
      <c r="B123" s="2594"/>
      <c r="C123" s="2595"/>
      <c r="D123" s="2596"/>
      <c r="E123" s="2395"/>
      <c r="F123" s="2789"/>
      <c r="G123" s="1058">
        <v>20</v>
      </c>
      <c r="H123" s="1059"/>
      <c r="I123" s="1081">
        <f t="shared" si="24"/>
        <v>6.2642070767998229E-2</v>
      </c>
      <c r="J123" s="1082">
        <f t="shared" si="25"/>
        <v>0</v>
      </c>
      <c r="K123" s="1061">
        <v>1</v>
      </c>
      <c r="L123" s="1305"/>
      <c r="M123" s="1086">
        <f t="shared" si="26"/>
        <v>0</v>
      </c>
      <c r="N123" s="506"/>
      <c r="O123" s="365">
        <f t="shared" si="27"/>
        <v>20</v>
      </c>
      <c r="P123" s="366"/>
      <c r="Q123" s="135"/>
      <c r="R123" s="136"/>
      <c r="S123" s="129"/>
      <c r="T123" s="129"/>
      <c r="U123" s="129"/>
      <c r="V123" s="129"/>
      <c r="W123" s="129"/>
      <c r="X123" s="129"/>
      <c r="Y123" s="129"/>
      <c r="Z123" s="133"/>
      <c r="AA123" s="133"/>
      <c r="AB123" s="133"/>
      <c r="AC123" s="133"/>
      <c r="AD123" s="133"/>
      <c r="AE123" s="133"/>
      <c r="AF123" s="222"/>
      <c r="AG123" s="222"/>
      <c r="AH123" s="222"/>
      <c r="AI123" s="176"/>
      <c r="AJ123" s="176"/>
      <c r="AK123" s="176"/>
      <c r="AL123" s="176"/>
      <c r="AM123" s="176"/>
      <c r="AN123" s="176"/>
      <c r="AO123" s="176"/>
      <c r="AP123" s="176"/>
      <c r="AQ123" s="176"/>
      <c r="AR123" s="176"/>
      <c r="AS123" s="176"/>
      <c r="AT123" s="176"/>
      <c r="AU123" s="176"/>
      <c r="AV123" s="176"/>
      <c r="AW123" s="176"/>
      <c r="AX123" s="176"/>
      <c r="AY123" s="176"/>
      <c r="AZ123" s="176"/>
      <c r="BA123" s="176"/>
      <c r="BB123" s="176"/>
      <c r="BC123" s="176"/>
      <c r="BD123" s="176"/>
      <c r="BE123" s="176"/>
      <c r="BF123" s="176"/>
      <c r="BG123" s="176"/>
      <c r="BH123" s="176"/>
      <c r="BI123" s="176"/>
      <c r="BJ123" s="176"/>
      <c r="BK123" s="176"/>
      <c r="BL123" s="176"/>
      <c r="BM123" s="176"/>
      <c r="BN123" s="176"/>
      <c r="BO123" s="176"/>
    </row>
    <row r="124" spans="1:67" s="36" customFormat="1" ht="10.5" customHeight="1" x14ac:dyDescent="0.2">
      <c r="A124" s="1043" t="s">
        <v>678</v>
      </c>
      <c r="B124" s="2594"/>
      <c r="C124" s="2595"/>
      <c r="D124" s="2596"/>
      <c r="E124" s="2395"/>
      <c r="F124" s="2789"/>
      <c r="G124" s="1058">
        <v>30</v>
      </c>
      <c r="H124" s="1059"/>
      <c r="I124" s="1081">
        <f t="shared" si="24"/>
        <v>4.6199342169092869E-2</v>
      </c>
      <c r="J124" s="1082">
        <f t="shared" si="25"/>
        <v>0</v>
      </c>
      <c r="K124" s="1061">
        <v>1</v>
      </c>
      <c r="L124" s="1305"/>
      <c r="M124" s="1086">
        <f t="shared" si="26"/>
        <v>0</v>
      </c>
      <c r="N124" s="506"/>
      <c r="O124" s="365">
        <f t="shared" si="27"/>
        <v>30</v>
      </c>
      <c r="P124" s="366"/>
      <c r="Q124" s="135"/>
      <c r="R124" s="136"/>
      <c r="S124" s="129"/>
      <c r="T124" s="129"/>
      <c r="U124" s="129"/>
      <c r="V124" s="129"/>
      <c r="W124" s="129"/>
      <c r="X124" s="129"/>
      <c r="Y124" s="129"/>
      <c r="Z124" s="133"/>
      <c r="AA124" s="133"/>
      <c r="AB124" s="133"/>
      <c r="AC124" s="133"/>
      <c r="AD124" s="133"/>
      <c r="AE124" s="133"/>
      <c r="AF124" s="222"/>
      <c r="AG124" s="222"/>
      <c r="AH124" s="222"/>
      <c r="AI124" s="176"/>
      <c r="AJ124" s="176"/>
      <c r="AK124" s="176"/>
      <c r="AL124" s="176"/>
      <c r="AM124" s="176"/>
      <c r="AN124" s="176"/>
      <c r="AO124" s="176"/>
      <c r="AP124" s="176"/>
      <c r="AQ124" s="176"/>
      <c r="AR124" s="176"/>
      <c r="AS124" s="176"/>
      <c r="AT124" s="176"/>
      <c r="AU124" s="176"/>
      <c r="AV124" s="176"/>
      <c r="AW124" s="176"/>
      <c r="AX124" s="176"/>
      <c r="AY124" s="176"/>
      <c r="AZ124" s="176"/>
      <c r="BA124" s="176"/>
      <c r="BB124" s="176"/>
      <c r="BC124" s="176"/>
      <c r="BD124" s="176"/>
      <c r="BE124" s="176"/>
      <c r="BF124" s="176"/>
      <c r="BG124" s="176"/>
      <c r="BH124" s="176"/>
      <c r="BI124" s="176"/>
      <c r="BJ124" s="176"/>
      <c r="BK124" s="176"/>
      <c r="BL124" s="176"/>
      <c r="BM124" s="176"/>
      <c r="BN124" s="176"/>
      <c r="BO124" s="176"/>
    </row>
    <row r="125" spans="1:67" s="36" customFormat="1" ht="10.5" customHeight="1" x14ac:dyDescent="0.2">
      <c r="A125" s="1043" t="s">
        <v>295</v>
      </c>
      <c r="B125" s="2594"/>
      <c r="C125" s="2595"/>
      <c r="D125" s="2596"/>
      <c r="E125" s="2395"/>
      <c r="F125" s="2789"/>
      <c r="G125" s="1058">
        <v>20</v>
      </c>
      <c r="H125" s="1059"/>
      <c r="I125" s="1081">
        <f t="shared" si="24"/>
        <v>6.2642070767998229E-2</v>
      </c>
      <c r="J125" s="1082">
        <f t="shared" si="25"/>
        <v>0</v>
      </c>
      <c r="K125" s="1061">
        <v>1.5</v>
      </c>
      <c r="L125" s="1305"/>
      <c r="M125" s="1086">
        <f t="shared" si="26"/>
        <v>0</v>
      </c>
      <c r="N125" s="506"/>
      <c r="O125" s="365">
        <f t="shared" si="27"/>
        <v>20</v>
      </c>
      <c r="P125" s="366"/>
      <c r="Q125" s="135"/>
      <c r="R125" s="136"/>
      <c r="S125" s="129"/>
      <c r="T125" s="129"/>
      <c r="U125" s="129"/>
      <c r="V125" s="129"/>
      <c r="W125" s="129"/>
      <c r="X125" s="129"/>
      <c r="Y125" s="129"/>
      <c r="Z125" s="133"/>
      <c r="AA125" s="133"/>
      <c r="AB125" s="133"/>
      <c r="AC125" s="133"/>
      <c r="AD125" s="133"/>
      <c r="AE125" s="133"/>
      <c r="AF125" s="222"/>
      <c r="AG125" s="222"/>
      <c r="AH125" s="222"/>
      <c r="AI125" s="176"/>
      <c r="AJ125" s="176"/>
      <c r="AK125" s="176"/>
      <c r="AL125" s="176"/>
      <c r="AM125" s="176"/>
      <c r="AN125" s="176"/>
      <c r="AO125" s="176"/>
      <c r="AP125" s="176"/>
      <c r="AQ125" s="176"/>
      <c r="AR125" s="176"/>
      <c r="AS125" s="176"/>
      <c r="AT125" s="176"/>
      <c r="AU125" s="176"/>
      <c r="AV125" s="176"/>
      <c r="AW125" s="176"/>
      <c r="AX125" s="176"/>
      <c r="AY125" s="176"/>
      <c r="AZ125" s="176"/>
      <c r="BA125" s="176"/>
      <c r="BB125" s="176"/>
      <c r="BC125" s="176"/>
      <c r="BD125" s="176"/>
      <c r="BE125" s="176"/>
      <c r="BF125" s="176"/>
      <c r="BG125" s="176"/>
      <c r="BH125" s="176"/>
      <c r="BI125" s="176"/>
      <c r="BJ125" s="176"/>
      <c r="BK125" s="176"/>
      <c r="BL125" s="176"/>
      <c r="BM125" s="176"/>
      <c r="BN125" s="176"/>
      <c r="BO125" s="176"/>
    </row>
    <row r="126" spans="1:67" s="36" customFormat="1" ht="10.5" customHeight="1" x14ac:dyDescent="0.2">
      <c r="A126" s="1043" t="s">
        <v>273</v>
      </c>
      <c r="B126" s="2594"/>
      <c r="C126" s="2595"/>
      <c r="D126" s="2596"/>
      <c r="E126" s="2395"/>
      <c r="F126" s="2789"/>
      <c r="G126" s="1058">
        <v>20</v>
      </c>
      <c r="H126" s="1059"/>
      <c r="I126" s="1081">
        <f t="shared" si="24"/>
        <v>6.2642070767998229E-2</v>
      </c>
      <c r="J126" s="1082">
        <f t="shared" si="25"/>
        <v>0</v>
      </c>
      <c r="K126" s="1061">
        <v>8</v>
      </c>
      <c r="L126" s="1305"/>
      <c r="M126" s="1086">
        <f t="shared" si="26"/>
        <v>0</v>
      </c>
      <c r="N126" s="506"/>
      <c r="O126" s="365">
        <f t="shared" si="27"/>
        <v>20</v>
      </c>
      <c r="P126" s="366"/>
      <c r="Q126" s="135"/>
      <c r="R126" s="136"/>
      <c r="S126" s="129"/>
      <c r="T126" s="129"/>
      <c r="U126" s="129"/>
      <c r="V126" s="129"/>
      <c r="W126" s="129"/>
      <c r="X126" s="129"/>
      <c r="Y126" s="129"/>
      <c r="Z126" s="133"/>
      <c r="AA126" s="133"/>
      <c r="AB126" s="133"/>
      <c r="AC126" s="133"/>
      <c r="AD126" s="133"/>
      <c r="AE126" s="133"/>
      <c r="AF126" s="222"/>
      <c r="AG126" s="222"/>
      <c r="AH126" s="222"/>
      <c r="AI126" s="176"/>
      <c r="AJ126" s="176"/>
      <c r="AK126" s="176"/>
      <c r="AL126" s="176"/>
      <c r="AM126" s="176"/>
      <c r="AN126" s="176"/>
      <c r="AO126" s="176"/>
      <c r="AP126" s="176"/>
      <c r="AQ126" s="176"/>
      <c r="AR126" s="176"/>
      <c r="AS126" s="176"/>
      <c r="AT126" s="176"/>
      <c r="AU126" s="176"/>
      <c r="AV126" s="176"/>
      <c r="AW126" s="176"/>
      <c r="AX126" s="176"/>
      <c r="AY126" s="176"/>
      <c r="AZ126" s="176"/>
      <c r="BA126" s="176"/>
      <c r="BB126" s="176"/>
      <c r="BC126" s="176"/>
      <c r="BD126" s="176"/>
      <c r="BE126" s="176"/>
      <c r="BF126" s="176"/>
      <c r="BG126" s="176"/>
      <c r="BH126" s="176"/>
      <c r="BI126" s="176"/>
      <c r="BJ126" s="176"/>
      <c r="BK126" s="176"/>
      <c r="BL126" s="176"/>
      <c r="BM126" s="176"/>
      <c r="BN126" s="176"/>
      <c r="BO126" s="176"/>
    </row>
    <row r="127" spans="1:67" s="36" customFormat="1" ht="10.5" customHeight="1" x14ac:dyDescent="0.2">
      <c r="A127" s="1043" t="s">
        <v>274</v>
      </c>
      <c r="B127" s="2594"/>
      <c r="C127" s="2595"/>
      <c r="D127" s="2596"/>
      <c r="E127" s="2395"/>
      <c r="F127" s="2789"/>
      <c r="G127" s="1058">
        <v>30</v>
      </c>
      <c r="H127" s="1059"/>
      <c r="I127" s="1081">
        <f t="shared" si="24"/>
        <v>4.6199342169092869E-2</v>
      </c>
      <c r="J127" s="1082">
        <f t="shared" si="25"/>
        <v>0</v>
      </c>
      <c r="K127" s="1061"/>
      <c r="L127" s="1305"/>
      <c r="M127" s="1086">
        <f t="shared" si="26"/>
        <v>0</v>
      </c>
      <c r="N127" s="506"/>
      <c r="O127" s="365">
        <f t="shared" si="27"/>
        <v>30</v>
      </c>
      <c r="P127" s="366"/>
      <c r="Q127" s="135"/>
      <c r="R127" s="136"/>
      <c r="S127" s="129"/>
      <c r="T127" s="129"/>
      <c r="U127" s="129"/>
      <c r="V127" s="129"/>
      <c r="W127" s="129"/>
      <c r="X127" s="129"/>
      <c r="Y127" s="129"/>
      <c r="Z127" s="133"/>
      <c r="AA127" s="133"/>
      <c r="AB127" s="133"/>
      <c r="AC127" s="133"/>
      <c r="AD127" s="133"/>
      <c r="AE127" s="133"/>
      <c r="AF127" s="222"/>
      <c r="AG127" s="222"/>
      <c r="AH127" s="222"/>
      <c r="AI127" s="176"/>
      <c r="AJ127" s="176"/>
      <c r="AK127" s="176"/>
      <c r="AL127" s="176"/>
      <c r="AM127" s="176"/>
      <c r="AN127" s="176"/>
      <c r="AO127" s="176"/>
      <c r="AP127" s="176"/>
      <c r="AQ127" s="176"/>
      <c r="AR127" s="176"/>
      <c r="AS127" s="176"/>
      <c r="AT127" s="176"/>
      <c r="AU127" s="176"/>
      <c r="AV127" s="176"/>
      <c r="AW127" s="176"/>
      <c r="AX127" s="176"/>
      <c r="AY127" s="176"/>
      <c r="AZ127" s="176"/>
      <c r="BA127" s="176"/>
      <c r="BB127" s="176"/>
      <c r="BC127" s="176"/>
      <c r="BD127" s="176"/>
      <c r="BE127" s="176"/>
      <c r="BF127" s="176"/>
      <c r="BG127" s="176"/>
      <c r="BH127" s="176"/>
      <c r="BI127" s="176"/>
      <c r="BJ127" s="176"/>
      <c r="BK127" s="176"/>
      <c r="BL127" s="176"/>
      <c r="BM127" s="176"/>
      <c r="BN127" s="176"/>
      <c r="BO127" s="176"/>
    </row>
    <row r="128" spans="1:67" s="36" customFormat="1" ht="10.5" customHeight="1" x14ac:dyDescent="0.2">
      <c r="A128" s="1055"/>
      <c r="B128" s="2594"/>
      <c r="C128" s="2595"/>
      <c r="D128" s="2596"/>
      <c r="E128" s="2395"/>
      <c r="F128" s="2396"/>
      <c r="G128" s="2590"/>
      <c r="H128" s="2591"/>
      <c r="I128" s="1081">
        <f t="shared" si="24"/>
        <v>0</v>
      </c>
      <c r="J128" s="1082">
        <f t="shared" si="25"/>
        <v>0</v>
      </c>
      <c r="K128" s="2588"/>
      <c r="L128" s="2589"/>
      <c r="M128" s="1086">
        <f t="shared" si="26"/>
        <v>0</v>
      </c>
      <c r="N128" s="506"/>
      <c r="O128" s="365">
        <f t="shared" si="27"/>
        <v>0</v>
      </c>
      <c r="P128" s="366"/>
      <c r="Q128" s="135"/>
      <c r="R128" s="136"/>
      <c r="S128" s="129"/>
      <c r="T128" s="129"/>
      <c r="U128" s="129"/>
      <c r="V128" s="129"/>
      <c r="W128" s="129"/>
      <c r="X128" s="129"/>
      <c r="Y128" s="129"/>
      <c r="Z128" s="133"/>
      <c r="AA128" s="133"/>
      <c r="AB128" s="133"/>
      <c r="AC128" s="133"/>
      <c r="AD128" s="133"/>
      <c r="AE128" s="133"/>
      <c r="AF128" s="222"/>
      <c r="AG128" s="222"/>
      <c r="AH128" s="222"/>
      <c r="AI128" s="176"/>
      <c r="AJ128" s="176"/>
      <c r="AK128" s="176"/>
      <c r="AL128" s="176"/>
      <c r="AM128" s="176"/>
      <c r="AN128" s="176"/>
      <c r="AO128" s="176"/>
      <c r="AP128" s="176"/>
      <c r="AQ128" s="176"/>
      <c r="AR128" s="176"/>
      <c r="AS128" s="176"/>
      <c r="AT128" s="176"/>
      <c r="AU128" s="176"/>
      <c r="AV128" s="176"/>
      <c r="AW128" s="176"/>
      <c r="AX128" s="176"/>
      <c r="AY128" s="176"/>
      <c r="AZ128" s="176"/>
      <c r="BA128" s="176"/>
      <c r="BB128" s="176"/>
      <c r="BC128" s="176"/>
      <c r="BD128" s="176"/>
      <c r="BE128" s="176"/>
      <c r="BF128" s="176"/>
      <c r="BG128" s="176"/>
      <c r="BH128" s="176"/>
      <c r="BI128" s="176"/>
      <c r="BJ128" s="176"/>
      <c r="BK128" s="176"/>
      <c r="BL128" s="176"/>
      <c r="BM128" s="176"/>
      <c r="BN128" s="176"/>
      <c r="BO128" s="176"/>
    </row>
    <row r="129" spans="1:67" s="36" customFormat="1" ht="10.5" customHeight="1" x14ac:dyDescent="0.2">
      <c r="A129" s="1055"/>
      <c r="B129" s="2594"/>
      <c r="C129" s="2595"/>
      <c r="D129" s="2596"/>
      <c r="E129" s="2395"/>
      <c r="F129" s="2396"/>
      <c r="G129" s="2590"/>
      <c r="H129" s="2591"/>
      <c r="I129" s="1081">
        <f t="shared" si="24"/>
        <v>0</v>
      </c>
      <c r="J129" s="1082">
        <f t="shared" si="25"/>
        <v>0</v>
      </c>
      <c r="K129" s="2588"/>
      <c r="L129" s="2589"/>
      <c r="M129" s="1086">
        <f t="shared" si="26"/>
        <v>0</v>
      </c>
      <c r="N129" s="506"/>
      <c r="O129" s="365">
        <f t="shared" si="27"/>
        <v>0</v>
      </c>
      <c r="P129" s="366"/>
      <c r="Q129" s="135"/>
      <c r="R129" s="136"/>
      <c r="S129" s="129"/>
      <c r="T129" s="129"/>
      <c r="U129" s="129"/>
      <c r="V129" s="129"/>
      <c r="W129" s="129"/>
      <c r="X129" s="129"/>
      <c r="Y129" s="129"/>
      <c r="Z129" s="133"/>
      <c r="AA129" s="133"/>
      <c r="AB129" s="133"/>
      <c r="AC129" s="133"/>
      <c r="AD129" s="133"/>
      <c r="AE129" s="133"/>
      <c r="AF129" s="222"/>
      <c r="AG129" s="222"/>
      <c r="AH129" s="222"/>
      <c r="AI129" s="176"/>
      <c r="AJ129" s="176"/>
      <c r="AK129" s="176"/>
      <c r="AL129" s="176"/>
      <c r="AM129" s="176"/>
      <c r="AN129" s="176"/>
      <c r="AO129" s="176"/>
      <c r="AP129" s="176"/>
      <c r="AQ129" s="176"/>
      <c r="AR129" s="176"/>
      <c r="AS129" s="176"/>
      <c r="AT129" s="176"/>
      <c r="AU129" s="176"/>
      <c r="AV129" s="176"/>
      <c r="AW129" s="176"/>
      <c r="AX129" s="176"/>
      <c r="AY129" s="176"/>
      <c r="AZ129" s="176"/>
      <c r="BA129" s="176"/>
      <c r="BB129" s="176"/>
      <c r="BC129" s="176"/>
      <c r="BD129" s="176"/>
      <c r="BE129" s="176"/>
      <c r="BF129" s="176"/>
      <c r="BG129" s="176"/>
      <c r="BH129" s="176"/>
      <c r="BI129" s="176"/>
      <c r="BJ129" s="176"/>
      <c r="BK129" s="176"/>
      <c r="BL129" s="176"/>
      <c r="BM129" s="176"/>
      <c r="BN129" s="176"/>
      <c r="BO129" s="176"/>
    </row>
    <row r="130" spans="1:67" s="36" customFormat="1" ht="10.5" customHeight="1" x14ac:dyDescent="0.2">
      <c r="A130" s="1055"/>
      <c r="B130" s="2594"/>
      <c r="C130" s="2595"/>
      <c r="D130" s="2596"/>
      <c r="E130" s="2395"/>
      <c r="F130" s="2396"/>
      <c r="G130" s="2590"/>
      <c r="H130" s="2591"/>
      <c r="I130" s="1081">
        <f t="shared" si="24"/>
        <v>0</v>
      </c>
      <c r="J130" s="1082">
        <f t="shared" si="25"/>
        <v>0</v>
      </c>
      <c r="K130" s="2588"/>
      <c r="L130" s="2589"/>
      <c r="M130" s="1086">
        <f t="shared" si="26"/>
        <v>0</v>
      </c>
      <c r="N130" s="506"/>
      <c r="O130" s="365">
        <f t="shared" si="27"/>
        <v>0</v>
      </c>
      <c r="P130" s="366"/>
      <c r="Q130" s="135"/>
      <c r="R130" s="136"/>
      <c r="S130" s="129"/>
      <c r="T130" s="129"/>
      <c r="U130" s="129"/>
      <c r="V130" s="129"/>
      <c r="W130" s="129"/>
      <c r="X130" s="129"/>
      <c r="Y130" s="129"/>
      <c r="Z130" s="133"/>
      <c r="AA130" s="133"/>
      <c r="AB130" s="133"/>
      <c r="AC130" s="133"/>
      <c r="AD130" s="133"/>
      <c r="AE130" s="133"/>
      <c r="AF130" s="222"/>
      <c r="AG130" s="222"/>
      <c r="AH130" s="222"/>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row>
    <row r="131" spans="1:67" s="36" customFormat="1" ht="10.5" customHeight="1" x14ac:dyDescent="0.2">
      <c r="A131" s="1348"/>
      <c r="B131" s="2690"/>
      <c r="C131" s="2691"/>
      <c r="D131" s="2692"/>
      <c r="E131" s="2601"/>
      <c r="F131" s="2602"/>
      <c r="G131" s="1088"/>
      <c r="H131" s="1089"/>
      <c r="I131" s="1083">
        <f t="shared" si="24"/>
        <v>0</v>
      </c>
      <c r="J131" s="1084"/>
      <c r="K131" s="1087"/>
      <c r="L131" s="1307"/>
      <c r="M131" s="1317">
        <f t="shared" si="26"/>
        <v>0</v>
      </c>
      <c r="N131" s="506"/>
      <c r="O131" s="365">
        <f t="shared" si="27"/>
        <v>0</v>
      </c>
      <c r="P131" s="366"/>
      <c r="Q131" s="135"/>
      <c r="R131" s="136"/>
      <c r="S131" s="129"/>
      <c r="T131" s="129"/>
      <c r="U131" s="129"/>
      <c r="V131" s="129"/>
      <c r="W131" s="129"/>
      <c r="X131" s="129"/>
      <c r="Y131" s="129"/>
      <c r="Z131" s="133"/>
      <c r="AA131" s="133"/>
      <c r="AB131" s="133"/>
      <c r="AC131" s="133"/>
      <c r="AD131" s="133"/>
      <c r="AE131" s="133"/>
      <c r="AF131" s="222"/>
      <c r="AG131" s="222"/>
      <c r="AH131" s="222"/>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row>
    <row r="132" spans="1:67" s="36" customFormat="1" ht="10.5" customHeight="1" x14ac:dyDescent="0.2">
      <c r="A132" s="1115" t="s">
        <v>296</v>
      </c>
      <c r="B132" s="2611"/>
      <c r="C132" s="2612"/>
      <c r="D132" s="2613"/>
      <c r="E132" s="2676">
        <f>SUM(E133:E145)</f>
        <v>0</v>
      </c>
      <c r="F132" s="2677"/>
      <c r="G132" s="2678"/>
      <c r="H132" s="2679"/>
      <c r="I132" s="1116">
        <f>IF(E132=0,0,J132/E132)</f>
        <v>0</v>
      </c>
      <c r="J132" s="1117">
        <f>SUM(J133:J145)</f>
        <v>0</v>
      </c>
      <c r="K132" s="2686">
        <f>IF(E132=0,0,M132/E132*100)</f>
        <v>0</v>
      </c>
      <c r="L132" s="2687"/>
      <c r="M132" s="1118">
        <f>SUM(M133:M145)</f>
        <v>0</v>
      </c>
      <c r="N132" s="506"/>
      <c r="O132" s="178">
        <f>IF(H132="",G132,H132)</f>
        <v>0</v>
      </c>
      <c r="P132" s="366"/>
      <c r="Q132" s="135"/>
      <c r="R132" s="136"/>
      <c r="S132" s="129"/>
      <c r="T132" s="129"/>
      <c r="U132" s="129"/>
      <c r="V132" s="129"/>
      <c r="W132" s="129"/>
      <c r="X132" s="129"/>
      <c r="Y132" s="129"/>
      <c r="Z132" s="133"/>
      <c r="AA132" s="133"/>
      <c r="AB132" s="133"/>
      <c r="AC132" s="133"/>
      <c r="AD132" s="133"/>
      <c r="AE132" s="133"/>
      <c r="AF132" s="222"/>
      <c r="AG132" s="222"/>
      <c r="AH132" s="222"/>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row>
    <row r="133" spans="1:67" s="36" customFormat="1" ht="10.5" customHeight="1" x14ac:dyDescent="0.2">
      <c r="A133" s="1359" t="s">
        <v>297</v>
      </c>
      <c r="B133" s="2743"/>
      <c r="C133" s="2744"/>
      <c r="D133" s="2745"/>
      <c r="E133" s="2746"/>
      <c r="F133" s="2788"/>
      <c r="G133" s="1056">
        <v>40</v>
      </c>
      <c r="H133" s="1057"/>
      <c r="I133" s="1079">
        <f t="shared" ref="I133:I146" si="28">IF($O133&gt;0,-PMT(($I$9),$O133,1),0)</f>
        <v>3.8177378061076156E-2</v>
      </c>
      <c r="J133" s="1080">
        <f t="shared" ref="J133:J145" si="29">ROUND(E133*I133,0)</f>
        <v>0</v>
      </c>
      <c r="K133" s="1060">
        <v>1</v>
      </c>
      <c r="L133" s="1304"/>
      <c r="M133" s="1085">
        <f t="shared" ref="M133:M146" si="30">ROUND(E133/100*IF(ISBLANK(L133),K133,L133),0)</f>
        <v>0</v>
      </c>
      <c r="N133" s="506"/>
      <c r="O133" s="365">
        <f t="shared" ref="O133:O146" si="31">IF(ISBLANK(H133),G133,H133)</f>
        <v>40</v>
      </c>
      <c r="P133" s="366"/>
      <c r="Q133" s="135"/>
      <c r="R133" s="136"/>
      <c r="S133" s="129"/>
      <c r="T133" s="129"/>
      <c r="U133" s="129"/>
      <c r="V133" s="129"/>
      <c r="W133" s="129"/>
      <c r="X133" s="129"/>
      <c r="Y133" s="129"/>
      <c r="Z133" s="133"/>
      <c r="AA133" s="133"/>
      <c r="AB133" s="133"/>
      <c r="AC133" s="133"/>
      <c r="AD133" s="133"/>
      <c r="AE133" s="133"/>
      <c r="AF133" s="222"/>
      <c r="AG133" s="222"/>
      <c r="AH133" s="222"/>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row>
    <row r="134" spans="1:67" s="36" customFormat="1" ht="10.5" customHeight="1" x14ac:dyDescent="0.2">
      <c r="A134" s="1043" t="s">
        <v>298</v>
      </c>
      <c r="B134" s="2594"/>
      <c r="C134" s="2595"/>
      <c r="D134" s="2596"/>
      <c r="E134" s="2395"/>
      <c r="F134" s="2789"/>
      <c r="G134" s="1058">
        <v>30</v>
      </c>
      <c r="H134" s="1059"/>
      <c r="I134" s="1081">
        <f t="shared" si="28"/>
        <v>4.6199342169092869E-2</v>
      </c>
      <c r="J134" s="1082">
        <f t="shared" si="29"/>
        <v>0</v>
      </c>
      <c r="K134" s="1061">
        <v>1</v>
      </c>
      <c r="L134" s="1305"/>
      <c r="M134" s="1086">
        <f t="shared" si="30"/>
        <v>0</v>
      </c>
      <c r="N134" s="506"/>
      <c r="O134" s="365">
        <f t="shared" si="31"/>
        <v>30</v>
      </c>
      <c r="P134" s="366"/>
      <c r="Q134" s="135"/>
      <c r="R134" s="136"/>
      <c r="S134" s="129"/>
      <c r="T134" s="129"/>
      <c r="U134" s="129"/>
      <c r="V134" s="129"/>
      <c r="W134" s="129"/>
      <c r="X134" s="129"/>
      <c r="Y134" s="129"/>
      <c r="Z134" s="133"/>
      <c r="AA134" s="133"/>
      <c r="AB134" s="133"/>
      <c r="AC134" s="133"/>
      <c r="AD134" s="133"/>
      <c r="AE134" s="133"/>
      <c r="AF134" s="222"/>
      <c r="AG134" s="222"/>
      <c r="AH134" s="222"/>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row>
    <row r="135" spans="1:67" s="36" customFormat="1" ht="10.5" customHeight="1" x14ac:dyDescent="0.2">
      <c r="A135" s="1043" t="s">
        <v>299</v>
      </c>
      <c r="B135" s="2594"/>
      <c r="C135" s="2595"/>
      <c r="D135" s="2596"/>
      <c r="E135" s="2395"/>
      <c r="F135" s="2789"/>
      <c r="G135" s="1058">
        <v>40</v>
      </c>
      <c r="H135" s="1059"/>
      <c r="I135" s="1081">
        <f t="shared" si="28"/>
        <v>3.8177378061076156E-2</v>
      </c>
      <c r="J135" s="1082">
        <f t="shared" si="29"/>
        <v>0</v>
      </c>
      <c r="K135" s="1061">
        <v>1</v>
      </c>
      <c r="L135" s="1305"/>
      <c r="M135" s="1086">
        <f t="shared" si="30"/>
        <v>0</v>
      </c>
      <c r="N135" s="506"/>
      <c r="O135" s="365">
        <f t="shared" si="31"/>
        <v>40</v>
      </c>
      <c r="P135" s="366"/>
      <c r="Q135" s="135"/>
      <c r="R135" s="136"/>
      <c r="S135" s="129"/>
      <c r="T135" s="129"/>
      <c r="U135" s="129"/>
      <c r="V135" s="129"/>
      <c r="W135" s="129"/>
      <c r="X135" s="129"/>
      <c r="Y135" s="129"/>
      <c r="Z135" s="133"/>
      <c r="AA135" s="133"/>
      <c r="AB135" s="133"/>
      <c r="AC135" s="133"/>
      <c r="AD135" s="133"/>
      <c r="AE135" s="133"/>
      <c r="AF135" s="222"/>
      <c r="AG135" s="222"/>
      <c r="AH135" s="222"/>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row>
    <row r="136" spans="1:67" s="36" customFormat="1" ht="10.5" customHeight="1" x14ac:dyDescent="0.2">
      <c r="A136" s="1043" t="s">
        <v>300</v>
      </c>
      <c r="B136" s="2594"/>
      <c r="C136" s="2595"/>
      <c r="D136" s="2596"/>
      <c r="E136" s="2395"/>
      <c r="F136" s="2789"/>
      <c r="G136" s="1058">
        <v>20</v>
      </c>
      <c r="H136" s="1059"/>
      <c r="I136" s="1081">
        <f t="shared" si="28"/>
        <v>6.2642070767998229E-2</v>
      </c>
      <c r="J136" s="1082">
        <f t="shared" si="29"/>
        <v>0</v>
      </c>
      <c r="K136" s="1061">
        <v>2</v>
      </c>
      <c r="L136" s="1305"/>
      <c r="M136" s="1086">
        <f t="shared" si="30"/>
        <v>0</v>
      </c>
      <c r="N136" s="506"/>
      <c r="O136" s="365">
        <f t="shared" si="31"/>
        <v>20</v>
      </c>
      <c r="P136" s="366"/>
      <c r="Q136" s="135"/>
      <c r="R136" s="136"/>
      <c r="S136" s="129"/>
      <c r="T136" s="129"/>
      <c r="U136" s="129"/>
      <c r="V136" s="129"/>
      <c r="W136" s="129"/>
      <c r="X136" s="129"/>
      <c r="Y136" s="129"/>
      <c r="Z136" s="133"/>
      <c r="AA136" s="133"/>
      <c r="AB136" s="133"/>
      <c r="AC136" s="133"/>
      <c r="AD136" s="133"/>
      <c r="AE136" s="133"/>
      <c r="AF136" s="222"/>
      <c r="AG136" s="222"/>
      <c r="AH136" s="222"/>
      <c r="AI136" s="176"/>
      <c r="AJ136" s="176"/>
      <c r="AK136" s="176"/>
      <c r="AL136" s="176"/>
      <c r="AM136" s="176"/>
      <c r="AN136" s="176"/>
      <c r="AO136" s="176"/>
      <c r="AP136" s="176"/>
      <c r="AQ136" s="176"/>
      <c r="AR136" s="176"/>
      <c r="AS136" s="176"/>
      <c r="AT136" s="176"/>
      <c r="AU136" s="176"/>
      <c r="AV136" s="176"/>
      <c r="AW136" s="176"/>
      <c r="AX136" s="176"/>
      <c r="AY136" s="176"/>
      <c r="AZ136" s="176"/>
      <c r="BA136" s="176"/>
      <c r="BB136" s="176"/>
      <c r="BC136" s="176"/>
      <c r="BD136" s="176"/>
      <c r="BE136" s="176"/>
      <c r="BF136" s="176"/>
      <c r="BG136" s="176"/>
      <c r="BH136" s="176"/>
      <c r="BI136" s="176"/>
      <c r="BJ136" s="176"/>
      <c r="BK136" s="176"/>
      <c r="BL136" s="176"/>
      <c r="BM136" s="176"/>
      <c r="BN136" s="176"/>
      <c r="BO136" s="176"/>
    </row>
    <row r="137" spans="1:67" s="36" customFormat="1" ht="10.5" customHeight="1" x14ac:dyDescent="0.2">
      <c r="A137" s="1043" t="s">
        <v>301</v>
      </c>
      <c r="B137" s="2594"/>
      <c r="C137" s="2595"/>
      <c r="D137" s="2596"/>
      <c r="E137" s="2395"/>
      <c r="F137" s="2789"/>
      <c r="G137" s="1058">
        <v>20</v>
      </c>
      <c r="H137" s="1059"/>
      <c r="I137" s="1081">
        <f t="shared" si="28"/>
        <v>6.2642070767998229E-2</v>
      </c>
      <c r="J137" s="1082">
        <f t="shared" si="29"/>
        <v>0</v>
      </c>
      <c r="K137" s="1061">
        <v>1.5</v>
      </c>
      <c r="L137" s="1305"/>
      <c r="M137" s="1086">
        <f t="shared" si="30"/>
        <v>0</v>
      </c>
      <c r="N137" s="506"/>
      <c r="O137" s="365">
        <f t="shared" si="31"/>
        <v>20</v>
      </c>
      <c r="P137" s="366"/>
      <c r="Q137" s="135"/>
      <c r="R137" s="136"/>
      <c r="S137" s="129"/>
      <c r="T137" s="129"/>
      <c r="U137" s="129"/>
      <c r="V137" s="129"/>
      <c r="W137" s="129"/>
      <c r="X137" s="129"/>
      <c r="Y137" s="129"/>
      <c r="Z137" s="133"/>
      <c r="AA137" s="133"/>
      <c r="AB137" s="133"/>
      <c r="AC137" s="133"/>
      <c r="AD137" s="133"/>
      <c r="AE137" s="133"/>
      <c r="AF137" s="222"/>
      <c r="AG137" s="222"/>
      <c r="AH137" s="222"/>
      <c r="AI137" s="176"/>
      <c r="AJ137" s="176"/>
      <c r="AK137" s="176"/>
      <c r="AL137" s="176"/>
      <c r="AM137" s="176"/>
      <c r="AN137" s="176"/>
      <c r="AO137" s="176"/>
      <c r="AP137" s="176"/>
      <c r="AQ137" s="176"/>
      <c r="AR137" s="176"/>
      <c r="AS137" s="176"/>
      <c r="AT137" s="176"/>
      <c r="AU137" s="176"/>
      <c r="AV137" s="176"/>
      <c r="AW137" s="176"/>
      <c r="AX137" s="176"/>
      <c r="AY137" s="176"/>
      <c r="AZ137" s="176"/>
      <c r="BA137" s="176"/>
      <c r="BB137" s="176"/>
      <c r="BC137" s="176"/>
      <c r="BD137" s="176"/>
      <c r="BE137" s="176"/>
      <c r="BF137" s="176"/>
      <c r="BG137" s="176"/>
      <c r="BH137" s="176"/>
      <c r="BI137" s="176"/>
      <c r="BJ137" s="176"/>
      <c r="BK137" s="176"/>
      <c r="BL137" s="176"/>
      <c r="BM137" s="176"/>
      <c r="BN137" s="176"/>
      <c r="BO137" s="176"/>
    </row>
    <row r="138" spans="1:67" s="36" customFormat="1" ht="10.5" customHeight="1" x14ac:dyDescent="0.2">
      <c r="A138" s="1043" t="s">
        <v>302</v>
      </c>
      <c r="B138" s="2594"/>
      <c r="C138" s="2595"/>
      <c r="D138" s="2596"/>
      <c r="E138" s="2395"/>
      <c r="F138" s="2789"/>
      <c r="G138" s="1058">
        <v>20</v>
      </c>
      <c r="H138" s="1059"/>
      <c r="I138" s="1081">
        <f t="shared" si="28"/>
        <v>6.2642070767998229E-2</v>
      </c>
      <c r="J138" s="1082">
        <f t="shared" si="29"/>
        <v>0</v>
      </c>
      <c r="K138" s="1061">
        <v>1.5</v>
      </c>
      <c r="L138" s="1305"/>
      <c r="M138" s="1086">
        <f t="shared" si="30"/>
        <v>0</v>
      </c>
      <c r="N138" s="506"/>
      <c r="O138" s="365">
        <f t="shared" si="31"/>
        <v>20</v>
      </c>
      <c r="P138" s="366"/>
      <c r="Q138" s="135"/>
      <c r="R138" s="136"/>
      <c r="S138" s="129"/>
      <c r="T138" s="129"/>
      <c r="U138" s="129"/>
      <c r="V138" s="129"/>
      <c r="W138" s="129"/>
      <c r="X138" s="129"/>
      <c r="Y138" s="129"/>
      <c r="Z138" s="133"/>
      <c r="AA138" s="133"/>
      <c r="AB138" s="133"/>
      <c r="AC138" s="133"/>
      <c r="AD138" s="133"/>
      <c r="AE138" s="133"/>
      <c r="AF138" s="222"/>
      <c r="AG138" s="222"/>
      <c r="AH138" s="222"/>
      <c r="AI138" s="176"/>
      <c r="AJ138" s="176"/>
      <c r="AK138" s="176"/>
      <c r="AL138" s="176"/>
      <c r="AM138" s="176"/>
      <c r="AN138" s="176"/>
      <c r="AO138" s="176"/>
      <c r="AP138" s="176"/>
      <c r="AQ138" s="176"/>
      <c r="AR138" s="176"/>
      <c r="AS138" s="176"/>
      <c r="AT138" s="176"/>
      <c r="AU138" s="176"/>
      <c r="AV138" s="176"/>
      <c r="AW138" s="176"/>
      <c r="AX138" s="176"/>
      <c r="AY138" s="176"/>
      <c r="AZ138" s="176"/>
      <c r="BA138" s="176"/>
      <c r="BB138" s="176"/>
      <c r="BC138" s="176"/>
      <c r="BD138" s="176"/>
      <c r="BE138" s="176"/>
      <c r="BF138" s="176"/>
      <c r="BG138" s="176"/>
      <c r="BH138" s="176"/>
      <c r="BI138" s="176"/>
      <c r="BJ138" s="176"/>
      <c r="BK138" s="176"/>
      <c r="BL138" s="176"/>
      <c r="BM138" s="176"/>
      <c r="BN138" s="176"/>
      <c r="BO138" s="176"/>
    </row>
    <row r="139" spans="1:67" s="36" customFormat="1" ht="10.5" customHeight="1" x14ac:dyDescent="0.2">
      <c r="A139" s="1043" t="s">
        <v>679</v>
      </c>
      <c r="B139" s="2594"/>
      <c r="C139" s="2595"/>
      <c r="D139" s="2596"/>
      <c r="E139" s="2395"/>
      <c r="F139" s="2789"/>
      <c r="G139" s="1058">
        <v>20</v>
      </c>
      <c r="H139" s="1059"/>
      <c r="I139" s="1081">
        <f t="shared" si="28"/>
        <v>6.2642070767998229E-2</v>
      </c>
      <c r="J139" s="1082">
        <f t="shared" si="29"/>
        <v>0</v>
      </c>
      <c r="K139" s="1061">
        <v>2.5</v>
      </c>
      <c r="L139" s="1305"/>
      <c r="M139" s="1086">
        <f t="shared" si="30"/>
        <v>0</v>
      </c>
      <c r="N139" s="506"/>
      <c r="O139" s="365">
        <f t="shared" si="31"/>
        <v>20</v>
      </c>
      <c r="P139" s="366"/>
      <c r="Q139" s="135"/>
      <c r="R139" s="136"/>
      <c r="S139" s="129"/>
      <c r="T139" s="129"/>
      <c r="U139" s="129"/>
      <c r="V139" s="129"/>
      <c r="W139" s="129"/>
      <c r="X139" s="129"/>
      <c r="Y139" s="129"/>
      <c r="Z139" s="133"/>
      <c r="AA139" s="133"/>
      <c r="AB139" s="133"/>
      <c r="AC139" s="133"/>
      <c r="AD139" s="133"/>
      <c r="AE139" s="133"/>
      <c r="AF139" s="222"/>
      <c r="AG139" s="222"/>
      <c r="AH139" s="222"/>
      <c r="AI139" s="176"/>
      <c r="AJ139" s="176"/>
      <c r="AK139" s="176"/>
      <c r="AL139" s="176"/>
      <c r="AM139" s="176"/>
      <c r="AN139" s="176"/>
      <c r="AO139" s="176"/>
      <c r="AP139" s="176"/>
      <c r="AQ139" s="176"/>
      <c r="AR139" s="176"/>
      <c r="AS139" s="176"/>
      <c r="AT139" s="176"/>
      <c r="AU139" s="176"/>
      <c r="AV139" s="176"/>
      <c r="AW139" s="176"/>
      <c r="AX139" s="176"/>
      <c r="AY139" s="176"/>
      <c r="AZ139" s="176"/>
      <c r="BA139" s="176"/>
      <c r="BB139" s="176"/>
      <c r="BC139" s="176"/>
      <c r="BD139" s="176"/>
      <c r="BE139" s="176"/>
      <c r="BF139" s="176"/>
      <c r="BG139" s="176"/>
      <c r="BH139" s="176"/>
      <c r="BI139" s="176"/>
      <c r="BJ139" s="176"/>
      <c r="BK139" s="176"/>
      <c r="BL139" s="176"/>
      <c r="BM139" s="176"/>
      <c r="BN139" s="176"/>
      <c r="BO139" s="176"/>
    </row>
    <row r="140" spans="1:67" s="36" customFormat="1" ht="10.5" customHeight="1" x14ac:dyDescent="0.2">
      <c r="A140" s="1043" t="s">
        <v>273</v>
      </c>
      <c r="B140" s="2594"/>
      <c r="C140" s="2595"/>
      <c r="D140" s="2596"/>
      <c r="E140" s="2395"/>
      <c r="F140" s="2789"/>
      <c r="G140" s="1058">
        <v>20</v>
      </c>
      <c r="H140" s="1059"/>
      <c r="I140" s="1081">
        <f t="shared" si="28"/>
        <v>6.2642070767998229E-2</v>
      </c>
      <c r="J140" s="1082">
        <f t="shared" si="29"/>
        <v>0</v>
      </c>
      <c r="K140" s="1061">
        <v>8</v>
      </c>
      <c r="L140" s="1305"/>
      <c r="M140" s="1086">
        <f t="shared" si="30"/>
        <v>0</v>
      </c>
      <c r="N140" s="506"/>
      <c r="O140" s="365">
        <f t="shared" si="31"/>
        <v>20</v>
      </c>
      <c r="P140" s="366"/>
      <c r="Q140" s="135"/>
      <c r="R140" s="136"/>
      <c r="S140" s="129"/>
      <c r="T140" s="129"/>
      <c r="U140" s="129"/>
      <c r="V140" s="129"/>
      <c r="W140" s="129"/>
      <c r="X140" s="129"/>
      <c r="Y140" s="129"/>
      <c r="Z140" s="133"/>
      <c r="AA140" s="133"/>
      <c r="AB140" s="133"/>
      <c r="AC140" s="133"/>
      <c r="AD140" s="133"/>
      <c r="AE140" s="133"/>
      <c r="AF140" s="222"/>
      <c r="AG140" s="222"/>
      <c r="AH140" s="222"/>
      <c r="AI140" s="176"/>
      <c r="AJ140" s="176"/>
      <c r="AK140" s="176"/>
      <c r="AL140" s="176"/>
      <c r="AM140" s="176"/>
      <c r="AN140" s="176"/>
      <c r="AO140" s="176"/>
      <c r="AP140" s="176"/>
      <c r="AQ140" s="176"/>
      <c r="AR140" s="176"/>
      <c r="AS140" s="176"/>
      <c r="AT140" s="176"/>
      <c r="AU140" s="176"/>
      <c r="AV140" s="176"/>
      <c r="AW140" s="176"/>
      <c r="AX140" s="176"/>
      <c r="AY140" s="176"/>
      <c r="AZ140" s="176"/>
      <c r="BA140" s="176"/>
      <c r="BB140" s="176"/>
      <c r="BC140" s="176"/>
      <c r="BD140" s="176"/>
      <c r="BE140" s="176"/>
      <c r="BF140" s="176"/>
      <c r="BG140" s="176"/>
      <c r="BH140" s="176"/>
      <c r="BI140" s="176"/>
      <c r="BJ140" s="176"/>
      <c r="BK140" s="176"/>
      <c r="BL140" s="176"/>
      <c r="BM140" s="176"/>
      <c r="BN140" s="176"/>
      <c r="BO140" s="176"/>
    </row>
    <row r="141" spans="1:67" s="36" customFormat="1" ht="10.5" customHeight="1" x14ac:dyDescent="0.2">
      <c r="A141" s="1043" t="s">
        <v>274</v>
      </c>
      <c r="B141" s="2594"/>
      <c r="C141" s="2595"/>
      <c r="D141" s="2596"/>
      <c r="E141" s="2395"/>
      <c r="F141" s="2789"/>
      <c r="G141" s="1058">
        <v>30</v>
      </c>
      <c r="H141" s="1059"/>
      <c r="I141" s="1081">
        <f t="shared" si="28"/>
        <v>4.6199342169092869E-2</v>
      </c>
      <c r="J141" s="1082">
        <f t="shared" si="29"/>
        <v>0</v>
      </c>
      <c r="K141" s="1061"/>
      <c r="L141" s="1305"/>
      <c r="M141" s="1086">
        <f t="shared" si="30"/>
        <v>0</v>
      </c>
      <c r="N141" s="506"/>
      <c r="O141" s="365">
        <f t="shared" si="31"/>
        <v>30</v>
      </c>
      <c r="P141" s="366"/>
      <c r="Q141" s="135"/>
      <c r="R141" s="136"/>
      <c r="S141" s="129"/>
      <c r="T141" s="129"/>
      <c r="U141" s="129"/>
      <c r="V141" s="129"/>
      <c r="W141" s="129"/>
      <c r="X141" s="129"/>
      <c r="Y141" s="129"/>
      <c r="Z141" s="133"/>
      <c r="AA141" s="133"/>
      <c r="AB141" s="133"/>
      <c r="AC141" s="133"/>
      <c r="AD141" s="133"/>
      <c r="AE141" s="133"/>
      <c r="AF141" s="222"/>
      <c r="AG141" s="222"/>
      <c r="AH141" s="222"/>
      <c r="AI141" s="176"/>
      <c r="AJ141" s="176"/>
      <c r="AK141" s="176"/>
      <c r="AL141" s="176"/>
      <c r="AM141" s="176"/>
      <c r="AN141" s="176"/>
      <c r="AO141" s="176"/>
      <c r="AP141" s="176"/>
      <c r="AQ141" s="176"/>
      <c r="AR141" s="176"/>
      <c r="AS141" s="176"/>
      <c r="AT141" s="176"/>
      <c r="AU141" s="176"/>
      <c r="AV141" s="176"/>
      <c r="AW141" s="176"/>
      <c r="AX141" s="176"/>
      <c r="AY141" s="176"/>
      <c r="AZ141" s="176"/>
      <c r="BA141" s="176"/>
      <c r="BB141" s="176"/>
      <c r="BC141" s="176"/>
      <c r="BD141" s="176"/>
      <c r="BE141" s="176"/>
      <c r="BF141" s="176"/>
      <c r="BG141" s="176"/>
      <c r="BH141" s="176"/>
      <c r="BI141" s="176"/>
      <c r="BJ141" s="176"/>
      <c r="BK141" s="176"/>
      <c r="BL141" s="176"/>
      <c r="BM141" s="176"/>
      <c r="BN141" s="176"/>
      <c r="BO141" s="176"/>
    </row>
    <row r="142" spans="1:67" s="36" customFormat="1" ht="10.5" customHeight="1" x14ac:dyDescent="0.2">
      <c r="A142" s="1055"/>
      <c r="B142" s="2594"/>
      <c r="C142" s="2595"/>
      <c r="D142" s="2596"/>
      <c r="E142" s="2395"/>
      <c r="F142" s="2396"/>
      <c r="G142" s="2590"/>
      <c r="H142" s="2591"/>
      <c r="I142" s="1081">
        <f t="shared" si="28"/>
        <v>0</v>
      </c>
      <c r="J142" s="1082">
        <f t="shared" si="29"/>
        <v>0</v>
      </c>
      <c r="K142" s="2588"/>
      <c r="L142" s="2589"/>
      <c r="M142" s="1086">
        <f t="shared" si="30"/>
        <v>0</v>
      </c>
      <c r="N142" s="506"/>
      <c r="O142" s="365">
        <f t="shared" si="31"/>
        <v>0</v>
      </c>
      <c r="P142" s="366"/>
      <c r="Q142" s="135"/>
      <c r="R142" s="136"/>
      <c r="S142" s="129"/>
      <c r="T142" s="129"/>
      <c r="U142" s="129"/>
      <c r="V142" s="129"/>
      <c r="W142" s="129"/>
      <c r="X142" s="129"/>
      <c r="Y142" s="129"/>
      <c r="Z142" s="133"/>
      <c r="AA142" s="133"/>
      <c r="AB142" s="133"/>
      <c r="AC142" s="133"/>
      <c r="AD142" s="133"/>
      <c r="AE142" s="133"/>
      <c r="AF142" s="222"/>
      <c r="AG142" s="222"/>
      <c r="AH142" s="222"/>
      <c r="AI142" s="176"/>
      <c r="AJ142" s="176"/>
      <c r="AK142" s="176"/>
      <c r="AL142" s="176"/>
      <c r="AM142" s="176"/>
      <c r="AN142" s="176"/>
      <c r="AO142" s="176"/>
      <c r="AP142" s="176"/>
      <c r="AQ142" s="176"/>
      <c r="AR142" s="176"/>
      <c r="AS142" s="176"/>
      <c r="AT142" s="176"/>
      <c r="AU142" s="176"/>
      <c r="AV142" s="176"/>
      <c r="AW142" s="176"/>
      <c r="AX142" s="176"/>
      <c r="AY142" s="176"/>
      <c r="AZ142" s="176"/>
      <c r="BA142" s="176"/>
      <c r="BB142" s="176"/>
      <c r="BC142" s="176"/>
      <c r="BD142" s="176"/>
      <c r="BE142" s="176"/>
      <c r="BF142" s="176"/>
      <c r="BG142" s="176"/>
      <c r="BH142" s="176"/>
      <c r="BI142" s="176"/>
      <c r="BJ142" s="176"/>
      <c r="BK142" s="176"/>
      <c r="BL142" s="176"/>
      <c r="BM142" s="176"/>
      <c r="BN142" s="176"/>
      <c r="BO142" s="176"/>
    </row>
    <row r="143" spans="1:67" s="36" customFormat="1" ht="10.5" customHeight="1" x14ac:dyDescent="0.2">
      <c r="A143" s="1055"/>
      <c r="B143" s="2594"/>
      <c r="C143" s="2595"/>
      <c r="D143" s="2596"/>
      <c r="E143" s="2395"/>
      <c r="F143" s="2396"/>
      <c r="G143" s="2590"/>
      <c r="H143" s="2591"/>
      <c r="I143" s="1081">
        <f t="shared" si="28"/>
        <v>0</v>
      </c>
      <c r="J143" s="1082">
        <f t="shared" si="29"/>
        <v>0</v>
      </c>
      <c r="K143" s="2588"/>
      <c r="L143" s="2589"/>
      <c r="M143" s="1086">
        <f t="shared" si="30"/>
        <v>0</v>
      </c>
      <c r="N143" s="506"/>
      <c r="O143" s="365">
        <f t="shared" si="31"/>
        <v>0</v>
      </c>
      <c r="P143" s="366"/>
      <c r="Q143" s="135"/>
      <c r="R143" s="136"/>
      <c r="S143" s="129"/>
      <c r="T143" s="129"/>
      <c r="U143" s="129"/>
      <c r="V143" s="129"/>
      <c r="W143" s="129"/>
      <c r="X143" s="129"/>
      <c r="Y143" s="129"/>
      <c r="Z143" s="133"/>
      <c r="AA143" s="133"/>
      <c r="AB143" s="133"/>
      <c r="AC143" s="133"/>
      <c r="AD143" s="133"/>
      <c r="AE143" s="133"/>
      <c r="AF143" s="222"/>
      <c r="AG143" s="222"/>
      <c r="AH143" s="222"/>
      <c r="AI143" s="176"/>
      <c r="AJ143" s="176"/>
      <c r="AK143" s="176"/>
      <c r="AL143" s="176"/>
      <c r="AM143" s="176"/>
      <c r="AN143" s="176"/>
      <c r="AO143" s="176"/>
      <c r="AP143" s="176"/>
      <c r="AQ143" s="176"/>
      <c r="AR143" s="176"/>
      <c r="AS143" s="176"/>
      <c r="AT143" s="176"/>
      <c r="AU143" s="176"/>
      <c r="AV143" s="176"/>
      <c r="AW143" s="176"/>
      <c r="AX143" s="176"/>
      <c r="AY143" s="176"/>
      <c r="AZ143" s="176"/>
      <c r="BA143" s="176"/>
      <c r="BB143" s="176"/>
      <c r="BC143" s="176"/>
      <c r="BD143" s="176"/>
      <c r="BE143" s="176"/>
      <c r="BF143" s="176"/>
      <c r="BG143" s="176"/>
      <c r="BH143" s="176"/>
      <c r="BI143" s="176"/>
      <c r="BJ143" s="176"/>
      <c r="BK143" s="176"/>
      <c r="BL143" s="176"/>
      <c r="BM143" s="176"/>
      <c r="BN143" s="176"/>
      <c r="BO143" s="176"/>
    </row>
    <row r="144" spans="1:67" s="36" customFormat="1" ht="10.5" customHeight="1" x14ac:dyDescent="0.2">
      <c r="A144" s="1055"/>
      <c r="B144" s="2594"/>
      <c r="C144" s="2595"/>
      <c r="D144" s="2596"/>
      <c r="E144" s="2395"/>
      <c r="F144" s="2396"/>
      <c r="G144" s="2590"/>
      <c r="H144" s="2591"/>
      <c r="I144" s="1081">
        <f t="shared" si="28"/>
        <v>0</v>
      </c>
      <c r="J144" s="1082">
        <f t="shared" si="29"/>
        <v>0</v>
      </c>
      <c r="K144" s="2588"/>
      <c r="L144" s="2589"/>
      <c r="M144" s="1086">
        <f t="shared" si="30"/>
        <v>0</v>
      </c>
      <c r="N144" s="506"/>
      <c r="O144" s="365">
        <f t="shared" si="31"/>
        <v>0</v>
      </c>
      <c r="P144" s="366"/>
      <c r="Q144" s="135"/>
      <c r="R144" s="136"/>
      <c r="S144" s="129"/>
      <c r="T144" s="129"/>
      <c r="U144" s="129"/>
      <c r="V144" s="129"/>
      <c r="W144" s="129"/>
      <c r="X144" s="129"/>
      <c r="Y144" s="129"/>
      <c r="Z144" s="133"/>
      <c r="AA144" s="133"/>
      <c r="AB144" s="133"/>
      <c r="AC144" s="133"/>
      <c r="AD144" s="133"/>
      <c r="AE144" s="133"/>
      <c r="AF144" s="222"/>
      <c r="AG144" s="222"/>
      <c r="AH144" s="222"/>
      <c r="AI144" s="176"/>
      <c r="AJ144" s="176"/>
      <c r="AK144" s="176"/>
      <c r="AL144" s="176"/>
      <c r="AM144" s="176"/>
      <c r="AN144" s="176"/>
      <c r="AO144" s="176"/>
      <c r="AP144" s="176"/>
      <c r="AQ144" s="176"/>
      <c r="AR144" s="176"/>
      <c r="AS144" s="176"/>
      <c r="AT144" s="176"/>
      <c r="AU144" s="176"/>
      <c r="AV144" s="176"/>
      <c r="AW144" s="176"/>
      <c r="AX144" s="176"/>
      <c r="AY144" s="176"/>
      <c r="AZ144" s="176"/>
      <c r="BA144" s="176"/>
      <c r="BB144" s="176"/>
      <c r="BC144" s="176"/>
      <c r="BD144" s="176"/>
      <c r="BE144" s="176"/>
      <c r="BF144" s="176"/>
      <c r="BG144" s="176"/>
      <c r="BH144" s="176"/>
      <c r="BI144" s="176"/>
      <c r="BJ144" s="176"/>
      <c r="BK144" s="176"/>
      <c r="BL144" s="176"/>
      <c r="BM144" s="176"/>
      <c r="BN144" s="176"/>
      <c r="BO144" s="176"/>
    </row>
    <row r="145" spans="1:67" s="36" customFormat="1" ht="10.5" customHeight="1" x14ac:dyDescent="0.2">
      <c r="A145" s="1055"/>
      <c r="B145" s="2594"/>
      <c r="C145" s="2595"/>
      <c r="D145" s="2596"/>
      <c r="E145" s="2395"/>
      <c r="F145" s="2396"/>
      <c r="G145" s="2590"/>
      <c r="H145" s="2591"/>
      <c r="I145" s="1081">
        <f t="shared" si="28"/>
        <v>0</v>
      </c>
      <c r="J145" s="1082">
        <f t="shared" si="29"/>
        <v>0</v>
      </c>
      <c r="K145" s="2588"/>
      <c r="L145" s="2589"/>
      <c r="M145" s="1086">
        <f t="shared" si="30"/>
        <v>0</v>
      </c>
      <c r="N145" s="506"/>
      <c r="O145" s="365">
        <f t="shared" si="31"/>
        <v>0</v>
      </c>
      <c r="P145" s="366"/>
      <c r="Q145" s="135"/>
      <c r="R145" s="136"/>
      <c r="S145" s="129"/>
      <c r="T145" s="129"/>
      <c r="U145" s="129"/>
      <c r="V145" s="129"/>
      <c r="W145" s="129"/>
      <c r="X145" s="129"/>
      <c r="Y145" s="129"/>
      <c r="Z145" s="133"/>
      <c r="AA145" s="133"/>
      <c r="AB145" s="133"/>
      <c r="AC145" s="133"/>
      <c r="AD145" s="133"/>
      <c r="AE145" s="133"/>
      <c r="AF145" s="222"/>
      <c r="AG145" s="222"/>
      <c r="AH145" s="222"/>
      <c r="AI145" s="176"/>
      <c r="AJ145" s="176"/>
      <c r="AK145" s="176"/>
      <c r="AL145" s="176"/>
      <c r="AM145" s="176"/>
      <c r="AN145" s="176"/>
      <c r="AO145" s="176"/>
      <c r="AP145" s="176"/>
      <c r="AQ145" s="176"/>
      <c r="AR145" s="176"/>
      <c r="AS145" s="176"/>
      <c r="AT145" s="176"/>
      <c r="AU145" s="176"/>
      <c r="AV145" s="176"/>
      <c r="AW145" s="176"/>
      <c r="AX145" s="176"/>
      <c r="AY145" s="176"/>
      <c r="AZ145" s="176"/>
      <c r="BA145" s="176"/>
      <c r="BB145" s="176"/>
      <c r="BC145" s="176"/>
      <c r="BD145" s="176"/>
      <c r="BE145" s="176"/>
      <c r="BF145" s="176"/>
      <c r="BG145" s="176"/>
      <c r="BH145" s="176"/>
      <c r="BI145" s="176"/>
      <c r="BJ145" s="176"/>
      <c r="BK145" s="176"/>
      <c r="BL145" s="176"/>
      <c r="BM145" s="176"/>
      <c r="BN145" s="176"/>
      <c r="BO145" s="176"/>
    </row>
    <row r="146" spans="1:67" s="36" customFormat="1" ht="10.5" customHeight="1" x14ac:dyDescent="0.2">
      <c r="A146" s="1348"/>
      <c r="B146" s="2690"/>
      <c r="C146" s="2691"/>
      <c r="D146" s="2692"/>
      <c r="E146" s="2601"/>
      <c r="F146" s="2602"/>
      <c r="G146" s="1088"/>
      <c r="H146" s="1089"/>
      <c r="I146" s="1083">
        <f t="shared" si="28"/>
        <v>0</v>
      </c>
      <c r="J146" s="1084"/>
      <c r="K146" s="1087"/>
      <c r="L146" s="1307"/>
      <c r="M146" s="1317">
        <f t="shared" si="30"/>
        <v>0</v>
      </c>
      <c r="N146" s="506"/>
      <c r="O146" s="365">
        <f t="shared" si="31"/>
        <v>0</v>
      </c>
      <c r="P146" s="366"/>
      <c r="Q146" s="135"/>
      <c r="R146" s="136"/>
      <c r="S146" s="129"/>
      <c r="T146" s="129"/>
      <c r="U146" s="129"/>
      <c r="V146" s="129"/>
      <c r="W146" s="129"/>
      <c r="X146" s="129"/>
      <c r="Y146" s="129"/>
      <c r="Z146" s="133"/>
      <c r="AA146" s="133"/>
      <c r="AB146" s="133"/>
      <c r="AC146" s="133"/>
      <c r="AD146" s="133"/>
      <c r="AE146" s="133"/>
      <c r="AF146" s="222"/>
      <c r="AG146" s="222"/>
      <c r="AH146" s="222"/>
      <c r="AI146" s="176"/>
      <c r="AJ146" s="176"/>
      <c r="AK146" s="176"/>
      <c r="AL146" s="176"/>
      <c r="AM146" s="176"/>
      <c r="AN146" s="176"/>
      <c r="AO146" s="176"/>
      <c r="AP146" s="176"/>
      <c r="AQ146" s="176"/>
      <c r="AR146" s="176"/>
      <c r="AS146" s="176"/>
      <c r="AT146" s="176"/>
      <c r="AU146" s="176"/>
      <c r="AV146" s="176"/>
      <c r="AW146" s="176"/>
      <c r="AX146" s="176"/>
      <c r="AY146" s="176"/>
      <c r="AZ146" s="176"/>
      <c r="BA146" s="176"/>
      <c r="BB146" s="176"/>
      <c r="BC146" s="176"/>
      <c r="BD146" s="176"/>
      <c r="BE146" s="176"/>
      <c r="BF146" s="176"/>
      <c r="BG146" s="176"/>
      <c r="BH146" s="176"/>
      <c r="BI146" s="176"/>
      <c r="BJ146" s="176"/>
      <c r="BK146" s="176"/>
      <c r="BL146" s="176"/>
      <c r="BM146" s="176"/>
      <c r="BN146" s="176"/>
      <c r="BO146" s="176"/>
    </row>
    <row r="147" spans="1:67" s="36" customFormat="1" ht="10.5" customHeight="1" x14ac:dyDescent="0.2">
      <c r="A147" s="1115" t="s">
        <v>303</v>
      </c>
      <c r="B147" s="2611"/>
      <c r="C147" s="2612"/>
      <c r="D147" s="2613"/>
      <c r="E147" s="2676">
        <f>SUM(E148:E160)</f>
        <v>0</v>
      </c>
      <c r="F147" s="2677"/>
      <c r="G147" s="2678"/>
      <c r="H147" s="2679"/>
      <c r="I147" s="1116">
        <f>IF(E147=0,0,J147/E147)</f>
        <v>0</v>
      </c>
      <c r="J147" s="1117">
        <f>SUM(J148:J160)</f>
        <v>0</v>
      </c>
      <c r="K147" s="2686">
        <f>IF(E147=0,0,M147/E147*100)</f>
        <v>0</v>
      </c>
      <c r="L147" s="2687"/>
      <c r="M147" s="1118">
        <f>SUM(M148:M160)</f>
        <v>0</v>
      </c>
      <c r="N147" s="506"/>
      <c r="O147" s="178">
        <f>IF(H147="",G147,H147)</f>
        <v>0</v>
      </c>
      <c r="P147" s="366"/>
      <c r="Q147" s="135"/>
      <c r="R147" s="136"/>
      <c r="S147" s="129"/>
      <c r="T147" s="129"/>
      <c r="U147" s="129"/>
      <c r="V147" s="129"/>
      <c r="W147" s="129"/>
      <c r="X147" s="129"/>
      <c r="Y147" s="129"/>
      <c r="Z147" s="133"/>
      <c r="AA147" s="133"/>
      <c r="AB147" s="133"/>
      <c r="AC147" s="133"/>
      <c r="AD147" s="133"/>
      <c r="AE147" s="133"/>
      <c r="AF147" s="222"/>
      <c r="AG147" s="222"/>
      <c r="AH147" s="222"/>
      <c r="AI147" s="176"/>
      <c r="AJ147" s="176"/>
      <c r="AK147" s="176"/>
      <c r="AL147" s="176"/>
      <c r="AM147" s="176"/>
      <c r="AN147" s="176"/>
      <c r="AO147" s="176"/>
      <c r="AP147" s="176"/>
      <c r="AQ147" s="176"/>
      <c r="AR147" s="176"/>
      <c r="AS147" s="176"/>
      <c r="AT147" s="176"/>
      <c r="AU147" s="176"/>
      <c r="AV147" s="176"/>
      <c r="AW147" s="176"/>
      <c r="AX147" s="176"/>
      <c r="AY147" s="176"/>
      <c r="AZ147" s="176"/>
      <c r="BA147" s="176"/>
      <c r="BB147" s="176"/>
      <c r="BC147" s="176"/>
      <c r="BD147" s="176"/>
      <c r="BE147" s="176"/>
      <c r="BF147" s="176"/>
      <c r="BG147" s="176"/>
      <c r="BH147" s="176"/>
      <c r="BI147" s="176"/>
      <c r="BJ147" s="176"/>
      <c r="BK147" s="176"/>
      <c r="BL147" s="176"/>
      <c r="BM147" s="176"/>
      <c r="BN147" s="176"/>
      <c r="BO147" s="176"/>
    </row>
    <row r="148" spans="1:67" s="36" customFormat="1" ht="10.5" customHeight="1" x14ac:dyDescent="0.2">
      <c r="A148" s="1359" t="s">
        <v>304</v>
      </c>
      <c r="B148" s="2743"/>
      <c r="C148" s="2744"/>
      <c r="D148" s="2745"/>
      <c r="E148" s="2746"/>
      <c r="F148" s="2788"/>
      <c r="G148" s="1056">
        <v>15</v>
      </c>
      <c r="H148" s="1057"/>
      <c r="I148" s="1079">
        <f t="shared" ref="I148:I161" si="32">IF($O148&gt;0,-PMT(($I$9),$O148,1),0)</f>
        <v>7.9288524964265278E-2</v>
      </c>
      <c r="J148" s="1080">
        <f t="shared" ref="J148:J160" si="33">ROUND(E148*I148,0)</f>
        <v>0</v>
      </c>
      <c r="K148" s="1060">
        <v>3</v>
      </c>
      <c r="L148" s="1304"/>
      <c r="M148" s="1085">
        <f t="shared" ref="M148:M161" si="34">ROUND(E148/100*IF(ISBLANK(L148),K148,L148),0)</f>
        <v>0</v>
      </c>
      <c r="N148" s="506"/>
      <c r="O148" s="365">
        <f t="shared" ref="O148:O161" si="35">IF(ISBLANK(H148),G148,H148)</f>
        <v>15</v>
      </c>
      <c r="P148" s="366"/>
      <c r="Q148" s="135"/>
      <c r="R148" s="136"/>
      <c r="S148" s="129"/>
      <c r="T148" s="129"/>
      <c r="U148" s="129"/>
      <c r="V148" s="129"/>
      <c r="W148" s="129"/>
      <c r="X148" s="129"/>
      <c r="Y148" s="129"/>
      <c r="Z148" s="133"/>
      <c r="AA148" s="133"/>
      <c r="AB148" s="133"/>
      <c r="AC148" s="133"/>
      <c r="AD148" s="133"/>
      <c r="AE148" s="133"/>
      <c r="AF148" s="222"/>
      <c r="AG148" s="222"/>
      <c r="AH148" s="222"/>
      <c r="AI148" s="176"/>
      <c r="AJ148" s="176"/>
      <c r="AK148" s="176"/>
      <c r="AL148" s="176"/>
      <c r="AM148" s="176"/>
      <c r="AN148" s="176"/>
      <c r="AO148" s="176"/>
      <c r="AP148" s="176"/>
      <c r="AQ148" s="176"/>
      <c r="AR148" s="176"/>
      <c r="AS148" s="176"/>
      <c r="AT148" s="176"/>
      <c r="AU148" s="176"/>
      <c r="AV148" s="176"/>
      <c r="AW148" s="176"/>
      <c r="AX148" s="176"/>
      <c r="AY148" s="176"/>
      <c r="AZ148" s="176"/>
      <c r="BA148" s="176"/>
      <c r="BB148" s="176"/>
      <c r="BC148" s="176"/>
      <c r="BD148" s="176"/>
      <c r="BE148" s="176"/>
      <c r="BF148" s="176"/>
      <c r="BG148" s="176"/>
      <c r="BH148" s="176"/>
      <c r="BI148" s="176"/>
      <c r="BJ148" s="176"/>
      <c r="BK148" s="176"/>
      <c r="BL148" s="176"/>
      <c r="BM148" s="176"/>
      <c r="BN148" s="176"/>
      <c r="BO148" s="176"/>
    </row>
    <row r="149" spans="1:67" s="36" customFormat="1" ht="10.5" customHeight="1" x14ac:dyDescent="0.2">
      <c r="A149" s="1043" t="s">
        <v>305</v>
      </c>
      <c r="B149" s="2594"/>
      <c r="C149" s="2595"/>
      <c r="D149" s="2596"/>
      <c r="E149" s="2395"/>
      <c r="F149" s="2789"/>
      <c r="G149" s="1058">
        <v>15</v>
      </c>
      <c r="H149" s="1059"/>
      <c r="I149" s="1081">
        <f t="shared" si="32"/>
        <v>7.9288524964265278E-2</v>
      </c>
      <c r="J149" s="1082">
        <f t="shared" si="33"/>
        <v>0</v>
      </c>
      <c r="K149" s="1061">
        <v>3</v>
      </c>
      <c r="L149" s="1305"/>
      <c r="M149" s="1086">
        <f t="shared" si="34"/>
        <v>0</v>
      </c>
      <c r="N149" s="506"/>
      <c r="O149" s="365">
        <f t="shared" si="35"/>
        <v>15</v>
      </c>
      <c r="P149" s="366"/>
      <c r="Q149" s="135"/>
      <c r="R149" s="136"/>
      <c r="S149" s="129"/>
      <c r="T149" s="129"/>
      <c r="U149" s="129"/>
      <c r="V149" s="129"/>
      <c r="W149" s="129"/>
      <c r="X149" s="129"/>
      <c r="Y149" s="129"/>
      <c r="Z149" s="133"/>
      <c r="AA149" s="133"/>
      <c r="AB149" s="133"/>
      <c r="AC149" s="133"/>
      <c r="AD149" s="133"/>
      <c r="AE149" s="133"/>
      <c r="AF149" s="222"/>
      <c r="AG149" s="222"/>
      <c r="AH149" s="222"/>
      <c r="AI149" s="176"/>
      <c r="AJ149" s="176"/>
      <c r="AK149" s="176"/>
      <c r="AL149" s="176"/>
      <c r="AM149" s="176"/>
      <c r="AN149" s="176"/>
      <c r="AO149" s="176"/>
      <c r="AP149" s="176"/>
      <c r="AQ149" s="176"/>
      <c r="AR149" s="176"/>
      <c r="AS149" s="176"/>
      <c r="AT149" s="176"/>
      <c r="AU149" s="176"/>
      <c r="AV149" s="176"/>
      <c r="AW149" s="176"/>
      <c r="AX149" s="176"/>
      <c r="AY149" s="176"/>
      <c r="AZ149" s="176"/>
      <c r="BA149" s="176"/>
      <c r="BB149" s="176"/>
      <c r="BC149" s="176"/>
      <c r="BD149" s="176"/>
      <c r="BE149" s="176"/>
      <c r="BF149" s="176"/>
      <c r="BG149" s="176"/>
      <c r="BH149" s="176"/>
      <c r="BI149" s="176"/>
      <c r="BJ149" s="176"/>
      <c r="BK149" s="176"/>
      <c r="BL149" s="176"/>
      <c r="BM149" s="176"/>
      <c r="BN149" s="176"/>
      <c r="BO149" s="176"/>
    </row>
    <row r="150" spans="1:67" s="36" customFormat="1" ht="10.5" customHeight="1" x14ac:dyDescent="0.2">
      <c r="A150" s="1043" t="s">
        <v>306</v>
      </c>
      <c r="B150" s="2594"/>
      <c r="C150" s="2595"/>
      <c r="D150" s="2596"/>
      <c r="E150" s="2395"/>
      <c r="F150" s="2789"/>
      <c r="G150" s="1058">
        <v>15</v>
      </c>
      <c r="H150" s="1059"/>
      <c r="I150" s="1081">
        <f t="shared" si="32"/>
        <v>7.9288524964265278E-2</v>
      </c>
      <c r="J150" s="1082">
        <f t="shared" si="33"/>
        <v>0</v>
      </c>
      <c r="K150" s="1061">
        <v>3</v>
      </c>
      <c r="L150" s="1305"/>
      <c r="M150" s="1086">
        <f t="shared" si="34"/>
        <v>0</v>
      </c>
      <c r="N150" s="506"/>
      <c r="O150" s="365">
        <f t="shared" si="35"/>
        <v>15</v>
      </c>
      <c r="P150" s="366"/>
      <c r="Q150" s="135"/>
      <c r="R150" s="136"/>
      <c r="S150" s="129"/>
      <c r="T150" s="129"/>
      <c r="U150" s="129"/>
      <c r="V150" s="129"/>
      <c r="W150" s="129"/>
      <c r="X150" s="129"/>
      <c r="Y150" s="129"/>
      <c r="Z150" s="133"/>
      <c r="AA150" s="133"/>
      <c r="AB150" s="133"/>
      <c r="AC150" s="133"/>
      <c r="AD150" s="133"/>
      <c r="AE150" s="133"/>
      <c r="AF150" s="222"/>
      <c r="AG150" s="222"/>
      <c r="AH150" s="222"/>
      <c r="AI150" s="176"/>
      <c r="AJ150" s="176"/>
      <c r="AK150" s="176"/>
      <c r="AL150" s="176"/>
      <c r="AM150" s="176"/>
      <c r="AN150" s="176"/>
      <c r="AO150" s="176"/>
      <c r="AP150" s="176"/>
      <c r="AQ150" s="176"/>
      <c r="AR150" s="176"/>
      <c r="AS150" s="176"/>
      <c r="AT150" s="176"/>
      <c r="AU150" s="176"/>
      <c r="AV150" s="176"/>
      <c r="AW150" s="176"/>
      <c r="AX150" s="176"/>
      <c r="AY150" s="176"/>
      <c r="AZ150" s="176"/>
      <c r="BA150" s="176"/>
      <c r="BB150" s="176"/>
      <c r="BC150" s="176"/>
      <c r="BD150" s="176"/>
      <c r="BE150" s="176"/>
      <c r="BF150" s="176"/>
      <c r="BG150" s="176"/>
      <c r="BH150" s="176"/>
      <c r="BI150" s="176"/>
      <c r="BJ150" s="176"/>
      <c r="BK150" s="176"/>
      <c r="BL150" s="176"/>
      <c r="BM150" s="176"/>
      <c r="BN150" s="176"/>
      <c r="BO150" s="176"/>
    </row>
    <row r="151" spans="1:67" s="36" customFormat="1" ht="10.5" customHeight="1" x14ac:dyDescent="0.2">
      <c r="A151" s="1043" t="s">
        <v>307</v>
      </c>
      <c r="B151" s="2594"/>
      <c r="C151" s="2595"/>
      <c r="D151" s="2596"/>
      <c r="E151" s="2395"/>
      <c r="F151" s="2789"/>
      <c r="G151" s="1058">
        <v>15</v>
      </c>
      <c r="H151" s="1059"/>
      <c r="I151" s="1081">
        <f t="shared" si="32"/>
        <v>7.9288524964265278E-2</v>
      </c>
      <c r="J151" s="1082">
        <f t="shared" si="33"/>
        <v>0</v>
      </c>
      <c r="K151" s="1061">
        <v>3</v>
      </c>
      <c r="L151" s="1305"/>
      <c r="M151" s="1086">
        <f t="shared" si="34"/>
        <v>0</v>
      </c>
      <c r="N151" s="506"/>
      <c r="O151" s="365">
        <f t="shared" si="35"/>
        <v>15</v>
      </c>
      <c r="P151" s="366"/>
      <c r="Q151" s="135"/>
      <c r="R151" s="136"/>
      <c r="S151" s="129"/>
      <c r="T151" s="129"/>
      <c r="U151" s="129"/>
      <c r="V151" s="129"/>
      <c r="W151" s="129"/>
      <c r="X151" s="129"/>
      <c r="Y151" s="129"/>
      <c r="Z151" s="133"/>
      <c r="AA151" s="133"/>
      <c r="AB151" s="133"/>
      <c r="AC151" s="133"/>
      <c r="AD151" s="133"/>
      <c r="AE151" s="133"/>
      <c r="AF151" s="222"/>
      <c r="AG151" s="222"/>
      <c r="AH151" s="222"/>
      <c r="AI151" s="176"/>
      <c r="AJ151" s="176"/>
      <c r="AK151" s="176"/>
      <c r="AL151" s="176"/>
      <c r="AM151" s="176"/>
      <c r="AN151" s="176"/>
      <c r="AO151" s="176"/>
      <c r="AP151" s="176"/>
      <c r="AQ151" s="176"/>
      <c r="AR151" s="176"/>
      <c r="AS151" s="176"/>
      <c r="AT151" s="176"/>
      <c r="AU151" s="176"/>
      <c r="AV151" s="176"/>
      <c r="AW151" s="176"/>
      <c r="AX151" s="176"/>
      <c r="AY151" s="176"/>
      <c r="AZ151" s="176"/>
      <c r="BA151" s="176"/>
      <c r="BB151" s="176"/>
      <c r="BC151" s="176"/>
      <c r="BD151" s="176"/>
      <c r="BE151" s="176"/>
      <c r="BF151" s="176"/>
      <c r="BG151" s="176"/>
      <c r="BH151" s="176"/>
      <c r="BI151" s="176"/>
      <c r="BJ151" s="176"/>
      <c r="BK151" s="176"/>
      <c r="BL151" s="176"/>
      <c r="BM151" s="176"/>
      <c r="BN151" s="176"/>
      <c r="BO151" s="176"/>
    </row>
    <row r="152" spans="1:67" s="36" customFormat="1" ht="10.5" customHeight="1" x14ac:dyDescent="0.2">
      <c r="A152" s="1055"/>
      <c r="B152" s="2594"/>
      <c r="C152" s="2595"/>
      <c r="D152" s="2596"/>
      <c r="E152" s="2395"/>
      <c r="F152" s="2396"/>
      <c r="G152" s="2590"/>
      <c r="H152" s="2591"/>
      <c r="I152" s="1081">
        <f t="shared" si="32"/>
        <v>0</v>
      </c>
      <c r="J152" s="1082">
        <f t="shared" si="33"/>
        <v>0</v>
      </c>
      <c r="K152" s="2588"/>
      <c r="L152" s="2589"/>
      <c r="M152" s="1086">
        <f t="shared" si="34"/>
        <v>0</v>
      </c>
      <c r="N152" s="506"/>
      <c r="O152" s="365">
        <f t="shared" si="35"/>
        <v>0</v>
      </c>
      <c r="P152" s="366"/>
      <c r="Q152" s="135"/>
      <c r="R152" s="136"/>
      <c r="S152" s="129"/>
      <c r="T152" s="129"/>
      <c r="U152" s="129"/>
      <c r="V152" s="129"/>
      <c r="W152" s="129"/>
      <c r="X152" s="129"/>
      <c r="Y152" s="129"/>
      <c r="Z152" s="133"/>
      <c r="AA152" s="133"/>
      <c r="AB152" s="133"/>
      <c r="AC152" s="133"/>
      <c r="AD152" s="133"/>
      <c r="AE152" s="133"/>
      <c r="AF152" s="222"/>
      <c r="AG152" s="222"/>
      <c r="AH152" s="222"/>
      <c r="AI152" s="176"/>
      <c r="AJ152" s="176"/>
      <c r="AK152" s="176"/>
      <c r="AL152" s="176"/>
      <c r="AM152" s="176"/>
      <c r="AN152" s="176"/>
      <c r="AO152" s="176"/>
      <c r="AP152" s="176"/>
      <c r="AQ152" s="176"/>
      <c r="AR152" s="176"/>
      <c r="AS152" s="176"/>
      <c r="AT152" s="176"/>
      <c r="AU152" s="176"/>
      <c r="AV152" s="176"/>
      <c r="AW152" s="176"/>
      <c r="AX152" s="176"/>
      <c r="AY152" s="176"/>
      <c r="AZ152" s="176"/>
      <c r="BA152" s="176"/>
      <c r="BB152" s="176"/>
      <c r="BC152" s="176"/>
      <c r="BD152" s="176"/>
      <c r="BE152" s="176"/>
      <c r="BF152" s="176"/>
      <c r="BG152" s="176"/>
      <c r="BH152" s="176"/>
      <c r="BI152" s="176"/>
      <c r="BJ152" s="176"/>
      <c r="BK152" s="176"/>
      <c r="BL152" s="176"/>
      <c r="BM152" s="176"/>
      <c r="BN152" s="176"/>
      <c r="BO152" s="176"/>
    </row>
    <row r="153" spans="1:67" s="36" customFormat="1" ht="10.5" customHeight="1" x14ac:dyDescent="0.2">
      <c r="A153" s="1055"/>
      <c r="B153" s="2594"/>
      <c r="C153" s="2595"/>
      <c r="D153" s="2596"/>
      <c r="E153" s="2395"/>
      <c r="F153" s="2396"/>
      <c r="G153" s="2590"/>
      <c r="H153" s="2591"/>
      <c r="I153" s="1081">
        <f t="shared" si="32"/>
        <v>0</v>
      </c>
      <c r="J153" s="1082">
        <f t="shared" si="33"/>
        <v>0</v>
      </c>
      <c r="K153" s="2588"/>
      <c r="L153" s="2589"/>
      <c r="M153" s="1086">
        <f t="shared" si="34"/>
        <v>0</v>
      </c>
      <c r="N153" s="506"/>
      <c r="O153" s="365">
        <f t="shared" si="35"/>
        <v>0</v>
      </c>
      <c r="P153" s="366"/>
      <c r="Q153" s="135"/>
      <c r="R153" s="136"/>
      <c r="S153" s="129"/>
      <c r="T153" s="129"/>
      <c r="U153" s="129"/>
      <c r="V153" s="129"/>
      <c r="W153" s="129"/>
      <c r="X153" s="129"/>
      <c r="Y153" s="129"/>
      <c r="Z153" s="133"/>
      <c r="AA153" s="133"/>
      <c r="AB153" s="133"/>
      <c r="AC153" s="133"/>
      <c r="AD153" s="133"/>
      <c r="AE153" s="133"/>
      <c r="AF153" s="222"/>
      <c r="AG153" s="222"/>
      <c r="AH153" s="222"/>
      <c r="AI153" s="176"/>
      <c r="AJ153" s="176"/>
      <c r="AK153" s="176"/>
      <c r="AL153" s="176"/>
      <c r="AM153" s="176"/>
      <c r="AN153" s="176"/>
      <c r="AO153" s="176"/>
      <c r="AP153" s="176"/>
      <c r="AQ153" s="176"/>
      <c r="AR153" s="176"/>
      <c r="AS153" s="176"/>
      <c r="AT153" s="176"/>
      <c r="AU153" s="176"/>
      <c r="AV153" s="176"/>
      <c r="AW153" s="176"/>
      <c r="AX153" s="176"/>
      <c r="AY153" s="176"/>
      <c r="AZ153" s="176"/>
      <c r="BA153" s="176"/>
      <c r="BB153" s="176"/>
      <c r="BC153" s="176"/>
      <c r="BD153" s="176"/>
      <c r="BE153" s="176"/>
      <c r="BF153" s="176"/>
      <c r="BG153" s="176"/>
      <c r="BH153" s="176"/>
      <c r="BI153" s="176"/>
      <c r="BJ153" s="176"/>
      <c r="BK153" s="176"/>
      <c r="BL153" s="176"/>
      <c r="BM153" s="176"/>
      <c r="BN153" s="176"/>
      <c r="BO153" s="176"/>
    </row>
    <row r="154" spans="1:67" s="36" customFormat="1" ht="10.5" customHeight="1" x14ac:dyDescent="0.2">
      <c r="A154" s="1055"/>
      <c r="B154" s="2594"/>
      <c r="C154" s="2595"/>
      <c r="D154" s="2596"/>
      <c r="E154" s="2395"/>
      <c r="F154" s="2396"/>
      <c r="G154" s="2590"/>
      <c r="H154" s="2591"/>
      <c r="I154" s="1081">
        <f t="shared" si="32"/>
        <v>0</v>
      </c>
      <c r="J154" s="1082">
        <f t="shared" si="33"/>
        <v>0</v>
      </c>
      <c r="K154" s="2588"/>
      <c r="L154" s="2589"/>
      <c r="M154" s="1086">
        <f t="shared" si="34"/>
        <v>0</v>
      </c>
      <c r="N154" s="506"/>
      <c r="O154" s="365">
        <f t="shared" si="35"/>
        <v>0</v>
      </c>
      <c r="P154" s="366"/>
      <c r="Q154" s="135"/>
      <c r="R154" s="136"/>
      <c r="S154" s="129"/>
      <c r="T154" s="129"/>
      <c r="U154" s="129"/>
      <c r="V154" s="129"/>
      <c r="W154" s="129"/>
      <c r="X154" s="129"/>
      <c r="Y154" s="129"/>
      <c r="Z154" s="133"/>
      <c r="AA154" s="133"/>
      <c r="AB154" s="133"/>
      <c r="AC154" s="133"/>
      <c r="AD154" s="133"/>
      <c r="AE154" s="133"/>
      <c r="AF154" s="222"/>
      <c r="AG154" s="222"/>
      <c r="AH154" s="222"/>
      <c r="AI154" s="176"/>
      <c r="AJ154" s="176"/>
      <c r="AK154" s="176"/>
      <c r="AL154" s="176"/>
      <c r="AM154" s="176"/>
      <c r="AN154" s="176"/>
      <c r="AO154" s="176"/>
      <c r="AP154" s="176"/>
      <c r="AQ154" s="176"/>
      <c r="AR154" s="176"/>
      <c r="AS154" s="176"/>
      <c r="AT154" s="176"/>
      <c r="AU154" s="176"/>
      <c r="AV154" s="176"/>
      <c r="AW154" s="176"/>
      <c r="AX154" s="176"/>
      <c r="AY154" s="176"/>
      <c r="AZ154" s="176"/>
      <c r="BA154" s="176"/>
      <c r="BB154" s="176"/>
      <c r="BC154" s="176"/>
      <c r="BD154" s="176"/>
      <c r="BE154" s="176"/>
      <c r="BF154" s="176"/>
      <c r="BG154" s="176"/>
      <c r="BH154" s="176"/>
      <c r="BI154" s="176"/>
      <c r="BJ154" s="176"/>
      <c r="BK154" s="176"/>
      <c r="BL154" s="176"/>
      <c r="BM154" s="176"/>
      <c r="BN154" s="176"/>
      <c r="BO154" s="176"/>
    </row>
    <row r="155" spans="1:67" s="36" customFormat="1" ht="10.5" customHeight="1" x14ac:dyDescent="0.2">
      <c r="A155" s="1055"/>
      <c r="B155" s="2594"/>
      <c r="C155" s="2595"/>
      <c r="D155" s="2596"/>
      <c r="E155" s="2395"/>
      <c r="F155" s="2396"/>
      <c r="G155" s="2590"/>
      <c r="H155" s="2591"/>
      <c r="I155" s="1081">
        <f t="shared" si="32"/>
        <v>0</v>
      </c>
      <c r="J155" s="1082">
        <f t="shared" si="33"/>
        <v>0</v>
      </c>
      <c r="K155" s="2588"/>
      <c r="L155" s="2589"/>
      <c r="M155" s="1086">
        <f t="shared" si="34"/>
        <v>0</v>
      </c>
      <c r="N155" s="506"/>
      <c r="O155" s="365">
        <f t="shared" si="35"/>
        <v>0</v>
      </c>
      <c r="P155" s="366"/>
      <c r="Q155" s="135"/>
      <c r="R155" s="136"/>
      <c r="S155" s="129"/>
      <c r="T155" s="129"/>
      <c r="U155" s="129"/>
      <c r="V155" s="129"/>
      <c r="W155" s="129"/>
      <c r="X155" s="129"/>
      <c r="Y155" s="129"/>
      <c r="Z155" s="133"/>
      <c r="AA155" s="133"/>
      <c r="AB155" s="133"/>
      <c r="AC155" s="133"/>
      <c r="AD155" s="133"/>
      <c r="AE155" s="133"/>
      <c r="AF155" s="222"/>
      <c r="AG155" s="222"/>
      <c r="AH155" s="222"/>
      <c r="AI155" s="176"/>
      <c r="AJ155" s="176"/>
      <c r="AK155" s="176"/>
      <c r="AL155" s="176"/>
      <c r="AM155" s="176"/>
      <c r="AN155" s="176"/>
      <c r="AO155" s="176"/>
      <c r="AP155" s="176"/>
      <c r="AQ155" s="176"/>
      <c r="AR155" s="176"/>
      <c r="AS155" s="176"/>
      <c r="AT155" s="176"/>
      <c r="AU155" s="176"/>
      <c r="AV155" s="176"/>
      <c r="AW155" s="176"/>
      <c r="AX155" s="176"/>
      <c r="AY155" s="176"/>
      <c r="AZ155" s="176"/>
      <c r="BA155" s="176"/>
      <c r="BB155" s="176"/>
      <c r="BC155" s="176"/>
      <c r="BD155" s="176"/>
      <c r="BE155" s="176"/>
      <c r="BF155" s="176"/>
      <c r="BG155" s="176"/>
      <c r="BH155" s="176"/>
      <c r="BI155" s="176"/>
      <c r="BJ155" s="176"/>
      <c r="BK155" s="176"/>
      <c r="BL155" s="176"/>
      <c r="BM155" s="176"/>
      <c r="BN155" s="176"/>
      <c r="BO155" s="176"/>
    </row>
    <row r="156" spans="1:67" s="36" customFormat="1" ht="10.5" customHeight="1" x14ac:dyDescent="0.2">
      <c r="A156" s="1055"/>
      <c r="B156" s="2594"/>
      <c r="C156" s="2595"/>
      <c r="D156" s="2596"/>
      <c r="E156" s="2395"/>
      <c r="F156" s="2396"/>
      <c r="G156" s="2590"/>
      <c r="H156" s="2591"/>
      <c r="I156" s="1081">
        <f t="shared" si="32"/>
        <v>0</v>
      </c>
      <c r="J156" s="1082">
        <f t="shared" si="33"/>
        <v>0</v>
      </c>
      <c r="K156" s="2588"/>
      <c r="L156" s="2589"/>
      <c r="M156" s="1086">
        <f t="shared" si="34"/>
        <v>0</v>
      </c>
      <c r="N156" s="506"/>
      <c r="O156" s="365">
        <f t="shared" si="35"/>
        <v>0</v>
      </c>
      <c r="P156" s="366"/>
      <c r="Q156" s="135"/>
      <c r="R156" s="136"/>
      <c r="S156" s="129"/>
      <c r="T156" s="129"/>
      <c r="U156" s="129"/>
      <c r="V156" s="129"/>
      <c r="W156" s="129"/>
      <c r="X156" s="129"/>
      <c r="Y156" s="129"/>
      <c r="Z156" s="133"/>
      <c r="AA156" s="133"/>
      <c r="AB156" s="133"/>
      <c r="AC156" s="133"/>
      <c r="AD156" s="133"/>
      <c r="AE156" s="133"/>
      <c r="AF156" s="222"/>
      <c r="AG156" s="222"/>
      <c r="AH156" s="222"/>
      <c r="AI156" s="176"/>
      <c r="AJ156" s="176"/>
      <c r="AK156" s="176"/>
      <c r="AL156" s="176"/>
      <c r="AM156" s="176"/>
      <c r="AN156" s="176"/>
      <c r="AO156" s="176"/>
      <c r="AP156" s="176"/>
      <c r="AQ156" s="176"/>
      <c r="AR156" s="176"/>
      <c r="AS156" s="176"/>
      <c r="AT156" s="176"/>
      <c r="AU156" s="176"/>
      <c r="AV156" s="176"/>
      <c r="AW156" s="176"/>
      <c r="AX156" s="176"/>
      <c r="AY156" s="176"/>
      <c r="AZ156" s="176"/>
      <c r="BA156" s="176"/>
      <c r="BB156" s="176"/>
      <c r="BC156" s="176"/>
      <c r="BD156" s="176"/>
      <c r="BE156" s="176"/>
      <c r="BF156" s="176"/>
      <c r="BG156" s="176"/>
      <c r="BH156" s="176"/>
      <c r="BI156" s="176"/>
      <c r="BJ156" s="176"/>
      <c r="BK156" s="176"/>
      <c r="BL156" s="176"/>
      <c r="BM156" s="176"/>
      <c r="BN156" s="176"/>
      <c r="BO156" s="176"/>
    </row>
    <row r="157" spans="1:67" s="36" customFormat="1" ht="10.5" customHeight="1" x14ac:dyDescent="0.2">
      <c r="A157" s="1055"/>
      <c r="B157" s="2594"/>
      <c r="C157" s="2595"/>
      <c r="D157" s="2596"/>
      <c r="E157" s="2395"/>
      <c r="F157" s="2396"/>
      <c r="G157" s="2590"/>
      <c r="H157" s="2591"/>
      <c r="I157" s="1081">
        <f t="shared" si="32"/>
        <v>0</v>
      </c>
      <c r="J157" s="1082">
        <f t="shared" si="33"/>
        <v>0</v>
      </c>
      <c r="K157" s="2588"/>
      <c r="L157" s="2589"/>
      <c r="M157" s="1086">
        <f t="shared" si="34"/>
        <v>0</v>
      </c>
      <c r="N157" s="506"/>
      <c r="O157" s="365">
        <f t="shared" si="35"/>
        <v>0</v>
      </c>
      <c r="P157" s="366"/>
      <c r="Q157" s="135"/>
      <c r="R157" s="136"/>
      <c r="S157" s="129"/>
      <c r="T157" s="129"/>
      <c r="U157" s="129"/>
      <c r="V157" s="129"/>
      <c r="W157" s="129"/>
      <c r="X157" s="129"/>
      <c r="Y157" s="129"/>
      <c r="Z157" s="133"/>
      <c r="AA157" s="133"/>
      <c r="AB157" s="133"/>
      <c r="AC157" s="133"/>
      <c r="AD157" s="133"/>
      <c r="AE157" s="133"/>
      <c r="AF157" s="222"/>
      <c r="AG157" s="222"/>
      <c r="AH157" s="222"/>
      <c r="AI157" s="176"/>
      <c r="AJ157" s="176"/>
      <c r="AK157" s="176"/>
      <c r="AL157" s="176"/>
      <c r="AM157" s="176"/>
      <c r="AN157" s="176"/>
      <c r="AO157" s="176"/>
      <c r="AP157" s="176"/>
      <c r="AQ157" s="176"/>
      <c r="AR157" s="176"/>
      <c r="AS157" s="176"/>
      <c r="AT157" s="176"/>
      <c r="AU157" s="176"/>
      <c r="AV157" s="176"/>
      <c r="AW157" s="176"/>
      <c r="AX157" s="176"/>
      <c r="AY157" s="176"/>
      <c r="AZ157" s="176"/>
      <c r="BA157" s="176"/>
      <c r="BB157" s="176"/>
      <c r="BC157" s="176"/>
      <c r="BD157" s="176"/>
      <c r="BE157" s="176"/>
      <c r="BF157" s="176"/>
      <c r="BG157" s="176"/>
      <c r="BH157" s="176"/>
      <c r="BI157" s="176"/>
      <c r="BJ157" s="176"/>
      <c r="BK157" s="176"/>
      <c r="BL157" s="176"/>
      <c r="BM157" s="176"/>
      <c r="BN157" s="176"/>
      <c r="BO157" s="176"/>
    </row>
    <row r="158" spans="1:67" s="36" customFormat="1" ht="10.5" customHeight="1" x14ac:dyDescent="0.2">
      <c r="A158" s="1055"/>
      <c r="B158" s="2594"/>
      <c r="C158" s="2595"/>
      <c r="D158" s="2596"/>
      <c r="E158" s="2395"/>
      <c r="F158" s="2396"/>
      <c r="G158" s="2590"/>
      <c r="H158" s="2591"/>
      <c r="I158" s="1081">
        <f t="shared" si="32"/>
        <v>0</v>
      </c>
      <c r="J158" s="1082">
        <f t="shared" si="33"/>
        <v>0</v>
      </c>
      <c r="K158" s="2588"/>
      <c r="L158" s="2589"/>
      <c r="M158" s="1086">
        <f t="shared" si="34"/>
        <v>0</v>
      </c>
      <c r="N158" s="506"/>
      <c r="O158" s="365">
        <f t="shared" si="35"/>
        <v>0</v>
      </c>
      <c r="P158" s="366"/>
      <c r="Q158" s="135"/>
      <c r="R158" s="136"/>
      <c r="S158" s="129"/>
      <c r="T158" s="129"/>
      <c r="U158" s="129"/>
      <c r="V158" s="129"/>
      <c r="W158" s="129"/>
      <c r="X158" s="129"/>
      <c r="Y158" s="129"/>
      <c r="Z158" s="133"/>
      <c r="AA158" s="133"/>
      <c r="AB158" s="133"/>
      <c r="AC158" s="133"/>
      <c r="AD158" s="133"/>
      <c r="AE158" s="133"/>
      <c r="AF158" s="222"/>
      <c r="AG158" s="222"/>
      <c r="AH158" s="222"/>
      <c r="AI158" s="176"/>
      <c r="AJ158" s="176"/>
      <c r="AK158" s="176"/>
      <c r="AL158" s="176"/>
      <c r="AM158" s="176"/>
      <c r="AN158" s="176"/>
      <c r="AO158" s="176"/>
      <c r="AP158" s="176"/>
      <c r="AQ158" s="176"/>
      <c r="AR158" s="176"/>
      <c r="AS158" s="176"/>
      <c r="AT158" s="176"/>
      <c r="AU158" s="176"/>
      <c r="AV158" s="176"/>
      <c r="AW158" s="176"/>
      <c r="AX158" s="176"/>
      <c r="AY158" s="176"/>
      <c r="AZ158" s="176"/>
      <c r="BA158" s="176"/>
      <c r="BB158" s="176"/>
      <c r="BC158" s="176"/>
      <c r="BD158" s="176"/>
      <c r="BE158" s="176"/>
      <c r="BF158" s="176"/>
      <c r="BG158" s="176"/>
      <c r="BH158" s="176"/>
      <c r="BI158" s="176"/>
      <c r="BJ158" s="176"/>
      <c r="BK158" s="176"/>
      <c r="BL158" s="176"/>
      <c r="BM158" s="176"/>
      <c r="BN158" s="176"/>
      <c r="BO158" s="176"/>
    </row>
    <row r="159" spans="1:67" s="36" customFormat="1" ht="10.5" customHeight="1" x14ac:dyDescent="0.2">
      <c r="A159" s="1055"/>
      <c r="B159" s="2594"/>
      <c r="C159" s="2595"/>
      <c r="D159" s="2596"/>
      <c r="E159" s="2395"/>
      <c r="F159" s="2396"/>
      <c r="G159" s="2590"/>
      <c r="H159" s="2591"/>
      <c r="I159" s="1081">
        <f t="shared" si="32"/>
        <v>0</v>
      </c>
      <c r="J159" s="1082">
        <f t="shared" si="33"/>
        <v>0</v>
      </c>
      <c r="K159" s="2588"/>
      <c r="L159" s="2589"/>
      <c r="M159" s="1086">
        <f t="shared" si="34"/>
        <v>0</v>
      </c>
      <c r="N159" s="506"/>
      <c r="O159" s="365">
        <f t="shared" si="35"/>
        <v>0</v>
      </c>
      <c r="P159" s="366"/>
      <c r="Q159" s="135"/>
      <c r="R159" s="136"/>
      <c r="S159" s="129"/>
      <c r="T159" s="129"/>
      <c r="U159" s="129"/>
      <c r="V159" s="129"/>
      <c r="W159" s="129"/>
      <c r="X159" s="129"/>
      <c r="Y159" s="129"/>
      <c r="Z159" s="133"/>
      <c r="AA159" s="133"/>
      <c r="AB159" s="133"/>
      <c r="AC159" s="133"/>
      <c r="AD159" s="133"/>
      <c r="AE159" s="133"/>
      <c r="AF159" s="222"/>
      <c r="AG159" s="222"/>
      <c r="AH159" s="222"/>
      <c r="AI159" s="176"/>
      <c r="AJ159" s="176"/>
      <c r="AK159" s="176"/>
      <c r="AL159" s="176"/>
      <c r="AM159" s="176"/>
      <c r="AN159" s="176"/>
      <c r="AO159" s="176"/>
      <c r="AP159" s="176"/>
      <c r="AQ159" s="176"/>
      <c r="AR159" s="176"/>
      <c r="AS159" s="176"/>
      <c r="AT159" s="176"/>
      <c r="AU159" s="176"/>
      <c r="AV159" s="176"/>
      <c r="AW159" s="176"/>
      <c r="AX159" s="176"/>
      <c r="AY159" s="176"/>
      <c r="AZ159" s="176"/>
      <c r="BA159" s="176"/>
      <c r="BB159" s="176"/>
      <c r="BC159" s="176"/>
      <c r="BD159" s="176"/>
      <c r="BE159" s="176"/>
      <c r="BF159" s="176"/>
      <c r="BG159" s="176"/>
      <c r="BH159" s="176"/>
      <c r="BI159" s="176"/>
      <c r="BJ159" s="176"/>
      <c r="BK159" s="176"/>
      <c r="BL159" s="176"/>
      <c r="BM159" s="176"/>
      <c r="BN159" s="176"/>
      <c r="BO159" s="176"/>
    </row>
    <row r="160" spans="1:67" s="36" customFormat="1" ht="10.5" customHeight="1" x14ac:dyDescent="0.2">
      <c r="A160" s="1055"/>
      <c r="B160" s="2594"/>
      <c r="C160" s="2595"/>
      <c r="D160" s="2596"/>
      <c r="E160" s="2395"/>
      <c r="F160" s="2396"/>
      <c r="G160" s="2590"/>
      <c r="H160" s="2591"/>
      <c r="I160" s="1081">
        <f t="shared" si="32"/>
        <v>0</v>
      </c>
      <c r="J160" s="1082">
        <f t="shared" si="33"/>
        <v>0</v>
      </c>
      <c r="K160" s="2588"/>
      <c r="L160" s="2589"/>
      <c r="M160" s="1086">
        <f t="shared" si="34"/>
        <v>0</v>
      </c>
      <c r="N160" s="506"/>
      <c r="O160" s="365">
        <f t="shared" si="35"/>
        <v>0</v>
      </c>
      <c r="P160" s="366"/>
      <c r="Q160" s="135"/>
      <c r="R160" s="136"/>
      <c r="S160" s="129"/>
      <c r="T160" s="129"/>
      <c r="U160" s="129"/>
      <c r="V160" s="129"/>
      <c r="W160" s="129"/>
      <c r="X160" s="129"/>
      <c r="Y160" s="129"/>
      <c r="Z160" s="133"/>
      <c r="AA160" s="133"/>
      <c r="AB160" s="133"/>
      <c r="AC160" s="133"/>
      <c r="AD160" s="133"/>
      <c r="AE160" s="133"/>
      <c r="AF160" s="222"/>
      <c r="AG160" s="222"/>
      <c r="AH160" s="222"/>
      <c r="AI160" s="176"/>
      <c r="AJ160" s="176"/>
      <c r="AK160" s="176"/>
      <c r="AL160" s="176"/>
      <c r="AM160" s="176"/>
      <c r="AN160" s="176"/>
      <c r="AO160" s="176"/>
      <c r="AP160" s="176"/>
      <c r="AQ160" s="176"/>
      <c r="AR160" s="176"/>
      <c r="AS160" s="176"/>
      <c r="AT160" s="176"/>
      <c r="AU160" s="176"/>
      <c r="AV160" s="176"/>
      <c r="AW160" s="176"/>
      <c r="AX160" s="176"/>
      <c r="AY160" s="176"/>
      <c r="AZ160" s="176"/>
      <c r="BA160" s="176"/>
      <c r="BB160" s="176"/>
      <c r="BC160" s="176"/>
      <c r="BD160" s="176"/>
      <c r="BE160" s="176"/>
      <c r="BF160" s="176"/>
      <c r="BG160" s="176"/>
      <c r="BH160" s="176"/>
      <c r="BI160" s="176"/>
      <c r="BJ160" s="176"/>
      <c r="BK160" s="176"/>
      <c r="BL160" s="176"/>
      <c r="BM160" s="176"/>
      <c r="BN160" s="176"/>
      <c r="BO160" s="176"/>
    </row>
    <row r="161" spans="1:67" s="36" customFormat="1" ht="10.5" customHeight="1" x14ac:dyDescent="0.2">
      <c r="A161" s="1348"/>
      <c r="B161" s="2690"/>
      <c r="C161" s="2691"/>
      <c r="D161" s="2692"/>
      <c r="E161" s="2601"/>
      <c r="F161" s="2602"/>
      <c r="G161" s="1088"/>
      <c r="H161" s="1089"/>
      <c r="I161" s="1083">
        <f t="shared" si="32"/>
        <v>0</v>
      </c>
      <c r="J161" s="1084"/>
      <c r="K161" s="1087"/>
      <c r="L161" s="1307"/>
      <c r="M161" s="1317">
        <f t="shared" si="34"/>
        <v>0</v>
      </c>
      <c r="N161" s="506"/>
      <c r="O161" s="365">
        <f t="shared" si="35"/>
        <v>0</v>
      </c>
      <c r="P161" s="366"/>
      <c r="Q161" s="135"/>
      <c r="R161" s="136"/>
      <c r="S161" s="129"/>
      <c r="T161" s="129"/>
      <c r="U161" s="129"/>
      <c r="V161" s="129"/>
      <c r="W161" s="129"/>
      <c r="X161" s="129"/>
      <c r="Y161" s="129"/>
      <c r="Z161" s="133"/>
      <c r="AA161" s="133"/>
      <c r="AB161" s="133"/>
      <c r="AC161" s="133"/>
      <c r="AD161" s="133"/>
      <c r="AE161" s="133"/>
      <c r="AF161" s="222"/>
      <c r="AG161" s="222"/>
      <c r="AH161" s="222"/>
      <c r="AI161" s="176"/>
      <c r="AJ161" s="176"/>
      <c r="AK161" s="176"/>
      <c r="AL161" s="176"/>
      <c r="AM161" s="176"/>
      <c r="AN161" s="176"/>
      <c r="AO161" s="176"/>
      <c r="AP161" s="176"/>
      <c r="AQ161" s="176"/>
      <c r="AR161" s="176"/>
      <c r="AS161" s="176"/>
      <c r="AT161" s="176"/>
      <c r="AU161" s="176"/>
      <c r="AV161" s="176"/>
      <c r="AW161" s="176"/>
      <c r="AX161" s="176"/>
      <c r="AY161" s="176"/>
      <c r="AZ161" s="176"/>
      <c r="BA161" s="176"/>
      <c r="BB161" s="176"/>
      <c r="BC161" s="176"/>
      <c r="BD161" s="176"/>
      <c r="BE161" s="176"/>
      <c r="BF161" s="176"/>
      <c r="BG161" s="176"/>
      <c r="BH161" s="176"/>
      <c r="BI161" s="176"/>
      <c r="BJ161" s="176"/>
      <c r="BK161" s="176"/>
      <c r="BL161" s="176"/>
      <c r="BM161" s="176"/>
      <c r="BN161" s="176"/>
      <c r="BO161" s="176"/>
    </row>
    <row r="162" spans="1:67" s="36" customFormat="1" ht="10.5" customHeight="1" x14ac:dyDescent="0.2">
      <c r="A162" s="1115" t="s">
        <v>308</v>
      </c>
      <c r="B162" s="2611"/>
      <c r="C162" s="2612"/>
      <c r="D162" s="2613"/>
      <c r="E162" s="2676">
        <f>SUM(E163:E175)</f>
        <v>0</v>
      </c>
      <c r="F162" s="2677"/>
      <c r="G162" s="2678"/>
      <c r="H162" s="2679"/>
      <c r="I162" s="1116">
        <f>IF(E162=0,0,J162/E162)</f>
        <v>0</v>
      </c>
      <c r="J162" s="1117">
        <f>SUM(J163:J175)</f>
        <v>0</v>
      </c>
      <c r="K162" s="2686">
        <f>IF(E162=0,0,M162/E162*100)</f>
        <v>0</v>
      </c>
      <c r="L162" s="2687"/>
      <c r="M162" s="1118">
        <f>SUM(M163:M175)</f>
        <v>0</v>
      </c>
      <c r="N162" s="506"/>
      <c r="O162" s="178">
        <f>IF(H162="",G162,H162)</f>
        <v>0</v>
      </c>
      <c r="P162" s="366"/>
      <c r="Q162" s="135"/>
      <c r="R162" s="136"/>
      <c r="S162" s="129"/>
      <c r="T162" s="129"/>
      <c r="U162" s="129"/>
      <c r="V162" s="129"/>
      <c r="W162" s="129"/>
      <c r="X162" s="129"/>
      <c r="Y162" s="129"/>
      <c r="Z162" s="133"/>
      <c r="AA162" s="133"/>
      <c r="AB162" s="133"/>
      <c r="AC162" s="133"/>
      <c r="AD162" s="133"/>
      <c r="AE162" s="133"/>
      <c r="AF162" s="222"/>
      <c r="AG162" s="222"/>
      <c r="AH162" s="222"/>
      <c r="AI162" s="176"/>
      <c r="AJ162" s="176"/>
      <c r="AK162" s="176"/>
      <c r="AL162" s="176"/>
      <c r="AM162" s="176"/>
      <c r="AN162" s="176"/>
      <c r="AO162" s="176"/>
      <c r="AP162" s="176"/>
      <c r="AQ162" s="176"/>
      <c r="AR162" s="176"/>
      <c r="AS162" s="176"/>
      <c r="AT162" s="176"/>
      <c r="AU162" s="176"/>
      <c r="AV162" s="176"/>
      <c r="AW162" s="176"/>
      <c r="AX162" s="176"/>
      <c r="AY162" s="176"/>
      <c r="AZ162" s="176"/>
      <c r="BA162" s="176"/>
      <c r="BB162" s="176"/>
      <c r="BC162" s="176"/>
      <c r="BD162" s="176"/>
      <c r="BE162" s="176"/>
      <c r="BF162" s="176"/>
      <c r="BG162" s="176"/>
      <c r="BH162" s="176"/>
      <c r="BI162" s="176"/>
      <c r="BJ162" s="176"/>
      <c r="BK162" s="176"/>
      <c r="BL162" s="176"/>
      <c r="BM162" s="176"/>
      <c r="BN162" s="176"/>
      <c r="BO162" s="176"/>
    </row>
    <row r="163" spans="1:67" s="36" customFormat="1" ht="10.5" customHeight="1" x14ac:dyDescent="0.2">
      <c r="A163" s="1359" t="s">
        <v>309</v>
      </c>
      <c r="B163" s="2743"/>
      <c r="C163" s="2744"/>
      <c r="D163" s="2745"/>
      <c r="E163" s="2746"/>
      <c r="F163" s="2788"/>
      <c r="G163" s="1056">
        <v>30</v>
      </c>
      <c r="H163" s="1057"/>
      <c r="I163" s="1079">
        <f t="shared" ref="I163:I176" si="36">IF($O163&gt;0,-PMT(($I$9),$O163,1),0)</f>
        <v>4.6199342169092869E-2</v>
      </c>
      <c r="J163" s="1080">
        <f t="shared" ref="J163:J175" si="37">ROUND(E163*I163,0)</f>
        <v>0</v>
      </c>
      <c r="K163" s="1060">
        <v>1</v>
      </c>
      <c r="L163" s="1304"/>
      <c r="M163" s="1085">
        <f t="shared" ref="M163:M176" si="38">ROUND(E163/100*IF(ISBLANK(L163),K163,L163),0)</f>
        <v>0</v>
      </c>
      <c r="N163" s="506"/>
      <c r="O163" s="365">
        <f t="shared" ref="O163:O176" si="39">IF(ISBLANK(H163),G163,H163)</f>
        <v>30</v>
      </c>
      <c r="P163" s="366"/>
      <c r="Q163" s="135"/>
      <c r="R163" s="136"/>
      <c r="S163" s="129"/>
      <c r="T163" s="129"/>
      <c r="U163" s="129"/>
      <c r="V163" s="129"/>
      <c r="W163" s="129"/>
      <c r="X163" s="129"/>
      <c r="Y163" s="129"/>
      <c r="Z163" s="133"/>
      <c r="AA163" s="133"/>
      <c r="AB163" s="133"/>
      <c r="AC163" s="133"/>
      <c r="AD163" s="133"/>
      <c r="AE163" s="133"/>
      <c r="AF163" s="222"/>
      <c r="AG163" s="222"/>
      <c r="AH163" s="222"/>
      <c r="AI163" s="176"/>
      <c r="AJ163" s="176"/>
      <c r="AK163" s="176"/>
      <c r="AL163" s="176"/>
      <c r="AM163" s="176"/>
      <c r="AN163" s="176"/>
      <c r="AO163" s="176"/>
      <c r="AP163" s="176"/>
      <c r="AQ163" s="176"/>
      <c r="AR163" s="176"/>
      <c r="AS163" s="176"/>
      <c r="AT163" s="176"/>
      <c r="AU163" s="176"/>
      <c r="AV163" s="176"/>
      <c r="AW163" s="176"/>
      <c r="AX163" s="176"/>
      <c r="AY163" s="176"/>
      <c r="AZ163" s="176"/>
      <c r="BA163" s="176"/>
      <c r="BB163" s="176"/>
      <c r="BC163" s="176"/>
      <c r="BD163" s="176"/>
      <c r="BE163" s="176"/>
      <c r="BF163" s="176"/>
      <c r="BG163" s="176"/>
      <c r="BH163" s="176"/>
      <c r="BI163" s="176"/>
      <c r="BJ163" s="176"/>
      <c r="BK163" s="176"/>
      <c r="BL163" s="176"/>
      <c r="BM163" s="176"/>
      <c r="BN163" s="176"/>
      <c r="BO163" s="176"/>
    </row>
    <row r="164" spans="1:67" s="36" customFormat="1" ht="10.5" customHeight="1" x14ac:dyDescent="0.2">
      <c r="A164" s="1043" t="s">
        <v>310</v>
      </c>
      <c r="B164" s="2594"/>
      <c r="C164" s="2595"/>
      <c r="D164" s="2596"/>
      <c r="E164" s="2395"/>
      <c r="F164" s="2789"/>
      <c r="G164" s="1058">
        <v>40</v>
      </c>
      <c r="H164" s="1059"/>
      <c r="I164" s="1081">
        <f t="shared" si="36"/>
        <v>3.8177378061076156E-2</v>
      </c>
      <c r="J164" s="1082">
        <f t="shared" si="37"/>
        <v>0</v>
      </c>
      <c r="K164" s="1061">
        <v>1.5</v>
      </c>
      <c r="L164" s="1305"/>
      <c r="M164" s="1086">
        <f t="shared" si="38"/>
        <v>0</v>
      </c>
      <c r="N164" s="506"/>
      <c r="O164" s="365">
        <f t="shared" si="39"/>
        <v>40</v>
      </c>
      <c r="P164" s="366"/>
      <c r="Q164" s="135"/>
      <c r="R164" s="136"/>
      <c r="S164" s="129"/>
      <c r="T164" s="129"/>
      <c r="U164" s="129"/>
      <c r="V164" s="129"/>
      <c r="W164" s="129"/>
      <c r="X164" s="129"/>
      <c r="Y164" s="129"/>
      <c r="Z164" s="133"/>
      <c r="AA164" s="133"/>
      <c r="AB164" s="133"/>
      <c r="AC164" s="133"/>
      <c r="AD164" s="133"/>
      <c r="AE164" s="133"/>
      <c r="AF164" s="222"/>
      <c r="AG164" s="222"/>
      <c r="AH164" s="222"/>
      <c r="AI164" s="176"/>
      <c r="AJ164" s="176"/>
      <c r="AK164" s="176"/>
      <c r="AL164" s="176"/>
      <c r="AM164" s="176"/>
      <c r="AN164" s="176"/>
      <c r="AO164" s="176"/>
      <c r="AP164" s="176"/>
      <c r="AQ164" s="176"/>
      <c r="AR164" s="176"/>
      <c r="AS164" s="176"/>
      <c r="AT164" s="176"/>
      <c r="AU164" s="176"/>
      <c r="AV164" s="176"/>
      <c r="AW164" s="176"/>
      <c r="AX164" s="176"/>
      <c r="AY164" s="176"/>
      <c r="AZ164" s="176"/>
      <c r="BA164" s="176"/>
      <c r="BB164" s="176"/>
      <c r="BC164" s="176"/>
      <c r="BD164" s="176"/>
      <c r="BE164" s="176"/>
      <c r="BF164" s="176"/>
      <c r="BG164" s="176"/>
      <c r="BH164" s="176"/>
      <c r="BI164" s="176"/>
      <c r="BJ164" s="176"/>
      <c r="BK164" s="176"/>
      <c r="BL164" s="176"/>
      <c r="BM164" s="176"/>
      <c r="BN164" s="176"/>
      <c r="BO164" s="176"/>
    </row>
    <row r="165" spans="1:67" s="36" customFormat="1" ht="10.5" customHeight="1" x14ac:dyDescent="0.2">
      <c r="A165" s="1043" t="s">
        <v>311</v>
      </c>
      <c r="B165" s="2594"/>
      <c r="C165" s="2595"/>
      <c r="D165" s="2596"/>
      <c r="E165" s="2395"/>
      <c r="F165" s="2789"/>
      <c r="G165" s="1058">
        <v>40</v>
      </c>
      <c r="H165" s="1059"/>
      <c r="I165" s="1081">
        <f t="shared" si="36"/>
        <v>3.8177378061076156E-2</v>
      </c>
      <c r="J165" s="1082">
        <f t="shared" si="37"/>
        <v>0</v>
      </c>
      <c r="K165" s="1061">
        <v>1.5</v>
      </c>
      <c r="L165" s="1305"/>
      <c r="M165" s="1086">
        <f t="shared" si="38"/>
        <v>0</v>
      </c>
      <c r="N165" s="506"/>
      <c r="O165" s="365">
        <f t="shared" si="39"/>
        <v>40</v>
      </c>
      <c r="P165" s="366"/>
      <c r="Q165" s="135"/>
      <c r="R165" s="136"/>
      <c r="S165" s="129"/>
      <c r="T165" s="129"/>
      <c r="U165" s="129"/>
      <c r="V165" s="129"/>
      <c r="W165" s="129"/>
      <c r="X165" s="129"/>
      <c r="Y165" s="129"/>
      <c r="Z165" s="133"/>
      <c r="AA165" s="133"/>
      <c r="AB165" s="133"/>
      <c r="AC165" s="133"/>
      <c r="AD165" s="133"/>
      <c r="AE165" s="133"/>
      <c r="AF165" s="222"/>
      <c r="AG165" s="222"/>
      <c r="AH165" s="222"/>
      <c r="AI165" s="176"/>
      <c r="AJ165" s="176"/>
      <c r="AK165" s="176"/>
      <c r="AL165" s="176"/>
      <c r="AM165" s="176"/>
      <c r="AN165" s="176"/>
      <c r="AO165" s="176"/>
      <c r="AP165" s="176"/>
      <c r="AQ165" s="176"/>
      <c r="AR165" s="176"/>
      <c r="AS165" s="176"/>
      <c r="AT165" s="176"/>
      <c r="AU165" s="176"/>
      <c r="AV165" s="176"/>
      <c r="AW165" s="176"/>
      <c r="AX165" s="176"/>
      <c r="AY165" s="176"/>
      <c r="AZ165" s="176"/>
      <c r="BA165" s="176"/>
      <c r="BB165" s="176"/>
      <c r="BC165" s="176"/>
      <c r="BD165" s="176"/>
      <c r="BE165" s="176"/>
      <c r="BF165" s="176"/>
      <c r="BG165" s="176"/>
      <c r="BH165" s="176"/>
      <c r="BI165" s="176"/>
      <c r="BJ165" s="176"/>
      <c r="BK165" s="176"/>
      <c r="BL165" s="176"/>
      <c r="BM165" s="176"/>
      <c r="BN165" s="176"/>
      <c r="BO165" s="176"/>
    </row>
    <row r="166" spans="1:67" s="36" customFormat="1" ht="10.5" customHeight="1" x14ac:dyDescent="0.2">
      <c r="A166" s="1043" t="s">
        <v>312</v>
      </c>
      <c r="B166" s="2594"/>
      <c r="C166" s="2595"/>
      <c r="D166" s="2596"/>
      <c r="E166" s="2395"/>
      <c r="F166" s="2789"/>
      <c r="G166" s="1058">
        <v>40</v>
      </c>
      <c r="H166" s="1059"/>
      <c r="I166" s="1081">
        <f t="shared" si="36"/>
        <v>3.8177378061076156E-2</v>
      </c>
      <c r="J166" s="1082">
        <f t="shared" si="37"/>
        <v>0</v>
      </c>
      <c r="K166" s="1061">
        <v>1</v>
      </c>
      <c r="L166" s="1305"/>
      <c r="M166" s="1086">
        <f t="shared" si="38"/>
        <v>0</v>
      </c>
      <c r="N166" s="506"/>
      <c r="O166" s="365">
        <f t="shared" si="39"/>
        <v>40</v>
      </c>
      <c r="P166" s="366"/>
      <c r="Q166" s="135"/>
      <c r="R166" s="136"/>
      <c r="S166" s="129"/>
      <c r="T166" s="129"/>
      <c r="U166" s="129"/>
      <c r="V166" s="129"/>
      <c r="W166" s="129"/>
      <c r="X166" s="129"/>
      <c r="Y166" s="129"/>
      <c r="Z166" s="133"/>
      <c r="AA166" s="133"/>
      <c r="AB166" s="133"/>
      <c r="AC166" s="133"/>
      <c r="AD166" s="133"/>
      <c r="AE166" s="133"/>
      <c r="AF166" s="222"/>
      <c r="AG166" s="222"/>
      <c r="AH166" s="222"/>
      <c r="AI166" s="176"/>
      <c r="AJ166" s="176"/>
      <c r="AK166" s="176"/>
      <c r="AL166" s="176"/>
      <c r="AM166" s="176"/>
      <c r="AN166" s="176"/>
      <c r="AO166" s="176"/>
      <c r="AP166" s="176"/>
      <c r="AQ166" s="176"/>
      <c r="AR166" s="176"/>
      <c r="AS166" s="176"/>
      <c r="AT166" s="176"/>
      <c r="AU166" s="176"/>
      <c r="AV166" s="176"/>
      <c r="AW166" s="176"/>
      <c r="AX166" s="176"/>
      <c r="AY166" s="176"/>
      <c r="AZ166" s="176"/>
      <c r="BA166" s="176"/>
      <c r="BB166" s="176"/>
      <c r="BC166" s="176"/>
      <c r="BD166" s="176"/>
      <c r="BE166" s="176"/>
      <c r="BF166" s="176"/>
      <c r="BG166" s="176"/>
      <c r="BH166" s="176"/>
      <c r="BI166" s="176"/>
      <c r="BJ166" s="176"/>
      <c r="BK166" s="176"/>
      <c r="BL166" s="176"/>
      <c r="BM166" s="176"/>
      <c r="BN166" s="176"/>
      <c r="BO166" s="176"/>
    </row>
    <row r="167" spans="1:67" s="36" customFormat="1" ht="10.5" customHeight="1" x14ac:dyDescent="0.2">
      <c r="A167" s="1043" t="s">
        <v>313</v>
      </c>
      <c r="B167" s="2594"/>
      <c r="C167" s="2595"/>
      <c r="D167" s="2596"/>
      <c r="E167" s="2395"/>
      <c r="F167" s="2789"/>
      <c r="G167" s="1058">
        <v>40</v>
      </c>
      <c r="H167" s="1059"/>
      <c r="I167" s="1081">
        <f t="shared" si="36"/>
        <v>3.8177378061076156E-2</v>
      </c>
      <c r="J167" s="1082">
        <f t="shared" si="37"/>
        <v>0</v>
      </c>
      <c r="K167" s="1061">
        <v>1.5</v>
      </c>
      <c r="L167" s="1305"/>
      <c r="M167" s="1086">
        <f t="shared" si="38"/>
        <v>0</v>
      </c>
      <c r="N167" s="506"/>
      <c r="O167" s="365">
        <f t="shared" si="39"/>
        <v>40</v>
      </c>
      <c r="P167" s="366"/>
      <c r="Q167" s="135"/>
      <c r="R167" s="136"/>
      <c r="S167" s="129"/>
      <c r="T167" s="129"/>
      <c r="U167" s="129"/>
      <c r="V167" s="129"/>
      <c r="W167" s="129"/>
      <c r="X167" s="129"/>
      <c r="Y167" s="129"/>
      <c r="Z167" s="133"/>
      <c r="AA167" s="133"/>
      <c r="AB167" s="133"/>
      <c r="AC167" s="133"/>
      <c r="AD167" s="133"/>
      <c r="AE167" s="133"/>
      <c r="AF167" s="222"/>
      <c r="AG167" s="222"/>
      <c r="AH167" s="222"/>
      <c r="AI167" s="176"/>
      <c r="AJ167" s="176"/>
      <c r="AK167" s="176"/>
      <c r="AL167" s="176"/>
      <c r="AM167" s="176"/>
      <c r="AN167" s="176"/>
      <c r="AO167" s="176"/>
      <c r="AP167" s="176"/>
      <c r="AQ167" s="176"/>
      <c r="AR167" s="176"/>
      <c r="AS167" s="176"/>
      <c r="AT167" s="176"/>
      <c r="AU167" s="176"/>
      <c r="AV167" s="176"/>
      <c r="AW167" s="176"/>
      <c r="AX167" s="176"/>
      <c r="AY167" s="176"/>
      <c r="AZ167" s="176"/>
      <c r="BA167" s="176"/>
      <c r="BB167" s="176"/>
      <c r="BC167" s="176"/>
      <c r="BD167" s="176"/>
      <c r="BE167" s="176"/>
      <c r="BF167" s="176"/>
      <c r="BG167" s="176"/>
      <c r="BH167" s="176"/>
      <c r="BI167" s="176"/>
      <c r="BJ167" s="176"/>
      <c r="BK167" s="176"/>
      <c r="BL167" s="176"/>
      <c r="BM167" s="176"/>
      <c r="BN167" s="176"/>
      <c r="BO167" s="176"/>
    </row>
    <row r="168" spans="1:67" s="36" customFormat="1" ht="10.5" customHeight="1" x14ac:dyDescent="0.2">
      <c r="A168" s="1043" t="s">
        <v>314</v>
      </c>
      <c r="B168" s="2594"/>
      <c r="C168" s="2595"/>
      <c r="D168" s="2596"/>
      <c r="E168" s="2395"/>
      <c r="F168" s="2789"/>
      <c r="G168" s="1058">
        <v>20</v>
      </c>
      <c r="H168" s="1059"/>
      <c r="I168" s="1081">
        <f t="shared" si="36"/>
        <v>6.2642070767998229E-2</v>
      </c>
      <c r="J168" s="1082">
        <f t="shared" si="37"/>
        <v>0</v>
      </c>
      <c r="K168" s="1061">
        <v>1.5</v>
      </c>
      <c r="L168" s="1305"/>
      <c r="M168" s="1086">
        <f t="shared" si="38"/>
        <v>0</v>
      </c>
      <c r="N168" s="506"/>
      <c r="O168" s="365">
        <f t="shared" si="39"/>
        <v>20</v>
      </c>
      <c r="P168" s="366"/>
      <c r="Q168" s="135"/>
      <c r="R168" s="136"/>
      <c r="S168" s="129"/>
      <c r="T168" s="129"/>
      <c r="U168" s="129"/>
      <c r="V168" s="129"/>
      <c r="W168" s="129"/>
      <c r="X168" s="129"/>
      <c r="Y168" s="129"/>
      <c r="Z168" s="133"/>
      <c r="AA168" s="133"/>
      <c r="AB168" s="133"/>
      <c r="AC168" s="133"/>
      <c r="AD168" s="133"/>
      <c r="AE168" s="133"/>
      <c r="AF168" s="222"/>
      <c r="AG168" s="222"/>
      <c r="AH168" s="222"/>
      <c r="AI168" s="176"/>
      <c r="AJ168" s="176"/>
      <c r="AK168" s="176"/>
      <c r="AL168" s="176"/>
      <c r="AM168" s="176"/>
      <c r="AN168" s="176"/>
      <c r="AO168" s="176"/>
      <c r="AP168" s="176"/>
      <c r="AQ168" s="176"/>
      <c r="AR168" s="176"/>
      <c r="AS168" s="176"/>
      <c r="AT168" s="176"/>
      <c r="AU168" s="176"/>
      <c r="AV168" s="176"/>
      <c r="AW168" s="176"/>
      <c r="AX168" s="176"/>
      <c r="AY168" s="176"/>
      <c r="AZ168" s="176"/>
      <c r="BA168" s="176"/>
      <c r="BB168" s="176"/>
      <c r="BC168" s="176"/>
      <c r="BD168" s="176"/>
      <c r="BE168" s="176"/>
      <c r="BF168" s="176"/>
      <c r="BG168" s="176"/>
      <c r="BH168" s="176"/>
      <c r="BI168" s="176"/>
      <c r="BJ168" s="176"/>
      <c r="BK168" s="176"/>
      <c r="BL168" s="176"/>
      <c r="BM168" s="176"/>
      <c r="BN168" s="176"/>
      <c r="BO168" s="176"/>
    </row>
    <row r="169" spans="1:67" s="36" customFormat="1" ht="10.5" customHeight="1" x14ac:dyDescent="0.2">
      <c r="A169" s="1043" t="s">
        <v>315</v>
      </c>
      <c r="B169" s="2594"/>
      <c r="C169" s="2595"/>
      <c r="D169" s="2596"/>
      <c r="E169" s="2395"/>
      <c r="F169" s="2789"/>
      <c r="G169" s="1058">
        <v>40</v>
      </c>
      <c r="H169" s="1059"/>
      <c r="I169" s="1081">
        <f t="shared" si="36"/>
        <v>3.8177378061076156E-2</v>
      </c>
      <c r="J169" s="1082">
        <f t="shared" si="37"/>
        <v>0</v>
      </c>
      <c r="K169" s="1061">
        <v>1</v>
      </c>
      <c r="L169" s="1305"/>
      <c r="M169" s="1086">
        <f t="shared" si="38"/>
        <v>0</v>
      </c>
      <c r="N169" s="506"/>
      <c r="O169" s="365">
        <f t="shared" si="39"/>
        <v>40</v>
      </c>
      <c r="P169" s="366"/>
      <c r="Q169" s="135"/>
      <c r="R169" s="136"/>
      <c r="S169" s="129"/>
      <c r="T169" s="129"/>
      <c r="U169" s="129"/>
      <c r="V169" s="129"/>
      <c r="W169" s="129"/>
      <c r="X169" s="129"/>
      <c r="Y169" s="129"/>
      <c r="Z169" s="133"/>
      <c r="AA169" s="133"/>
      <c r="AB169" s="133"/>
      <c r="AC169" s="133"/>
      <c r="AD169" s="133"/>
      <c r="AE169" s="133"/>
      <c r="AF169" s="222"/>
      <c r="AG169" s="222"/>
      <c r="AH169" s="222"/>
      <c r="AI169" s="176"/>
      <c r="AJ169" s="176"/>
      <c r="AK169" s="176"/>
      <c r="AL169" s="176"/>
      <c r="AM169" s="176"/>
      <c r="AN169" s="176"/>
      <c r="AO169" s="176"/>
      <c r="AP169" s="176"/>
      <c r="AQ169" s="176"/>
      <c r="AR169" s="176"/>
      <c r="AS169" s="176"/>
      <c r="AT169" s="176"/>
      <c r="AU169" s="176"/>
      <c r="AV169" s="176"/>
      <c r="AW169" s="176"/>
      <c r="AX169" s="176"/>
      <c r="AY169" s="176"/>
      <c r="AZ169" s="176"/>
      <c r="BA169" s="176"/>
      <c r="BB169" s="176"/>
      <c r="BC169" s="176"/>
      <c r="BD169" s="176"/>
      <c r="BE169" s="176"/>
      <c r="BF169" s="176"/>
      <c r="BG169" s="176"/>
      <c r="BH169" s="176"/>
      <c r="BI169" s="176"/>
      <c r="BJ169" s="176"/>
      <c r="BK169" s="176"/>
      <c r="BL169" s="176"/>
      <c r="BM169" s="176"/>
      <c r="BN169" s="176"/>
      <c r="BO169" s="176"/>
    </row>
    <row r="170" spans="1:67" s="36" customFormat="1" ht="10.5" customHeight="1" x14ac:dyDescent="0.2">
      <c r="A170" s="1043" t="s">
        <v>273</v>
      </c>
      <c r="B170" s="2594"/>
      <c r="C170" s="2595"/>
      <c r="D170" s="2596"/>
      <c r="E170" s="2395"/>
      <c r="F170" s="2789"/>
      <c r="G170" s="1058">
        <v>20</v>
      </c>
      <c r="H170" s="1059"/>
      <c r="I170" s="1081">
        <f t="shared" si="36"/>
        <v>6.2642070767998229E-2</v>
      </c>
      <c r="J170" s="1082">
        <f t="shared" si="37"/>
        <v>0</v>
      </c>
      <c r="K170" s="1061">
        <v>8</v>
      </c>
      <c r="L170" s="1305"/>
      <c r="M170" s="1086">
        <f t="shared" si="38"/>
        <v>0</v>
      </c>
      <c r="N170" s="506"/>
      <c r="O170" s="365">
        <f t="shared" si="39"/>
        <v>20</v>
      </c>
      <c r="P170" s="366"/>
      <c r="Q170" s="135"/>
      <c r="R170" s="136"/>
      <c r="S170" s="129"/>
      <c r="T170" s="129"/>
      <c r="U170" s="129"/>
      <c r="V170" s="129"/>
      <c r="W170" s="129"/>
      <c r="X170" s="129"/>
      <c r="Y170" s="129"/>
      <c r="Z170" s="133"/>
      <c r="AA170" s="133"/>
      <c r="AB170" s="133"/>
      <c r="AC170" s="133"/>
      <c r="AD170" s="133"/>
      <c r="AE170" s="133"/>
      <c r="AF170" s="222"/>
      <c r="AG170" s="222"/>
      <c r="AH170" s="222"/>
      <c r="AI170" s="176"/>
      <c r="AJ170" s="176"/>
      <c r="AK170" s="176"/>
      <c r="AL170" s="176"/>
      <c r="AM170" s="176"/>
      <c r="AN170" s="176"/>
      <c r="AO170" s="176"/>
      <c r="AP170" s="176"/>
      <c r="AQ170" s="176"/>
      <c r="AR170" s="176"/>
      <c r="AS170" s="176"/>
      <c r="AT170" s="176"/>
      <c r="AU170" s="176"/>
      <c r="AV170" s="176"/>
      <c r="AW170" s="176"/>
      <c r="AX170" s="176"/>
      <c r="AY170" s="176"/>
      <c r="AZ170" s="176"/>
      <c r="BA170" s="176"/>
      <c r="BB170" s="176"/>
      <c r="BC170" s="176"/>
      <c r="BD170" s="176"/>
      <c r="BE170" s="176"/>
      <c r="BF170" s="176"/>
      <c r="BG170" s="176"/>
      <c r="BH170" s="176"/>
      <c r="BI170" s="176"/>
      <c r="BJ170" s="176"/>
      <c r="BK170" s="176"/>
      <c r="BL170" s="176"/>
      <c r="BM170" s="176"/>
      <c r="BN170" s="176"/>
      <c r="BO170" s="176"/>
    </row>
    <row r="171" spans="1:67" s="36" customFormat="1" ht="10.5" customHeight="1" x14ac:dyDescent="0.2">
      <c r="A171" s="1043" t="s">
        <v>274</v>
      </c>
      <c r="B171" s="2594"/>
      <c r="C171" s="2595"/>
      <c r="D171" s="2596"/>
      <c r="E171" s="2395"/>
      <c r="F171" s="2789"/>
      <c r="G171" s="1058">
        <v>30</v>
      </c>
      <c r="H171" s="1059"/>
      <c r="I171" s="1081">
        <f t="shared" si="36"/>
        <v>4.6199342169092869E-2</v>
      </c>
      <c r="J171" s="1082">
        <f t="shared" si="37"/>
        <v>0</v>
      </c>
      <c r="K171" s="1061"/>
      <c r="L171" s="1305"/>
      <c r="M171" s="1086">
        <f t="shared" si="38"/>
        <v>0</v>
      </c>
      <c r="N171" s="506"/>
      <c r="O171" s="365">
        <f t="shared" si="39"/>
        <v>30</v>
      </c>
      <c r="P171" s="366"/>
      <c r="Q171" s="135"/>
      <c r="R171" s="136"/>
      <c r="S171" s="129"/>
      <c r="T171" s="129"/>
      <c r="U171" s="129"/>
      <c r="V171" s="129"/>
      <c r="W171" s="129"/>
      <c r="X171" s="129"/>
      <c r="Y171" s="129"/>
      <c r="Z171" s="133"/>
      <c r="AA171" s="133"/>
      <c r="AB171" s="133"/>
      <c r="AC171" s="133"/>
      <c r="AD171" s="133"/>
      <c r="AE171" s="133"/>
      <c r="AF171" s="222"/>
      <c r="AG171" s="222"/>
      <c r="AH171" s="222"/>
      <c r="AI171" s="176"/>
      <c r="AJ171" s="176"/>
      <c r="AK171" s="176"/>
      <c r="AL171" s="176"/>
      <c r="AM171" s="176"/>
      <c r="AN171" s="176"/>
      <c r="AO171" s="176"/>
      <c r="AP171" s="176"/>
      <c r="AQ171" s="176"/>
      <c r="AR171" s="176"/>
      <c r="AS171" s="176"/>
      <c r="AT171" s="176"/>
      <c r="AU171" s="176"/>
      <c r="AV171" s="176"/>
      <c r="AW171" s="176"/>
      <c r="AX171" s="176"/>
      <c r="AY171" s="176"/>
      <c r="AZ171" s="176"/>
      <c r="BA171" s="176"/>
      <c r="BB171" s="176"/>
      <c r="BC171" s="176"/>
      <c r="BD171" s="176"/>
      <c r="BE171" s="176"/>
      <c r="BF171" s="176"/>
      <c r="BG171" s="176"/>
      <c r="BH171" s="176"/>
      <c r="BI171" s="176"/>
      <c r="BJ171" s="176"/>
      <c r="BK171" s="176"/>
      <c r="BL171" s="176"/>
      <c r="BM171" s="176"/>
      <c r="BN171" s="176"/>
      <c r="BO171" s="176"/>
    </row>
    <row r="172" spans="1:67" s="36" customFormat="1" ht="10.5" customHeight="1" x14ac:dyDescent="0.2">
      <c r="A172" s="1055"/>
      <c r="B172" s="2594"/>
      <c r="C172" s="2595"/>
      <c r="D172" s="2596"/>
      <c r="E172" s="2395"/>
      <c r="F172" s="2396"/>
      <c r="G172" s="2590"/>
      <c r="H172" s="2591"/>
      <c r="I172" s="1081">
        <f t="shared" si="36"/>
        <v>0</v>
      </c>
      <c r="J172" s="1082">
        <f t="shared" si="37"/>
        <v>0</v>
      </c>
      <c r="K172" s="2588"/>
      <c r="L172" s="2589"/>
      <c r="M172" s="1086">
        <f t="shared" si="38"/>
        <v>0</v>
      </c>
      <c r="N172" s="506"/>
      <c r="O172" s="365">
        <f t="shared" si="39"/>
        <v>0</v>
      </c>
      <c r="P172" s="366"/>
      <c r="Q172" s="135"/>
      <c r="R172" s="136"/>
      <c r="S172" s="129"/>
      <c r="T172" s="129"/>
      <c r="U172" s="129"/>
      <c r="V172" s="129"/>
      <c r="W172" s="129"/>
      <c r="X172" s="129"/>
      <c r="Y172" s="129"/>
      <c r="Z172" s="133"/>
      <c r="AA172" s="133"/>
      <c r="AB172" s="133"/>
      <c r="AC172" s="133"/>
      <c r="AD172" s="133"/>
      <c r="AE172" s="133"/>
      <c r="AF172" s="222"/>
      <c r="AG172" s="222"/>
      <c r="AH172" s="222"/>
      <c r="AI172" s="176"/>
      <c r="AJ172" s="176"/>
      <c r="AK172" s="176"/>
      <c r="AL172" s="176"/>
      <c r="AM172" s="176"/>
      <c r="AN172" s="176"/>
      <c r="AO172" s="176"/>
      <c r="AP172" s="176"/>
      <c r="AQ172" s="176"/>
      <c r="AR172" s="176"/>
      <c r="AS172" s="176"/>
      <c r="AT172" s="176"/>
      <c r="AU172" s="176"/>
      <c r="AV172" s="176"/>
      <c r="AW172" s="176"/>
      <c r="AX172" s="176"/>
      <c r="AY172" s="176"/>
      <c r="AZ172" s="176"/>
      <c r="BA172" s="176"/>
      <c r="BB172" s="176"/>
      <c r="BC172" s="176"/>
      <c r="BD172" s="176"/>
      <c r="BE172" s="176"/>
      <c r="BF172" s="176"/>
      <c r="BG172" s="176"/>
      <c r="BH172" s="176"/>
      <c r="BI172" s="176"/>
      <c r="BJ172" s="176"/>
      <c r="BK172" s="176"/>
      <c r="BL172" s="176"/>
      <c r="BM172" s="176"/>
      <c r="BN172" s="176"/>
      <c r="BO172" s="176"/>
    </row>
    <row r="173" spans="1:67" s="36" customFormat="1" ht="10.5" customHeight="1" x14ac:dyDescent="0.2">
      <c r="A173" s="1055"/>
      <c r="B173" s="2594"/>
      <c r="C173" s="2595"/>
      <c r="D173" s="2596"/>
      <c r="E173" s="2395"/>
      <c r="F173" s="2396"/>
      <c r="G173" s="2590"/>
      <c r="H173" s="2591"/>
      <c r="I173" s="1081">
        <f t="shared" si="36"/>
        <v>0</v>
      </c>
      <c r="J173" s="1082">
        <f t="shared" si="37"/>
        <v>0</v>
      </c>
      <c r="K173" s="2588"/>
      <c r="L173" s="2589"/>
      <c r="M173" s="1086">
        <f t="shared" si="38"/>
        <v>0</v>
      </c>
      <c r="N173" s="506"/>
      <c r="O173" s="365">
        <f t="shared" si="39"/>
        <v>0</v>
      </c>
      <c r="P173" s="366"/>
      <c r="Q173" s="135"/>
      <c r="R173" s="136"/>
      <c r="S173" s="129"/>
      <c r="T173" s="129"/>
      <c r="U173" s="129"/>
      <c r="V173" s="129"/>
      <c r="W173" s="129"/>
      <c r="X173" s="129"/>
      <c r="Y173" s="129"/>
      <c r="Z173" s="133"/>
      <c r="AA173" s="133"/>
      <c r="AB173" s="133"/>
      <c r="AC173" s="133"/>
      <c r="AD173" s="133"/>
      <c r="AE173" s="133"/>
      <c r="AF173" s="222"/>
      <c r="AG173" s="222"/>
      <c r="AH173" s="222"/>
      <c r="AI173" s="176"/>
      <c r="AJ173" s="176"/>
      <c r="AK173" s="176"/>
      <c r="AL173" s="176"/>
      <c r="AM173" s="176"/>
      <c r="AN173" s="176"/>
      <c r="AO173" s="176"/>
      <c r="AP173" s="176"/>
      <c r="AQ173" s="176"/>
      <c r="AR173" s="176"/>
      <c r="AS173" s="176"/>
      <c r="AT173" s="176"/>
      <c r="AU173" s="176"/>
      <c r="AV173" s="176"/>
      <c r="AW173" s="176"/>
      <c r="AX173" s="176"/>
      <c r="AY173" s="176"/>
      <c r="AZ173" s="176"/>
      <c r="BA173" s="176"/>
      <c r="BB173" s="176"/>
      <c r="BC173" s="176"/>
      <c r="BD173" s="176"/>
      <c r="BE173" s="176"/>
      <c r="BF173" s="176"/>
      <c r="BG173" s="176"/>
      <c r="BH173" s="176"/>
      <c r="BI173" s="176"/>
      <c r="BJ173" s="176"/>
      <c r="BK173" s="176"/>
      <c r="BL173" s="176"/>
      <c r="BM173" s="176"/>
      <c r="BN173" s="176"/>
      <c r="BO173" s="176"/>
    </row>
    <row r="174" spans="1:67" s="36" customFormat="1" ht="10.5" customHeight="1" x14ac:dyDescent="0.2">
      <c r="A174" s="1055"/>
      <c r="B174" s="2594"/>
      <c r="C174" s="2595"/>
      <c r="D174" s="2596"/>
      <c r="E174" s="2395"/>
      <c r="F174" s="2396"/>
      <c r="G174" s="2590"/>
      <c r="H174" s="2591"/>
      <c r="I174" s="1081">
        <f t="shared" si="36"/>
        <v>0</v>
      </c>
      <c r="J174" s="1082">
        <f t="shared" si="37"/>
        <v>0</v>
      </c>
      <c r="K174" s="2588"/>
      <c r="L174" s="2589"/>
      <c r="M174" s="1086">
        <f t="shared" si="38"/>
        <v>0</v>
      </c>
      <c r="N174" s="506"/>
      <c r="O174" s="365">
        <f t="shared" si="39"/>
        <v>0</v>
      </c>
      <c r="P174" s="366"/>
      <c r="Q174" s="135"/>
      <c r="R174" s="136"/>
      <c r="S174" s="129"/>
      <c r="T174" s="129"/>
      <c r="U174" s="129"/>
      <c r="V174" s="129"/>
      <c r="W174" s="129"/>
      <c r="X174" s="129"/>
      <c r="Y174" s="129"/>
      <c r="Z174" s="133"/>
      <c r="AA174" s="133"/>
      <c r="AB174" s="133"/>
      <c r="AC174" s="133"/>
      <c r="AD174" s="133"/>
      <c r="AE174" s="133"/>
      <c r="AF174" s="222"/>
      <c r="AG174" s="222"/>
      <c r="AH174" s="222"/>
      <c r="AI174" s="176"/>
      <c r="AJ174" s="176"/>
      <c r="AK174" s="176"/>
      <c r="AL174" s="176"/>
      <c r="AM174" s="176"/>
      <c r="AN174" s="176"/>
      <c r="AO174" s="176"/>
      <c r="AP174" s="176"/>
      <c r="AQ174" s="176"/>
      <c r="AR174" s="176"/>
      <c r="AS174" s="176"/>
      <c r="AT174" s="176"/>
      <c r="AU174" s="176"/>
      <c r="AV174" s="176"/>
      <c r="AW174" s="176"/>
      <c r="AX174" s="176"/>
      <c r="AY174" s="176"/>
      <c r="AZ174" s="176"/>
      <c r="BA174" s="176"/>
      <c r="BB174" s="176"/>
      <c r="BC174" s="176"/>
      <c r="BD174" s="176"/>
      <c r="BE174" s="176"/>
      <c r="BF174" s="176"/>
      <c r="BG174" s="176"/>
      <c r="BH174" s="176"/>
      <c r="BI174" s="176"/>
      <c r="BJ174" s="176"/>
      <c r="BK174" s="176"/>
      <c r="BL174" s="176"/>
      <c r="BM174" s="176"/>
      <c r="BN174" s="176"/>
      <c r="BO174" s="176"/>
    </row>
    <row r="175" spans="1:67" s="36" customFormat="1" ht="10.5" customHeight="1" x14ac:dyDescent="0.2">
      <c r="A175" s="1055"/>
      <c r="B175" s="2594"/>
      <c r="C175" s="2595"/>
      <c r="D175" s="2596"/>
      <c r="E175" s="2395"/>
      <c r="F175" s="2396"/>
      <c r="G175" s="2590"/>
      <c r="H175" s="2591"/>
      <c r="I175" s="1081">
        <f t="shared" si="36"/>
        <v>0</v>
      </c>
      <c r="J175" s="1082">
        <f t="shared" si="37"/>
        <v>0</v>
      </c>
      <c r="K175" s="2588"/>
      <c r="L175" s="2589"/>
      <c r="M175" s="1086">
        <f t="shared" si="38"/>
        <v>0</v>
      </c>
      <c r="N175" s="506"/>
      <c r="O175" s="365">
        <f t="shared" si="39"/>
        <v>0</v>
      </c>
      <c r="P175" s="366"/>
      <c r="Q175" s="135"/>
      <c r="R175" s="136"/>
      <c r="S175" s="129"/>
      <c r="T175" s="129"/>
      <c r="U175" s="129"/>
      <c r="V175" s="129"/>
      <c r="W175" s="129"/>
      <c r="X175" s="129"/>
      <c r="Y175" s="129"/>
      <c r="Z175" s="133"/>
      <c r="AA175" s="133"/>
      <c r="AB175" s="133"/>
      <c r="AC175" s="133"/>
      <c r="AD175" s="133"/>
      <c r="AE175" s="133"/>
      <c r="AF175" s="222"/>
      <c r="AG175" s="222"/>
      <c r="AH175" s="222"/>
      <c r="AI175" s="176"/>
      <c r="AJ175" s="176"/>
      <c r="AK175" s="176"/>
      <c r="AL175" s="176"/>
      <c r="AM175" s="176"/>
      <c r="AN175" s="176"/>
      <c r="AO175" s="176"/>
      <c r="AP175" s="176"/>
      <c r="AQ175" s="176"/>
      <c r="AR175" s="176"/>
      <c r="AS175" s="176"/>
      <c r="AT175" s="176"/>
      <c r="AU175" s="176"/>
      <c r="AV175" s="176"/>
      <c r="AW175" s="176"/>
      <c r="AX175" s="176"/>
      <c r="AY175" s="176"/>
      <c r="AZ175" s="176"/>
      <c r="BA175" s="176"/>
      <c r="BB175" s="176"/>
      <c r="BC175" s="176"/>
      <c r="BD175" s="176"/>
      <c r="BE175" s="176"/>
      <c r="BF175" s="176"/>
      <c r="BG175" s="176"/>
      <c r="BH175" s="176"/>
      <c r="BI175" s="176"/>
      <c r="BJ175" s="176"/>
      <c r="BK175" s="176"/>
      <c r="BL175" s="176"/>
      <c r="BM175" s="176"/>
      <c r="BN175" s="176"/>
      <c r="BO175" s="176"/>
    </row>
    <row r="176" spans="1:67" s="36" customFormat="1" ht="10.5" customHeight="1" x14ac:dyDescent="0.2">
      <c r="A176" s="1348"/>
      <c r="B176" s="2690"/>
      <c r="C176" s="2691"/>
      <c r="D176" s="2692"/>
      <c r="E176" s="2601"/>
      <c r="F176" s="2602"/>
      <c r="G176" s="1088"/>
      <c r="H176" s="1089"/>
      <c r="I176" s="1083">
        <f t="shared" si="36"/>
        <v>0</v>
      </c>
      <c r="J176" s="1084"/>
      <c r="K176" s="1087"/>
      <c r="L176" s="1307"/>
      <c r="M176" s="1317">
        <f t="shared" si="38"/>
        <v>0</v>
      </c>
      <c r="N176" s="506"/>
      <c r="O176" s="365">
        <f t="shared" si="39"/>
        <v>0</v>
      </c>
      <c r="P176" s="366"/>
      <c r="Q176" s="135"/>
      <c r="R176" s="136"/>
      <c r="S176" s="129"/>
      <c r="T176" s="129"/>
      <c r="U176" s="129"/>
      <c r="V176" s="129"/>
      <c r="W176" s="129"/>
      <c r="X176" s="129"/>
      <c r="Y176" s="129"/>
      <c r="Z176" s="133"/>
      <c r="AA176" s="133"/>
      <c r="AB176" s="133"/>
      <c r="AC176" s="133"/>
      <c r="AD176" s="133"/>
      <c r="AE176" s="133"/>
      <c r="AF176" s="222"/>
      <c r="AG176" s="222"/>
      <c r="AH176" s="222"/>
      <c r="AI176" s="176"/>
      <c r="AJ176" s="176"/>
      <c r="AK176" s="176"/>
      <c r="AL176" s="176"/>
      <c r="AM176" s="176"/>
      <c r="AN176" s="176"/>
      <c r="AO176" s="176"/>
      <c r="AP176" s="176"/>
      <c r="AQ176" s="176"/>
      <c r="AR176" s="176"/>
      <c r="AS176" s="176"/>
      <c r="AT176" s="176"/>
      <c r="AU176" s="176"/>
      <c r="AV176" s="176"/>
      <c r="AW176" s="176"/>
      <c r="AX176" s="176"/>
      <c r="AY176" s="176"/>
      <c r="AZ176" s="176"/>
      <c r="BA176" s="176"/>
      <c r="BB176" s="176"/>
      <c r="BC176" s="176"/>
      <c r="BD176" s="176"/>
      <c r="BE176" s="176"/>
      <c r="BF176" s="176"/>
      <c r="BG176" s="176"/>
      <c r="BH176" s="176"/>
      <c r="BI176" s="176"/>
      <c r="BJ176" s="176"/>
      <c r="BK176" s="176"/>
      <c r="BL176" s="176"/>
      <c r="BM176" s="176"/>
      <c r="BN176" s="176"/>
      <c r="BO176" s="176"/>
    </row>
    <row r="177" spans="1:67" s="36" customFormat="1" ht="10.5" customHeight="1" x14ac:dyDescent="0.2">
      <c r="A177" s="1115" t="s">
        <v>316</v>
      </c>
      <c r="B177" s="2611"/>
      <c r="C177" s="2612"/>
      <c r="D177" s="2613"/>
      <c r="E177" s="2676">
        <f>SUM(E178:E190)</f>
        <v>0</v>
      </c>
      <c r="F177" s="2677"/>
      <c r="G177" s="2678"/>
      <c r="H177" s="2679"/>
      <c r="I177" s="1116">
        <f>IF(E177=0,0,J177/E177)</f>
        <v>0</v>
      </c>
      <c r="J177" s="1117">
        <f>SUM(J178:J190)</f>
        <v>0</v>
      </c>
      <c r="K177" s="2686">
        <f>IF(E177=0,0,M177/E177*100)</f>
        <v>0</v>
      </c>
      <c r="L177" s="2687"/>
      <c r="M177" s="1118">
        <f>SUM(M178:M190)</f>
        <v>0</v>
      </c>
      <c r="N177" s="506"/>
      <c r="O177" s="178">
        <f>IF(H177="",G177,H177)</f>
        <v>0</v>
      </c>
      <c r="P177" s="366"/>
      <c r="Q177" s="135"/>
      <c r="R177" s="136"/>
      <c r="S177" s="129"/>
      <c r="T177" s="129"/>
      <c r="U177" s="129"/>
      <c r="V177" s="129"/>
      <c r="W177" s="129"/>
      <c r="X177" s="129"/>
      <c r="Y177" s="129"/>
      <c r="Z177" s="133"/>
      <c r="AA177" s="133"/>
      <c r="AB177" s="133"/>
      <c r="AC177" s="133"/>
      <c r="AD177" s="133"/>
      <c r="AE177" s="133"/>
      <c r="AF177" s="222"/>
      <c r="AG177" s="222"/>
      <c r="AH177" s="222"/>
      <c r="AI177" s="176"/>
      <c r="AJ177" s="176"/>
      <c r="AK177" s="176"/>
      <c r="AL177" s="176"/>
      <c r="AM177" s="176"/>
      <c r="AN177" s="176"/>
      <c r="AO177" s="176"/>
      <c r="AP177" s="176"/>
      <c r="AQ177" s="176"/>
      <c r="AR177" s="176"/>
      <c r="AS177" s="176"/>
      <c r="AT177" s="176"/>
      <c r="AU177" s="176"/>
      <c r="AV177" s="176"/>
      <c r="AW177" s="176"/>
      <c r="AX177" s="176"/>
      <c r="AY177" s="176"/>
      <c r="AZ177" s="176"/>
      <c r="BA177" s="176"/>
      <c r="BB177" s="176"/>
      <c r="BC177" s="176"/>
      <c r="BD177" s="176"/>
      <c r="BE177" s="176"/>
      <c r="BF177" s="176"/>
      <c r="BG177" s="176"/>
      <c r="BH177" s="176"/>
      <c r="BI177" s="176"/>
      <c r="BJ177" s="176"/>
      <c r="BK177" s="176"/>
      <c r="BL177" s="176"/>
      <c r="BM177" s="176"/>
      <c r="BN177" s="176"/>
      <c r="BO177" s="176"/>
    </row>
    <row r="178" spans="1:67" s="36" customFormat="1" ht="10.5" customHeight="1" x14ac:dyDescent="0.2">
      <c r="A178" s="1359" t="s">
        <v>680</v>
      </c>
      <c r="B178" s="2743"/>
      <c r="C178" s="2744"/>
      <c r="D178" s="2745"/>
      <c r="E178" s="2746"/>
      <c r="F178" s="2788"/>
      <c r="G178" s="1056">
        <v>25</v>
      </c>
      <c r="H178" s="1057"/>
      <c r="I178" s="1079">
        <f t="shared" ref="I178:I191" si="40">IF($O178&gt;0,-PMT(($I$9),$O178,1),0)</f>
        <v>5.2735988908240251E-2</v>
      </c>
      <c r="J178" s="1080">
        <f t="shared" ref="J178:J190" si="41">ROUND(E178*I178,0)</f>
        <v>0</v>
      </c>
      <c r="K178" s="1060">
        <v>4</v>
      </c>
      <c r="L178" s="1304"/>
      <c r="M178" s="1085">
        <f t="shared" ref="M178:M191" si="42">ROUND(E178/100*IF(ISBLANK(L178),K178,L178),0)</f>
        <v>0</v>
      </c>
      <c r="N178" s="506"/>
      <c r="O178" s="365">
        <f t="shared" ref="O178:O191" si="43">IF(ISBLANK(H178),G178,H178)</f>
        <v>25</v>
      </c>
      <c r="P178" s="366"/>
      <c r="Q178" s="135"/>
      <c r="R178" s="136"/>
      <c r="S178" s="129"/>
      <c r="T178" s="129"/>
      <c r="U178" s="129"/>
      <c r="V178" s="129"/>
      <c r="W178" s="129"/>
      <c r="X178" s="129"/>
      <c r="Y178" s="129"/>
      <c r="Z178" s="133"/>
      <c r="AA178" s="133"/>
      <c r="AB178" s="133"/>
      <c r="AC178" s="133"/>
      <c r="AD178" s="133"/>
      <c r="AE178" s="133"/>
      <c r="AF178" s="222"/>
      <c r="AG178" s="222"/>
      <c r="AH178" s="222"/>
      <c r="AI178" s="176"/>
      <c r="AJ178" s="176"/>
      <c r="AK178" s="176"/>
      <c r="AL178" s="176"/>
      <c r="AM178" s="176"/>
      <c r="AN178" s="176"/>
      <c r="AO178" s="176"/>
      <c r="AP178" s="176"/>
      <c r="AQ178" s="176"/>
      <c r="AR178" s="176"/>
      <c r="AS178" s="176"/>
      <c r="AT178" s="176"/>
      <c r="AU178" s="176"/>
      <c r="AV178" s="176"/>
      <c r="AW178" s="176"/>
      <c r="AX178" s="176"/>
      <c r="AY178" s="176"/>
      <c r="AZ178" s="176"/>
      <c r="BA178" s="176"/>
      <c r="BB178" s="176"/>
      <c r="BC178" s="176"/>
      <c r="BD178" s="176"/>
      <c r="BE178" s="176"/>
      <c r="BF178" s="176"/>
      <c r="BG178" s="176"/>
      <c r="BH178" s="176"/>
      <c r="BI178" s="176"/>
      <c r="BJ178" s="176"/>
      <c r="BK178" s="176"/>
      <c r="BL178" s="176"/>
      <c r="BM178" s="176"/>
      <c r="BN178" s="176"/>
      <c r="BO178" s="176"/>
    </row>
    <row r="179" spans="1:67" s="36" customFormat="1" ht="10.5" customHeight="1" x14ac:dyDescent="0.2">
      <c r="A179" s="1043" t="s">
        <v>317</v>
      </c>
      <c r="B179" s="2594"/>
      <c r="C179" s="2595"/>
      <c r="D179" s="2596"/>
      <c r="E179" s="2395"/>
      <c r="F179" s="2789"/>
      <c r="G179" s="1058">
        <v>25</v>
      </c>
      <c r="H179" s="1059"/>
      <c r="I179" s="1081">
        <f t="shared" si="40"/>
        <v>5.2735988908240251E-2</v>
      </c>
      <c r="J179" s="1082">
        <f t="shared" si="41"/>
        <v>0</v>
      </c>
      <c r="K179" s="1061">
        <v>2</v>
      </c>
      <c r="L179" s="1305"/>
      <c r="M179" s="1086">
        <f t="shared" si="42"/>
        <v>0</v>
      </c>
      <c r="N179" s="506"/>
      <c r="O179" s="365">
        <f t="shared" si="43"/>
        <v>25</v>
      </c>
      <c r="P179" s="366"/>
      <c r="Q179" s="135"/>
      <c r="R179" s="136"/>
      <c r="S179" s="129"/>
      <c r="T179" s="129"/>
      <c r="U179" s="129"/>
      <c r="V179" s="129"/>
      <c r="W179" s="129"/>
      <c r="X179" s="129"/>
      <c r="Y179" s="129"/>
      <c r="Z179" s="133"/>
      <c r="AA179" s="133"/>
      <c r="AB179" s="133"/>
      <c r="AC179" s="133"/>
      <c r="AD179" s="133"/>
      <c r="AE179" s="133"/>
      <c r="AF179" s="222"/>
      <c r="AG179" s="222"/>
      <c r="AH179" s="222"/>
      <c r="AI179" s="176"/>
      <c r="AJ179" s="176"/>
      <c r="AK179" s="176"/>
      <c r="AL179" s="176"/>
      <c r="AM179" s="176"/>
      <c r="AN179" s="176"/>
      <c r="AO179" s="176"/>
      <c r="AP179" s="176"/>
      <c r="AQ179" s="176"/>
      <c r="AR179" s="176"/>
      <c r="AS179" s="176"/>
      <c r="AT179" s="176"/>
      <c r="AU179" s="176"/>
      <c r="AV179" s="176"/>
      <c r="AW179" s="176"/>
      <c r="AX179" s="176"/>
      <c r="AY179" s="176"/>
      <c r="AZ179" s="176"/>
      <c r="BA179" s="176"/>
      <c r="BB179" s="176"/>
      <c r="BC179" s="176"/>
      <c r="BD179" s="176"/>
      <c r="BE179" s="176"/>
      <c r="BF179" s="176"/>
      <c r="BG179" s="176"/>
      <c r="BH179" s="176"/>
      <c r="BI179" s="176"/>
      <c r="BJ179" s="176"/>
      <c r="BK179" s="176"/>
      <c r="BL179" s="176"/>
      <c r="BM179" s="176"/>
      <c r="BN179" s="176"/>
      <c r="BO179" s="176"/>
    </row>
    <row r="180" spans="1:67" s="36" customFormat="1" ht="10.5" customHeight="1" x14ac:dyDescent="0.2">
      <c r="A180" s="1043" t="s">
        <v>318</v>
      </c>
      <c r="B180" s="2594"/>
      <c r="C180" s="2595"/>
      <c r="D180" s="2596"/>
      <c r="E180" s="2395"/>
      <c r="F180" s="2789"/>
      <c r="G180" s="1058">
        <v>15</v>
      </c>
      <c r="H180" s="1059"/>
      <c r="I180" s="1081">
        <f t="shared" si="40"/>
        <v>7.9288524964265278E-2</v>
      </c>
      <c r="J180" s="1082">
        <f t="shared" si="41"/>
        <v>0</v>
      </c>
      <c r="K180" s="1061">
        <v>1</v>
      </c>
      <c r="L180" s="1305"/>
      <c r="M180" s="1086">
        <f t="shared" si="42"/>
        <v>0</v>
      </c>
      <c r="N180" s="506"/>
      <c r="O180" s="365">
        <f t="shared" si="43"/>
        <v>15</v>
      </c>
      <c r="P180" s="366"/>
      <c r="Q180" s="135"/>
      <c r="R180" s="136"/>
      <c r="S180" s="129"/>
      <c r="T180" s="129"/>
      <c r="U180" s="129"/>
      <c r="V180" s="129"/>
      <c r="W180" s="129"/>
      <c r="X180" s="129"/>
      <c r="Y180" s="129"/>
      <c r="Z180" s="133"/>
      <c r="AA180" s="133"/>
      <c r="AB180" s="133"/>
      <c r="AC180" s="133"/>
      <c r="AD180" s="133"/>
      <c r="AE180" s="133"/>
      <c r="AF180" s="222"/>
      <c r="AG180" s="222"/>
      <c r="AH180" s="222"/>
      <c r="AI180" s="176"/>
      <c r="AJ180" s="176"/>
      <c r="AK180" s="176"/>
      <c r="AL180" s="176"/>
      <c r="AM180" s="176"/>
      <c r="AN180" s="176"/>
      <c r="AO180" s="176"/>
      <c r="AP180" s="176"/>
      <c r="AQ180" s="176"/>
      <c r="AR180" s="176"/>
      <c r="AS180" s="176"/>
      <c r="AT180" s="176"/>
      <c r="AU180" s="176"/>
      <c r="AV180" s="176"/>
      <c r="AW180" s="176"/>
      <c r="AX180" s="176"/>
      <c r="AY180" s="176"/>
      <c r="AZ180" s="176"/>
      <c r="BA180" s="176"/>
      <c r="BB180" s="176"/>
      <c r="BC180" s="176"/>
      <c r="BD180" s="176"/>
      <c r="BE180" s="176"/>
      <c r="BF180" s="176"/>
      <c r="BG180" s="176"/>
      <c r="BH180" s="176"/>
      <c r="BI180" s="176"/>
      <c r="BJ180" s="176"/>
      <c r="BK180" s="176"/>
      <c r="BL180" s="176"/>
      <c r="BM180" s="176"/>
      <c r="BN180" s="176"/>
      <c r="BO180" s="176"/>
    </row>
    <row r="181" spans="1:67" s="36" customFormat="1" ht="10.5" customHeight="1" x14ac:dyDescent="0.2">
      <c r="A181" s="1043" t="s">
        <v>319</v>
      </c>
      <c r="B181" s="2594"/>
      <c r="C181" s="2595"/>
      <c r="D181" s="2596"/>
      <c r="E181" s="2395"/>
      <c r="F181" s="2789"/>
      <c r="G181" s="1058">
        <v>40</v>
      </c>
      <c r="H181" s="1059"/>
      <c r="I181" s="1081">
        <f t="shared" si="40"/>
        <v>3.8177378061076156E-2</v>
      </c>
      <c r="J181" s="1082">
        <f t="shared" si="41"/>
        <v>0</v>
      </c>
      <c r="K181" s="1061">
        <v>1</v>
      </c>
      <c r="L181" s="1305"/>
      <c r="M181" s="1086">
        <f t="shared" si="42"/>
        <v>0</v>
      </c>
      <c r="N181" s="506"/>
      <c r="O181" s="365">
        <f t="shared" si="43"/>
        <v>40</v>
      </c>
      <c r="P181" s="366"/>
      <c r="Q181" s="135"/>
      <c r="R181" s="136"/>
      <c r="S181" s="129"/>
      <c r="T181" s="129"/>
      <c r="U181" s="129"/>
      <c r="V181" s="129"/>
      <c r="W181" s="129"/>
      <c r="X181" s="129"/>
      <c r="Y181" s="129"/>
      <c r="Z181" s="133"/>
      <c r="AA181" s="133"/>
      <c r="AB181" s="133"/>
      <c r="AC181" s="133"/>
      <c r="AD181" s="133"/>
      <c r="AE181" s="133"/>
      <c r="AF181" s="222"/>
      <c r="AG181" s="222"/>
      <c r="AH181" s="222"/>
      <c r="AI181" s="176"/>
      <c r="AJ181" s="176"/>
      <c r="AK181" s="176"/>
      <c r="AL181" s="176"/>
      <c r="AM181" s="176"/>
      <c r="AN181" s="176"/>
      <c r="AO181" s="176"/>
      <c r="AP181" s="176"/>
      <c r="AQ181" s="176"/>
      <c r="AR181" s="176"/>
      <c r="AS181" s="176"/>
      <c r="AT181" s="176"/>
      <c r="AU181" s="176"/>
      <c r="AV181" s="176"/>
      <c r="AW181" s="176"/>
      <c r="AX181" s="176"/>
      <c r="AY181" s="176"/>
      <c r="AZ181" s="176"/>
      <c r="BA181" s="176"/>
      <c r="BB181" s="176"/>
      <c r="BC181" s="176"/>
      <c r="BD181" s="176"/>
      <c r="BE181" s="176"/>
      <c r="BF181" s="176"/>
      <c r="BG181" s="176"/>
      <c r="BH181" s="176"/>
      <c r="BI181" s="176"/>
      <c r="BJ181" s="176"/>
      <c r="BK181" s="176"/>
      <c r="BL181" s="176"/>
      <c r="BM181" s="176"/>
      <c r="BN181" s="176"/>
      <c r="BO181" s="176"/>
    </row>
    <row r="182" spans="1:67" s="36" customFormat="1" ht="10.5" customHeight="1" x14ac:dyDescent="0.2">
      <c r="A182" s="1043" t="s">
        <v>274</v>
      </c>
      <c r="B182" s="2594"/>
      <c r="C182" s="2595"/>
      <c r="D182" s="2596"/>
      <c r="E182" s="2395"/>
      <c r="F182" s="2789"/>
      <c r="G182" s="1058">
        <v>30</v>
      </c>
      <c r="H182" s="1059"/>
      <c r="I182" s="1081">
        <f t="shared" si="40"/>
        <v>4.6199342169092869E-2</v>
      </c>
      <c r="J182" s="1082">
        <f t="shared" si="41"/>
        <v>0</v>
      </c>
      <c r="K182" s="1061"/>
      <c r="L182" s="1305"/>
      <c r="M182" s="1086">
        <f t="shared" si="42"/>
        <v>0</v>
      </c>
      <c r="N182" s="506"/>
      <c r="O182" s="365">
        <f t="shared" si="43"/>
        <v>30</v>
      </c>
      <c r="P182" s="366"/>
      <c r="Q182" s="135"/>
      <c r="R182" s="136"/>
      <c r="S182" s="129"/>
      <c r="T182" s="129"/>
      <c r="U182" s="129"/>
      <c r="V182" s="129"/>
      <c r="W182" s="129"/>
      <c r="X182" s="129"/>
      <c r="Y182" s="129"/>
      <c r="Z182" s="133"/>
      <c r="AA182" s="133"/>
      <c r="AB182" s="133"/>
      <c r="AC182" s="133"/>
      <c r="AD182" s="133"/>
      <c r="AE182" s="133"/>
      <c r="AF182" s="222"/>
      <c r="AG182" s="222"/>
      <c r="AH182" s="222"/>
      <c r="AI182" s="176"/>
      <c r="AJ182" s="176"/>
      <c r="AK182" s="176"/>
      <c r="AL182" s="176"/>
      <c r="AM182" s="176"/>
      <c r="AN182" s="176"/>
      <c r="AO182" s="176"/>
      <c r="AP182" s="176"/>
      <c r="AQ182" s="176"/>
      <c r="AR182" s="176"/>
      <c r="AS182" s="176"/>
      <c r="AT182" s="176"/>
      <c r="AU182" s="176"/>
      <c r="AV182" s="176"/>
      <c r="AW182" s="176"/>
      <c r="AX182" s="176"/>
      <c r="AY182" s="176"/>
      <c r="AZ182" s="176"/>
      <c r="BA182" s="176"/>
      <c r="BB182" s="176"/>
      <c r="BC182" s="176"/>
      <c r="BD182" s="176"/>
      <c r="BE182" s="176"/>
      <c r="BF182" s="176"/>
      <c r="BG182" s="176"/>
      <c r="BH182" s="176"/>
      <c r="BI182" s="176"/>
      <c r="BJ182" s="176"/>
      <c r="BK182" s="176"/>
      <c r="BL182" s="176"/>
      <c r="BM182" s="176"/>
      <c r="BN182" s="176"/>
      <c r="BO182" s="176"/>
    </row>
    <row r="183" spans="1:67" s="36" customFormat="1" ht="10.5" customHeight="1" x14ac:dyDescent="0.2">
      <c r="A183" s="1055"/>
      <c r="B183" s="2594"/>
      <c r="C183" s="2595"/>
      <c r="D183" s="2596"/>
      <c r="E183" s="2395"/>
      <c r="F183" s="2396"/>
      <c r="G183" s="2590"/>
      <c r="H183" s="2591"/>
      <c r="I183" s="1081">
        <f t="shared" si="40"/>
        <v>0</v>
      </c>
      <c r="J183" s="1082">
        <f t="shared" si="41"/>
        <v>0</v>
      </c>
      <c r="K183" s="2588"/>
      <c r="L183" s="2589"/>
      <c r="M183" s="1086">
        <f t="shared" si="42"/>
        <v>0</v>
      </c>
      <c r="N183" s="506"/>
      <c r="O183" s="365">
        <f t="shared" si="43"/>
        <v>0</v>
      </c>
      <c r="P183" s="366"/>
      <c r="Q183" s="135"/>
      <c r="R183" s="136"/>
      <c r="S183" s="129"/>
      <c r="T183" s="129"/>
      <c r="U183" s="129"/>
      <c r="V183" s="129"/>
      <c r="W183" s="129"/>
      <c r="X183" s="129"/>
      <c r="Y183" s="129"/>
      <c r="Z183" s="133"/>
      <c r="AA183" s="133"/>
      <c r="AB183" s="133"/>
      <c r="AC183" s="133"/>
      <c r="AD183" s="133"/>
      <c r="AE183" s="133"/>
      <c r="AF183" s="222"/>
      <c r="AG183" s="222"/>
      <c r="AH183" s="222"/>
      <c r="AI183" s="176"/>
      <c r="AJ183" s="176"/>
      <c r="AK183" s="176"/>
      <c r="AL183" s="176"/>
      <c r="AM183" s="176"/>
      <c r="AN183" s="176"/>
      <c r="AO183" s="176"/>
      <c r="AP183" s="176"/>
      <c r="AQ183" s="176"/>
      <c r="AR183" s="176"/>
      <c r="AS183" s="176"/>
      <c r="AT183" s="176"/>
      <c r="AU183" s="176"/>
      <c r="AV183" s="176"/>
      <c r="AW183" s="176"/>
      <c r="AX183" s="176"/>
      <c r="AY183" s="176"/>
      <c r="AZ183" s="176"/>
      <c r="BA183" s="176"/>
      <c r="BB183" s="176"/>
      <c r="BC183" s="176"/>
      <c r="BD183" s="176"/>
      <c r="BE183" s="176"/>
      <c r="BF183" s="176"/>
      <c r="BG183" s="176"/>
      <c r="BH183" s="176"/>
      <c r="BI183" s="176"/>
      <c r="BJ183" s="176"/>
      <c r="BK183" s="176"/>
      <c r="BL183" s="176"/>
      <c r="BM183" s="176"/>
      <c r="BN183" s="176"/>
      <c r="BO183" s="176"/>
    </row>
    <row r="184" spans="1:67" s="36" customFormat="1" ht="10.5" customHeight="1" x14ac:dyDescent="0.2">
      <c r="A184" s="1055"/>
      <c r="B184" s="2594"/>
      <c r="C184" s="2595"/>
      <c r="D184" s="2596"/>
      <c r="E184" s="2395"/>
      <c r="F184" s="2396"/>
      <c r="G184" s="2590"/>
      <c r="H184" s="2591"/>
      <c r="I184" s="1081">
        <f t="shared" si="40"/>
        <v>0</v>
      </c>
      <c r="J184" s="1082">
        <f t="shared" si="41"/>
        <v>0</v>
      </c>
      <c r="K184" s="2588"/>
      <c r="L184" s="2589"/>
      <c r="M184" s="1086">
        <f t="shared" si="42"/>
        <v>0</v>
      </c>
      <c r="N184" s="506"/>
      <c r="O184" s="365">
        <f t="shared" si="43"/>
        <v>0</v>
      </c>
      <c r="P184" s="366"/>
      <c r="Q184" s="135"/>
      <c r="R184" s="136"/>
      <c r="S184" s="129"/>
      <c r="T184" s="129"/>
      <c r="U184" s="129"/>
      <c r="V184" s="129"/>
      <c r="W184" s="129"/>
      <c r="X184" s="129"/>
      <c r="Y184" s="129"/>
      <c r="Z184" s="133"/>
      <c r="AA184" s="133"/>
      <c r="AB184" s="133"/>
      <c r="AC184" s="133"/>
      <c r="AD184" s="133"/>
      <c r="AE184" s="133"/>
      <c r="AF184" s="222"/>
      <c r="AG184" s="222"/>
      <c r="AH184" s="222"/>
      <c r="AI184" s="176"/>
      <c r="AJ184" s="176"/>
      <c r="AK184" s="176"/>
      <c r="AL184" s="176"/>
      <c r="AM184" s="176"/>
      <c r="AN184" s="176"/>
      <c r="AO184" s="176"/>
      <c r="AP184" s="176"/>
      <c r="AQ184" s="176"/>
      <c r="AR184" s="176"/>
      <c r="AS184" s="176"/>
      <c r="AT184" s="176"/>
      <c r="AU184" s="176"/>
      <c r="AV184" s="176"/>
      <c r="AW184" s="176"/>
      <c r="AX184" s="176"/>
      <c r="AY184" s="176"/>
      <c r="AZ184" s="176"/>
      <c r="BA184" s="176"/>
      <c r="BB184" s="176"/>
      <c r="BC184" s="176"/>
      <c r="BD184" s="176"/>
      <c r="BE184" s="176"/>
      <c r="BF184" s="176"/>
      <c r="BG184" s="176"/>
      <c r="BH184" s="176"/>
      <c r="BI184" s="176"/>
      <c r="BJ184" s="176"/>
      <c r="BK184" s="176"/>
      <c r="BL184" s="176"/>
      <c r="BM184" s="176"/>
      <c r="BN184" s="176"/>
      <c r="BO184" s="176"/>
    </row>
    <row r="185" spans="1:67" s="36" customFormat="1" ht="10.5" customHeight="1" x14ac:dyDescent="0.2">
      <c r="A185" s="1055"/>
      <c r="B185" s="2594"/>
      <c r="C185" s="2595"/>
      <c r="D185" s="2596"/>
      <c r="E185" s="2395"/>
      <c r="F185" s="2396"/>
      <c r="G185" s="2590"/>
      <c r="H185" s="2591"/>
      <c r="I185" s="1081">
        <f t="shared" si="40"/>
        <v>0</v>
      </c>
      <c r="J185" s="1082">
        <f t="shared" si="41"/>
        <v>0</v>
      </c>
      <c r="K185" s="2588"/>
      <c r="L185" s="2589"/>
      <c r="M185" s="1086">
        <f t="shared" si="42"/>
        <v>0</v>
      </c>
      <c r="N185" s="506"/>
      <c r="O185" s="365">
        <f t="shared" si="43"/>
        <v>0</v>
      </c>
      <c r="P185" s="366"/>
      <c r="Q185" s="135"/>
      <c r="R185" s="136"/>
      <c r="S185" s="129"/>
      <c r="T185" s="129"/>
      <c r="U185" s="129"/>
      <c r="V185" s="129"/>
      <c r="W185" s="129"/>
      <c r="X185" s="129"/>
      <c r="Y185" s="129"/>
      <c r="Z185" s="133"/>
      <c r="AA185" s="133"/>
      <c r="AB185" s="133"/>
      <c r="AC185" s="133"/>
      <c r="AD185" s="133"/>
      <c r="AE185" s="133"/>
      <c r="AF185" s="222"/>
      <c r="AG185" s="222"/>
      <c r="AH185" s="222"/>
      <c r="AI185" s="176"/>
      <c r="AJ185" s="176"/>
      <c r="AK185" s="176"/>
      <c r="AL185" s="176"/>
      <c r="AM185" s="176"/>
      <c r="AN185" s="176"/>
      <c r="AO185" s="176"/>
      <c r="AP185" s="176"/>
      <c r="AQ185" s="176"/>
      <c r="AR185" s="176"/>
      <c r="AS185" s="176"/>
      <c r="AT185" s="176"/>
      <c r="AU185" s="176"/>
      <c r="AV185" s="176"/>
      <c r="AW185" s="176"/>
      <c r="AX185" s="176"/>
      <c r="AY185" s="176"/>
      <c r="AZ185" s="176"/>
      <c r="BA185" s="176"/>
      <c r="BB185" s="176"/>
      <c r="BC185" s="176"/>
      <c r="BD185" s="176"/>
      <c r="BE185" s="176"/>
      <c r="BF185" s="176"/>
      <c r="BG185" s="176"/>
      <c r="BH185" s="176"/>
      <c r="BI185" s="176"/>
      <c r="BJ185" s="176"/>
      <c r="BK185" s="176"/>
      <c r="BL185" s="176"/>
      <c r="BM185" s="176"/>
      <c r="BN185" s="176"/>
      <c r="BO185" s="176"/>
    </row>
    <row r="186" spans="1:67" s="36" customFormat="1" ht="10.5" customHeight="1" x14ac:dyDescent="0.2">
      <c r="A186" s="1055"/>
      <c r="B186" s="2594"/>
      <c r="C186" s="2595"/>
      <c r="D186" s="2596"/>
      <c r="E186" s="2395"/>
      <c r="F186" s="2396"/>
      <c r="G186" s="2590"/>
      <c r="H186" s="2591"/>
      <c r="I186" s="1081">
        <f t="shared" si="40"/>
        <v>0</v>
      </c>
      <c r="J186" s="1082">
        <f t="shared" si="41"/>
        <v>0</v>
      </c>
      <c r="K186" s="2588"/>
      <c r="L186" s="2589"/>
      <c r="M186" s="1086">
        <f t="shared" si="42"/>
        <v>0</v>
      </c>
      <c r="N186" s="506"/>
      <c r="O186" s="365">
        <f t="shared" si="43"/>
        <v>0</v>
      </c>
      <c r="P186" s="366"/>
      <c r="Q186" s="135"/>
      <c r="R186" s="136"/>
      <c r="S186" s="129"/>
      <c r="T186" s="129"/>
      <c r="U186" s="129"/>
      <c r="V186" s="129"/>
      <c r="W186" s="129"/>
      <c r="X186" s="129"/>
      <c r="Y186" s="129"/>
      <c r="Z186" s="133"/>
      <c r="AA186" s="133"/>
      <c r="AB186" s="133"/>
      <c r="AC186" s="133"/>
      <c r="AD186" s="133"/>
      <c r="AE186" s="133"/>
      <c r="AF186" s="222"/>
      <c r="AG186" s="222"/>
      <c r="AH186" s="222"/>
      <c r="AI186" s="176"/>
      <c r="AJ186" s="176"/>
      <c r="AK186" s="176"/>
      <c r="AL186" s="176"/>
      <c r="AM186" s="176"/>
      <c r="AN186" s="176"/>
      <c r="AO186" s="176"/>
      <c r="AP186" s="176"/>
      <c r="AQ186" s="176"/>
      <c r="AR186" s="176"/>
      <c r="AS186" s="176"/>
      <c r="AT186" s="176"/>
      <c r="AU186" s="176"/>
      <c r="AV186" s="176"/>
      <c r="AW186" s="176"/>
      <c r="AX186" s="176"/>
      <c r="AY186" s="176"/>
      <c r="AZ186" s="176"/>
      <c r="BA186" s="176"/>
      <c r="BB186" s="176"/>
      <c r="BC186" s="176"/>
      <c r="BD186" s="176"/>
      <c r="BE186" s="176"/>
      <c r="BF186" s="176"/>
      <c r="BG186" s="176"/>
      <c r="BH186" s="176"/>
      <c r="BI186" s="176"/>
      <c r="BJ186" s="176"/>
      <c r="BK186" s="176"/>
      <c r="BL186" s="176"/>
      <c r="BM186" s="176"/>
      <c r="BN186" s="176"/>
      <c r="BO186" s="176"/>
    </row>
    <row r="187" spans="1:67" s="36" customFormat="1" ht="10.5" customHeight="1" x14ac:dyDescent="0.2">
      <c r="A187" s="1055"/>
      <c r="B187" s="2594"/>
      <c r="C187" s="2595"/>
      <c r="D187" s="2596"/>
      <c r="E187" s="2395"/>
      <c r="F187" s="2396"/>
      <c r="G187" s="2590"/>
      <c r="H187" s="2591"/>
      <c r="I187" s="1081">
        <f t="shared" si="40"/>
        <v>0</v>
      </c>
      <c r="J187" s="1082">
        <f t="shared" si="41"/>
        <v>0</v>
      </c>
      <c r="K187" s="2588"/>
      <c r="L187" s="2589"/>
      <c r="M187" s="1086">
        <f t="shared" si="42"/>
        <v>0</v>
      </c>
      <c r="N187" s="506"/>
      <c r="O187" s="365">
        <f t="shared" si="43"/>
        <v>0</v>
      </c>
      <c r="P187" s="366"/>
      <c r="Q187" s="135"/>
      <c r="R187" s="136"/>
      <c r="S187" s="129"/>
      <c r="T187" s="129"/>
      <c r="U187" s="129"/>
      <c r="V187" s="129"/>
      <c r="W187" s="129"/>
      <c r="X187" s="129"/>
      <c r="Y187" s="129"/>
      <c r="Z187" s="133"/>
      <c r="AA187" s="133"/>
      <c r="AB187" s="133"/>
      <c r="AC187" s="133"/>
      <c r="AD187" s="133"/>
      <c r="AE187" s="133"/>
      <c r="AF187" s="222"/>
      <c r="AG187" s="222"/>
      <c r="AH187" s="222"/>
      <c r="AI187" s="176"/>
      <c r="AJ187" s="176"/>
      <c r="AK187" s="176"/>
      <c r="AL187" s="176"/>
      <c r="AM187" s="176"/>
      <c r="AN187" s="176"/>
      <c r="AO187" s="176"/>
      <c r="AP187" s="176"/>
      <c r="AQ187" s="176"/>
      <c r="AR187" s="176"/>
      <c r="AS187" s="176"/>
      <c r="AT187" s="176"/>
      <c r="AU187" s="176"/>
      <c r="AV187" s="176"/>
      <c r="AW187" s="176"/>
      <c r="AX187" s="176"/>
      <c r="AY187" s="176"/>
      <c r="AZ187" s="176"/>
      <c r="BA187" s="176"/>
      <c r="BB187" s="176"/>
      <c r="BC187" s="176"/>
      <c r="BD187" s="176"/>
      <c r="BE187" s="176"/>
      <c r="BF187" s="176"/>
      <c r="BG187" s="176"/>
      <c r="BH187" s="176"/>
      <c r="BI187" s="176"/>
      <c r="BJ187" s="176"/>
      <c r="BK187" s="176"/>
      <c r="BL187" s="176"/>
      <c r="BM187" s="176"/>
      <c r="BN187" s="176"/>
      <c r="BO187" s="176"/>
    </row>
    <row r="188" spans="1:67" s="36" customFormat="1" ht="10.5" customHeight="1" x14ac:dyDescent="0.2">
      <c r="A188" s="1055"/>
      <c r="B188" s="2594"/>
      <c r="C188" s="2595"/>
      <c r="D188" s="2596"/>
      <c r="E188" s="2395"/>
      <c r="F188" s="2396"/>
      <c r="G188" s="2590"/>
      <c r="H188" s="2591"/>
      <c r="I188" s="1081">
        <f t="shared" si="40"/>
        <v>0</v>
      </c>
      <c r="J188" s="1082">
        <f t="shared" si="41"/>
        <v>0</v>
      </c>
      <c r="K188" s="2588"/>
      <c r="L188" s="2589"/>
      <c r="M188" s="1086">
        <f t="shared" si="42"/>
        <v>0</v>
      </c>
      <c r="N188" s="506"/>
      <c r="O188" s="365">
        <f t="shared" si="43"/>
        <v>0</v>
      </c>
      <c r="P188" s="366"/>
      <c r="Q188" s="135"/>
      <c r="R188" s="136"/>
      <c r="S188" s="129"/>
      <c r="T188" s="129"/>
      <c r="U188" s="129"/>
      <c r="V188" s="129"/>
      <c r="W188" s="129"/>
      <c r="X188" s="129"/>
      <c r="Y188" s="129"/>
      <c r="Z188" s="133"/>
      <c r="AA188" s="133"/>
      <c r="AB188" s="133"/>
      <c r="AC188" s="133"/>
      <c r="AD188" s="133"/>
      <c r="AE188" s="133"/>
      <c r="AF188" s="222"/>
      <c r="AG188" s="222"/>
      <c r="AH188" s="222"/>
      <c r="AI188" s="176"/>
      <c r="AJ188" s="176"/>
      <c r="AK188" s="176"/>
      <c r="AL188" s="176"/>
      <c r="AM188" s="176"/>
      <c r="AN188" s="176"/>
      <c r="AO188" s="176"/>
      <c r="AP188" s="176"/>
      <c r="AQ188" s="176"/>
      <c r="AR188" s="176"/>
      <c r="AS188" s="176"/>
      <c r="AT188" s="176"/>
      <c r="AU188" s="176"/>
      <c r="AV188" s="176"/>
      <c r="AW188" s="176"/>
      <c r="AX188" s="176"/>
      <c r="AY188" s="176"/>
      <c r="AZ188" s="176"/>
      <c r="BA188" s="176"/>
      <c r="BB188" s="176"/>
      <c r="BC188" s="176"/>
      <c r="BD188" s="176"/>
      <c r="BE188" s="176"/>
      <c r="BF188" s="176"/>
      <c r="BG188" s="176"/>
      <c r="BH188" s="176"/>
      <c r="BI188" s="176"/>
      <c r="BJ188" s="176"/>
      <c r="BK188" s="176"/>
      <c r="BL188" s="176"/>
      <c r="BM188" s="176"/>
      <c r="BN188" s="176"/>
      <c r="BO188" s="176"/>
    </row>
    <row r="189" spans="1:67" s="36" customFormat="1" ht="10.5" customHeight="1" x14ac:dyDescent="0.2">
      <c r="A189" s="1055"/>
      <c r="B189" s="2594"/>
      <c r="C189" s="2595"/>
      <c r="D189" s="2596"/>
      <c r="E189" s="2395"/>
      <c r="F189" s="2396"/>
      <c r="G189" s="2590"/>
      <c r="H189" s="2591"/>
      <c r="I189" s="1081">
        <f t="shared" si="40"/>
        <v>0</v>
      </c>
      <c r="J189" s="1082">
        <f t="shared" si="41"/>
        <v>0</v>
      </c>
      <c r="K189" s="2588"/>
      <c r="L189" s="2589"/>
      <c r="M189" s="1086">
        <f t="shared" si="42"/>
        <v>0</v>
      </c>
      <c r="N189" s="506"/>
      <c r="O189" s="365">
        <f t="shared" si="43"/>
        <v>0</v>
      </c>
      <c r="P189" s="366"/>
      <c r="Q189" s="135"/>
      <c r="R189" s="136"/>
      <c r="S189" s="129"/>
      <c r="T189" s="129"/>
      <c r="U189" s="129"/>
      <c r="V189" s="129"/>
      <c r="W189" s="129"/>
      <c r="X189" s="129"/>
      <c r="Y189" s="129"/>
      <c r="Z189" s="133"/>
      <c r="AA189" s="133"/>
      <c r="AB189" s="133"/>
      <c r="AC189" s="133"/>
      <c r="AD189" s="133"/>
      <c r="AE189" s="133"/>
      <c r="AF189" s="222"/>
      <c r="AG189" s="222"/>
      <c r="AH189" s="222"/>
      <c r="AI189" s="176"/>
      <c r="AJ189" s="176"/>
      <c r="AK189" s="176"/>
      <c r="AL189" s="176"/>
      <c r="AM189" s="176"/>
      <c r="AN189" s="176"/>
      <c r="AO189" s="176"/>
      <c r="AP189" s="176"/>
      <c r="AQ189" s="176"/>
      <c r="AR189" s="176"/>
      <c r="AS189" s="176"/>
      <c r="AT189" s="176"/>
      <c r="AU189" s="176"/>
      <c r="AV189" s="176"/>
      <c r="AW189" s="176"/>
      <c r="AX189" s="176"/>
      <c r="AY189" s="176"/>
      <c r="AZ189" s="176"/>
      <c r="BA189" s="176"/>
      <c r="BB189" s="176"/>
      <c r="BC189" s="176"/>
      <c r="BD189" s="176"/>
      <c r="BE189" s="176"/>
      <c r="BF189" s="176"/>
      <c r="BG189" s="176"/>
      <c r="BH189" s="176"/>
      <c r="BI189" s="176"/>
      <c r="BJ189" s="176"/>
      <c r="BK189" s="176"/>
      <c r="BL189" s="176"/>
      <c r="BM189" s="176"/>
      <c r="BN189" s="176"/>
      <c r="BO189" s="176"/>
    </row>
    <row r="190" spans="1:67" s="36" customFormat="1" ht="10.5" customHeight="1" x14ac:dyDescent="0.2">
      <c r="A190" s="1055"/>
      <c r="B190" s="2594"/>
      <c r="C190" s="2595"/>
      <c r="D190" s="2596"/>
      <c r="E190" s="2395"/>
      <c r="F190" s="2396"/>
      <c r="G190" s="2590"/>
      <c r="H190" s="2591"/>
      <c r="I190" s="1081">
        <f t="shared" si="40"/>
        <v>0</v>
      </c>
      <c r="J190" s="1082">
        <f t="shared" si="41"/>
        <v>0</v>
      </c>
      <c r="K190" s="2588"/>
      <c r="L190" s="2589"/>
      <c r="M190" s="1086">
        <f t="shared" si="42"/>
        <v>0</v>
      </c>
      <c r="N190" s="506"/>
      <c r="O190" s="365">
        <f t="shared" si="43"/>
        <v>0</v>
      </c>
      <c r="P190" s="366"/>
      <c r="Q190" s="135"/>
      <c r="R190" s="136"/>
      <c r="S190" s="129"/>
      <c r="T190" s="129"/>
      <c r="U190" s="129"/>
      <c r="V190" s="129"/>
      <c r="W190" s="129"/>
      <c r="X190" s="129"/>
      <c r="Y190" s="129"/>
      <c r="Z190" s="133"/>
      <c r="AA190" s="133"/>
      <c r="AB190" s="133"/>
      <c r="AC190" s="133"/>
      <c r="AD190" s="133"/>
      <c r="AE190" s="133"/>
      <c r="AF190" s="222"/>
      <c r="AG190" s="222"/>
      <c r="AH190" s="222"/>
      <c r="AI190" s="176"/>
      <c r="AJ190" s="176"/>
      <c r="AK190" s="176"/>
      <c r="AL190" s="176"/>
      <c r="AM190" s="176"/>
      <c r="AN190" s="176"/>
      <c r="AO190" s="176"/>
      <c r="AP190" s="176"/>
      <c r="AQ190" s="176"/>
      <c r="AR190" s="176"/>
      <c r="AS190" s="176"/>
      <c r="AT190" s="176"/>
      <c r="AU190" s="176"/>
      <c r="AV190" s="176"/>
      <c r="AW190" s="176"/>
      <c r="AX190" s="176"/>
      <c r="AY190" s="176"/>
      <c r="AZ190" s="176"/>
      <c r="BA190" s="176"/>
      <c r="BB190" s="176"/>
      <c r="BC190" s="176"/>
      <c r="BD190" s="176"/>
      <c r="BE190" s="176"/>
      <c r="BF190" s="176"/>
      <c r="BG190" s="176"/>
      <c r="BH190" s="176"/>
      <c r="BI190" s="176"/>
      <c r="BJ190" s="176"/>
      <c r="BK190" s="176"/>
      <c r="BL190" s="176"/>
      <c r="BM190" s="176"/>
      <c r="BN190" s="176"/>
      <c r="BO190" s="176"/>
    </row>
    <row r="191" spans="1:67" s="36" customFormat="1" ht="10.5" customHeight="1" x14ac:dyDescent="0.2">
      <c r="A191" s="1348"/>
      <c r="B191" s="2690"/>
      <c r="C191" s="2691"/>
      <c r="D191" s="2692"/>
      <c r="E191" s="2601"/>
      <c r="F191" s="2602"/>
      <c r="G191" s="1088"/>
      <c r="H191" s="1089"/>
      <c r="I191" s="1083">
        <f t="shared" si="40"/>
        <v>0</v>
      </c>
      <c r="J191" s="1084"/>
      <c r="K191" s="1087"/>
      <c r="L191" s="1307"/>
      <c r="M191" s="1317">
        <f t="shared" si="42"/>
        <v>0</v>
      </c>
      <c r="N191" s="506"/>
      <c r="O191" s="365">
        <f t="shared" si="43"/>
        <v>0</v>
      </c>
      <c r="P191" s="366"/>
      <c r="Q191" s="135"/>
      <c r="R191" s="136"/>
      <c r="S191" s="129"/>
      <c r="T191" s="129"/>
      <c r="U191" s="129"/>
      <c r="V191" s="129"/>
      <c r="W191" s="129"/>
      <c r="X191" s="129"/>
      <c r="Y191" s="129"/>
      <c r="Z191" s="133"/>
      <c r="AA191" s="133"/>
      <c r="AB191" s="133"/>
      <c r="AC191" s="133"/>
      <c r="AD191" s="133"/>
      <c r="AE191" s="133"/>
      <c r="AF191" s="222"/>
      <c r="AG191" s="222"/>
      <c r="AH191" s="222"/>
      <c r="AI191" s="176"/>
      <c r="AJ191" s="176"/>
      <c r="AK191" s="176"/>
      <c r="AL191" s="176"/>
      <c r="AM191" s="176"/>
      <c r="AN191" s="176"/>
      <c r="AO191" s="176"/>
      <c r="AP191" s="176"/>
      <c r="AQ191" s="176"/>
      <c r="AR191" s="176"/>
      <c r="AS191" s="176"/>
      <c r="AT191" s="176"/>
      <c r="AU191" s="176"/>
      <c r="AV191" s="176"/>
      <c r="AW191" s="176"/>
      <c r="AX191" s="176"/>
      <c r="AY191" s="176"/>
      <c r="AZ191" s="176"/>
      <c r="BA191" s="176"/>
      <c r="BB191" s="176"/>
      <c r="BC191" s="176"/>
      <c r="BD191" s="176"/>
      <c r="BE191" s="176"/>
      <c r="BF191" s="176"/>
      <c r="BG191" s="176"/>
      <c r="BH191" s="176"/>
      <c r="BI191" s="176"/>
      <c r="BJ191" s="176"/>
      <c r="BK191" s="176"/>
      <c r="BL191" s="176"/>
      <c r="BM191" s="176"/>
      <c r="BN191" s="176"/>
      <c r="BO191" s="176"/>
    </row>
    <row r="192" spans="1:67" s="36" customFormat="1" ht="10.5" customHeight="1" x14ac:dyDescent="0.2">
      <c r="A192" s="1115" t="s">
        <v>320</v>
      </c>
      <c r="B192" s="2611"/>
      <c r="C192" s="2612"/>
      <c r="D192" s="2613"/>
      <c r="E192" s="2676">
        <f>SUM(E193:E205)</f>
        <v>0</v>
      </c>
      <c r="F192" s="2677"/>
      <c r="G192" s="2678"/>
      <c r="H192" s="2679"/>
      <c r="I192" s="1116">
        <f>IF(E192=0,0,J192/E192)</f>
        <v>0</v>
      </c>
      <c r="J192" s="1117">
        <f>SUM(J193:J205)</f>
        <v>0</v>
      </c>
      <c r="K192" s="2686">
        <f>IF(E192=0,0,M192/E192*100)</f>
        <v>0</v>
      </c>
      <c r="L192" s="2687"/>
      <c r="M192" s="1118">
        <f>SUM(M193:M205)</f>
        <v>0</v>
      </c>
      <c r="N192" s="506"/>
      <c r="O192" s="178">
        <f>IF(H192="",G192,H192)</f>
        <v>0</v>
      </c>
      <c r="P192" s="366"/>
      <c r="Q192" s="135"/>
      <c r="R192" s="136"/>
      <c r="S192" s="129"/>
      <c r="T192" s="129"/>
      <c r="U192" s="129"/>
      <c r="V192" s="129"/>
      <c r="W192" s="129"/>
      <c r="X192" s="129"/>
      <c r="Y192" s="129"/>
      <c r="Z192" s="133"/>
      <c r="AA192" s="133"/>
      <c r="AB192" s="133"/>
      <c r="AC192" s="133"/>
      <c r="AD192" s="133"/>
      <c r="AE192" s="133"/>
      <c r="AF192" s="222"/>
      <c r="AG192" s="222"/>
      <c r="AH192" s="222"/>
      <c r="AI192" s="176"/>
      <c r="AJ192" s="176"/>
      <c r="AK192" s="176"/>
      <c r="AL192" s="176"/>
      <c r="AM192" s="176"/>
      <c r="AN192" s="176"/>
      <c r="AO192" s="176"/>
      <c r="AP192" s="176"/>
      <c r="AQ192" s="176"/>
      <c r="AR192" s="176"/>
      <c r="AS192" s="176"/>
      <c r="AT192" s="176"/>
      <c r="AU192" s="176"/>
      <c r="AV192" s="176"/>
      <c r="AW192" s="176"/>
      <c r="AX192" s="176"/>
      <c r="AY192" s="176"/>
      <c r="AZ192" s="176"/>
      <c r="BA192" s="176"/>
      <c r="BB192" s="176"/>
      <c r="BC192" s="176"/>
      <c r="BD192" s="176"/>
      <c r="BE192" s="176"/>
      <c r="BF192" s="176"/>
      <c r="BG192" s="176"/>
      <c r="BH192" s="176"/>
      <c r="BI192" s="176"/>
      <c r="BJ192" s="176"/>
      <c r="BK192" s="176"/>
      <c r="BL192" s="176"/>
      <c r="BM192" s="176"/>
      <c r="BN192" s="176"/>
      <c r="BO192" s="176"/>
    </row>
    <row r="193" spans="1:67" s="36" customFormat="1" ht="10.5" customHeight="1" x14ac:dyDescent="0.2">
      <c r="A193" s="1359" t="s">
        <v>321</v>
      </c>
      <c r="B193" s="2743"/>
      <c r="C193" s="2744"/>
      <c r="D193" s="2745"/>
      <c r="E193" s="2746"/>
      <c r="F193" s="2788"/>
      <c r="G193" s="1056">
        <v>30</v>
      </c>
      <c r="H193" s="1057"/>
      <c r="I193" s="1079">
        <f t="shared" ref="I193:I206" si="44">IF($O193&gt;0,-PMT(($I$9),$O193,1),0)</f>
        <v>4.6199342169092869E-2</v>
      </c>
      <c r="J193" s="1080">
        <f t="shared" ref="J193:J205" si="45">ROUND(E193*I193,0)</f>
        <v>0</v>
      </c>
      <c r="K193" s="1060">
        <v>1.5</v>
      </c>
      <c r="L193" s="1304"/>
      <c r="M193" s="1085">
        <f t="shared" ref="M193:M206" si="46">ROUND(E193/100*IF(ISBLANK(L193),K193,L193),0)</f>
        <v>0</v>
      </c>
      <c r="N193" s="506"/>
      <c r="O193" s="365">
        <f t="shared" ref="O193:O206" si="47">IF(ISBLANK(H193),G193,H193)</f>
        <v>30</v>
      </c>
      <c r="P193" s="366"/>
      <c r="Q193" s="135"/>
      <c r="R193" s="136"/>
      <c r="S193" s="129"/>
      <c r="T193" s="129"/>
      <c r="U193" s="129"/>
      <c r="V193" s="129"/>
      <c r="W193" s="129"/>
      <c r="X193" s="129"/>
      <c r="Y193" s="129"/>
      <c r="Z193" s="133"/>
      <c r="AA193" s="133"/>
      <c r="AB193" s="133"/>
      <c r="AC193" s="133"/>
      <c r="AD193" s="133"/>
      <c r="AE193" s="133"/>
      <c r="AF193" s="222"/>
      <c r="AG193" s="222"/>
      <c r="AH193" s="222"/>
      <c r="AI193" s="176"/>
      <c r="AJ193" s="176"/>
      <c r="AK193" s="176"/>
      <c r="AL193" s="176"/>
      <c r="AM193" s="176"/>
      <c r="AN193" s="176"/>
      <c r="AO193" s="176"/>
      <c r="AP193" s="176"/>
      <c r="AQ193" s="176"/>
      <c r="AR193" s="176"/>
      <c r="AS193" s="176"/>
      <c r="AT193" s="176"/>
      <c r="AU193" s="176"/>
      <c r="AV193" s="176"/>
      <c r="AW193" s="176"/>
      <c r="AX193" s="176"/>
      <c r="AY193" s="176"/>
      <c r="AZ193" s="176"/>
      <c r="BA193" s="176"/>
      <c r="BB193" s="176"/>
      <c r="BC193" s="176"/>
      <c r="BD193" s="176"/>
      <c r="BE193" s="176"/>
      <c r="BF193" s="176"/>
      <c r="BG193" s="176"/>
      <c r="BH193" s="176"/>
      <c r="BI193" s="176"/>
      <c r="BJ193" s="176"/>
      <c r="BK193" s="176"/>
      <c r="BL193" s="176"/>
      <c r="BM193" s="176"/>
      <c r="BN193" s="176"/>
      <c r="BO193" s="176"/>
    </row>
    <row r="194" spans="1:67" s="36" customFormat="1" ht="10.5" customHeight="1" x14ac:dyDescent="0.2">
      <c r="A194" s="1043" t="s">
        <v>322</v>
      </c>
      <c r="B194" s="2594"/>
      <c r="C194" s="2595"/>
      <c r="D194" s="2596"/>
      <c r="E194" s="2395"/>
      <c r="F194" s="2789"/>
      <c r="G194" s="1058">
        <v>30</v>
      </c>
      <c r="H194" s="1059"/>
      <c r="I194" s="1081">
        <f t="shared" si="44"/>
        <v>4.6199342169092869E-2</v>
      </c>
      <c r="J194" s="1082">
        <f t="shared" si="45"/>
        <v>0</v>
      </c>
      <c r="K194" s="1061">
        <v>1</v>
      </c>
      <c r="L194" s="1305"/>
      <c r="M194" s="1086">
        <f t="shared" si="46"/>
        <v>0</v>
      </c>
      <c r="N194" s="506"/>
      <c r="O194" s="365">
        <f t="shared" si="47"/>
        <v>30</v>
      </c>
      <c r="P194" s="366"/>
      <c r="Q194" s="135"/>
      <c r="R194" s="136"/>
      <c r="S194" s="129"/>
      <c r="T194" s="129"/>
      <c r="U194" s="129"/>
      <c r="V194" s="129"/>
      <c r="W194" s="129"/>
      <c r="X194" s="129"/>
      <c r="Y194" s="129"/>
      <c r="Z194" s="133"/>
      <c r="AA194" s="133"/>
      <c r="AB194" s="133"/>
      <c r="AC194" s="133"/>
      <c r="AD194" s="133"/>
      <c r="AE194" s="133"/>
      <c r="AF194" s="222"/>
      <c r="AG194" s="222"/>
      <c r="AH194" s="222"/>
      <c r="AI194" s="176"/>
      <c r="AJ194" s="176"/>
      <c r="AK194" s="176"/>
      <c r="AL194" s="176"/>
      <c r="AM194" s="176"/>
      <c r="AN194" s="176"/>
      <c r="AO194" s="176"/>
      <c r="AP194" s="176"/>
      <c r="AQ194" s="176"/>
      <c r="AR194" s="176"/>
      <c r="AS194" s="176"/>
      <c r="AT194" s="176"/>
      <c r="AU194" s="176"/>
      <c r="AV194" s="176"/>
      <c r="AW194" s="176"/>
      <c r="AX194" s="176"/>
      <c r="AY194" s="176"/>
      <c r="AZ194" s="176"/>
      <c r="BA194" s="176"/>
      <c r="BB194" s="176"/>
      <c r="BC194" s="176"/>
      <c r="BD194" s="176"/>
      <c r="BE194" s="176"/>
      <c r="BF194" s="176"/>
      <c r="BG194" s="176"/>
      <c r="BH194" s="176"/>
      <c r="BI194" s="176"/>
      <c r="BJ194" s="176"/>
      <c r="BK194" s="176"/>
      <c r="BL194" s="176"/>
      <c r="BM194" s="176"/>
      <c r="BN194" s="176"/>
      <c r="BO194" s="176"/>
    </row>
    <row r="195" spans="1:67" s="36" customFormat="1" ht="10.5" customHeight="1" x14ac:dyDescent="0.2">
      <c r="A195" s="1043" t="s">
        <v>323</v>
      </c>
      <c r="B195" s="2594"/>
      <c r="C195" s="2595"/>
      <c r="D195" s="2596"/>
      <c r="E195" s="2395"/>
      <c r="F195" s="2789"/>
      <c r="G195" s="1058">
        <v>30</v>
      </c>
      <c r="H195" s="1059"/>
      <c r="I195" s="1081">
        <f t="shared" si="44"/>
        <v>4.6199342169092869E-2</v>
      </c>
      <c r="J195" s="1082">
        <f t="shared" si="45"/>
        <v>0</v>
      </c>
      <c r="K195" s="1061">
        <v>0.5</v>
      </c>
      <c r="L195" s="1305"/>
      <c r="M195" s="1086">
        <f t="shared" si="46"/>
        <v>0</v>
      </c>
      <c r="N195" s="506"/>
      <c r="O195" s="365">
        <f t="shared" si="47"/>
        <v>30</v>
      </c>
      <c r="P195" s="366"/>
      <c r="Q195" s="135"/>
      <c r="R195" s="136"/>
      <c r="S195" s="129"/>
      <c r="T195" s="129"/>
      <c r="U195" s="129"/>
      <c r="V195" s="129"/>
      <c r="W195" s="129"/>
      <c r="X195" s="129"/>
      <c r="Y195" s="129"/>
      <c r="Z195" s="133"/>
      <c r="AA195" s="133"/>
      <c r="AB195" s="133"/>
      <c r="AC195" s="133"/>
      <c r="AD195" s="133"/>
      <c r="AE195" s="133"/>
      <c r="AF195" s="222"/>
      <c r="AG195" s="222"/>
      <c r="AH195" s="222"/>
      <c r="AI195" s="176"/>
      <c r="AJ195" s="176"/>
      <c r="AK195" s="176"/>
      <c r="AL195" s="176"/>
      <c r="AM195" s="176"/>
      <c r="AN195" s="176"/>
      <c r="AO195" s="176"/>
      <c r="AP195" s="176"/>
      <c r="AQ195" s="176"/>
      <c r="AR195" s="176"/>
      <c r="AS195" s="176"/>
      <c r="AT195" s="176"/>
      <c r="AU195" s="176"/>
      <c r="AV195" s="176"/>
      <c r="AW195" s="176"/>
      <c r="AX195" s="176"/>
      <c r="AY195" s="176"/>
      <c r="AZ195" s="176"/>
      <c r="BA195" s="176"/>
      <c r="BB195" s="176"/>
      <c r="BC195" s="176"/>
      <c r="BD195" s="176"/>
      <c r="BE195" s="176"/>
      <c r="BF195" s="176"/>
      <c r="BG195" s="176"/>
      <c r="BH195" s="176"/>
      <c r="BI195" s="176"/>
      <c r="BJ195" s="176"/>
      <c r="BK195" s="176"/>
      <c r="BL195" s="176"/>
      <c r="BM195" s="176"/>
      <c r="BN195" s="176"/>
      <c r="BO195" s="176"/>
    </row>
    <row r="196" spans="1:67" s="36" customFormat="1" ht="10.5" customHeight="1" x14ac:dyDescent="0.2">
      <c r="A196" s="1043" t="s">
        <v>324</v>
      </c>
      <c r="B196" s="2594"/>
      <c r="C196" s="2595"/>
      <c r="D196" s="2596"/>
      <c r="E196" s="2395"/>
      <c r="F196" s="2789"/>
      <c r="G196" s="1058">
        <v>30</v>
      </c>
      <c r="H196" s="1059"/>
      <c r="I196" s="1081">
        <f t="shared" si="44"/>
        <v>4.6199342169092869E-2</v>
      </c>
      <c r="J196" s="1082">
        <f t="shared" si="45"/>
        <v>0</v>
      </c>
      <c r="K196" s="1061">
        <v>0.5</v>
      </c>
      <c r="L196" s="1305"/>
      <c r="M196" s="1086">
        <f t="shared" si="46"/>
        <v>0</v>
      </c>
      <c r="N196" s="506"/>
      <c r="O196" s="365">
        <f t="shared" si="47"/>
        <v>30</v>
      </c>
      <c r="P196" s="366"/>
      <c r="Q196" s="135"/>
      <c r="R196" s="136"/>
      <c r="S196" s="129"/>
      <c r="T196" s="129"/>
      <c r="U196" s="129"/>
      <c r="V196" s="129"/>
      <c r="W196" s="129"/>
      <c r="X196" s="129"/>
      <c r="Y196" s="129"/>
      <c r="Z196" s="133"/>
      <c r="AA196" s="133"/>
      <c r="AB196" s="133"/>
      <c r="AC196" s="133"/>
      <c r="AD196" s="133"/>
      <c r="AE196" s="133"/>
      <c r="AF196" s="222"/>
      <c r="AG196" s="222"/>
      <c r="AH196" s="222"/>
      <c r="AI196" s="176"/>
      <c r="AJ196" s="176"/>
      <c r="AK196" s="176"/>
      <c r="AL196" s="176"/>
      <c r="AM196" s="176"/>
      <c r="AN196" s="176"/>
      <c r="AO196" s="176"/>
      <c r="AP196" s="176"/>
      <c r="AQ196" s="176"/>
      <c r="AR196" s="176"/>
      <c r="AS196" s="176"/>
      <c r="AT196" s="176"/>
      <c r="AU196" s="176"/>
      <c r="AV196" s="176"/>
      <c r="AW196" s="176"/>
      <c r="AX196" s="176"/>
      <c r="AY196" s="176"/>
      <c r="AZ196" s="176"/>
      <c r="BA196" s="176"/>
      <c r="BB196" s="176"/>
      <c r="BC196" s="176"/>
      <c r="BD196" s="176"/>
      <c r="BE196" s="176"/>
      <c r="BF196" s="176"/>
      <c r="BG196" s="176"/>
      <c r="BH196" s="176"/>
      <c r="BI196" s="176"/>
      <c r="BJ196" s="176"/>
      <c r="BK196" s="176"/>
      <c r="BL196" s="176"/>
      <c r="BM196" s="176"/>
      <c r="BN196" s="176"/>
      <c r="BO196" s="176"/>
    </row>
    <row r="197" spans="1:67" s="36" customFormat="1" ht="10.5" customHeight="1" x14ac:dyDescent="0.2">
      <c r="A197" s="1043" t="s">
        <v>325</v>
      </c>
      <c r="B197" s="2594"/>
      <c r="C197" s="2595"/>
      <c r="D197" s="2596"/>
      <c r="E197" s="2395"/>
      <c r="F197" s="2789"/>
      <c r="G197" s="1058">
        <v>15</v>
      </c>
      <c r="H197" s="1059"/>
      <c r="I197" s="1081">
        <f t="shared" si="44"/>
        <v>7.9288524964265278E-2</v>
      </c>
      <c r="J197" s="1082">
        <f t="shared" si="45"/>
        <v>0</v>
      </c>
      <c r="K197" s="1061">
        <v>2</v>
      </c>
      <c r="L197" s="1305"/>
      <c r="M197" s="1086">
        <f t="shared" si="46"/>
        <v>0</v>
      </c>
      <c r="N197" s="506"/>
      <c r="O197" s="365">
        <f t="shared" si="47"/>
        <v>15</v>
      </c>
      <c r="P197" s="366"/>
      <c r="Q197" s="135"/>
      <c r="R197" s="136"/>
      <c r="S197" s="129"/>
      <c r="T197" s="129"/>
      <c r="U197" s="129"/>
      <c r="V197" s="129"/>
      <c r="W197" s="129"/>
      <c r="X197" s="129"/>
      <c r="Y197" s="129"/>
      <c r="Z197" s="133"/>
      <c r="AA197" s="133"/>
      <c r="AB197" s="133"/>
      <c r="AC197" s="133"/>
      <c r="AD197" s="133"/>
      <c r="AE197" s="133"/>
      <c r="AF197" s="222"/>
      <c r="AG197" s="222"/>
      <c r="AH197" s="222"/>
      <c r="AI197" s="176"/>
      <c r="AJ197" s="176"/>
      <c r="AK197" s="176"/>
      <c r="AL197" s="176"/>
      <c r="AM197" s="176"/>
      <c r="AN197" s="176"/>
      <c r="AO197" s="176"/>
      <c r="AP197" s="176"/>
      <c r="AQ197" s="176"/>
      <c r="AR197" s="176"/>
      <c r="AS197" s="176"/>
      <c r="AT197" s="176"/>
      <c r="AU197" s="176"/>
      <c r="AV197" s="176"/>
      <c r="AW197" s="176"/>
      <c r="AX197" s="176"/>
      <c r="AY197" s="176"/>
      <c r="AZ197" s="176"/>
      <c r="BA197" s="176"/>
      <c r="BB197" s="176"/>
      <c r="BC197" s="176"/>
      <c r="BD197" s="176"/>
      <c r="BE197" s="176"/>
      <c r="BF197" s="176"/>
      <c r="BG197" s="176"/>
      <c r="BH197" s="176"/>
      <c r="BI197" s="176"/>
      <c r="BJ197" s="176"/>
      <c r="BK197" s="176"/>
      <c r="BL197" s="176"/>
      <c r="BM197" s="176"/>
      <c r="BN197" s="176"/>
      <c r="BO197" s="176"/>
    </row>
    <row r="198" spans="1:67" s="36" customFormat="1" ht="10.5" customHeight="1" x14ac:dyDescent="0.2">
      <c r="A198" s="1043" t="s">
        <v>399</v>
      </c>
      <c r="B198" s="2594"/>
      <c r="C198" s="2595"/>
      <c r="D198" s="2596"/>
      <c r="E198" s="2395"/>
      <c r="F198" s="2789"/>
      <c r="G198" s="1058">
        <v>15</v>
      </c>
      <c r="H198" s="1059"/>
      <c r="I198" s="1081">
        <f t="shared" si="44"/>
        <v>7.9288524964265278E-2</v>
      </c>
      <c r="J198" s="1082">
        <f t="shared" si="45"/>
        <v>0</v>
      </c>
      <c r="K198" s="1061">
        <v>1.5</v>
      </c>
      <c r="L198" s="1305"/>
      <c r="M198" s="1086">
        <f t="shared" si="46"/>
        <v>0</v>
      </c>
      <c r="N198" s="506"/>
      <c r="O198" s="365">
        <f t="shared" si="47"/>
        <v>15</v>
      </c>
      <c r="P198" s="366"/>
      <c r="Q198" s="135"/>
      <c r="R198" s="136"/>
      <c r="S198" s="129"/>
      <c r="T198" s="129"/>
      <c r="U198" s="129"/>
      <c r="V198" s="129"/>
      <c r="W198" s="129"/>
      <c r="X198" s="129"/>
      <c r="Y198" s="129"/>
      <c r="Z198" s="133"/>
      <c r="AA198" s="133"/>
      <c r="AB198" s="133"/>
      <c r="AC198" s="133"/>
      <c r="AD198" s="133"/>
      <c r="AE198" s="133"/>
      <c r="AF198" s="222"/>
      <c r="AG198" s="222"/>
      <c r="AH198" s="222"/>
      <c r="AI198" s="176"/>
      <c r="AJ198" s="176"/>
      <c r="AK198" s="176"/>
      <c r="AL198" s="176"/>
      <c r="AM198" s="176"/>
      <c r="AN198" s="176"/>
      <c r="AO198" s="176"/>
      <c r="AP198" s="176"/>
      <c r="AQ198" s="176"/>
      <c r="AR198" s="176"/>
      <c r="AS198" s="176"/>
      <c r="AT198" s="176"/>
      <c r="AU198" s="176"/>
      <c r="AV198" s="176"/>
      <c r="AW198" s="176"/>
      <c r="AX198" s="176"/>
      <c r="AY198" s="176"/>
      <c r="AZ198" s="176"/>
      <c r="BA198" s="176"/>
      <c r="BB198" s="176"/>
      <c r="BC198" s="176"/>
      <c r="BD198" s="176"/>
      <c r="BE198" s="176"/>
      <c r="BF198" s="176"/>
      <c r="BG198" s="176"/>
      <c r="BH198" s="176"/>
      <c r="BI198" s="176"/>
      <c r="BJ198" s="176"/>
      <c r="BK198" s="176"/>
      <c r="BL198" s="176"/>
      <c r="BM198" s="176"/>
      <c r="BN198" s="176"/>
      <c r="BO198" s="176"/>
    </row>
    <row r="199" spans="1:67" s="36" customFormat="1" ht="10.5" customHeight="1" x14ac:dyDescent="0.2">
      <c r="A199" s="1055"/>
      <c r="B199" s="2594"/>
      <c r="C199" s="2595"/>
      <c r="D199" s="2596"/>
      <c r="E199" s="2395"/>
      <c r="F199" s="2396"/>
      <c r="G199" s="2590"/>
      <c r="H199" s="2591"/>
      <c r="I199" s="1081">
        <f t="shared" si="44"/>
        <v>0</v>
      </c>
      <c r="J199" s="1082">
        <f t="shared" si="45"/>
        <v>0</v>
      </c>
      <c r="K199" s="2588"/>
      <c r="L199" s="2589"/>
      <c r="M199" s="1086">
        <f t="shared" si="46"/>
        <v>0</v>
      </c>
      <c r="N199" s="506"/>
      <c r="O199" s="365">
        <f t="shared" si="47"/>
        <v>0</v>
      </c>
      <c r="P199" s="366"/>
      <c r="Q199" s="135"/>
      <c r="R199" s="136"/>
      <c r="S199" s="129"/>
      <c r="T199" s="129"/>
      <c r="U199" s="129"/>
      <c r="V199" s="129"/>
      <c r="W199" s="129"/>
      <c r="X199" s="129"/>
      <c r="Y199" s="129"/>
      <c r="Z199" s="133"/>
      <c r="AA199" s="133"/>
      <c r="AB199" s="133"/>
      <c r="AC199" s="133"/>
      <c r="AD199" s="133"/>
      <c r="AE199" s="133"/>
      <c r="AF199" s="222"/>
      <c r="AG199" s="222"/>
      <c r="AH199" s="222"/>
      <c r="AI199" s="176"/>
      <c r="AJ199" s="176"/>
      <c r="AK199" s="176"/>
      <c r="AL199" s="176"/>
      <c r="AM199" s="176"/>
      <c r="AN199" s="176"/>
      <c r="AO199" s="176"/>
      <c r="AP199" s="176"/>
      <c r="AQ199" s="176"/>
      <c r="AR199" s="176"/>
      <c r="AS199" s="176"/>
      <c r="AT199" s="176"/>
      <c r="AU199" s="176"/>
      <c r="AV199" s="176"/>
      <c r="AW199" s="176"/>
      <c r="AX199" s="176"/>
      <c r="AY199" s="176"/>
      <c r="AZ199" s="176"/>
      <c r="BA199" s="176"/>
      <c r="BB199" s="176"/>
      <c r="BC199" s="176"/>
      <c r="BD199" s="176"/>
      <c r="BE199" s="176"/>
      <c r="BF199" s="176"/>
      <c r="BG199" s="176"/>
      <c r="BH199" s="176"/>
      <c r="BI199" s="176"/>
      <c r="BJ199" s="176"/>
      <c r="BK199" s="176"/>
      <c r="BL199" s="176"/>
      <c r="BM199" s="176"/>
      <c r="BN199" s="176"/>
      <c r="BO199" s="176"/>
    </row>
    <row r="200" spans="1:67" s="36" customFormat="1" ht="10.5" customHeight="1" x14ac:dyDescent="0.2">
      <c r="A200" s="1055"/>
      <c r="B200" s="2594"/>
      <c r="C200" s="2595"/>
      <c r="D200" s="2596"/>
      <c r="E200" s="2395"/>
      <c r="F200" s="2396"/>
      <c r="G200" s="2590"/>
      <c r="H200" s="2591"/>
      <c r="I200" s="1081">
        <f t="shared" si="44"/>
        <v>0</v>
      </c>
      <c r="J200" s="1082">
        <f t="shared" si="45"/>
        <v>0</v>
      </c>
      <c r="K200" s="2588"/>
      <c r="L200" s="2589"/>
      <c r="M200" s="1086">
        <f t="shared" si="46"/>
        <v>0</v>
      </c>
      <c r="N200" s="506"/>
      <c r="O200" s="365">
        <f t="shared" si="47"/>
        <v>0</v>
      </c>
      <c r="P200" s="366"/>
      <c r="Q200" s="135"/>
      <c r="R200" s="136"/>
      <c r="S200" s="129"/>
      <c r="T200" s="129"/>
      <c r="U200" s="129"/>
      <c r="V200" s="129"/>
      <c r="W200" s="129"/>
      <c r="X200" s="129"/>
      <c r="Y200" s="129"/>
      <c r="Z200" s="133"/>
      <c r="AA200" s="133"/>
      <c r="AB200" s="133"/>
      <c r="AC200" s="133"/>
      <c r="AD200" s="133"/>
      <c r="AE200" s="133"/>
      <c r="AF200" s="222"/>
      <c r="AG200" s="222"/>
      <c r="AH200" s="222"/>
      <c r="AI200" s="176"/>
      <c r="AJ200" s="176"/>
      <c r="AK200" s="176"/>
      <c r="AL200" s="176"/>
      <c r="AM200" s="176"/>
      <c r="AN200" s="176"/>
      <c r="AO200" s="176"/>
      <c r="AP200" s="176"/>
      <c r="AQ200" s="176"/>
      <c r="AR200" s="176"/>
      <c r="AS200" s="176"/>
      <c r="AT200" s="176"/>
      <c r="AU200" s="176"/>
      <c r="AV200" s="176"/>
      <c r="AW200" s="176"/>
      <c r="AX200" s="176"/>
      <c r="AY200" s="176"/>
      <c r="AZ200" s="176"/>
      <c r="BA200" s="176"/>
      <c r="BB200" s="176"/>
      <c r="BC200" s="176"/>
      <c r="BD200" s="176"/>
      <c r="BE200" s="176"/>
      <c r="BF200" s="176"/>
      <c r="BG200" s="176"/>
      <c r="BH200" s="176"/>
      <c r="BI200" s="176"/>
      <c r="BJ200" s="176"/>
      <c r="BK200" s="176"/>
      <c r="BL200" s="176"/>
      <c r="BM200" s="176"/>
      <c r="BN200" s="176"/>
      <c r="BO200" s="176"/>
    </row>
    <row r="201" spans="1:67" s="36" customFormat="1" ht="10.5" customHeight="1" x14ac:dyDescent="0.2">
      <c r="A201" s="1055"/>
      <c r="B201" s="2594"/>
      <c r="C201" s="2595"/>
      <c r="D201" s="2596"/>
      <c r="E201" s="2395"/>
      <c r="F201" s="2396"/>
      <c r="G201" s="2590"/>
      <c r="H201" s="2591"/>
      <c r="I201" s="1081">
        <f t="shared" si="44"/>
        <v>0</v>
      </c>
      <c r="J201" s="1082">
        <f t="shared" si="45"/>
        <v>0</v>
      </c>
      <c r="K201" s="2588"/>
      <c r="L201" s="2589"/>
      <c r="M201" s="1086">
        <f t="shared" si="46"/>
        <v>0</v>
      </c>
      <c r="N201" s="506"/>
      <c r="O201" s="365">
        <f t="shared" si="47"/>
        <v>0</v>
      </c>
      <c r="P201" s="366"/>
      <c r="Q201" s="135"/>
      <c r="R201" s="136"/>
      <c r="S201" s="129"/>
      <c r="T201" s="129"/>
      <c r="U201" s="129"/>
      <c r="V201" s="129"/>
      <c r="W201" s="129"/>
      <c r="X201" s="129"/>
      <c r="Y201" s="129"/>
      <c r="Z201" s="133"/>
      <c r="AA201" s="133"/>
      <c r="AB201" s="133"/>
      <c r="AC201" s="133"/>
      <c r="AD201" s="133"/>
      <c r="AE201" s="133"/>
      <c r="AF201" s="222"/>
      <c r="AG201" s="222"/>
      <c r="AH201" s="222"/>
      <c r="AI201" s="176"/>
      <c r="AJ201" s="176"/>
      <c r="AK201" s="176"/>
      <c r="AL201" s="176"/>
      <c r="AM201" s="176"/>
      <c r="AN201" s="176"/>
      <c r="AO201" s="176"/>
      <c r="AP201" s="176"/>
      <c r="AQ201" s="176"/>
      <c r="AR201" s="176"/>
      <c r="AS201" s="176"/>
      <c r="AT201" s="176"/>
      <c r="AU201" s="176"/>
      <c r="AV201" s="176"/>
      <c r="AW201" s="176"/>
      <c r="AX201" s="176"/>
      <c r="AY201" s="176"/>
      <c r="AZ201" s="176"/>
      <c r="BA201" s="176"/>
      <c r="BB201" s="176"/>
      <c r="BC201" s="176"/>
      <c r="BD201" s="176"/>
      <c r="BE201" s="176"/>
      <c r="BF201" s="176"/>
      <c r="BG201" s="176"/>
      <c r="BH201" s="176"/>
      <c r="BI201" s="176"/>
      <c r="BJ201" s="176"/>
      <c r="BK201" s="176"/>
      <c r="BL201" s="176"/>
      <c r="BM201" s="176"/>
      <c r="BN201" s="176"/>
      <c r="BO201" s="176"/>
    </row>
    <row r="202" spans="1:67" s="36" customFormat="1" ht="10.5" customHeight="1" x14ac:dyDescent="0.2">
      <c r="A202" s="1055"/>
      <c r="B202" s="2594"/>
      <c r="C202" s="2595"/>
      <c r="D202" s="2596"/>
      <c r="E202" s="2395"/>
      <c r="F202" s="2396"/>
      <c r="G202" s="2590"/>
      <c r="H202" s="2591"/>
      <c r="I202" s="1081">
        <f t="shared" si="44"/>
        <v>0</v>
      </c>
      <c r="J202" s="1082">
        <f t="shared" si="45"/>
        <v>0</v>
      </c>
      <c r="K202" s="2588"/>
      <c r="L202" s="2589"/>
      <c r="M202" s="1086">
        <f t="shared" si="46"/>
        <v>0</v>
      </c>
      <c r="N202" s="506"/>
      <c r="O202" s="365">
        <f t="shared" si="47"/>
        <v>0</v>
      </c>
      <c r="P202" s="366"/>
      <c r="Q202" s="135"/>
      <c r="R202" s="136"/>
      <c r="S202" s="129"/>
      <c r="T202" s="129"/>
      <c r="U202" s="129"/>
      <c r="V202" s="129"/>
      <c r="W202" s="129"/>
      <c r="X202" s="129"/>
      <c r="Y202" s="129"/>
      <c r="Z202" s="133"/>
      <c r="AA202" s="133"/>
      <c r="AB202" s="133"/>
      <c r="AC202" s="133"/>
      <c r="AD202" s="133"/>
      <c r="AE202" s="133"/>
      <c r="AF202" s="222"/>
      <c r="AG202" s="222"/>
      <c r="AH202" s="222"/>
      <c r="AI202" s="176"/>
      <c r="AJ202" s="176"/>
      <c r="AK202" s="176"/>
      <c r="AL202" s="176"/>
      <c r="AM202" s="176"/>
      <c r="AN202" s="176"/>
      <c r="AO202" s="176"/>
      <c r="AP202" s="176"/>
      <c r="AQ202" s="176"/>
      <c r="AR202" s="176"/>
      <c r="AS202" s="176"/>
      <c r="AT202" s="176"/>
      <c r="AU202" s="176"/>
      <c r="AV202" s="176"/>
      <c r="AW202" s="176"/>
      <c r="AX202" s="176"/>
      <c r="AY202" s="176"/>
      <c r="AZ202" s="176"/>
      <c r="BA202" s="176"/>
      <c r="BB202" s="176"/>
      <c r="BC202" s="176"/>
      <c r="BD202" s="176"/>
      <c r="BE202" s="176"/>
      <c r="BF202" s="176"/>
      <c r="BG202" s="176"/>
      <c r="BH202" s="176"/>
      <c r="BI202" s="176"/>
      <c r="BJ202" s="176"/>
      <c r="BK202" s="176"/>
      <c r="BL202" s="176"/>
      <c r="BM202" s="176"/>
      <c r="BN202" s="176"/>
      <c r="BO202" s="176"/>
    </row>
    <row r="203" spans="1:67" s="36" customFormat="1" ht="10.5" customHeight="1" x14ac:dyDescent="0.2">
      <c r="A203" s="1055"/>
      <c r="B203" s="2594"/>
      <c r="C203" s="2595"/>
      <c r="D203" s="2596"/>
      <c r="E203" s="2395"/>
      <c r="F203" s="2396"/>
      <c r="G203" s="2590"/>
      <c r="H203" s="2591"/>
      <c r="I203" s="1081">
        <f t="shared" si="44"/>
        <v>0</v>
      </c>
      <c r="J203" s="1082">
        <f t="shared" si="45"/>
        <v>0</v>
      </c>
      <c r="K203" s="2588"/>
      <c r="L203" s="2589"/>
      <c r="M203" s="1086">
        <f t="shared" si="46"/>
        <v>0</v>
      </c>
      <c r="N203" s="506"/>
      <c r="O203" s="365">
        <f t="shared" si="47"/>
        <v>0</v>
      </c>
      <c r="P203" s="366"/>
      <c r="Q203" s="135"/>
      <c r="R203" s="136"/>
      <c r="S203" s="129"/>
      <c r="T203" s="129"/>
      <c r="U203" s="129"/>
      <c r="V203" s="129"/>
      <c r="W203" s="129"/>
      <c r="X203" s="129"/>
      <c r="Y203" s="129"/>
      <c r="Z203" s="133"/>
      <c r="AA203" s="133"/>
      <c r="AB203" s="133"/>
      <c r="AC203" s="133"/>
      <c r="AD203" s="133"/>
      <c r="AE203" s="133"/>
      <c r="AF203" s="222"/>
      <c r="AG203" s="222"/>
      <c r="AH203" s="222"/>
      <c r="AI203" s="176"/>
      <c r="AJ203" s="176"/>
      <c r="AK203" s="176"/>
      <c r="AL203" s="176"/>
      <c r="AM203" s="176"/>
      <c r="AN203" s="176"/>
      <c r="AO203" s="176"/>
      <c r="AP203" s="176"/>
      <c r="AQ203" s="176"/>
      <c r="AR203" s="176"/>
      <c r="AS203" s="176"/>
      <c r="AT203" s="176"/>
      <c r="AU203" s="176"/>
      <c r="AV203" s="176"/>
      <c r="AW203" s="176"/>
      <c r="AX203" s="176"/>
      <c r="AY203" s="176"/>
      <c r="AZ203" s="176"/>
      <c r="BA203" s="176"/>
      <c r="BB203" s="176"/>
      <c r="BC203" s="176"/>
      <c r="BD203" s="176"/>
      <c r="BE203" s="176"/>
      <c r="BF203" s="176"/>
      <c r="BG203" s="176"/>
      <c r="BH203" s="176"/>
      <c r="BI203" s="176"/>
      <c r="BJ203" s="176"/>
      <c r="BK203" s="176"/>
      <c r="BL203" s="176"/>
      <c r="BM203" s="176"/>
      <c r="BN203" s="176"/>
      <c r="BO203" s="176"/>
    </row>
    <row r="204" spans="1:67" s="36" customFormat="1" ht="10.5" customHeight="1" x14ac:dyDescent="0.2">
      <c r="A204" s="1055"/>
      <c r="B204" s="2594"/>
      <c r="C204" s="2595"/>
      <c r="D204" s="2596"/>
      <c r="E204" s="2395"/>
      <c r="F204" s="2396"/>
      <c r="G204" s="2590"/>
      <c r="H204" s="2591"/>
      <c r="I204" s="1081">
        <f t="shared" si="44"/>
        <v>0</v>
      </c>
      <c r="J204" s="1082">
        <f t="shared" si="45"/>
        <v>0</v>
      </c>
      <c r="K204" s="2588"/>
      <c r="L204" s="2589"/>
      <c r="M204" s="1086">
        <f t="shared" si="46"/>
        <v>0</v>
      </c>
      <c r="N204" s="506"/>
      <c r="O204" s="365">
        <f t="shared" si="47"/>
        <v>0</v>
      </c>
      <c r="P204" s="366"/>
      <c r="Q204" s="135"/>
      <c r="R204" s="136"/>
      <c r="S204" s="129"/>
      <c r="T204" s="129"/>
      <c r="U204" s="129"/>
      <c r="V204" s="129"/>
      <c r="W204" s="129"/>
      <c r="X204" s="129"/>
      <c r="Y204" s="129"/>
      <c r="Z204" s="133"/>
      <c r="AA204" s="133"/>
      <c r="AB204" s="133"/>
      <c r="AC204" s="133"/>
      <c r="AD204" s="133"/>
      <c r="AE204" s="133"/>
      <c r="AF204" s="222"/>
      <c r="AG204" s="222"/>
      <c r="AH204" s="222"/>
      <c r="AI204" s="176"/>
      <c r="AJ204" s="176"/>
      <c r="AK204" s="176"/>
      <c r="AL204" s="176"/>
      <c r="AM204" s="176"/>
      <c r="AN204" s="176"/>
      <c r="AO204" s="176"/>
      <c r="AP204" s="176"/>
      <c r="AQ204" s="176"/>
      <c r="AR204" s="176"/>
      <c r="AS204" s="176"/>
      <c r="AT204" s="176"/>
      <c r="AU204" s="176"/>
      <c r="AV204" s="176"/>
      <c r="AW204" s="176"/>
      <c r="AX204" s="176"/>
      <c r="AY204" s="176"/>
      <c r="AZ204" s="176"/>
      <c r="BA204" s="176"/>
      <c r="BB204" s="176"/>
      <c r="BC204" s="176"/>
      <c r="BD204" s="176"/>
      <c r="BE204" s="176"/>
      <c r="BF204" s="176"/>
      <c r="BG204" s="176"/>
      <c r="BH204" s="176"/>
      <c r="BI204" s="176"/>
      <c r="BJ204" s="176"/>
      <c r="BK204" s="176"/>
      <c r="BL204" s="176"/>
      <c r="BM204" s="176"/>
      <c r="BN204" s="176"/>
      <c r="BO204" s="176"/>
    </row>
    <row r="205" spans="1:67" s="36" customFormat="1" ht="10.5" customHeight="1" x14ac:dyDescent="0.2">
      <c r="A205" s="1055"/>
      <c r="B205" s="2594"/>
      <c r="C205" s="2595"/>
      <c r="D205" s="2596"/>
      <c r="E205" s="2395"/>
      <c r="F205" s="2396"/>
      <c r="G205" s="2590"/>
      <c r="H205" s="2591"/>
      <c r="I205" s="1081">
        <f t="shared" si="44"/>
        <v>0</v>
      </c>
      <c r="J205" s="1082">
        <f t="shared" si="45"/>
        <v>0</v>
      </c>
      <c r="K205" s="2588"/>
      <c r="L205" s="2589"/>
      <c r="M205" s="1086">
        <f t="shared" si="46"/>
        <v>0</v>
      </c>
      <c r="N205" s="506"/>
      <c r="O205" s="365">
        <f t="shared" si="47"/>
        <v>0</v>
      </c>
      <c r="P205" s="366"/>
      <c r="Q205" s="135"/>
      <c r="R205" s="136"/>
      <c r="S205" s="129"/>
      <c r="T205" s="129"/>
      <c r="U205" s="129"/>
      <c r="V205" s="129"/>
      <c r="W205" s="129"/>
      <c r="X205" s="129"/>
      <c r="Y205" s="129"/>
      <c r="Z205" s="133"/>
      <c r="AA205" s="133"/>
      <c r="AB205" s="133"/>
      <c r="AC205" s="133"/>
      <c r="AD205" s="133"/>
      <c r="AE205" s="133"/>
      <c r="AF205" s="222"/>
      <c r="AG205" s="222"/>
      <c r="AH205" s="222"/>
      <c r="AI205" s="176"/>
      <c r="AJ205" s="176"/>
      <c r="AK205" s="176"/>
      <c r="AL205" s="176"/>
      <c r="AM205" s="176"/>
      <c r="AN205" s="176"/>
      <c r="AO205" s="176"/>
      <c r="AP205" s="176"/>
      <c r="AQ205" s="176"/>
      <c r="AR205" s="176"/>
      <c r="AS205" s="176"/>
      <c r="AT205" s="176"/>
      <c r="AU205" s="176"/>
      <c r="AV205" s="176"/>
      <c r="AW205" s="176"/>
      <c r="AX205" s="176"/>
      <c r="AY205" s="176"/>
      <c r="AZ205" s="176"/>
      <c r="BA205" s="176"/>
      <c r="BB205" s="176"/>
      <c r="BC205" s="176"/>
      <c r="BD205" s="176"/>
      <c r="BE205" s="176"/>
      <c r="BF205" s="176"/>
      <c r="BG205" s="176"/>
      <c r="BH205" s="176"/>
      <c r="BI205" s="176"/>
      <c r="BJ205" s="176"/>
      <c r="BK205" s="176"/>
      <c r="BL205" s="176"/>
      <c r="BM205" s="176"/>
      <c r="BN205" s="176"/>
      <c r="BO205" s="176"/>
    </row>
    <row r="206" spans="1:67" s="36" customFormat="1" ht="10.5" customHeight="1" x14ac:dyDescent="0.2">
      <c r="A206" s="1348"/>
      <c r="B206" s="2690"/>
      <c r="C206" s="2691"/>
      <c r="D206" s="2692"/>
      <c r="E206" s="2601"/>
      <c r="F206" s="2602"/>
      <c r="G206" s="1088"/>
      <c r="H206" s="1089"/>
      <c r="I206" s="1083">
        <f t="shared" si="44"/>
        <v>0</v>
      </c>
      <c r="J206" s="1084"/>
      <c r="K206" s="1087"/>
      <c r="L206" s="1307"/>
      <c r="M206" s="1317">
        <f t="shared" si="46"/>
        <v>0</v>
      </c>
      <c r="N206" s="506"/>
      <c r="O206" s="365">
        <f t="shared" si="47"/>
        <v>0</v>
      </c>
      <c r="P206" s="366"/>
      <c r="Q206" s="135"/>
      <c r="R206" s="136"/>
      <c r="S206" s="129"/>
      <c r="T206" s="129"/>
      <c r="U206" s="129"/>
      <c r="V206" s="129"/>
      <c r="W206" s="129"/>
      <c r="X206" s="129"/>
      <c r="Y206" s="129"/>
      <c r="Z206" s="133"/>
      <c r="AA206" s="133"/>
      <c r="AB206" s="133"/>
      <c r="AC206" s="133"/>
      <c r="AD206" s="133"/>
      <c r="AE206" s="133"/>
      <c r="AF206" s="222"/>
      <c r="AG206" s="222"/>
      <c r="AH206" s="222"/>
      <c r="AI206" s="176"/>
      <c r="AJ206" s="176"/>
      <c r="AK206" s="176"/>
      <c r="AL206" s="176"/>
      <c r="AM206" s="176"/>
      <c r="AN206" s="176"/>
      <c r="AO206" s="176"/>
      <c r="AP206" s="176"/>
      <c r="AQ206" s="176"/>
      <c r="AR206" s="176"/>
      <c r="AS206" s="176"/>
      <c r="AT206" s="176"/>
      <c r="AU206" s="176"/>
      <c r="AV206" s="176"/>
      <c r="AW206" s="176"/>
      <c r="AX206" s="176"/>
      <c r="AY206" s="176"/>
      <c r="AZ206" s="176"/>
      <c r="BA206" s="176"/>
      <c r="BB206" s="176"/>
      <c r="BC206" s="176"/>
      <c r="BD206" s="176"/>
      <c r="BE206" s="176"/>
      <c r="BF206" s="176"/>
      <c r="BG206" s="176"/>
      <c r="BH206" s="176"/>
      <c r="BI206" s="176"/>
      <c r="BJ206" s="176"/>
      <c r="BK206" s="176"/>
      <c r="BL206" s="176"/>
      <c r="BM206" s="176"/>
      <c r="BN206" s="176"/>
      <c r="BO206" s="176"/>
    </row>
    <row r="207" spans="1:67" s="36" customFormat="1" ht="10.5" customHeight="1" x14ac:dyDescent="0.2">
      <c r="A207" s="1115" t="s">
        <v>326</v>
      </c>
      <c r="B207" s="2611"/>
      <c r="C207" s="2612"/>
      <c r="D207" s="2613"/>
      <c r="E207" s="2676">
        <f>SUM(E208:E220)</f>
        <v>0</v>
      </c>
      <c r="F207" s="2677"/>
      <c r="G207" s="2678"/>
      <c r="H207" s="2679"/>
      <c r="I207" s="1116">
        <f>IF(E207=0,0,J207/E207)</f>
        <v>0</v>
      </c>
      <c r="J207" s="1117">
        <f>SUM(J208:J220)</f>
        <v>0</v>
      </c>
      <c r="K207" s="2686">
        <f>IF(E207=0,0,M207/E207*100)</f>
        <v>0</v>
      </c>
      <c r="L207" s="2687"/>
      <c r="M207" s="1118">
        <f>SUM(M208:M220)</f>
        <v>0</v>
      </c>
      <c r="N207" s="506"/>
      <c r="O207" s="178">
        <f>IF(H207="",G207,H207)</f>
        <v>0</v>
      </c>
      <c r="P207" s="366"/>
      <c r="Q207" s="135"/>
      <c r="R207" s="136"/>
      <c r="S207" s="129"/>
      <c r="T207" s="129"/>
      <c r="U207" s="129"/>
      <c r="V207" s="129"/>
      <c r="W207" s="129"/>
      <c r="X207" s="129"/>
      <c r="Y207" s="129"/>
      <c r="Z207" s="133"/>
      <c r="AA207" s="133"/>
      <c r="AB207" s="133"/>
      <c r="AC207" s="133"/>
      <c r="AD207" s="133"/>
      <c r="AE207" s="133"/>
      <c r="AF207" s="222"/>
      <c r="AG207" s="222"/>
      <c r="AH207" s="222"/>
      <c r="AI207" s="176"/>
      <c r="AJ207" s="176"/>
      <c r="AK207" s="176"/>
      <c r="AL207" s="176"/>
      <c r="AM207" s="176"/>
      <c r="AN207" s="176"/>
      <c r="AO207" s="176"/>
      <c r="AP207" s="176"/>
      <c r="AQ207" s="176"/>
      <c r="AR207" s="176"/>
      <c r="AS207" s="176"/>
      <c r="AT207" s="176"/>
      <c r="AU207" s="176"/>
      <c r="AV207" s="176"/>
      <c r="AW207" s="176"/>
      <c r="AX207" s="176"/>
      <c r="AY207" s="176"/>
      <c r="AZ207" s="176"/>
      <c r="BA207" s="176"/>
      <c r="BB207" s="176"/>
      <c r="BC207" s="176"/>
      <c r="BD207" s="176"/>
      <c r="BE207" s="176"/>
      <c r="BF207" s="176"/>
      <c r="BG207" s="176"/>
      <c r="BH207" s="176"/>
      <c r="BI207" s="176"/>
      <c r="BJ207" s="176"/>
      <c r="BK207" s="176"/>
      <c r="BL207" s="176"/>
      <c r="BM207" s="176"/>
      <c r="BN207" s="176"/>
      <c r="BO207" s="176"/>
    </row>
    <row r="208" spans="1:67" s="36" customFormat="1" ht="10.5" customHeight="1" x14ac:dyDescent="0.2">
      <c r="A208" s="1359" t="s">
        <v>327</v>
      </c>
      <c r="B208" s="2743"/>
      <c r="C208" s="2744"/>
      <c r="D208" s="2745"/>
      <c r="E208" s="2746"/>
      <c r="F208" s="2788"/>
      <c r="G208" s="1056">
        <v>30</v>
      </c>
      <c r="H208" s="1057"/>
      <c r="I208" s="1079">
        <f t="shared" ref="I208:I221" si="48">IF($O208&gt;0,-PMT(($I$9),$O208,1),0)</f>
        <v>4.6199342169092869E-2</v>
      </c>
      <c r="J208" s="1080">
        <f t="shared" ref="J208:J220" si="49">ROUND(E208*I208,0)</f>
        <v>0</v>
      </c>
      <c r="K208" s="1060">
        <v>0.5</v>
      </c>
      <c r="L208" s="1304"/>
      <c r="M208" s="1085">
        <f t="shared" ref="M208:M221" si="50">ROUND(E208/100*IF(ISBLANK(L208),K208,L208),0)</f>
        <v>0</v>
      </c>
      <c r="N208" s="506"/>
      <c r="O208" s="365">
        <f t="shared" ref="O208:O221" si="51">IF(ISBLANK(H208),G208,H208)</f>
        <v>30</v>
      </c>
      <c r="P208" s="366"/>
      <c r="Q208" s="135"/>
      <c r="R208" s="136"/>
      <c r="S208" s="129"/>
      <c r="T208" s="129"/>
      <c r="U208" s="129"/>
      <c r="V208" s="129"/>
      <c r="W208" s="129"/>
      <c r="X208" s="129"/>
      <c r="Y208" s="129"/>
      <c r="Z208" s="133"/>
      <c r="AA208" s="133"/>
      <c r="AB208" s="133"/>
      <c r="AC208" s="133"/>
      <c r="AD208" s="133"/>
      <c r="AE208" s="133"/>
      <c r="AF208" s="222"/>
      <c r="AG208" s="222"/>
      <c r="AH208" s="222"/>
      <c r="AI208" s="176"/>
      <c r="AJ208" s="176"/>
      <c r="AK208" s="176"/>
      <c r="AL208" s="176"/>
      <c r="AM208" s="176"/>
      <c r="AN208" s="176"/>
      <c r="AO208" s="176"/>
      <c r="AP208" s="176"/>
      <c r="AQ208" s="176"/>
      <c r="AR208" s="176"/>
      <c r="AS208" s="176"/>
      <c r="AT208" s="176"/>
      <c r="AU208" s="176"/>
      <c r="AV208" s="176"/>
      <c r="AW208" s="176"/>
      <c r="AX208" s="176"/>
      <c r="AY208" s="176"/>
      <c r="AZ208" s="176"/>
      <c r="BA208" s="176"/>
      <c r="BB208" s="176"/>
      <c r="BC208" s="176"/>
      <c r="BD208" s="176"/>
      <c r="BE208" s="176"/>
      <c r="BF208" s="176"/>
      <c r="BG208" s="176"/>
      <c r="BH208" s="176"/>
      <c r="BI208" s="176"/>
      <c r="BJ208" s="176"/>
      <c r="BK208" s="176"/>
      <c r="BL208" s="176"/>
      <c r="BM208" s="176"/>
      <c r="BN208" s="176"/>
      <c r="BO208" s="176"/>
    </row>
    <row r="209" spans="1:67" s="36" customFormat="1" ht="10.5" customHeight="1" x14ac:dyDescent="0.2">
      <c r="A209" s="1043" t="s">
        <v>328</v>
      </c>
      <c r="B209" s="2594"/>
      <c r="C209" s="2595"/>
      <c r="D209" s="2596"/>
      <c r="E209" s="2395"/>
      <c r="F209" s="2789"/>
      <c r="G209" s="1058">
        <v>30</v>
      </c>
      <c r="H209" s="1059"/>
      <c r="I209" s="1081">
        <f t="shared" si="48"/>
        <v>4.6199342169092869E-2</v>
      </c>
      <c r="J209" s="1082">
        <f t="shared" si="49"/>
        <v>0</v>
      </c>
      <c r="K209" s="1061">
        <v>1.5</v>
      </c>
      <c r="L209" s="1305"/>
      <c r="M209" s="1086">
        <f t="shared" si="50"/>
        <v>0</v>
      </c>
      <c r="N209" s="506"/>
      <c r="O209" s="365">
        <f t="shared" si="51"/>
        <v>30</v>
      </c>
      <c r="P209" s="366"/>
      <c r="Q209" s="135"/>
      <c r="R209" s="136"/>
      <c r="S209" s="129"/>
      <c r="T209" s="129"/>
      <c r="U209" s="129"/>
      <c r="V209" s="129"/>
      <c r="W209" s="129"/>
      <c r="X209" s="129"/>
      <c r="Y209" s="129"/>
      <c r="Z209" s="133"/>
      <c r="AA209" s="133"/>
      <c r="AB209" s="133"/>
      <c r="AC209" s="133"/>
      <c r="AD209" s="133"/>
      <c r="AE209" s="133"/>
      <c r="AF209" s="222"/>
      <c r="AG209" s="222"/>
      <c r="AH209" s="222"/>
      <c r="AI209" s="176"/>
      <c r="AJ209" s="176"/>
      <c r="AK209" s="176"/>
      <c r="AL209" s="176"/>
      <c r="AM209" s="176"/>
      <c r="AN209" s="176"/>
      <c r="AO209" s="176"/>
      <c r="AP209" s="176"/>
      <c r="AQ209" s="176"/>
      <c r="AR209" s="176"/>
      <c r="AS209" s="176"/>
      <c r="AT209" s="176"/>
      <c r="AU209" s="176"/>
      <c r="AV209" s="176"/>
      <c r="AW209" s="176"/>
      <c r="AX209" s="176"/>
      <c r="AY209" s="176"/>
      <c r="AZ209" s="176"/>
      <c r="BA209" s="176"/>
      <c r="BB209" s="176"/>
      <c r="BC209" s="176"/>
      <c r="BD209" s="176"/>
      <c r="BE209" s="176"/>
      <c r="BF209" s="176"/>
      <c r="BG209" s="176"/>
      <c r="BH209" s="176"/>
      <c r="BI209" s="176"/>
      <c r="BJ209" s="176"/>
      <c r="BK209" s="176"/>
      <c r="BL209" s="176"/>
      <c r="BM209" s="176"/>
      <c r="BN209" s="176"/>
      <c r="BO209" s="176"/>
    </row>
    <row r="210" spans="1:67" s="36" customFormat="1" ht="10.5" customHeight="1" x14ac:dyDescent="0.2">
      <c r="A210" s="1043" t="s">
        <v>329</v>
      </c>
      <c r="B210" s="2594"/>
      <c r="C210" s="2595"/>
      <c r="D210" s="2596"/>
      <c r="E210" s="2395"/>
      <c r="F210" s="2789"/>
      <c r="G210" s="1058">
        <v>30</v>
      </c>
      <c r="H210" s="1059"/>
      <c r="I210" s="1081">
        <f t="shared" si="48"/>
        <v>4.6199342169092869E-2</v>
      </c>
      <c r="J210" s="1082">
        <f t="shared" si="49"/>
        <v>0</v>
      </c>
      <c r="K210" s="1061">
        <v>1.5</v>
      </c>
      <c r="L210" s="1305"/>
      <c r="M210" s="1086">
        <f t="shared" si="50"/>
        <v>0</v>
      </c>
      <c r="N210" s="506"/>
      <c r="O210" s="365">
        <f t="shared" si="51"/>
        <v>30</v>
      </c>
      <c r="P210" s="366"/>
      <c r="Q210" s="135"/>
      <c r="R210" s="136"/>
      <c r="S210" s="129"/>
      <c r="T210" s="129"/>
      <c r="U210" s="129"/>
      <c r="V210" s="129"/>
      <c r="W210" s="129"/>
      <c r="X210" s="129"/>
      <c r="Y210" s="129"/>
      <c r="Z210" s="133"/>
      <c r="AA210" s="133"/>
      <c r="AB210" s="133"/>
      <c r="AC210" s="133"/>
      <c r="AD210" s="133"/>
      <c r="AE210" s="133"/>
      <c r="AF210" s="222"/>
      <c r="AG210" s="222"/>
      <c r="AH210" s="222"/>
      <c r="AI210" s="176"/>
      <c r="AJ210" s="176"/>
      <c r="AK210" s="176"/>
      <c r="AL210" s="176"/>
      <c r="AM210" s="176"/>
      <c r="AN210" s="176"/>
      <c r="AO210" s="176"/>
      <c r="AP210" s="176"/>
      <c r="AQ210" s="176"/>
      <c r="AR210" s="176"/>
      <c r="AS210" s="176"/>
      <c r="AT210" s="176"/>
      <c r="AU210" s="176"/>
      <c r="AV210" s="176"/>
      <c r="AW210" s="176"/>
      <c r="AX210" s="176"/>
      <c r="AY210" s="176"/>
      <c r="AZ210" s="176"/>
      <c r="BA210" s="176"/>
      <c r="BB210" s="176"/>
      <c r="BC210" s="176"/>
      <c r="BD210" s="176"/>
      <c r="BE210" s="176"/>
      <c r="BF210" s="176"/>
      <c r="BG210" s="176"/>
      <c r="BH210" s="176"/>
      <c r="BI210" s="176"/>
      <c r="BJ210" s="176"/>
      <c r="BK210" s="176"/>
      <c r="BL210" s="176"/>
      <c r="BM210" s="176"/>
      <c r="BN210" s="176"/>
      <c r="BO210" s="176"/>
    </row>
    <row r="211" spans="1:67" s="36" customFormat="1" ht="10.5" customHeight="1" x14ac:dyDescent="0.2">
      <c r="A211" s="1043" t="s">
        <v>400</v>
      </c>
      <c r="B211" s="2594"/>
      <c r="C211" s="2595"/>
      <c r="D211" s="2596"/>
      <c r="E211" s="2395"/>
      <c r="F211" s="2789"/>
      <c r="G211" s="1058">
        <v>30</v>
      </c>
      <c r="H211" s="1059"/>
      <c r="I211" s="1081">
        <f t="shared" si="48"/>
        <v>4.6199342169092869E-2</v>
      </c>
      <c r="J211" s="1082">
        <f t="shared" si="49"/>
        <v>0</v>
      </c>
      <c r="K211" s="1061">
        <v>1.5</v>
      </c>
      <c r="L211" s="1305"/>
      <c r="M211" s="1086">
        <f t="shared" si="50"/>
        <v>0</v>
      </c>
      <c r="N211" s="506"/>
      <c r="O211" s="365">
        <f t="shared" si="51"/>
        <v>30</v>
      </c>
      <c r="P211" s="366"/>
      <c r="Q211" s="135"/>
      <c r="R211" s="136"/>
      <c r="S211" s="129"/>
      <c r="T211" s="129"/>
      <c r="U211" s="129"/>
      <c r="V211" s="129"/>
      <c r="W211" s="129"/>
      <c r="X211" s="129"/>
      <c r="Y211" s="129"/>
      <c r="Z211" s="133"/>
      <c r="AA211" s="133"/>
      <c r="AB211" s="133"/>
      <c r="AC211" s="133"/>
      <c r="AD211" s="133"/>
      <c r="AE211" s="133"/>
      <c r="AF211" s="222"/>
      <c r="AG211" s="222"/>
      <c r="AH211" s="222"/>
      <c r="AI211" s="176"/>
      <c r="AJ211" s="176"/>
      <c r="AK211" s="176"/>
      <c r="AL211" s="176"/>
      <c r="AM211" s="176"/>
      <c r="AN211" s="176"/>
      <c r="AO211" s="176"/>
      <c r="AP211" s="176"/>
      <c r="AQ211" s="176"/>
      <c r="AR211" s="176"/>
      <c r="AS211" s="176"/>
      <c r="AT211" s="176"/>
      <c r="AU211" s="176"/>
      <c r="AV211" s="176"/>
      <c r="AW211" s="176"/>
      <c r="AX211" s="176"/>
      <c r="AY211" s="176"/>
      <c r="AZ211" s="176"/>
      <c r="BA211" s="176"/>
      <c r="BB211" s="176"/>
      <c r="BC211" s="176"/>
      <c r="BD211" s="176"/>
      <c r="BE211" s="176"/>
      <c r="BF211" s="176"/>
      <c r="BG211" s="176"/>
      <c r="BH211" s="176"/>
      <c r="BI211" s="176"/>
      <c r="BJ211" s="176"/>
      <c r="BK211" s="176"/>
      <c r="BL211" s="176"/>
      <c r="BM211" s="176"/>
      <c r="BN211" s="176"/>
      <c r="BO211" s="176"/>
    </row>
    <row r="212" spans="1:67" s="36" customFormat="1" ht="10.5" customHeight="1" x14ac:dyDescent="0.2">
      <c r="A212" s="1043" t="s">
        <v>401</v>
      </c>
      <c r="B212" s="2594"/>
      <c r="C212" s="2595"/>
      <c r="D212" s="2596"/>
      <c r="E212" s="2395"/>
      <c r="F212" s="2789"/>
      <c r="G212" s="1058">
        <v>30</v>
      </c>
      <c r="H212" s="1059"/>
      <c r="I212" s="1081">
        <f t="shared" si="48"/>
        <v>4.6199342169092869E-2</v>
      </c>
      <c r="J212" s="1082">
        <f t="shared" si="49"/>
        <v>0</v>
      </c>
      <c r="K212" s="1061">
        <v>1.5</v>
      </c>
      <c r="L212" s="1305"/>
      <c r="M212" s="1086">
        <f t="shared" si="50"/>
        <v>0</v>
      </c>
      <c r="N212" s="506"/>
      <c r="O212" s="365">
        <f t="shared" si="51"/>
        <v>30</v>
      </c>
      <c r="P212" s="366"/>
      <c r="Q212" s="135"/>
      <c r="R212" s="136"/>
      <c r="S212" s="129"/>
      <c r="T212" s="129"/>
      <c r="U212" s="129"/>
      <c r="V212" s="129"/>
      <c r="W212" s="129"/>
      <c r="X212" s="129"/>
      <c r="Y212" s="129"/>
      <c r="Z212" s="133"/>
      <c r="AA212" s="133"/>
      <c r="AB212" s="133"/>
      <c r="AC212" s="133"/>
      <c r="AD212" s="133"/>
      <c r="AE212" s="133"/>
      <c r="AF212" s="222"/>
      <c r="AG212" s="222"/>
      <c r="AH212" s="222"/>
      <c r="AI212" s="176"/>
      <c r="AJ212" s="176"/>
      <c r="AK212" s="176"/>
      <c r="AL212" s="176"/>
      <c r="AM212" s="176"/>
      <c r="AN212" s="176"/>
      <c r="AO212" s="176"/>
      <c r="AP212" s="176"/>
      <c r="AQ212" s="176"/>
      <c r="AR212" s="176"/>
      <c r="AS212" s="176"/>
      <c r="AT212" s="176"/>
      <c r="AU212" s="176"/>
      <c r="AV212" s="176"/>
      <c r="AW212" s="176"/>
      <c r="AX212" s="176"/>
      <c r="AY212" s="176"/>
      <c r="AZ212" s="176"/>
      <c r="BA212" s="176"/>
      <c r="BB212" s="176"/>
      <c r="BC212" s="176"/>
      <c r="BD212" s="176"/>
      <c r="BE212" s="176"/>
      <c r="BF212" s="176"/>
      <c r="BG212" s="176"/>
      <c r="BH212" s="176"/>
      <c r="BI212" s="176"/>
      <c r="BJ212" s="176"/>
      <c r="BK212" s="176"/>
      <c r="BL212" s="176"/>
      <c r="BM212" s="176"/>
      <c r="BN212" s="176"/>
      <c r="BO212" s="176"/>
    </row>
    <row r="213" spans="1:67" s="36" customFormat="1" ht="10.5" customHeight="1" x14ac:dyDescent="0.2">
      <c r="A213" s="1055"/>
      <c r="B213" s="2594"/>
      <c r="C213" s="2595"/>
      <c r="D213" s="2596"/>
      <c r="E213" s="2395"/>
      <c r="F213" s="2396"/>
      <c r="G213" s="2590"/>
      <c r="H213" s="2591"/>
      <c r="I213" s="1081">
        <f t="shared" si="48"/>
        <v>0</v>
      </c>
      <c r="J213" s="1082">
        <f t="shared" si="49"/>
        <v>0</v>
      </c>
      <c r="K213" s="2588"/>
      <c r="L213" s="2589"/>
      <c r="M213" s="1086">
        <f t="shared" si="50"/>
        <v>0</v>
      </c>
      <c r="N213" s="506"/>
      <c r="O213" s="365">
        <f t="shared" si="51"/>
        <v>0</v>
      </c>
      <c r="P213" s="366"/>
      <c r="Q213" s="135"/>
      <c r="R213" s="136"/>
      <c r="S213" s="129"/>
      <c r="T213" s="129"/>
      <c r="U213" s="129"/>
      <c r="V213" s="129"/>
      <c r="W213" s="129"/>
      <c r="X213" s="129"/>
      <c r="Y213" s="129"/>
      <c r="Z213" s="133"/>
      <c r="AA213" s="133"/>
      <c r="AB213" s="133"/>
      <c r="AC213" s="133"/>
      <c r="AD213" s="133"/>
      <c r="AE213" s="133"/>
      <c r="AF213" s="222"/>
      <c r="AG213" s="222"/>
      <c r="AH213" s="222"/>
      <c r="AI213" s="176"/>
      <c r="AJ213" s="176"/>
      <c r="AK213" s="176"/>
      <c r="AL213" s="176"/>
      <c r="AM213" s="176"/>
      <c r="AN213" s="176"/>
      <c r="AO213" s="176"/>
      <c r="AP213" s="176"/>
      <c r="AQ213" s="176"/>
      <c r="AR213" s="176"/>
      <c r="AS213" s="176"/>
      <c r="AT213" s="176"/>
      <c r="AU213" s="176"/>
      <c r="AV213" s="176"/>
      <c r="AW213" s="176"/>
      <c r="AX213" s="176"/>
      <c r="AY213" s="176"/>
      <c r="AZ213" s="176"/>
      <c r="BA213" s="176"/>
      <c r="BB213" s="176"/>
      <c r="BC213" s="176"/>
      <c r="BD213" s="176"/>
      <c r="BE213" s="176"/>
      <c r="BF213" s="176"/>
      <c r="BG213" s="176"/>
      <c r="BH213" s="176"/>
      <c r="BI213" s="176"/>
      <c r="BJ213" s="176"/>
      <c r="BK213" s="176"/>
      <c r="BL213" s="176"/>
      <c r="BM213" s="176"/>
      <c r="BN213" s="176"/>
      <c r="BO213" s="176"/>
    </row>
    <row r="214" spans="1:67" s="36" customFormat="1" ht="10.5" customHeight="1" x14ac:dyDescent="0.2">
      <c r="A214" s="1055"/>
      <c r="B214" s="2594"/>
      <c r="C214" s="2595"/>
      <c r="D214" s="2596"/>
      <c r="E214" s="2395"/>
      <c r="F214" s="2396"/>
      <c r="G214" s="2590"/>
      <c r="H214" s="2591"/>
      <c r="I214" s="1081">
        <f t="shared" si="48"/>
        <v>0</v>
      </c>
      <c r="J214" s="1082">
        <f t="shared" si="49"/>
        <v>0</v>
      </c>
      <c r="K214" s="2588"/>
      <c r="L214" s="2589"/>
      <c r="M214" s="1086">
        <f t="shared" si="50"/>
        <v>0</v>
      </c>
      <c r="N214" s="506"/>
      <c r="O214" s="365">
        <f t="shared" si="51"/>
        <v>0</v>
      </c>
      <c r="P214" s="366"/>
      <c r="Q214" s="135"/>
      <c r="R214" s="136"/>
      <c r="S214" s="129"/>
      <c r="T214" s="129"/>
      <c r="U214" s="129"/>
      <c r="V214" s="129"/>
      <c r="W214" s="129"/>
      <c r="X214" s="129"/>
      <c r="Y214" s="129"/>
      <c r="Z214" s="133"/>
      <c r="AA214" s="133"/>
      <c r="AB214" s="133"/>
      <c r="AC214" s="133"/>
      <c r="AD214" s="133"/>
      <c r="AE214" s="133"/>
      <c r="AF214" s="222"/>
      <c r="AG214" s="222"/>
      <c r="AH214" s="222"/>
      <c r="AI214" s="176"/>
      <c r="AJ214" s="176"/>
      <c r="AK214" s="176"/>
      <c r="AL214" s="176"/>
      <c r="AM214" s="176"/>
      <c r="AN214" s="176"/>
      <c r="AO214" s="176"/>
      <c r="AP214" s="176"/>
      <c r="AQ214" s="176"/>
      <c r="AR214" s="176"/>
      <c r="AS214" s="176"/>
      <c r="AT214" s="176"/>
      <c r="AU214" s="176"/>
      <c r="AV214" s="176"/>
      <c r="AW214" s="176"/>
      <c r="AX214" s="176"/>
      <c r="AY214" s="176"/>
      <c r="AZ214" s="176"/>
      <c r="BA214" s="176"/>
      <c r="BB214" s="176"/>
      <c r="BC214" s="176"/>
      <c r="BD214" s="176"/>
      <c r="BE214" s="176"/>
      <c r="BF214" s="176"/>
      <c r="BG214" s="176"/>
      <c r="BH214" s="176"/>
      <c r="BI214" s="176"/>
      <c r="BJ214" s="176"/>
      <c r="BK214" s="176"/>
      <c r="BL214" s="176"/>
      <c r="BM214" s="176"/>
      <c r="BN214" s="176"/>
      <c r="BO214" s="176"/>
    </row>
    <row r="215" spans="1:67" s="36" customFormat="1" ht="10.5" customHeight="1" x14ac:dyDescent="0.2">
      <c r="A215" s="1055"/>
      <c r="B215" s="2594"/>
      <c r="C215" s="2595"/>
      <c r="D215" s="2596"/>
      <c r="E215" s="2395"/>
      <c r="F215" s="2396"/>
      <c r="G215" s="2590"/>
      <c r="H215" s="2591"/>
      <c r="I215" s="1081">
        <f t="shared" si="48"/>
        <v>0</v>
      </c>
      <c r="J215" s="1082">
        <f t="shared" si="49"/>
        <v>0</v>
      </c>
      <c r="K215" s="2588"/>
      <c r="L215" s="2589"/>
      <c r="M215" s="1086">
        <f t="shared" si="50"/>
        <v>0</v>
      </c>
      <c r="N215" s="506"/>
      <c r="O215" s="365">
        <f t="shared" si="51"/>
        <v>0</v>
      </c>
      <c r="P215" s="366"/>
      <c r="Q215" s="135"/>
      <c r="R215" s="136"/>
      <c r="S215" s="129"/>
      <c r="T215" s="129"/>
      <c r="U215" s="129"/>
      <c r="V215" s="129"/>
      <c r="W215" s="129"/>
      <c r="X215" s="129"/>
      <c r="Y215" s="129"/>
      <c r="Z215" s="133"/>
      <c r="AA215" s="133"/>
      <c r="AB215" s="133"/>
      <c r="AC215" s="133"/>
      <c r="AD215" s="133"/>
      <c r="AE215" s="133"/>
      <c r="AF215" s="222"/>
      <c r="AG215" s="222"/>
      <c r="AH215" s="222"/>
      <c r="AI215" s="176"/>
      <c r="AJ215" s="176"/>
      <c r="AK215" s="176"/>
      <c r="AL215" s="176"/>
      <c r="AM215" s="176"/>
      <c r="AN215" s="176"/>
      <c r="AO215" s="176"/>
      <c r="AP215" s="176"/>
      <c r="AQ215" s="176"/>
      <c r="AR215" s="176"/>
      <c r="AS215" s="176"/>
      <c r="AT215" s="176"/>
      <c r="AU215" s="176"/>
      <c r="AV215" s="176"/>
      <c r="AW215" s="176"/>
      <c r="AX215" s="176"/>
      <c r="AY215" s="176"/>
      <c r="AZ215" s="176"/>
      <c r="BA215" s="176"/>
      <c r="BB215" s="176"/>
      <c r="BC215" s="176"/>
      <c r="BD215" s="176"/>
      <c r="BE215" s="176"/>
      <c r="BF215" s="176"/>
      <c r="BG215" s="176"/>
      <c r="BH215" s="176"/>
      <c r="BI215" s="176"/>
      <c r="BJ215" s="176"/>
      <c r="BK215" s="176"/>
      <c r="BL215" s="176"/>
      <c r="BM215" s="176"/>
      <c r="BN215" s="176"/>
      <c r="BO215" s="176"/>
    </row>
    <row r="216" spans="1:67" s="36" customFormat="1" ht="10.5" customHeight="1" x14ac:dyDescent="0.2">
      <c r="A216" s="1055"/>
      <c r="B216" s="2594"/>
      <c r="C216" s="2595"/>
      <c r="D216" s="2596"/>
      <c r="E216" s="2395"/>
      <c r="F216" s="2396"/>
      <c r="G216" s="2590"/>
      <c r="H216" s="2591"/>
      <c r="I216" s="1081">
        <f t="shared" si="48"/>
        <v>0</v>
      </c>
      <c r="J216" s="1082">
        <f t="shared" si="49"/>
        <v>0</v>
      </c>
      <c r="K216" s="2588"/>
      <c r="L216" s="2589"/>
      <c r="M216" s="1086">
        <f t="shared" si="50"/>
        <v>0</v>
      </c>
      <c r="N216" s="506"/>
      <c r="O216" s="365">
        <f t="shared" si="51"/>
        <v>0</v>
      </c>
      <c r="P216" s="366"/>
      <c r="Q216" s="135"/>
      <c r="R216" s="136"/>
      <c r="S216" s="129"/>
      <c r="T216" s="129"/>
      <c r="U216" s="129"/>
      <c r="V216" s="129"/>
      <c r="W216" s="129"/>
      <c r="X216" s="129"/>
      <c r="Y216" s="129"/>
      <c r="Z216" s="133"/>
      <c r="AA216" s="133"/>
      <c r="AB216" s="133"/>
      <c r="AC216" s="133"/>
      <c r="AD216" s="133"/>
      <c r="AE216" s="133"/>
      <c r="AF216" s="222"/>
      <c r="AG216" s="222"/>
      <c r="AH216" s="222"/>
      <c r="AI216" s="176"/>
      <c r="AJ216" s="176"/>
      <c r="AK216" s="176"/>
      <c r="AL216" s="176"/>
      <c r="AM216" s="176"/>
      <c r="AN216" s="176"/>
      <c r="AO216" s="176"/>
      <c r="AP216" s="176"/>
      <c r="AQ216" s="176"/>
      <c r="AR216" s="176"/>
      <c r="AS216" s="176"/>
      <c r="AT216" s="176"/>
      <c r="AU216" s="176"/>
      <c r="AV216" s="176"/>
      <c r="AW216" s="176"/>
      <c r="AX216" s="176"/>
      <c r="AY216" s="176"/>
      <c r="AZ216" s="176"/>
      <c r="BA216" s="176"/>
      <c r="BB216" s="176"/>
      <c r="BC216" s="176"/>
      <c r="BD216" s="176"/>
      <c r="BE216" s="176"/>
      <c r="BF216" s="176"/>
      <c r="BG216" s="176"/>
      <c r="BH216" s="176"/>
      <c r="BI216" s="176"/>
      <c r="BJ216" s="176"/>
      <c r="BK216" s="176"/>
      <c r="BL216" s="176"/>
      <c r="BM216" s="176"/>
      <c r="BN216" s="176"/>
      <c r="BO216" s="176"/>
    </row>
    <row r="217" spans="1:67" s="36" customFormat="1" ht="10.5" customHeight="1" x14ac:dyDescent="0.2">
      <c r="A217" s="1055"/>
      <c r="B217" s="2594"/>
      <c r="C217" s="2595"/>
      <c r="D217" s="2596"/>
      <c r="E217" s="2395"/>
      <c r="F217" s="2396"/>
      <c r="G217" s="2590"/>
      <c r="H217" s="2591"/>
      <c r="I217" s="1081">
        <f t="shared" si="48"/>
        <v>0</v>
      </c>
      <c r="J217" s="1082">
        <f t="shared" si="49"/>
        <v>0</v>
      </c>
      <c r="K217" s="2588"/>
      <c r="L217" s="2589"/>
      <c r="M217" s="1086">
        <f t="shared" si="50"/>
        <v>0</v>
      </c>
      <c r="N217" s="506"/>
      <c r="O217" s="365">
        <f t="shared" si="51"/>
        <v>0</v>
      </c>
      <c r="P217" s="366"/>
      <c r="Q217" s="135"/>
      <c r="R217" s="136"/>
      <c r="S217" s="129"/>
      <c r="T217" s="129"/>
      <c r="U217" s="129"/>
      <c r="V217" s="129"/>
      <c r="W217" s="129"/>
      <c r="X217" s="129"/>
      <c r="Y217" s="129"/>
      <c r="Z217" s="133"/>
      <c r="AA217" s="133"/>
      <c r="AB217" s="133"/>
      <c r="AC217" s="133"/>
      <c r="AD217" s="133"/>
      <c r="AE217" s="133"/>
      <c r="AF217" s="222"/>
      <c r="AG217" s="222"/>
      <c r="AH217" s="222"/>
      <c r="AI217" s="176"/>
      <c r="AJ217" s="176"/>
      <c r="AK217" s="176"/>
      <c r="AL217" s="176"/>
      <c r="AM217" s="176"/>
      <c r="AN217" s="176"/>
      <c r="AO217" s="176"/>
      <c r="AP217" s="176"/>
      <c r="AQ217" s="176"/>
      <c r="AR217" s="176"/>
      <c r="AS217" s="176"/>
      <c r="AT217" s="176"/>
      <c r="AU217" s="176"/>
      <c r="AV217" s="176"/>
      <c r="AW217" s="176"/>
      <c r="AX217" s="176"/>
      <c r="AY217" s="176"/>
      <c r="AZ217" s="176"/>
      <c r="BA217" s="176"/>
      <c r="BB217" s="176"/>
      <c r="BC217" s="176"/>
      <c r="BD217" s="176"/>
      <c r="BE217" s="176"/>
      <c r="BF217" s="176"/>
      <c r="BG217" s="176"/>
      <c r="BH217" s="176"/>
      <c r="BI217" s="176"/>
      <c r="BJ217" s="176"/>
      <c r="BK217" s="176"/>
      <c r="BL217" s="176"/>
      <c r="BM217" s="176"/>
      <c r="BN217" s="176"/>
      <c r="BO217" s="176"/>
    </row>
    <row r="218" spans="1:67" s="36" customFormat="1" ht="10.5" customHeight="1" x14ac:dyDescent="0.2">
      <c r="A218" s="1055"/>
      <c r="B218" s="2594"/>
      <c r="C218" s="2595"/>
      <c r="D218" s="2596"/>
      <c r="E218" s="2395"/>
      <c r="F218" s="2396"/>
      <c r="G218" s="2590"/>
      <c r="H218" s="2591"/>
      <c r="I218" s="1081">
        <f t="shared" si="48"/>
        <v>0</v>
      </c>
      <c r="J218" s="1082">
        <f t="shared" si="49"/>
        <v>0</v>
      </c>
      <c r="K218" s="2588"/>
      <c r="L218" s="2589"/>
      <c r="M218" s="1086">
        <f t="shared" si="50"/>
        <v>0</v>
      </c>
      <c r="N218" s="506"/>
      <c r="O218" s="365">
        <f t="shared" si="51"/>
        <v>0</v>
      </c>
      <c r="P218" s="366"/>
      <c r="Q218" s="135"/>
      <c r="R218" s="136"/>
      <c r="S218" s="129"/>
      <c r="T218" s="129"/>
      <c r="U218" s="129"/>
      <c r="V218" s="129"/>
      <c r="W218" s="129"/>
      <c r="X218" s="129"/>
      <c r="Y218" s="129"/>
      <c r="Z218" s="133"/>
      <c r="AA218" s="133"/>
      <c r="AB218" s="133"/>
      <c r="AC218" s="133"/>
      <c r="AD218" s="133"/>
      <c r="AE218" s="133"/>
      <c r="AF218" s="222"/>
      <c r="AG218" s="222"/>
      <c r="AH218" s="222"/>
      <c r="AI218" s="176"/>
      <c r="AJ218" s="176"/>
      <c r="AK218" s="176"/>
      <c r="AL218" s="176"/>
      <c r="AM218" s="176"/>
      <c r="AN218" s="176"/>
      <c r="AO218" s="176"/>
      <c r="AP218" s="176"/>
      <c r="AQ218" s="176"/>
      <c r="AR218" s="176"/>
      <c r="AS218" s="176"/>
      <c r="AT218" s="176"/>
      <c r="AU218" s="176"/>
      <c r="AV218" s="176"/>
      <c r="AW218" s="176"/>
      <c r="AX218" s="176"/>
      <c r="AY218" s="176"/>
      <c r="AZ218" s="176"/>
      <c r="BA218" s="176"/>
      <c r="BB218" s="176"/>
      <c r="BC218" s="176"/>
      <c r="BD218" s="176"/>
      <c r="BE218" s="176"/>
      <c r="BF218" s="176"/>
      <c r="BG218" s="176"/>
      <c r="BH218" s="176"/>
      <c r="BI218" s="176"/>
      <c r="BJ218" s="176"/>
      <c r="BK218" s="176"/>
      <c r="BL218" s="176"/>
      <c r="BM218" s="176"/>
      <c r="BN218" s="176"/>
      <c r="BO218" s="176"/>
    </row>
    <row r="219" spans="1:67" s="36" customFormat="1" ht="10.5" customHeight="1" x14ac:dyDescent="0.2">
      <c r="A219" s="1055"/>
      <c r="B219" s="2594"/>
      <c r="C219" s="2595"/>
      <c r="D219" s="2596"/>
      <c r="E219" s="2395"/>
      <c r="F219" s="2396"/>
      <c r="G219" s="2590"/>
      <c r="H219" s="2591"/>
      <c r="I219" s="1081">
        <f t="shared" si="48"/>
        <v>0</v>
      </c>
      <c r="J219" s="1082">
        <f t="shared" si="49"/>
        <v>0</v>
      </c>
      <c r="K219" s="2588"/>
      <c r="L219" s="2589"/>
      <c r="M219" s="1086">
        <f t="shared" si="50"/>
        <v>0</v>
      </c>
      <c r="N219" s="506"/>
      <c r="O219" s="365">
        <f t="shared" si="51"/>
        <v>0</v>
      </c>
      <c r="P219" s="366"/>
      <c r="Q219" s="135"/>
      <c r="R219" s="136"/>
      <c r="S219" s="129"/>
      <c r="T219" s="129"/>
      <c r="U219" s="129"/>
      <c r="V219" s="129"/>
      <c r="W219" s="129"/>
      <c r="X219" s="129"/>
      <c r="Y219" s="129"/>
      <c r="Z219" s="133"/>
      <c r="AA219" s="133"/>
      <c r="AB219" s="133"/>
      <c r="AC219" s="133"/>
      <c r="AD219" s="133"/>
      <c r="AE219" s="133"/>
      <c r="AF219" s="222"/>
      <c r="AG219" s="222"/>
      <c r="AH219" s="222"/>
      <c r="AI219" s="176"/>
      <c r="AJ219" s="176"/>
      <c r="AK219" s="176"/>
      <c r="AL219" s="176"/>
      <c r="AM219" s="176"/>
      <c r="AN219" s="176"/>
      <c r="AO219" s="176"/>
      <c r="AP219" s="176"/>
      <c r="AQ219" s="176"/>
      <c r="AR219" s="176"/>
      <c r="AS219" s="176"/>
      <c r="AT219" s="176"/>
      <c r="AU219" s="176"/>
      <c r="AV219" s="176"/>
      <c r="AW219" s="176"/>
      <c r="AX219" s="176"/>
      <c r="AY219" s="176"/>
      <c r="AZ219" s="176"/>
      <c r="BA219" s="176"/>
      <c r="BB219" s="176"/>
      <c r="BC219" s="176"/>
      <c r="BD219" s="176"/>
      <c r="BE219" s="176"/>
      <c r="BF219" s="176"/>
      <c r="BG219" s="176"/>
      <c r="BH219" s="176"/>
      <c r="BI219" s="176"/>
      <c r="BJ219" s="176"/>
      <c r="BK219" s="176"/>
      <c r="BL219" s="176"/>
      <c r="BM219" s="176"/>
      <c r="BN219" s="176"/>
      <c r="BO219" s="176"/>
    </row>
    <row r="220" spans="1:67" s="36" customFormat="1" ht="10.5" customHeight="1" x14ac:dyDescent="0.2">
      <c r="A220" s="1055"/>
      <c r="B220" s="2594"/>
      <c r="C220" s="2595"/>
      <c r="D220" s="2596"/>
      <c r="E220" s="2395"/>
      <c r="F220" s="2396"/>
      <c r="G220" s="2590"/>
      <c r="H220" s="2591"/>
      <c r="I220" s="1081">
        <f t="shared" si="48"/>
        <v>0</v>
      </c>
      <c r="J220" s="1082">
        <f t="shared" si="49"/>
        <v>0</v>
      </c>
      <c r="K220" s="2588"/>
      <c r="L220" s="2589"/>
      <c r="M220" s="1086">
        <f t="shared" si="50"/>
        <v>0</v>
      </c>
      <c r="N220" s="506"/>
      <c r="O220" s="365">
        <f t="shared" si="51"/>
        <v>0</v>
      </c>
      <c r="P220" s="366"/>
      <c r="Q220" s="135"/>
      <c r="R220" s="136"/>
      <c r="S220" s="129"/>
      <c r="T220" s="129"/>
      <c r="U220" s="129"/>
      <c r="V220" s="129"/>
      <c r="W220" s="129"/>
      <c r="X220" s="129"/>
      <c r="Y220" s="129"/>
      <c r="Z220" s="133"/>
      <c r="AA220" s="133"/>
      <c r="AB220" s="133"/>
      <c r="AC220" s="133"/>
      <c r="AD220" s="133"/>
      <c r="AE220" s="133"/>
      <c r="AF220" s="222"/>
      <c r="AG220" s="222"/>
      <c r="AH220" s="222"/>
      <c r="AI220" s="176"/>
      <c r="AJ220" s="176"/>
      <c r="AK220" s="176"/>
      <c r="AL220" s="176"/>
      <c r="AM220" s="176"/>
      <c r="AN220" s="176"/>
      <c r="AO220" s="176"/>
      <c r="AP220" s="176"/>
      <c r="AQ220" s="176"/>
      <c r="AR220" s="176"/>
      <c r="AS220" s="176"/>
      <c r="AT220" s="176"/>
      <c r="AU220" s="176"/>
      <c r="AV220" s="176"/>
      <c r="AW220" s="176"/>
      <c r="AX220" s="176"/>
      <c r="AY220" s="176"/>
      <c r="AZ220" s="176"/>
      <c r="BA220" s="176"/>
      <c r="BB220" s="176"/>
      <c r="BC220" s="176"/>
      <c r="BD220" s="176"/>
      <c r="BE220" s="176"/>
      <c r="BF220" s="176"/>
      <c r="BG220" s="176"/>
      <c r="BH220" s="176"/>
      <c r="BI220" s="176"/>
      <c r="BJ220" s="176"/>
      <c r="BK220" s="176"/>
      <c r="BL220" s="176"/>
      <c r="BM220" s="176"/>
      <c r="BN220" s="176"/>
      <c r="BO220" s="176"/>
    </row>
    <row r="221" spans="1:67" s="36" customFormat="1" ht="10.5" customHeight="1" x14ac:dyDescent="0.2">
      <c r="A221" s="1348"/>
      <c r="B221" s="2690"/>
      <c r="C221" s="2691"/>
      <c r="D221" s="2692"/>
      <c r="E221" s="2601"/>
      <c r="F221" s="2602"/>
      <c r="G221" s="1088"/>
      <c r="H221" s="1089"/>
      <c r="I221" s="1083">
        <f t="shared" si="48"/>
        <v>0</v>
      </c>
      <c r="J221" s="1084"/>
      <c r="K221" s="1087"/>
      <c r="L221" s="1307"/>
      <c r="M221" s="1317">
        <f t="shared" si="50"/>
        <v>0</v>
      </c>
      <c r="N221" s="506"/>
      <c r="O221" s="365">
        <f t="shared" si="51"/>
        <v>0</v>
      </c>
      <c r="P221" s="366"/>
      <c r="Q221" s="135"/>
      <c r="R221" s="136"/>
      <c r="S221" s="129"/>
      <c r="T221" s="129"/>
      <c r="U221" s="129"/>
      <c r="V221" s="129"/>
      <c r="W221" s="129"/>
      <c r="X221" s="129"/>
      <c r="Y221" s="129"/>
      <c r="Z221" s="133"/>
      <c r="AA221" s="133"/>
      <c r="AB221" s="133"/>
      <c r="AC221" s="133"/>
      <c r="AD221" s="133"/>
      <c r="AE221" s="133"/>
      <c r="AF221" s="222"/>
      <c r="AG221" s="222"/>
      <c r="AH221" s="222"/>
      <c r="AI221" s="176"/>
      <c r="AJ221" s="176"/>
      <c r="AK221" s="176"/>
      <c r="AL221" s="176"/>
      <c r="AM221" s="176"/>
      <c r="AN221" s="176"/>
      <c r="AO221" s="176"/>
      <c r="AP221" s="176"/>
      <c r="AQ221" s="176"/>
      <c r="AR221" s="176"/>
      <c r="AS221" s="176"/>
      <c r="AT221" s="176"/>
      <c r="AU221" s="176"/>
      <c r="AV221" s="176"/>
      <c r="AW221" s="176"/>
      <c r="AX221" s="176"/>
      <c r="AY221" s="176"/>
      <c r="AZ221" s="176"/>
      <c r="BA221" s="176"/>
      <c r="BB221" s="176"/>
      <c r="BC221" s="176"/>
      <c r="BD221" s="176"/>
      <c r="BE221" s="176"/>
      <c r="BF221" s="176"/>
      <c r="BG221" s="176"/>
      <c r="BH221" s="176"/>
      <c r="BI221" s="176"/>
      <c r="BJ221" s="176"/>
      <c r="BK221" s="176"/>
      <c r="BL221" s="176"/>
      <c r="BM221" s="176"/>
      <c r="BN221" s="176"/>
      <c r="BO221" s="176"/>
    </row>
    <row r="222" spans="1:67" s="36" customFormat="1" ht="10.5" customHeight="1" x14ac:dyDescent="0.2">
      <c r="A222" s="1115" t="s">
        <v>330</v>
      </c>
      <c r="B222" s="2611"/>
      <c r="C222" s="2612"/>
      <c r="D222" s="2613"/>
      <c r="E222" s="2676">
        <f>SUM(E223:E235)</f>
        <v>0</v>
      </c>
      <c r="F222" s="2677"/>
      <c r="G222" s="2678"/>
      <c r="H222" s="2679"/>
      <c r="I222" s="1116">
        <f>IF(E222=0,0,J222/E222)</f>
        <v>0</v>
      </c>
      <c r="J222" s="1117">
        <f>SUM(J223:J235)</f>
        <v>0</v>
      </c>
      <c r="K222" s="2686">
        <f>IF(E222=0,0,M222/E222*100)</f>
        <v>0</v>
      </c>
      <c r="L222" s="2687"/>
      <c r="M222" s="1118">
        <f>SUM(M223:M235)</f>
        <v>0</v>
      </c>
      <c r="N222" s="506"/>
      <c r="O222" s="178">
        <f>IF(H222="",G222,H222)</f>
        <v>0</v>
      </c>
      <c r="P222" s="366"/>
      <c r="Q222" s="135"/>
      <c r="R222" s="136"/>
      <c r="S222" s="129"/>
      <c r="T222" s="129"/>
      <c r="U222" s="129"/>
      <c r="V222" s="129"/>
      <c r="W222" s="129"/>
      <c r="X222" s="129"/>
      <c r="Y222" s="129"/>
      <c r="Z222" s="133"/>
      <c r="AA222" s="133"/>
      <c r="AB222" s="133"/>
      <c r="AC222" s="133"/>
      <c r="AD222" s="133"/>
      <c r="AE222" s="133"/>
      <c r="AF222" s="222"/>
      <c r="AG222" s="222"/>
      <c r="AH222" s="222"/>
      <c r="AI222" s="176"/>
      <c r="AJ222" s="176"/>
      <c r="AK222" s="176"/>
      <c r="AL222" s="176"/>
      <c r="AM222" s="176"/>
      <c r="AN222" s="176"/>
      <c r="AO222" s="176"/>
      <c r="AP222" s="176"/>
      <c r="AQ222" s="176"/>
      <c r="AR222" s="176"/>
      <c r="AS222" s="176"/>
      <c r="AT222" s="176"/>
      <c r="AU222" s="176"/>
      <c r="AV222" s="176"/>
      <c r="AW222" s="176"/>
      <c r="AX222" s="176"/>
      <c r="AY222" s="176"/>
      <c r="AZ222" s="176"/>
      <c r="BA222" s="176"/>
      <c r="BB222" s="176"/>
      <c r="BC222" s="176"/>
      <c r="BD222" s="176"/>
      <c r="BE222" s="176"/>
      <c r="BF222" s="176"/>
      <c r="BG222" s="176"/>
      <c r="BH222" s="176"/>
      <c r="BI222" s="176"/>
      <c r="BJ222" s="176"/>
      <c r="BK222" s="176"/>
      <c r="BL222" s="176"/>
      <c r="BM222" s="176"/>
      <c r="BN222" s="176"/>
      <c r="BO222" s="176"/>
    </row>
    <row r="223" spans="1:67" s="36" customFormat="1" ht="10.5" customHeight="1" x14ac:dyDescent="0.2">
      <c r="A223" s="1359" t="s">
        <v>331</v>
      </c>
      <c r="B223" s="2743"/>
      <c r="C223" s="2744"/>
      <c r="D223" s="2745"/>
      <c r="E223" s="2746"/>
      <c r="F223" s="2788"/>
      <c r="G223" s="1056">
        <v>30</v>
      </c>
      <c r="H223" s="1057"/>
      <c r="I223" s="1079">
        <f t="shared" ref="I223:I236" si="52">IF($O223&gt;0,-PMT(($I$9),$O223,1),0)</f>
        <v>4.6199342169092869E-2</v>
      </c>
      <c r="J223" s="1080">
        <f t="shared" ref="J223:J235" si="53">ROUND(E223*I223,0)</f>
        <v>0</v>
      </c>
      <c r="K223" s="1060">
        <v>1.5</v>
      </c>
      <c r="L223" s="1304"/>
      <c r="M223" s="1085">
        <f t="shared" ref="M223:M236" si="54">ROUND(E223/100*IF(ISBLANK(L223),K223,L223),0)</f>
        <v>0</v>
      </c>
      <c r="N223" s="506"/>
      <c r="O223" s="365">
        <f t="shared" ref="O223:O236" si="55">IF(ISBLANK(H223),G223,H223)</f>
        <v>30</v>
      </c>
      <c r="P223" s="366"/>
      <c r="Q223" s="135"/>
      <c r="R223" s="136"/>
      <c r="S223" s="129"/>
      <c r="T223" s="129"/>
      <c r="U223" s="129"/>
      <c r="V223" s="129"/>
      <c r="W223" s="129"/>
      <c r="X223" s="129"/>
      <c r="Y223" s="129"/>
      <c r="Z223" s="133"/>
      <c r="AA223" s="133"/>
      <c r="AB223" s="133"/>
      <c r="AC223" s="133"/>
      <c r="AD223" s="133"/>
      <c r="AE223" s="133"/>
      <c r="AF223" s="222"/>
      <c r="AG223" s="222"/>
      <c r="AH223" s="222"/>
      <c r="AI223" s="176"/>
      <c r="AJ223" s="176"/>
      <c r="AK223" s="176"/>
      <c r="AL223" s="176"/>
      <c r="AM223" s="176"/>
      <c r="AN223" s="176"/>
      <c r="AO223" s="176"/>
      <c r="AP223" s="176"/>
      <c r="AQ223" s="176"/>
      <c r="AR223" s="176"/>
      <c r="AS223" s="176"/>
      <c r="AT223" s="176"/>
      <c r="AU223" s="176"/>
      <c r="AV223" s="176"/>
      <c r="AW223" s="176"/>
      <c r="AX223" s="176"/>
      <c r="AY223" s="176"/>
      <c r="AZ223" s="176"/>
      <c r="BA223" s="176"/>
      <c r="BB223" s="176"/>
      <c r="BC223" s="176"/>
      <c r="BD223" s="176"/>
      <c r="BE223" s="176"/>
      <c r="BF223" s="176"/>
      <c r="BG223" s="176"/>
      <c r="BH223" s="176"/>
      <c r="BI223" s="176"/>
      <c r="BJ223" s="176"/>
      <c r="BK223" s="176"/>
      <c r="BL223" s="176"/>
      <c r="BM223" s="176"/>
      <c r="BN223" s="176"/>
      <c r="BO223" s="176"/>
    </row>
    <row r="224" spans="1:67" s="36" customFormat="1" ht="10.5" customHeight="1" x14ac:dyDescent="0.2">
      <c r="A224" s="1043" t="s">
        <v>332</v>
      </c>
      <c r="B224" s="2594"/>
      <c r="C224" s="2595"/>
      <c r="D224" s="2596"/>
      <c r="E224" s="2395"/>
      <c r="F224" s="2789"/>
      <c r="G224" s="1058">
        <v>30</v>
      </c>
      <c r="H224" s="1059"/>
      <c r="I224" s="1081">
        <f t="shared" si="52"/>
        <v>4.6199342169092869E-2</v>
      </c>
      <c r="J224" s="1082">
        <f t="shared" si="53"/>
        <v>0</v>
      </c>
      <c r="K224" s="1061">
        <v>2</v>
      </c>
      <c r="L224" s="1305"/>
      <c r="M224" s="1086">
        <f t="shared" si="54"/>
        <v>0</v>
      </c>
      <c r="N224" s="506"/>
      <c r="O224" s="365">
        <f t="shared" si="55"/>
        <v>30</v>
      </c>
      <c r="P224" s="366"/>
      <c r="Q224" s="135"/>
      <c r="R224" s="136"/>
      <c r="S224" s="129"/>
      <c r="T224" s="129"/>
      <c r="U224" s="129"/>
      <c r="V224" s="129"/>
      <c r="W224" s="129"/>
      <c r="X224" s="129"/>
      <c r="Y224" s="129"/>
      <c r="Z224" s="133"/>
      <c r="AA224" s="133"/>
      <c r="AB224" s="133"/>
      <c r="AC224" s="133"/>
      <c r="AD224" s="133"/>
      <c r="AE224" s="133"/>
      <c r="AF224" s="222"/>
      <c r="AG224" s="222"/>
      <c r="AH224" s="222"/>
      <c r="AI224" s="176"/>
      <c r="AJ224" s="176"/>
      <c r="AK224" s="176"/>
      <c r="AL224" s="176"/>
      <c r="AM224" s="176"/>
      <c r="AN224" s="176"/>
      <c r="AO224" s="176"/>
      <c r="AP224" s="176"/>
      <c r="AQ224" s="176"/>
      <c r="AR224" s="176"/>
      <c r="AS224" s="176"/>
      <c r="AT224" s="176"/>
      <c r="AU224" s="176"/>
      <c r="AV224" s="176"/>
      <c r="AW224" s="176"/>
      <c r="AX224" s="176"/>
      <c r="AY224" s="176"/>
      <c r="AZ224" s="176"/>
      <c r="BA224" s="176"/>
      <c r="BB224" s="176"/>
      <c r="BC224" s="176"/>
      <c r="BD224" s="176"/>
      <c r="BE224" s="176"/>
      <c r="BF224" s="176"/>
      <c r="BG224" s="176"/>
      <c r="BH224" s="176"/>
      <c r="BI224" s="176"/>
      <c r="BJ224" s="176"/>
      <c r="BK224" s="176"/>
      <c r="BL224" s="176"/>
      <c r="BM224" s="176"/>
      <c r="BN224" s="176"/>
      <c r="BO224" s="176"/>
    </row>
    <row r="225" spans="1:67" s="36" customFormat="1" ht="10.5" customHeight="1" x14ac:dyDescent="0.2">
      <c r="A225" s="1043" t="s">
        <v>333</v>
      </c>
      <c r="B225" s="2594"/>
      <c r="C225" s="2595"/>
      <c r="D225" s="2596"/>
      <c r="E225" s="2395"/>
      <c r="F225" s="2789"/>
      <c r="G225" s="1058">
        <v>30</v>
      </c>
      <c r="H225" s="1059"/>
      <c r="I225" s="1081">
        <f t="shared" si="52"/>
        <v>4.6199342169092869E-2</v>
      </c>
      <c r="J225" s="1082">
        <f t="shared" si="53"/>
        <v>0</v>
      </c>
      <c r="K225" s="1061">
        <v>2</v>
      </c>
      <c r="L225" s="1305"/>
      <c r="M225" s="1086">
        <f t="shared" si="54"/>
        <v>0</v>
      </c>
      <c r="N225" s="506"/>
      <c r="O225" s="365">
        <f t="shared" si="55"/>
        <v>30</v>
      </c>
      <c r="P225" s="366"/>
      <c r="Q225" s="135"/>
      <c r="R225" s="136"/>
      <c r="S225" s="129"/>
      <c r="T225" s="129"/>
      <c r="U225" s="129"/>
      <c r="V225" s="129"/>
      <c r="W225" s="129"/>
      <c r="X225" s="129"/>
      <c r="Y225" s="129"/>
      <c r="Z225" s="133"/>
      <c r="AA225" s="133"/>
      <c r="AB225" s="133"/>
      <c r="AC225" s="133"/>
      <c r="AD225" s="133"/>
      <c r="AE225" s="133"/>
      <c r="AF225" s="222"/>
      <c r="AG225" s="222"/>
      <c r="AH225" s="222"/>
      <c r="AI225" s="176"/>
      <c r="AJ225" s="176"/>
      <c r="AK225" s="176"/>
      <c r="AL225" s="176"/>
      <c r="AM225" s="176"/>
      <c r="AN225" s="176"/>
      <c r="AO225" s="176"/>
      <c r="AP225" s="176"/>
      <c r="AQ225" s="176"/>
      <c r="AR225" s="176"/>
      <c r="AS225" s="176"/>
      <c r="AT225" s="176"/>
      <c r="AU225" s="176"/>
      <c r="AV225" s="176"/>
      <c r="AW225" s="176"/>
      <c r="AX225" s="176"/>
      <c r="AY225" s="176"/>
      <c r="AZ225" s="176"/>
      <c r="BA225" s="176"/>
      <c r="BB225" s="176"/>
      <c r="BC225" s="176"/>
      <c r="BD225" s="176"/>
      <c r="BE225" s="176"/>
      <c r="BF225" s="176"/>
      <c r="BG225" s="176"/>
      <c r="BH225" s="176"/>
      <c r="BI225" s="176"/>
      <c r="BJ225" s="176"/>
      <c r="BK225" s="176"/>
      <c r="BL225" s="176"/>
      <c r="BM225" s="176"/>
      <c r="BN225" s="176"/>
      <c r="BO225" s="176"/>
    </row>
    <row r="226" spans="1:67" s="36" customFormat="1" ht="10.5" customHeight="1" x14ac:dyDescent="0.2">
      <c r="A226" s="1043" t="s">
        <v>334</v>
      </c>
      <c r="B226" s="2594"/>
      <c r="C226" s="2595"/>
      <c r="D226" s="2596"/>
      <c r="E226" s="2395"/>
      <c r="F226" s="2789"/>
      <c r="G226" s="1058">
        <v>30</v>
      </c>
      <c r="H226" s="1059"/>
      <c r="I226" s="1081">
        <f t="shared" si="52"/>
        <v>4.6199342169092869E-2</v>
      </c>
      <c r="J226" s="1082">
        <f t="shared" si="53"/>
        <v>0</v>
      </c>
      <c r="K226" s="1061">
        <v>0.5</v>
      </c>
      <c r="L226" s="1305"/>
      <c r="M226" s="1086">
        <f t="shared" si="54"/>
        <v>0</v>
      </c>
      <c r="N226" s="506"/>
      <c r="O226" s="365">
        <f t="shared" si="55"/>
        <v>30</v>
      </c>
      <c r="P226" s="366"/>
      <c r="Q226" s="135"/>
      <c r="R226" s="136"/>
      <c r="S226" s="129"/>
      <c r="T226" s="129"/>
      <c r="U226" s="129"/>
      <c r="V226" s="129"/>
      <c r="W226" s="129"/>
      <c r="X226" s="129"/>
      <c r="Y226" s="129"/>
      <c r="Z226" s="133"/>
      <c r="AA226" s="133"/>
      <c r="AB226" s="133"/>
      <c r="AC226" s="133"/>
      <c r="AD226" s="133"/>
      <c r="AE226" s="133"/>
      <c r="AF226" s="222"/>
      <c r="AG226" s="222"/>
      <c r="AH226" s="222"/>
      <c r="AI226" s="176"/>
      <c r="AJ226" s="176"/>
      <c r="AK226" s="176"/>
      <c r="AL226" s="176"/>
      <c r="AM226" s="176"/>
      <c r="AN226" s="176"/>
      <c r="AO226" s="176"/>
      <c r="AP226" s="176"/>
      <c r="AQ226" s="176"/>
      <c r="AR226" s="176"/>
      <c r="AS226" s="176"/>
      <c r="AT226" s="176"/>
      <c r="AU226" s="176"/>
      <c r="AV226" s="176"/>
      <c r="AW226" s="176"/>
      <c r="AX226" s="176"/>
      <c r="AY226" s="176"/>
      <c r="AZ226" s="176"/>
      <c r="BA226" s="176"/>
      <c r="BB226" s="176"/>
      <c r="BC226" s="176"/>
      <c r="BD226" s="176"/>
      <c r="BE226" s="176"/>
      <c r="BF226" s="176"/>
      <c r="BG226" s="176"/>
      <c r="BH226" s="176"/>
      <c r="BI226" s="176"/>
      <c r="BJ226" s="176"/>
      <c r="BK226" s="176"/>
      <c r="BL226" s="176"/>
      <c r="BM226" s="176"/>
      <c r="BN226" s="176"/>
      <c r="BO226" s="176"/>
    </row>
    <row r="227" spans="1:67" s="36" customFormat="1" ht="10.5" customHeight="1" x14ac:dyDescent="0.2">
      <c r="A227" s="1055"/>
      <c r="B227" s="2594"/>
      <c r="C227" s="2595"/>
      <c r="D227" s="2596"/>
      <c r="E227" s="2395"/>
      <c r="F227" s="2396"/>
      <c r="G227" s="2590"/>
      <c r="H227" s="2591"/>
      <c r="I227" s="1081">
        <f t="shared" si="52"/>
        <v>0</v>
      </c>
      <c r="J227" s="1082">
        <f t="shared" si="53"/>
        <v>0</v>
      </c>
      <c r="K227" s="2588"/>
      <c r="L227" s="2589"/>
      <c r="M227" s="1086">
        <f t="shared" si="54"/>
        <v>0</v>
      </c>
      <c r="N227" s="506"/>
      <c r="O227" s="365">
        <f t="shared" si="55"/>
        <v>0</v>
      </c>
      <c r="P227" s="366"/>
      <c r="Q227" s="135"/>
      <c r="R227" s="136"/>
      <c r="S227" s="129"/>
      <c r="T227" s="129"/>
      <c r="U227" s="129"/>
      <c r="V227" s="129"/>
      <c r="W227" s="129"/>
      <c r="X227" s="129"/>
      <c r="Y227" s="129"/>
      <c r="Z227" s="133"/>
      <c r="AA227" s="133"/>
      <c r="AB227" s="133"/>
      <c r="AC227" s="133"/>
      <c r="AD227" s="133"/>
      <c r="AE227" s="133"/>
      <c r="AF227" s="222"/>
      <c r="AG227" s="222"/>
      <c r="AH227" s="222"/>
      <c r="AI227" s="176"/>
      <c r="AJ227" s="176"/>
      <c r="AK227" s="176"/>
      <c r="AL227" s="176"/>
      <c r="AM227" s="176"/>
      <c r="AN227" s="176"/>
      <c r="AO227" s="176"/>
      <c r="AP227" s="176"/>
      <c r="AQ227" s="176"/>
      <c r="AR227" s="176"/>
      <c r="AS227" s="176"/>
      <c r="AT227" s="176"/>
      <c r="AU227" s="176"/>
      <c r="AV227" s="176"/>
      <c r="AW227" s="176"/>
      <c r="AX227" s="176"/>
      <c r="AY227" s="176"/>
      <c r="AZ227" s="176"/>
      <c r="BA227" s="176"/>
      <c r="BB227" s="176"/>
      <c r="BC227" s="176"/>
      <c r="BD227" s="176"/>
      <c r="BE227" s="176"/>
      <c r="BF227" s="176"/>
      <c r="BG227" s="176"/>
      <c r="BH227" s="176"/>
      <c r="BI227" s="176"/>
      <c r="BJ227" s="176"/>
      <c r="BK227" s="176"/>
      <c r="BL227" s="176"/>
      <c r="BM227" s="176"/>
      <c r="BN227" s="176"/>
      <c r="BO227" s="176"/>
    </row>
    <row r="228" spans="1:67" s="36" customFormat="1" ht="10.5" customHeight="1" x14ac:dyDescent="0.2">
      <c r="A228" s="1055"/>
      <c r="B228" s="2594"/>
      <c r="C228" s="2595"/>
      <c r="D228" s="2596"/>
      <c r="E228" s="2395"/>
      <c r="F228" s="2396"/>
      <c r="G228" s="2590"/>
      <c r="H228" s="2591"/>
      <c r="I228" s="1081">
        <f t="shared" si="52"/>
        <v>0</v>
      </c>
      <c r="J228" s="1082">
        <f t="shared" si="53"/>
        <v>0</v>
      </c>
      <c r="K228" s="2588"/>
      <c r="L228" s="2589"/>
      <c r="M228" s="1086">
        <f t="shared" si="54"/>
        <v>0</v>
      </c>
      <c r="N228" s="506"/>
      <c r="O228" s="365">
        <f t="shared" si="55"/>
        <v>0</v>
      </c>
      <c r="P228" s="366"/>
      <c r="Q228" s="135"/>
      <c r="R228" s="136"/>
      <c r="S228" s="129"/>
      <c r="T228" s="129"/>
      <c r="U228" s="129"/>
      <c r="V228" s="129"/>
      <c r="W228" s="129"/>
      <c r="X228" s="129"/>
      <c r="Y228" s="129"/>
      <c r="Z228" s="133"/>
      <c r="AA228" s="133"/>
      <c r="AB228" s="133"/>
      <c r="AC228" s="133"/>
      <c r="AD228" s="133"/>
      <c r="AE228" s="133"/>
      <c r="AF228" s="222"/>
      <c r="AG228" s="222"/>
      <c r="AH228" s="222"/>
      <c r="AI228" s="176"/>
      <c r="AJ228" s="176"/>
      <c r="AK228" s="176"/>
      <c r="AL228" s="176"/>
      <c r="AM228" s="176"/>
      <c r="AN228" s="176"/>
      <c r="AO228" s="176"/>
      <c r="AP228" s="176"/>
      <c r="AQ228" s="176"/>
      <c r="AR228" s="176"/>
      <c r="AS228" s="176"/>
      <c r="AT228" s="176"/>
      <c r="AU228" s="176"/>
      <c r="AV228" s="176"/>
      <c r="AW228" s="176"/>
      <c r="AX228" s="176"/>
      <c r="AY228" s="176"/>
      <c r="AZ228" s="176"/>
      <c r="BA228" s="176"/>
      <c r="BB228" s="176"/>
      <c r="BC228" s="176"/>
      <c r="BD228" s="176"/>
      <c r="BE228" s="176"/>
      <c r="BF228" s="176"/>
      <c r="BG228" s="176"/>
      <c r="BH228" s="176"/>
      <c r="BI228" s="176"/>
      <c r="BJ228" s="176"/>
      <c r="BK228" s="176"/>
      <c r="BL228" s="176"/>
      <c r="BM228" s="176"/>
      <c r="BN228" s="176"/>
      <c r="BO228" s="176"/>
    </row>
    <row r="229" spans="1:67" s="36" customFormat="1" ht="10.5" customHeight="1" x14ac:dyDescent="0.2">
      <c r="A229" s="1055"/>
      <c r="B229" s="2594"/>
      <c r="C229" s="2595"/>
      <c r="D229" s="2596"/>
      <c r="E229" s="2395"/>
      <c r="F229" s="2396"/>
      <c r="G229" s="2590"/>
      <c r="H229" s="2591"/>
      <c r="I229" s="1081">
        <f t="shared" si="52"/>
        <v>0</v>
      </c>
      <c r="J229" s="1082">
        <f t="shared" si="53"/>
        <v>0</v>
      </c>
      <c r="K229" s="2588"/>
      <c r="L229" s="2589"/>
      <c r="M229" s="1086">
        <f t="shared" si="54"/>
        <v>0</v>
      </c>
      <c r="N229" s="506"/>
      <c r="O229" s="365">
        <f t="shared" si="55"/>
        <v>0</v>
      </c>
      <c r="P229" s="366"/>
      <c r="Q229" s="135"/>
      <c r="R229" s="136"/>
      <c r="S229" s="129"/>
      <c r="T229" s="129"/>
      <c r="U229" s="129"/>
      <c r="V229" s="129"/>
      <c r="W229" s="129"/>
      <c r="X229" s="129"/>
      <c r="Y229" s="129"/>
      <c r="Z229" s="133"/>
      <c r="AA229" s="133"/>
      <c r="AB229" s="133"/>
      <c r="AC229" s="133"/>
      <c r="AD229" s="133"/>
      <c r="AE229" s="133"/>
      <c r="AF229" s="222"/>
      <c r="AG229" s="222"/>
      <c r="AH229" s="222"/>
      <c r="AI229" s="176"/>
      <c r="AJ229" s="176"/>
      <c r="AK229" s="176"/>
      <c r="AL229" s="176"/>
      <c r="AM229" s="176"/>
      <c r="AN229" s="176"/>
      <c r="AO229" s="176"/>
      <c r="AP229" s="176"/>
      <c r="AQ229" s="176"/>
      <c r="AR229" s="176"/>
      <c r="AS229" s="176"/>
      <c r="AT229" s="176"/>
      <c r="AU229" s="176"/>
      <c r="AV229" s="176"/>
      <c r="AW229" s="176"/>
      <c r="AX229" s="176"/>
      <c r="AY229" s="176"/>
      <c r="AZ229" s="176"/>
      <c r="BA229" s="176"/>
      <c r="BB229" s="176"/>
      <c r="BC229" s="176"/>
      <c r="BD229" s="176"/>
      <c r="BE229" s="176"/>
      <c r="BF229" s="176"/>
      <c r="BG229" s="176"/>
      <c r="BH229" s="176"/>
      <c r="BI229" s="176"/>
      <c r="BJ229" s="176"/>
      <c r="BK229" s="176"/>
      <c r="BL229" s="176"/>
      <c r="BM229" s="176"/>
      <c r="BN229" s="176"/>
      <c r="BO229" s="176"/>
    </row>
    <row r="230" spans="1:67" s="36" customFormat="1" ht="10.5" customHeight="1" x14ac:dyDescent="0.2">
      <c r="A230" s="1055"/>
      <c r="B230" s="2594"/>
      <c r="C230" s="2595"/>
      <c r="D230" s="2596"/>
      <c r="E230" s="2395"/>
      <c r="F230" s="2396"/>
      <c r="G230" s="2590"/>
      <c r="H230" s="2591"/>
      <c r="I230" s="1081">
        <f t="shared" si="52"/>
        <v>0</v>
      </c>
      <c r="J230" s="1082">
        <f t="shared" si="53"/>
        <v>0</v>
      </c>
      <c r="K230" s="2588"/>
      <c r="L230" s="2589"/>
      <c r="M230" s="1086">
        <f t="shared" si="54"/>
        <v>0</v>
      </c>
      <c r="N230" s="506"/>
      <c r="O230" s="365">
        <f t="shared" si="55"/>
        <v>0</v>
      </c>
      <c r="P230" s="366"/>
      <c r="Q230" s="135"/>
      <c r="R230" s="136"/>
      <c r="S230" s="129"/>
      <c r="T230" s="129"/>
      <c r="U230" s="129"/>
      <c r="V230" s="129"/>
      <c r="W230" s="129"/>
      <c r="X230" s="129"/>
      <c r="Y230" s="129"/>
      <c r="Z230" s="133"/>
      <c r="AA230" s="133"/>
      <c r="AB230" s="133"/>
      <c r="AC230" s="133"/>
      <c r="AD230" s="133"/>
      <c r="AE230" s="133"/>
      <c r="AF230" s="222"/>
      <c r="AG230" s="222"/>
      <c r="AH230" s="222"/>
      <c r="AI230" s="176"/>
      <c r="AJ230" s="176"/>
      <c r="AK230" s="176"/>
      <c r="AL230" s="176"/>
      <c r="AM230" s="176"/>
      <c r="AN230" s="176"/>
      <c r="AO230" s="176"/>
      <c r="AP230" s="176"/>
      <c r="AQ230" s="176"/>
      <c r="AR230" s="176"/>
      <c r="AS230" s="176"/>
      <c r="AT230" s="176"/>
      <c r="AU230" s="176"/>
      <c r="AV230" s="176"/>
      <c r="AW230" s="176"/>
      <c r="AX230" s="176"/>
      <c r="AY230" s="176"/>
      <c r="AZ230" s="176"/>
      <c r="BA230" s="176"/>
      <c r="BB230" s="176"/>
      <c r="BC230" s="176"/>
      <c r="BD230" s="176"/>
      <c r="BE230" s="176"/>
      <c r="BF230" s="176"/>
      <c r="BG230" s="176"/>
      <c r="BH230" s="176"/>
      <c r="BI230" s="176"/>
      <c r="BJ230" s="176"/>
      <c r="BK230" s="176"/>
      <c r="BL230" s="176"/>
      <c r="BM230" s="176"/>
      <c r="BN230" s="176"/>
      <c r="BO230" s="176"/>
    </row>
    <row r="231" spans="1:67" s="36" customFormat="1" ht="10.5" customHeight="1" x14ac:dyDescent="0.2">
      <c r="A231" s="1055"/>
      <c r="B231" s="2594"/>
      <c r="C231" s="2595"/>
      <c r="D231" s="2596"/>
      <c r="E231" s="2395"/>
      <c r="F231" s="2396"/>
      <c r="G231" s="2590"/>
      <c r="H231" s="2591"/>
      <c r="I231" s="1081">
        <f t="shared" si="52"/>
        <v>0</v>
      </c>
      <c r="J231" s="1082">
        <f t="shared" si="53"/>
        <v>0</v>
      </c>
      <c r="K231" s="2588"/>
      <c r="L231" s="2589"/>
      <c r="M231" s="1086">
        <f t="shared" si="54"/>
        <v>0</v>
      </c>
      <c r="N231" s="506"/>
      <c r="O231" s="365">
        <f t="shared" si="55"/>
        <v>0</v>
      </c>
      <c r="P231" s="366"/>
      <c r="Q231" s="135"/>
      <c r="R231" s="136"/>
      <c r="S231" s="129"/>
      <c r="T231" s="129"/>
      <c r="U231" s="129"/>
      <c r="V231" s="129"/>
      <c r="W231" s="129"/>
      <c r="X231" s="129"/>
      <c r="Y231" s="129"/>
      <c r="Z231" s="133"/>
      <c r="AA231" s="133"/>
      <c r="AB231" s="133"/>
      <c r="AC231" s="133"/>
      <c r="AD231" s="133"/>
      <c r="AE231" s="133"/>
      <c r="AF231" s="222"/>
      <c r="AG231" s="222"/>
      <c r="AH231" s="222"/>
      <c r="AI231" s="176"/>
      <c r="AJ231" s="176"/>
      <c r="AK231" s="176"/>
      <c r="AL231" s="176"/>
      <c r="AM231" s="176"/>
      <c r="AN231" s="176"/>
      <c r="AO231" s="176"/>
      <c r="AP231" s="176"/>
      <c r="AQ231" s="176"/>
      <c r="AR231" s="176"/>
      <c r="AS231" s="176"/>
      <c r="AT231" s="176"/>
      <c r="AU231" s="176"/>
      <c r="AV231" s="176"/>
      <c r="AW231" s="176"/>
      <c r="AX231" s="176"/>
      <c r="AY231" s="176"/>
      <c r="AZ231" s="176"/>
      <c r="BA231" s="176"/>
      <c r="BB231" s="176"/>
      <c r="BC231" s="176"/>
      <c r="BD231" s="176"/>
      <c r="BE231" s="176"/>
      <c r="BF231" s="176"/>
      <c r="BG231" s="176"/>
      <c r="BH231" s="176"/>
      <c r="BI231" s="176"/>
      <c r="BJ231" s="176"/>
      <c r="BK231" s="176"/>
      <c r="BL231" s="176"/>
      <c r="BM231" s="176"/>
      <c r="BN231" s="176"/>
      <c r="BO231" s="176"/>
    </row>
    <row r="232" spans="1:67" s="36" customFormat="1" ht="10.5" customHeight="1" x14ac:dyDescent="0.2">
      <c r="A232" s="1055"/>
      <c r="B232" s="2594"/>
      <c r="C232" s="2595"/>
      <c r="D232" s="2596"/>
      <c r="E232" s="2395"/>
      <c r="F232" s="2396"/>
      <c r="G232" s="2590"/>
      <c r="H232" s="2591"/>
      <c r="I232" s="1081">
        <f t="shared" si="52"/>
        <v>0</v>
      </c>
      <c r="J232" s="1082">
        <f t="shared" si="53"/>
        <v>0</v>
      </c>
      <c r="K232" s="2588"/>
      <c r="L232" s="2589"/>
      <c r="M232" s="1086">
        <f t="shared" si="54"/>
        <v>0</v>
      </c>
      <c r="N232" s="506"/>
      <c r="O232" s="365">
        <f t="shared" si="55"/>
        <v>0</v>
      </c>
      <c r="P232" s="366"/>
      <c r="Q232" s="135"/>
      <c r="R232" s="136"/>
      <c r="S232" s="129"/>
      <c r="T232" s="129"/>
      <c r="U232" s="129"/>
      <c r="V232" s="129"/>
      <c r="W232" s="129"/>
      <c r="X232" s="129"/>
      <c r="Y232" s="129"/>
      <c r="Z232" s="133"/>
      <c r="AA232" s="133"/>
      <c r="AB232" s="133"/>
      <c r="AC232" s="133"/>
      <c r="AD232" s="133"/>
      <c r="AE232" s="133"/>
      <c r="AF232" s="222"/>
      <c r="AG232" s="222"/>
      <c r="AH232" s="222"/>
      <c r="AI232" s="176"/>
      <c r="AJ232" s="176"/>
      <c r="AK232" s="176"/>
      <c r="AL232" s="176"/>
      <c r="AM232" s="176"/>
      <c r="AN232" s="176"/>
      <c r="AO232" s="176"/>
      <c r="AP232" s="176"/>
      <c r="AQ232" s="176"/>
      <c r="AR232" s="176"/>
      <c r="AS232" s="176"/>
      <c r="AT232" s="176"/>
      <c r="AU232" s="176"/>
      <c r="AV232" s="176"/>
      <c r="AW232" s="176"/>
      <c r="AX232" s="176"/>
      <c r="AY232" s="176"/>
      <c r="AZ232" s="176"/>
      <c r="BA232" s="176"/>
      <c r="BB232" s="176"/>
      <c r="BC232" s="176"/>
      <c r="BD232" s="176"/>
      <c r="BE232" s="176"/>
      <c r="BF232" s="176"/>
      <c r="BG232" s="176"/>
      <c r="BH232" s="176"/>
      <c r="BI232" s="176"/>
      <c r="BJ232" s="176"/>
      <c r="BK232" s="176"/>
      <c r="BL232" s="176"/>
      <c r="BM232" s="176"/>
      <c r="BN232" s="176"/>
      <c r="BO232" s="176"/>
    </row>
    <row r="233" spans="1:67" s="36" customFormat="1" ht="10.5" customHeight="1" x14ac:dyDescent="0.2">
      <c r="A233" s="1055"/>
      <c r="B233" s="2594"/>
      <c r="C233" s="2595"/>
      <c r="D233" s="2596"/>
      <c r="E233" s="2395"/>
      <c r="F233" s="2396"/>
      <c r="G233" s="2590"/>
      <c r="H233" s="2591"/>
      <c r="I233" s="1081">
        <f t="shared" si="52"/>
        <v>0</v>
      </c>
      <c r="J233" s="1082">
        <f t="shared" si="53"/>
        <v>0</v>
      </c>
      <c r="K233" s="2588"/>
      <c r="L233" s="2589"/>
      <c r="M233" s="1086">
        <f t="shared" si="54"/>
        <v>0</v>
      </c>
      <c r="N233" s="506"/>
      <c r="O233" s="365">
        <f t="shared" si="55"/>
        <v>0</v>
      </c>
      <c r="P233" s="366"/>
      <c r="Q233" s="135"/>
      <c r="R233" s="136"/>
      <c r="S233" s="129"/>
      <c r="T233" s="129"/>
      <c r="U233" s="129"/>
      <c r="V233" s="129"/>
      <c r="W233" s="129"/>
      <c r="X233" s="129"/>
      <c r="Y233" s="129"/>
      <c r="Z233" s="133"/>
      <c r="AA233" s="133"/>
      <c r="AB233" s="133"/>
      <c r="AC233" s="133"/>
      <c r="AD233" s="133"/>
      <c r="AE233" s="133"/>
      <c r="AF233" s="222"/>
      <c r="AG233" s="222"/>
      <c r="AH233" s="222"/>
      <c r="AI233" s="176"/>
      <c r="AJ233" s="176"/>
      <c r="AK233" s="176"/>
      <c r="AL233" s="176"/>
      <c r="AM233" s="176"/>
      <c r="AN233" s="176"/>
      <c r="AO233" s="176"/>
      <c r="AP233" s="176"/>
      <c r="AQ233" s="176"/>
      <c r="AR233" s="176"/>
      <c r="AS233" s="176"/>
      <c r="AT233" s="176"/>
      <c r="AU233" s="176"/>
      <c r="AV233" s="176"/>
      <c r="AW233" s="176"/>
      <c r="AX233" s="176"/>
      <c r="AY233" s="176"/>
      <c r="AZ233" s="176"/>
      <c r="BA233" s="176"/>
      <c r="BB233" s="176"/>
      <c r="BC233" s="176"/>
      <c r="BD233" s="176"/>
      <c r="BE233" s="176"/>
      <c r="BF233" s="176"/>
      <c r="BG233" s="176"/>
      <c r="BH233" s="176"/>
      <c r="BI233" s="176"/>
      <c r="BJ233" s="176"/>
      <c r="BK233" s="176"/>
      <c r="BL233" s="176"/>
      <c r="BM233" s="176"/>
      <c r="BN233" s="176"/>
      <c r="BO233" s="176"/>
    </row>
    <row r="234" spans="1:67" s="36" customFormat="1" ht="10.5" customHeight="1" x14ac:dyDescent="0.2">
      <c r="A234" s="1055"/>
      <c r="B234" s="2594"/>
      <c r="C234" s="2595"/>
      <c r="D234" s="2596"/>
      <c r="E234" s="2395"/>
      <c r="F234" s="2396"/>
      <c r="G234" s="2590"/>
      <c r="H234" s="2591"/>
      <c r="I234" s="1081">
        <f t="shared" si="52"/>
        <v>0</v>
      </c>
      <c r="J234" s="1082">
        <f t="shared" si="53"/>
        <v>0</v>
      </c>
      <c r="K234" s="2588"/>
      <c r="L234" s="2589"/>
      <c r="M234" s="1086">
        <f t="shared" si="54"/>
        <v>0</v>
      </c>
      <c r="N234" s="506"/>
      <c r="O234" s="365">
        <f t="shared" si="55"/>
        <v>0</v>
      </c>
      <c r="P234" s="366"/>
      <c r="Q234" s="135"/>
      <c r="R234" s="136"/>
      <c r="S234" s="129"/>
      <c r="T234" s="129"/>
      <c r="U234" s="129"/>
      <c r="V234" s="129"/>
      <c r="W234" s="129"/>
      <c r="X234" s="129"/>
      <c r="Y234" s="129"/>
      <c r="Z234" s="133"/>
      <c r="AA234" s="133"/>
      <c r="AB234" s="133"/>
      <c r="AC234" s="133"/>
      <c r="AD234" s="133"/>
      <c r="AE234" s="133"/>
      <c r="AF234" s="222"/>
      <c r="AG234" s="222"/>
      <c r="AH234" s="222"/>
      <c r="AI234" s="176"/>
      <c r="AJ234" s="176"/>
      <c r="AK234" s="176"/>
      <c r="AL234" s="176"/>
      <c r="AM234" s="176"/>
      <c r="AN234" s="176"/>
      <c r="AO234" s="176"/>
      <c r="AP234" s="176"/>
      <c r="AQ234" s="176"/>
      <c r="AR234" s="176"/>
      <c r="AS234" s="176"/>
      <c r="AT234" s="176"/>
      <c r="AU234" s="176"/>
      <c r="AV234" s="176"/>
      <c r="AW234" s="176"/>
      <c r="AX234" s="176"/>
      <c r="AY234" s="176"/>
      <c r="AZ234" s="176"/>
      <c r="BA234" s="176"/>
      <c r="BB234" s="176"/>
      <c r="BC234" s="176"/>
      <c r="BD234" s="176"/>
      <c r="BE234" s="176"/>
      <c r="BF234" s="176"/>
      <c r="BG234" s="176"/>
      <c r="BH234" s="176"/>
      <c r="BI234" s="176"/>
      <c r="BJ234" s="176"/>
      <c r="BK234" s="176"/>
      <c r="BL234" s="176"/>
      <c r="BM234" s="176"/>
      <c r="BN234" s="176"/>
      <c r="BO234" s="176"/>
    </row>
    <row r="235" spans="1:67" s="36" customFormat="1" ht="10.5" customHeight="1" x14ac:dyDescent="0.2">
      <c r="A235" s="1055"/>
      <c r="B235" s="2594"/>
      <c r="C235" s="2595"/>
      <c r="D235" s="2596"/>
      <c r="E235" s="2395"/>
      <c r="F235" s="2396"/>
      <c r="G235" s="2590"/>
      <c r="H235" s="2591"/>
      <c r="I235" s="1081">
        <f t="shared" si="52"/>
        <v>0</v>
      </c>
      <c r="J235" s="1082">
        <f t="shared" si="53"/>
        <v>0</v>
      </c>
      <c r="K235" s="2588"/>
      <c r="L235" s="2589"/>
      <c r="M235" s="1086">
        <f t="shared" si="54"/>
        <v>0</v>
      </c>
      <c r="N235" s="506"/>
      <c r="O235" s="365">
        <f t="shared" si="55"/>
        <v>0</v>
      </c>
      <c r="P235" s="366"/>
      <c r="Q235" s="135"/>
      <c r="R235" s="136"/>
      <c r="S235" s="129"/>
      <c r="T235" s="129"/>
      <c r="U235" s="129"/>
      <c r="V235" s="129"/>
      <c r="W235" s="129"/>
      <c r="X235" s="129"/>
      <c r="Y235" s="129"/>
      <c r="Z235" s="133"/>
      <c r="AA235" s="133"/>
      <c r="AB235" s="133"/>
      <c r="AC235" s="133"/>
      <c r="AD235" s="133"/>
      <c r="AE235" s="133"/>
      <c r="AF235" s="222"/>
      <c r="AG235" s="222"/>
      <c r="AH235" s="222"/>
      <c r="AI235" s="176"/>
      <c r="AJ235" s="176"/>
      <c r="AK235" s="176"/>
      <c r="AL235" s="176"/>
      <c r="AM235" s="176"/>
      <c r="AN235" s="176"/>
      <c r="AO235" s="176"/>
      <c r="AP235" s="176"/>
      <c r="AQ235" s="176"/>
      <c r="AR235" s="176"/>
      <c r="AS235" s="176"/>
      <c r="AT235" s="176"/>
      <c r="AU235" s="176"/>
      <c r="AV235" s="176"/>
      <c r="AW235" s="176"/>
      <c r="AX235" s="176"/>
      <c r="AY235" s="176"/>
      <c r="AZ235" s="176"/>
      <c r="BA235" s="176"/>
      <c r="BB235" s="176"/>
      <c r="BC235" s="176"/>
      <c r="BD235" s="176"/>
      <c r="BE235" s="176"/>
      <c r="BF235" s="176"/>
      <c r="BG235" s="176"/>
      <c r="BH235" s="176"/>
      <c r="BI235" s="176"/>
      <c r="BJ235" s="176"/>
      <c r="BK235" s="176"/>
      <c r="BL235" s="176"/>
      <c r="BM235" s="176"/>
      <c r="BN235" s="176"/>
      <c r="BO235" s="176"/>
    </row>
    <row r="236" spans="1:67" s="36" customFormat="1" ht="10.5" customHeight="1" x14ac:dyDescent="0.2">
      <c r="A236" s="1348"/>
      <c r="B236" s="2690"/>
      <c r="C236" s="2691"/>
      <c r="D236" s="2692"/>
      <c r="E236" s="2601"/>
      <c r="F236" s="2602"/>
      <c r="G236" s="1088"/>
      <c r="H236" s="1089"/>
      <c r="I236" s="1083">
        <f t="shared" si="52"/>
        <v>0</v>
      </c>
      <c r="J236" s="1084"/>
      <c r="K236" s="1087"/>
      <c r="L236" s="1307"/>
      <c r="M236" s="1317">
        <f t="shared" si="54"/>
        <v>0</v>
      </c>
      <c r="N236" s="506"/>
      <c r="O236" s="365">
        <f t="shared" si="55"/>
        <v>0</v>
      </c>
      <c r="P236" s="366"/>
      <c r="Q236" s="135"/>
      <c r="R236" s="136"/>
      <c r="S236" s="129"/>
      <c r="T236" s="129"/>
      <c r="U236" s="129"/>
      <c r="V236" s="129"/>
      <c r="W236" s="129"/>
      <c r="X236" s="129"/>
      <c r="Y236" s="129"/>
      <c r="Z236" s="133"/>
      <c r="AA236" s="133"/>
      <c r="AB236" s="133"/>
      <c r="AC236" s="133"/>
      <c r="AD236" s="133"/>
      <c r="AE236" s="133"/>
      <c r="AF236" s="222"/>
      <c r="AG236" s="222"/>
      <c r="AH236" s="222"/>
      <c r="AI236" s="176"/>
      <c r="AJ236" s="176"/>
      <c r="AK236" s="176"/>
      <c r="AL236" s="176"/>
      <c r="AM236" s="176"/>
      <c r="AN236" s="176"/>
      <c r="AO236" s="176"/>
      <c r="AP236" s="176"/>
      <c r="AQ236" s="176"/>
      <c r="AR236" s="176"/>
      <c r="AS236" s="176"/>
      <c r="AT236" s="176"/>
      <c r="AU236" s="176"/>
      <c r="AV236" s="176"/>
      <c r="AW236" s="176"/>
      <c r="AX236" s="176"/>
      <c r="AY236" s="176"/>
      <c r="AZ236" s="176"/>
      <c r="BA236" s="176"/>
      <c r="BB236" s="176"/>
      <c r="BC236" s="176"/>
      <c r="BD236" s="176"/>
      <c r="BE236" s="176"/>
      <c r="BF236" s="176"/>
      <c r="BG236" s="176"/>
      <c r="BH236" s="176"/>
      <c r="BI236" s="176"/>
      <c r="BJ236" s="176"/>
      <c r="BK236" s="176"/>
      <c r="BL236" s="176"/>
      <c r="BM236" s="176"/>
      <c r="BN236" s="176"/>
      <c r="BO236" s="176"/>
    </row>
    <row r="237" spans="1:67" s="36" customFormat="1" ht="10.5" customHeight="1" x14ac:dyDescent="0.2">
      <c r="A237" s="1115" t="s">
        <v>335</v>
      </c>
      <c r="B237" s="2611"/>
      <c r="C237" s="2612"/>
      <c r="D237" s="2613"/>
      <c r="E237" s="2676">
        <f>SUM(E238:E250)</f>
        <v>0</v>
      </c>
      <c r="F237" s="2677"/>
      <c r="G237" s="2678"/>
      <c r="H237" s="2679"/>
      <c r="I237" s="1116">
        <f>IF(E237=0,0,J237/E237)</f>
        <v>0</v>
      </c>
      <c r="J237" s="1117">
        <f>SUM(J238:J250)</f>
        <v>0</v>
      </c>
      <c r="K237" s="2686">
        <f>IF(E237=0,0,M237/E237*100)</f>
        <v>0</v>
      </c>
      <c r="L237" s="2687"/>
      <c r="M237" s="1118">
        <f>SUM(M238:M250)</f>
        <v>0</v>
      </c>
      <c r="N237" s="506"/>
      <c r="O237" s="178">
        <f>IF(H237="",G237,H237)</f>
        <v>0</v>
      </c>
      <c r="P237" s="366"/>
      <c r="Q237" s="135"/>
      <c r="R237" s="136"/>
      <c r="S237" s="129"/>
      <c r="T237" s="129"/>
      <c r="U237" s="129"/>
      <c r="V237" s="129"/>
      <c r="W237" s="129"/>
      <c r="X237" s="129"/>
      <c r="Y237" s="129"/>
      <c r="Z237" s="133"/>
      <c r="AA237" s="133"/>
      <c r="AB237" s="133"/>
      <c r="AC237" s="133"/>
      <c r="AD237" s="133"/>
      <c r="AE237" s="133"/>
      <c r="AF237" s="222"/>
      <c r="AG237" s="222"/>
      <c r="AH237" s="222"/>
      <c r="AI237" s="176"/>
      <c r="AJ237" s="176"/>
      <c r="AK237" s="176"/>
      <c r="AL237" s="176"/>
      <c r="AM237" s="176"/>
      <c r="AN237" s="176"/>
      <c r="AO237" s="176"/>
      <c r="AP237" s="176"/>
      <c r="AQ237" s="176"/>
      <c r="AR237" s="176"/>
      <c r="AS237" s="176"/>
      <c r="AT237" s="176"/>
      <c r="AU237" s="176"/>
      <c r="AV237" s="176"/>
      <c r="AW237" s="176"/>
      <c r="AX237" s="176"/>
      <c r="AY237" s="176"/>
      <c r="AZ237" s="176"/>
      <c r="BA237" s="176"/>
      <c r="BB237" s="176"/>
      <c r="BC237" s="176"/>
      <c r="BD237" s="176"/>
      <c r="BE237" s="176"/>
      <c r="BF237" s="176"/>
      <c r="BG237" s="176"/>
      <c r="BH237" s="176"/>
      <c r="BI237" s="176"/>
      <c r="BJ237" s="176"/>
      <c r="BK237" s="176"/>
      <c r="BL237" s="176"/>
      <c r="BM237" s="176"/>
      <c r="BN237" s="176"/>
      <c r="BO237" s="176"/>
    </row>
    <row r="238" spans="1:67" s="36" customFormat="1" ht="10.5" customHeight="1" x14ac:dyDescent="0.2">
      <c r="A238" s="1359" t="s">
        <v>336</v>
      </c>
      <c r="B238" s="2743"/>
      <c r="C238" s="2744"/>
      <c r="D238" s="2745"/>
      <c r="E238" s="2746"/>
      <c r="F238" s="2788"/>
      <c r="G238" s="1056">
        <v>30</v>
      </c>
      <c r="H238" s="1057"/>
      <c r="I238" s="1079">
        <f t="shared" ref="I238:I251" si="56">IF($O238&gt;0,-PMT(($I$9),$O238,1),0)</f>
        <v>4.6199342169092869E-2</v>
      </c>
      <c r="J238" s="1080">
        <f t="shared" ref="J238:J250" si="57">ROUND(E238*I238,0)</f>
        <v>0</v>
      </c>
      <c r="K238" s="1060">
        <v>1</v>
      </c>
      <c r="L238" s="1304"/>
      <c r="M238" s="1085">
        <f t="shared" ref="M238:M251" si="58">ROUND(E238/100*IF(ISBLANK(L238),K238,L238),0)</f>
        <v>0</v>
      </c>
      <c r="N238" s="506"/>
      <c r="O238" s="365">
        <f t="shared" ref="O238:O251" si="59">IF(ISBLANK(H238),G238,H238)</f>
        <v>30</v>
      </c>
      <c r="P238" s="366"/>
      <c r="Q238" s="135"/>
      <c r="R238" s="136"/>
      <c r="S238" s="129"/>
      <c r="T238" s="129"/>
      <c r="U238" s="129"/>
      <c r="V238" s="129"/>
      <c r="W238" s="129"/>
      <c r="X238" s="129"/>
      <c r="Y238" s="129"/>
      <c r="Z238" s="133"/>
      <c r="AA238" s="133"/>
      <c r="AB238" s="133"/>
      <c r="AC238" s="133"/>
      <c r="AD238" s="133"/>
      <c r="AE238" s="133"/>
      <c r="AF238" s="222"/>
      <c r="AG238" s="222"/>
      <c r="AH238" s="222"/>
      <c r="AI238" s="176"/>
      <c r="AJ238" s="176"/>
      <c r="AK238" s="176"/>
      <c r="AL238" s="176"/>
      <c r="AM238" s="176"/>
      <c r="AN238" s="176"/>
      <c r="AO238" s="176"/>
      <c r="AP238" s="176"/>
      <c r="AQ238" s="176"/>
      <c r="AR238" s="176"/>
      <c r="AS238" s="176"/>
      <c r="AT238" s="176"/>
      <c r="AU238" s="176"/>
      <c r="AV238" s="176"/>
      <c r="AW238" s="176"/>
      <c r="AX238" s="176"/>
      <c r="AY238" s="176"/>
      <c r="AZ238" s="176"/>
      <c r="BA238" s="176"/>
      <c r="BB238" s="176"/>
      <c r="BC238" s="176"/>
      <c r="BD238" s="176"/>
      <c r="BE238" s="176"/>
      <c r="BF238" s="176"/>
      <c r="BG238" s="176"/>
      <c r="BH238" s="176"/>
      <c r="BI238" s="176"/>
      <c r="BJ238" s="176"/>
      <c r="BK238" s="176"/>
      <c r="BL238" s="176"/>
      <c r="BM238" s="176"/>
      <c r="BN238" s="176"/>
      <c r="BO238" s="176"/>
    </row>
    <row r="239" spans="1:67" s="36" customFormat="1" ht="10.5" customHeight="1" x14ac:dyDescent="0.2">
      <c r="A239" s="1043" t="s">
        <v>337</v>
      </c>
      <c r="B239" s="2594"/>
      <c r="C239" s="2595"/>
      <c r="D239" s="2596"/>
      <c r="E239" s="2395"/>
      <c r="F239" s="2789"/>
      <c r="G239" s="1058">
        <v>30</v>
      </c>
      <c r="H239" s="1059"/>
      <c r="I239" s="1081">
        <f t="shared" si="56"/>
        <v>4.6199342169092869E-2</v>
      </c>
      <c r="J239" s="1082">
        <f t="shared" si="57"/>
        <v>0</v>
      </c>
      <c r="K239" s="1061">
        <v>1</v>
      </c>
      <c r="L239" s="1305"/>
      <c r="M239" s="1086">
        <f t="shared" si="58"/>
        <v>0</v>
      </c>
      <c r="N239" s="506"/>
      <c r="O239" s="365">
        <f t="shared" si="59"/>
        <v>30</v>
      </c>
      <c r="P239" s="366"/>
      <c r="Q239" s="135"/>
      <c r="R239" s="136"/>
      <c r="S239" s="129"/>
      <c r="T239" s="129"/>
      <c r="U239" s="129"/>
      <c r="V239" s="129"/>
      <c r="W239" s="129"/>
      <c r="X239" s="129"/>
      <c r="Y239" s="129"/>
      <c r="Z239" s="133"/>
      <c r="AA239" s="133"/>
      <c r="AB239" s="133"/>
      <c r="AC239" s="133"/>
      <c r="AD239" s="133"/>
      <c r="AE239" s="133"/>
      <c r="AF239" s="222"/>
      <c r="AG239" s="222"/>
      <c r="AH239" s="222"/>
      <c r="AI239" s="176"/>
      <c r="AJ239" s="176"/>
      <c r="AK239" s="176"/>
      <c r="AL239" s="176"/>
      <c r="AM239" s="176"/>
      <c r="AN239" s="176"/>
      <c r="AO239" s="176"/>
      <c r="AP239" s="176"/>
      <c r="AQ239" s="176"/>
      <c r="AR239" s="176"/>
      <c r="AS239" s="176"/>
      <c r="AT239" s="176"/>
      <c r="AU239" s="176"/>
      <c r="AV239" s="176"/>
      <c r="AW239" s="176"/>
      <c r="AX239" s="176"/>
      <c r="AY239" s="176"/>
      <c r="AZ239" s="176"/>
      <c r="BA239" s="176"/>
      <c r="BB239" s="176"/>
      <c r="BC239" s="176"/>
      <c r="BD239" s="176"/>
      <c r="BE239" s="176"/>
      <c r="BF239" s="176"/>
      <c r="BG239" s="176"/>
      <c r="BH239" s="176"/>
      <c r="BI239" s="176"/>
      <c r="BJ239" s="176"/>
      <c r="BK239" s="176"/>
      <c r="BL239" s="176"/>
      <c r="BM239" s="176"/>
      <c r="BN239" s="176"/>
      <c r="BO239" s="176"/>
    </row>
    <row r="240" spans="1:67" s="36" customFormat="1" ht="10.5" customHeight="1" x14ac:dyDescent="0.2">
      <c r="A240" s="1043" t="s">
        <v>338</v>
      </c>
      <c r="B240" s="2594"/>
      <c r="C240" s="2595"/>
      <c r="D240" s="2596"/>
      <c r="E240" s="2395"/>
      <c r="F240" s="2789"/>
      <c r="G240" s="1058">
        <v>30</v>
      </c>
      <c r="H240" s="1059"/>
      <c r="I240" s="1081">
        <f t="shared" si="56"/>
        <v>4.6199342169092869E-2</v>
      </c>
      <c r="J240" s="1082">
        <f t="shared" si="57"/>
        <v>0</v>
      </c>
      <c r="K240" s="1061">
        <v>1</v>
      </c>
      <c r="L240" s="1305"/>
      <c r="M240" s="1086">
        <f t="shared" si="58"/>
        <v>0</v>
      </c>
      <c r="N240" s="506"/>
      <c r="O240" s="365">
        <f t="shared" si="59"/>
        <v>30</v>
      </c>
      <c r="P240" s="366"/>
      <c r="Q240" s="135"/>
      <c r="R240" s="136"/>
      <c r="S240" s="129"/>
      <c r="T240" s="129"/>
      <c r="U240" s="129"/>
      <c r="V240" s="129"/>
      <c r="W240" s="129"/>
      <c r="X240" s="129"/>
      <c r="Y240" s="129"/>
      <c r="Z240" s="133"/>
      <c r="AA240" s="133"/>
      <c r="AB240" s="133"/>
      <c r="AC240" s="133"/>
      <c r="AD240" s="133"/>
      <c r="AE240" s="133"/>
      <c r="AF240" s="222"/>
      <c r="AG240" s="222"/>
      <c r="AH240" s="222"/>
      <c r="AI240" s="176"/>
      <c r="AJ240" s="176"/>
      <c r="AK240" s="176"/>
      <c r="AL240" s="176"/>
      <c r="AM240" s="176"/>
      <c r="AN240" s="176"/>
      <c r="AO240" s="176"/>
      <c r="AP240" s="176"/>
      <c r="AQ240" s="176"/>
      <c r="AR240" s="176"/>
      <c r="AS240" s="176"/>
      <c r="AT240" s="176"/>
      <c r="AU240" s="176"/>
      <c r="AV240" s="176"/>
      <c r="AW240" s="176"/>
      <c r="AX240" s="176"/>
      <c r="AY240" s="176"/>
      <c r="AZ240" s="176"/>
      <c r="BA240" s="176"/>
      <c r="BB240" s="176"/>
      <c r="BC240" s="176"/>
      <c r="BD240" s="176"/>
      <c r="BE240" s="176"/>
      <c r="BF240" s="176"/>
      <c r="BG240" s="176"/>
      <c r="BH240" s="176"/>
      <c r="BI240" s="176"/>
      <c r="BJ240" s="176"/>
      <c r="BK240" s="176"/>
      <c r="BL240" s="176"/>
      <c r="BM240" s="176"/>
      <c r="BN240" s="176"/>
      <c r="BO240" s="176"/>
    </row>
    <row r="241" spans="1:67" s="36" customFormat="1" ht="10.5" customHeight="1" x14ac:dyDescent="0.2">
      <c r="A241" s="1043" t="s">
        <v>339</v>
      </c>
      <c r="B241" s="2594"/>
      <c r="C241" s="2595"/>
      <c r="D241" s="2596"/>
      <c r="E241" s="2395"/>
      <c r="F241" s="2789"/>
      <c r="G241" s="1058">
        <v>30</v>
      </c>
      <c r="H241" s="1059"/>
      <c r="I241" s="1081">
        <f t="shared" si="56"/>
        <v>4.6199342169092869E-2</v>
      </c>
      <c r="J241" s="1082">
        <f t="shared" si="57"/>
        <v>0</v>
      </c>
      <c r="K241" s="1061">
        <v>1.5</v>
      </c>
      <c r="L241" s="1305"/>
      <c r="M241" s="1086">
        <f t="shared" si="58"/>
        <v>0</v>
      </c>
      <c r="N241" s="506"/>
      <c r="O241" s="365">
        <f t="shared" si="59"/>
        <v>30</v>
      </c>
      <c r="P241" s="366"/>
      <c r="Q241" s="135"/>
      <c r="R241" s="136"/>
      <c r="S241" s="129"/>
      <c r="T241" s="129"/>
      <c r="U241" s="129"/>
      <c r="V241" s="129"/>
      <c r="W241" s="129"/>
      <c r="X241" s="129"/>
      <c r="Y241" s="129"/>
      <c r="Z241" s="133"/>
      <c r="AA241" s="133"/>
      <c r="AB241" s="133"/>
      <c r="AC241" s="133"/>
      <c r="AD241" s="133"/>
      <c r="AE241" s="133"/>
      <c r="AF241" s="222"/>
      <c r="AG241" s="222"/>
      <c r="AH241" s="222"/>
      <c r="AI241" s="176"/>
      <c r="AJ241" s="176"/>
      <c r="AK241" s="176"/>
      <c r="AL241" s="176"/>
      <c r="AM241" s="176"/>
      <c r="AN241" s="176"/>
      <c r="AO241" s="176"/>
      <c r="AP241" s="176"/>
      <c r="AQ241" s="176"/>
      <c r="AR241" s="176"/>
      <c r="AS241" s="176"/>
      <c r="AT241" s="176"/>
      <c r="AU241" s="176"/>
      <c r="AV241" s="176"/>
      <c r="AW241" s="176"/>
      <c r="AX241" s="176"/>
      <c r="AY241" s="176"/>
      <c r="AZ241" s="176"/>
      <c r="BA241" s="176"/>
      <c r="BB241" s="176"/>
      <c r="BC241" s="176"/>
      <c r="BD241" s="176"/>
      <c r="BE241" s="176"/>
      <c r="BF241" s="176"/>
      <c r="BG241" s="176"/>
      <c r="BH241" s="176"/>
      <c r="BI241" s="176"/>
      <c r="BJ241" s="176"/>
      <c r="BK241" s="176"/>
      <c r="BL241" s="176"/>
      <c r="BM241" s="176"/>
      <c r="BN241" s="176"/>
      <c r="BO241" s="176"/>
    </row>
    <row r="242" spans="1:67" s="36" customFormat="1" ht="10.5" customHeight="1" x14ac:dyDescent="0.2">
      <c r="A242" s="1043" t="s">
        <v>340</v>
      </c>
      <c r="B242" s="2594"/>
      <c r="C242" s="2595"/>
      <c r="D242" s="2596"/>
      <c r="E242" s="2395"/>
      <c r="F242" s="2789"/>
      <c r="G242" s="1058">
        <v>30</v>
      </c>
      <c r="H242" s="1059"/>
      <c r="I242" s="1081">
        <f t="shared" si="56"/>
        <v>4.6199342169092869E-2</v>
      </c>
      <c r="J242" s="1082">
        <f t="shared" si="57"/>
        <v>0</v>
      </c>
      <c r="K242" s="1061">
        <v>1.5</v>
      </c>
      <c r="L242" s="1305"/>
      <c r="M242" s="1086">
        <f t="shared" si="58"/>
        <v>0</v>
      </c>
      <c r="N242" s="506"/>
      <c r="O242" s="365">
        <f t="shared" si="59"/>
        <v>30</v>
      </c>
      <c r="P242" s="366"/>
      <c r="Q242" s="135"/>
      <c r="R242" s="136"/>
      <c r="S242" s="129"/>
      <c r="T242" s="129"/>
      <c r="U242" s="129"/>
      <c r="V242" s="129"/>
      <c r="W242" s="129"/>
      <c r="X242" s="129"/>
      <c r="Y242" s="129"/>
      <c r="Z242" s="133"/>
      <c r="AA242" s="133"/>
      <c r="AB242" s="133"/>
      <c r="AC242" s="133"/>
      <c r="AD242" s="133"/>
      <c r="AE242" s="133"/>
      <c r="AF242" s="222"/>
      <c r="AG242" s="222"/>
      <c r="AH242" s="222"/>
      <c r="AI242" s="176"/>
      <c r="AJ242" s="176"/>
      <c r="AK242" s="176"/>
      <c r="AL242" s="176"/>
      <c r="AM242" s="176"/>
      <c r="AN242" s="176"/>
      <c r="AO242" s="176"/>
      <c r="AP242" s="176"/>
      <c r="AQ242" s="176"/>
      <c r="AR242" s="176"/>
      <c r="AS242" s="176"/>
      <c r="AT242" s="176"/>
      <c r="AU242" s="176"/>
      <c r="AV242" s="176"/>
      <c r="AW242" s="176"/>
      <c r="AX242" s="176"/>
      <c r="AY242" s="176"/>
      <c r="AZ242" s="176"/>
      <c r="BA242" s="176"/>
      <c r="BB242" s="176"/>
      <c r="BC242" s="176"/>
      <c r="BD242" s="176"/>
      <c r="BE242" s="176"/>
      <c r="BF242" s="176"/>
      <c r="BG242" s="176"/>
      <c r="BH242" s="176"/>
      <c r="BI242" s="176"/>
      <c r="BJ242" s="176"/>
      <c r="BK242" s="176"/>
      <c r="BL242" s="176"/>
      <c r="BM242" s="176"/>
      <c r="BN242" s="176"/>
      <c r="BO242" s="176"/>
    </row>
    <row r="243" spans="1:67" s="36" customFormat="1" ht="10.5" customHeight="1" x14ac:dyDescent="0.2">
      <c r="A243" s="1043" t="s">
        <v>292</v>
      </c>
      <c r="B243" s="2594"/>
      <c r="C243" s="2595"/>
      <c r="D243" s="2596"/>
      <c r="E243" s="2395"/>
      <c r="F243" s="2789"/>
      <c r="G243" s="1058">
        <v>20</v>
      </c>
      <c r="H243" s="1059"/>
      <c r="I243" s="1081">
        <f t="shared" si="56"/>
        <v>6.2642070767998229E-2</v>
      </c>
      <c r="J243" s="1082">
        <f t="shared" si="57"/>
        <v>0</v>
      </c>
      <c r="K243" s="1061">
        <v>2</v>
      </c>
      <c r="L243" s="1305"/>
      <c r="M243" s="1086">
        <f t="shared" si="58"/>
        <v>0</v>
      </c>
      <c r="N243" s="506"/>
      <c r="O243" s="365">
        <f t="shared" si="59"/>
        <v>20</v>
      </c>
      <c r="P243" s="366"/>
      <c r="Q243" s="135"/>
      <c r="R243" s="136"/>
      <c r="S243" s="129"/>
      <c r="T243" s="129"/>
      <c r="U243" s="129"/>
      <c r="V243" s="129"/>
      <c r="W243" s="129"/>
      <c r="X243" s="129"/>
      <c r="Y243" s="129"/>
      <c r="Z243" s="133"/>
      <c r="AA243" s="133"/>
      <c r="AB243" s="133"/>
      <c r="AC243" s="133"/>
      <c r="AD243" s="133"/>
      <c r="AE243" s="133"/>
      <c r="AF243" s="222"/>
      <c r="AG243" s="222"/>
      <c r="AH243" s="222"/>
      <c r="AI243" s="176"/>
      <c r="AJ243" s="176"/>
      <c r="AK243" s="176"/>
      <c r="AL243" s="176"/>
      <c r="AM243" s="176"/>
      <c r="AN243" s="176"/>
      <c r="AO243" s="176"/>
      <c r="AP243" s="176"/>
      <c r="AQ243" s="176"/>
      <c r="AR243" s="176"/>
      <c r="AS243" s="176"/>
      <c r="AT243" s="176"/>
      <c r="AU243" s="176"/>
      <c r="AV243" s="176"/>
      <c r="AW243" s="176"/>
      <c r="AX243" s="176"/>
      <c r="AY243" s="176"/>
      <c r="AZ243" s="176"/>
      <c r="BA243" s="176"/>
      <c r="BB243" s="176"/>
      <c r="BC243" s="176"/>
      <c r="BD243" s="176"/>
      <c r="BE243" s="176"/>
      <c r="BF243" s="176"/>
      <c r="BG243" s="176"/>
      <c r="BH243" s="176"/>
      <c r="BI243" s="176"/>
      <c r="BJ243" s="176"/>
      <c r="BK243" s="176"/>
      <c r="BL243" s="176"/>
      <c r="BM243" s="176"/>
      <c r="BN243" s="176"/>
      <c r="BO243" s="176"/>
    </row>
    <row r="244" spans="1:67" s="36" customFormat="1" ht="10.5" customHeight="1" x14ac:dyDescent="0.2">
      <c r="A244" s="1043" t="s">
        <v>273</v>
      </c>
      <c r="B244" s="2594"/>
      <c r="C244" s="2595"/>
      <c r="D244" s="2596"/>
      <c r="E244" s="2395"/>
      <c r="F244" s="2789"/>
      <c r="G244" s="1058">
        <v>20</v>
      </c>
      <c r="H244" s="1059"/>
      <c r="I244" s="1081">
        <f t="shared" si="56"/>
        <v>6.2642070767998229E-2</v>
      </c>
      <c r="J244" s="1082">
        <f t="shared" si="57"/>
        <v>0</v>
      </c>
      <c r="K244" s="1061">
        <v>8</v>
      </c>
      <c r="L244" s="1305"/>
      <c r="M244" s="1086">
        <f t="shared" si="58"/>
        <v>0</v>
      </c>
      <c r="N244" s="506"/>
      <c r="O244" s="365">
        <f t="shared" si="59"/>
        <v>20</v>
      </c>
      <c r="P244" s="366"/>
      <c r="Q244" s="135"/>
      <c r="R244" s="136"/>
      <c r="S244" s="129"/>
      <c r="T244" s="129"/>
      <c r="U244" s="129"/>
      <c r="V244" s="129"/>
      <c r="W244" s="129"/>
      <c r="X244" s="129"/>
      <c r="Y244" s="129"/>
      <c r="Z244" s="133"/>
      <c r="AA244" s="133"/>
      <c r="AB244" s="133"/>
      <c r="AC244" s="133"/>
      <c r="AD244" s="133"/>
      <c r="AE244" s="133"/>
      <c r="AF244" s="222"/>
      <c r="AG244" s="222"/>
      <c r="AH244" s="222"/>
      <c r="AI244" s="176"/>
      <c r="AJ244" s="176"/>
      <c r="AK244" s="176"/>
      <c r="AL244" s="176"/>
      <c r="AM244" s="176"/>
      <c r="AN244" s="176"/>
      <c r="AO244" s="176"/>
      <c r="AP244" s="176"/>
      <c r="AQ244" s="176"/>
      <c r="AR244" s="176"/>
      <c r="AS244" s="176"/>
      <c r="AT244" s="176"/>
      <c r="AU244" s="176"/>
      <c r="AV244" s="176"/>
      <c r="AW244" s="176"/>
      <c r="AX244" s="176"/>
      <c r="AY244" s="176"/>
      <c r="AZ244" s="176"/>
      <c r="BA244" s="176"/>
      <c r="BB244" s="176"/>
      <c r="BC244" s="176"/>
      <c r="BD244" s="176"/>
      <c r="BE244" s="176"/>
      <c r="BF244" s="176"/>
      <c r="BG244" s="176"/>
      <c r="BH244" s="176"/>
      <c r="BI244" s="176"/>
      <c r="BJ244" s="176"/>
      <c r="BK244" s="176"/>
      <c r="BL244" s="176"/>
      <c r="BM244" s="176"/>
      <c r="BN244" s="176"/>
      <c r="BO244" s="176"/>
    </row>
    <row r="245" spans="1:67" s="36" customFormat="1" ht="10.5" customHeight="1" x14ac:dyDescent="0.2">
      <c r="A245" s="1043" t="s">
        <v>274</v>
      </c>
      <c r="B245" s="2594"/>
      <c r="C245" s="2595"/>
      <c r="D245" s="2596"/>
      <c r="E245" s="2395"/>
      <c r="F245" s="2789"/>
      <c r="G245" s="1058">
        <v>30</v>
      </c>
      <c r="H245" s="1059"/>
      <c r="I245" s="1081">
        <f t="shared" si="56"/>
        <v>4.6199342169092869E-2</v>
      </c>
      <c r="J245" s="1082">
        <f t="shared" si="57"/>
        <v>0</v>
      </c>
      <c r="K245" s="1061"/>
      <c r="L245" s="1305"/>
      <c r="M245" s="1086">
        <f t="shared" si="58"/>
        <v>0</v>
      </c>
      <c r="N245" s="506"/>
      <c r="O245" s="365">
        <f t="shared" si="59"/>
        <v>30</v>
      </c>
      <c r="P245" s="366"/>
      <c r="Q245" s="135"/>
      <c r="R245" s="136"/>
      <c r="S245" s="129"/>
      <c r="T245" s="129"/>
      <c r="U245" s="129"/>
      <c r="V245" s="129"/>
      <c r="W245" s="129"/>
      <c r="X245" s="129"/>
      <c r="Y245" s="129"/>
      <c r="Z245" s="133"/>
      <c r="AA245" s="133"/>
      <c r="AB245" s="133"/>
      <c r="AC245" s="133"/>
      <c r="AD245" s="133"/>
      <c r="AE245" s="133"/>
      <c r="AF245" s="222"/>
      <c r="AG245" s="222"/>
      <c r="AH245" s="222"/>
      <c r="AI245" s="176"/>
      <c r="AJ245" s="176"/>
      <c r="AK245" s="176"/>
      <c r="AL245" s="176"/>
      <c r="AM245" s="176"/>
      <c r="AN245" s="176"/>
      <c r="AO245" s="176"/>
      <c r="AP245" s="176"/>
      <c r="AQ245" s="176"/>
      <c r="AR245" s="176"/>
      <c r="AS245" s="176"/>
      <c r="AT245" s="176"/>
      <c r="AU245" s="176"/>
      <c r="AV245" s="176"/>
      <c r="AW245" s="176"/>
      <c r="AX245" s="176"/>
      <c r="AY245" s="176"/>
      <c r="AZ245" s="176"/>
      <c r="BA245" s="176"/>
      <c r="BB245" s="176"/>
      <c r="BC245" s="176"/>
      <c r="BD245" s="176"/>
      <c r="BE245" s="176"/>
      <c r="BF245" s="176"/>
      <c r="BG245" s="176"/>
      <c r="BH245" s="176"/>
      <c r="BI245" s="176"/>
      <c r="BJ245" s="176"/>
      <c r="BK245" s="176"/>
      <c r="BL245" s="176"/>
      <c r="BM245" s="176"/>
      <c r="BN245" s="176"/>
      <c r="BO245" s="176"/>
    </row>
    <row r="246" spans="1:67" s="36" customFormat="1" ht="10.5" customHeight="1" x14ac:dyDescent="0.2">
      <c r="A246" s="1055"/>
      <c r="B246" s="2594"/>
      <c r="C246" s="2595"/>
      <c r="D246" s="2596"/>
      <c r="E246" s="2395"/>
      <c r="F246" s="2396"/>
      <c r="G246" s="2590"/>
      <c r="H246" s="2591"/>
      <c r="I246" s="1081">
        <f t="shared" si="56"/>
        <v>0</v>
      </c>
      <c r="J246" s="1082">
        <f t="shared" si="57"/>
        <v>0</v>
      </c>
      <c r="K246" s="2588"/>
      <c r="L246" s="2589"/>
      <c r="M246" s="1086">
        <f t="shared" si="58"/>
        <v>0</v>
      </c>
      <c r="N246" s="506"/>
      <c r="O246" s="365">
        <f t="shared" si="59"/>
        <v>0</v>
      </c>
      <c r="P246" s="366"/>
      <c r="Q246" s="135"/>
      <c r="R246" s="136"/>
      <c r="S246" s="129"/>
      <c r="T246" s="129"/>
      <c r="U246" s="129"/>
      <c r="V246" s="129"/>
      <c r="W246" s="129"/>
      <c r="X246" s="129"/>
      <c r="Y246" s="129"/>
      <c r="Z246" s="133"/>
      <c r="AA246" s="133"/>
      <c r="AB246" s="133"/>
      <c r="AC246" s="133"/>
      <c r="AD246" s="133"/>
      <c r="AE246" s="133"/>
      <c r="AF246" s="222"/>
      <c r="AG246" s="222"/>
      <c r="AH246" s="222"/>
      <c r="AI246" s="176"/>
      <c r="AJ246" s="176"/>
      <c r="AK246" s="176"/>
      <c r="AL246" s="176"/>
      <c r="AM246" s="176"/>
      <c r="AN246" s="176"/>
      <c r="AO246" s="176"/>
      <c r="AP246" s="176"/>
      <c r="AQ246" s="176"/>
      <c r="AR246" s="176"/>
      <c r="AS246" s="176"/>
      <c r="AT246" s="176"/>
      <c r="AU246" s="176"/>
      <c r="AV246" s="176"/>
      <c r="AW246" s="176"/>
      <c r="AX246" s="176"/>
      <c r="AY246" s="176"/>
      <c r="AZ246" s="176"/>
      <c r="BA246" s="176"/>
      <c r="BB246" s="176"/>
      <c r="BC246" s="176"/>
      <c r="BD246" s="176"/>
      <c r="BE246" s="176"/>
      <c r="BF246" s="176"/>
      <c r="BG246" s="176"/>
      <c r="BH246" s="176"/>
      <c r="BI246" s="176"/>
      <c r="BJ246" s="176"/>
      <c r="BK246" s="176"/>
      <c r="BL246" s="176"/>
      <c r="BM246" s="176"/>
      <c r="BN246" s="176"/>
      <c r="BO246" s="176"/>
    </row>
    <row r="247" spans="1:67" s="36" customFormat="1" ht="10.5" customHeight="1" x14ac:dyDescent="0.2">
      <c r="A247" s="1055"/>
      <c r="B247" s="2594"/>
      <c r="C247" s="2595"/>
      <c r="D247" s="2596"/>
      <c r="E247" s="2395"/>
      <c r="F247" s="2396"/>
      <c r="G247" s="2590"/>
      <c r="H247" s="2591"/>
      <c r="I247" s="1081">
        <f t="shared" si="56"/>
        <v>0</v>
      </c>
      <c r="J247" s="1082">
        <f t="shared" si="57"/>
        <v>0</v>
      </c>
      <c r="K247" s="2588"/>
      <c r="L247" s="2589"/>
      <c r="M247" s="1086">
        <f t="shared" si="58"/>
        <v>0</v>
      </c>
      <c r="N247" s="506"/>
      <c r="O247" s="365">
        <f t="shared" si="59"/>
        <v>0</v>
      </c>
      <c r="P247" s="366"/>
      <c r="Q247" s="135"/>
      <c r="R247" s="136"/>
      <c r="S247" s="129"/>
      <c r="T247" s="129"/>
      <c r="U247" s="129"/>
      <c r="V247" s="129"/>
      <c r="W247" s="129"/>
      <c r="X247" s="129"/>
      <c r="Y247" s="129"/>
      <c r="Z247" s="133"/>
      <c r="AA247" s="133"/>
      <c r="AB247" s="133"/>
      <c r="AC247" s="133"/>
      <c r="AD247" s="133"/>
      <c r="AE247" s="133"/>
      <c r="AF247" s="222"/>
      <c r="AG247" s="222"/>
      <c r="AH247" s="222"/>
      <c r="AI247" s="176"/>
      <c r="AJ247" s="176"/>
      <c r="AK247" s="176"/>
      <c r="AL247" s="176"/>
      <c r="AM247" s="176"/>
      <c r="AN247" s="176"/>
      <c r="AO247" s="176"/>
      <c r="AP247" s="176"/>
      <c r="AQ247" s="176"/>
      <c r="AR247" s="176"/>
      <c r="AS247" s="176"/>
      <c r="AT247" s="176"/>
      <c r="AU247" s="176"/>
      <c r="AV247" s="176"/>
      <c r="AW247" s="176"/>
      <c r="AX247" s="176"/>
      <c r="AY247" s="176"/>
      <c r="AZ247" s="176"/>
      <c r="BA247" s="176"/>
      <c r="BB247" s="176"/>
      <c r="BC247" s="176"/>
      <c r="BD247" s="176"/>
      <c r="BE247" s="176"/>
      <c r="BF247" s="176"/>
      <c r="BG247" s="176"/>
      <c r="BH247" s="176"/>
      <c r="BI247" s="176"/>
      <c r="BJ247" s="176"/>
      <c r="BK247" s="176"/>
      <c r="BL247" s="176"/>
      <c r="BM247" s="176"/>
      <c r="BN247" s="176"/>
      <c r="BO247" s="176"/>
    </row>
    <row r="248" spans="1:67" s="36" customFormat="1" ht="10.5" customHeight="1" x14ac:dyDescent="0.2">
      <c r="A248" s="1055"/>
      <c r="B248" s="2594"/>
      <c r="C248" s="2595"/>
      <c r="D248" s="2596"/>
      <c r="E248" s="2395"/>
      <c r="F248" s="2396"/>
      <c r="G248" s="2590"/>
      <c r="H248" s="2591"/>
      <c r="I248" s="1081">
        <f t="shared" si="56"/>
        <v>0</v>
      </c>
      <c r="J248" s="1082">
        <f t="shared" si="57"/>
        <v>0</v>
      </c>
      <c r="K248" s="2588"/>
      <c r="L248" s="2589"/>
      <c r="M248" s="1086">
        <f t="shared" si="58"/>
        <v>0</v>
      </c>
      <c r="N248" s="506"/>
      <c r="O248" s="365">
        <f t="shared" si="59"/>
        <v>0</v>
      </c>
      <c r="P248" s="366"/>
      <c r="Q248" s="135"/>
      <c r="R248" s="136"/>
      <c r="S248" s="129"/>
      <c r="T248" s="129"/>
      <c r="U248" s="129"/>
      <c r="V248" s="129"/>
      <c r="W248" s="129"/>
      <c r="X248" s="129"/>
      <c r="Y248" s="129"/>
      <c r="Z248" s="133"/>
      <c r="AA248" s="133"/>
      <c r="AB248" s="133"/>
      <c r="AC248" s="133"/>
      <c r="AD248" s="133"/>
      <c r="AE248" s="133"/>
      <c r="AF248" s="222"/>
      <c r="AG248" s="222"/>
      <c r="AH248" s="222"/>
      <c r="AI248" s="176"/>
      <c r="AJ248" s="176"/>
      <c r="AK248" s="176"/>
      <c r="AL248" s="176"/>
      <c r="AM248" s="176"/>
      <c r="AN248" s="176"/>
      <c r="AO248" s="176"/>
      <c r="AP248" s="176"/>
      <c r="AQ248" s="176"/>
      <c r="AR248" s="176"/>
      <c r="AS248" s="176"/>
      <c r="AT248" s="176"/>
      <c r="AU248" s="176"/>
      <c r="AV248" s="176"/>
      <c r="AW248" s="176"/>
      <c r="AX248" s="176"/>
      <c r="AY248" s="176"/>
      <c r="AZ248" s="176"/>
      <c r="BA248" s="176"/>
      <c r="BB248" s="176"/>
      <c r="BC248" s="176"/>
      <c r="BD248" s="176"/>
      <c r="BE248" s="176"/>
      <c r="BF248" s="176"/>
      <c r="BG248" s="176"/>
      <c r="BH248" s="176"/>
      <c r="BI248" s="176"/>
      <c r="BJ248" s="176"/>
      <c r="BK248" s="176"/>
      <c r="BL248" s="176"/>
      <c r="BM248" s="176"/>
      <c r="BN248" s="176"/>
      <c r="BO248" s="176"/>
    </row>
    <row r="249" spans="1:67" s="36" customFormat="1" ht="10.5" customHeight="1" x14ac:dyDescent="0.2">
      <c r="A249" s="1055"/>
      <c r="B249" s="2594"/>
      <c r="C249" s="2595"/>
      <c r="D249" s="2596"/>
      <c r="E249" s="2395"/>
      <c r="F249" s="2396"/>
      <c r="G249" s="2590"/>
      <c r="H249" s="2591"/>
      <c r="I249" s="1081">
        <f t="shared" si="56"/>
        <v>0</v>
      </c>
      <c r="J249" s="1082">
        <f t="shared" si="57"/>
        <v>0</v>
      </c>
      <c r="K249" s="2588"/>
      <c r="L249" s="2589"/>
      <c r="M249" s="1086">
        <f t="shared" si="58"/>
        <v>0</v>
      </c>
      <c r="N249" s="506"/>
      <c r="O249" s="365">
        <f t="shared" si="59"/>
        <v>0</v>
      </c>
      <c r="P249" s="366"/>
      <c r="Q249" s="135"/>
      <c r="R249" s="136"/>
      <c r="S249" s="129"/>
      <c r="T249" s="129"/>
      <c r="U249" s="129"/>
      <c r="V249" s="129"/>
      <c r="W249" s="129"/>
      <c r="X249" s="129"/>
      <c r="Y249" s="129"/>
      <c r="Z249" s="133"/>
      <c r="AA249" s="133"/>
      <c r="AB249" s="133"/>
      <c r="AC249" s="133"/>
      <c r="AD249" s="133"/>
      <c r="AE249" s="133"/>
      <c r="AF249" s="222"/>
      <c r="AG249" s="222"/>
      <c r="AH249" s="222"/>
      <c r="AI249" s="176"/>
      <c r="AJ249" s="176"/>
      <c r="AK249" s="176"/>
      <c r="AL249" s="176"/>
      <c r="AM249" s="176"/>
      <c r="AN249" s="176"/>
      <c r="AO249" s="176"/>
      <c r="AP249" s="176"/>
      <c r="AQ249" s="176"/>
      <c r="AR249" s="176"/>
      <c r="AS249" s="176"/>
      <c r="AT249" s="176"/>
      <c r="AU249" s="176"/>
      <c r="AV249" s="176"/>
      <c r="AW249" s="176"/>
      <c r="AX249" s="176"/>
      <c r="AY249" s="176"/>
      <c r="AZ249" s="176"/>
      <c r="BA249" s="176"/>
      <c r="BB249" s="176"/>
      <c r="BC249" s="176"/>
      <c r="BD249" s="176"/>
      <c r="BE249" s="176"/>
      <c r="BF249" s="176"/>
      <c r="BG249" s="176"/>
      <c r="BH249" s="176"/>
      <c r="BI249" s="176"/>
      <c r="BJ249" s="176"/>
      <c r="BK249" s="176"/>
      <c r="BL249" s="176"/>
      <c r="BM249" s="176"/>
      <c r="BN249" s="176"/>
      <c r="BO249" s="176"/>
    </row>
    <row r="250" spans="1:67" s="36" customFormat="1" ht="10.5" customHeight="1" x14ac:dyDescent="0.2">
      <c r="A250" s="1055"/>
      <c r="B250" s="2594"/>
      <c r="C250" s="2595"/>
      <c r="D250" s="2596"/>
      <c r="E250" s="2395"/>
      <c r="F250" s="2396"/>
      <c r="G250" s="2590"/>
      <c r="H250" s="2591"/>
      <c r="I250" s="1081">
        <f t="shared" si="56"/>
        <v>0</v>
      </c>
      <c r="J250" s="1082">
        <f t="shared" si="57"/>
        <v>0</v>
      </c>
      <c r="K250" s="2588"/>
      <c r="L250" s="2589"/>
      <c r="M250" s="1086">
        <f t="shared" si="58"/>
        <v>0</v>
      </c>
      <c r="N250" s="506"/>
      <c r="O250" s="365">
        <f t="shared" si="59"/>
        <v>0</v>
      </c>
      <c r="P250" s="366"/>
      <c r="Q250" s="135"/>
      <c r="R250" s="136"/>
      <c r="S250" s="129"/>
      <c r="T250" s="129"/>
      <c r="U250" s="129"/>
      <c r="V250" s="129"/>
      <c r="W250" s="129"/>
      <c r="X250" s="129"/>
      <c r="Y250" s="129"/>
      <c r="Z250" s="133"/>
      <c r="AA250" s="133"/>
      <c r="AB250" s="133"/>
      <c r="AC250" s="133"/>
      <c r="AD250" s="133"/>
      <c r="AE250" s="133"/>
      <c r="AF250" s="222"/>
      <c r="AG250" s="222"/>
      <c r="AH250" s="222"/>
      <c r="AI250" s="176"/>
      <c r="AJ250" s="176"/>
      <c r="AK250" s="176"/>
      <c r="AL250" s="176"/>
      <c r="AM250" s="176"/>
      <c r="AN250" s="176"/>
      <c r="AO250" s="176"/>
      <c r="AP250" s="176"/>
      <c r="AQ250" s="176"/>
      <c r="AR250" s="176"/>
      <c r="AS250" s="176"/>
      <c r="AT250" s="176"/>
      <c r="AU250" s="176"/>
      <c r="AV250" s="176"/>
      <c r="AW250" s="176"/>
      <c r="AX250" s="176"/>
      <c r="AY250" s="176"/>
      <c r="AZ250" s="176"/>
      <c r="BA250" s="176"/>
      <c r="BB250" s="176"/>
      <c r="BC250" s="176"/>
      <c r="BD250" s="176"/>
      <c r="BE250" s="176"/>
      <c r="BF250" s="176"/>
      <c r="BG250" s="176"/>
      <c r="BH250" s="176"/>
      <c r="BI250" s="176"/>
      <c r="BJ250" s="176"/>
      <c r="BK250" s="176"/>
      <c r="BL250" s="176"/>
      <c r="BM250" s="176"/>
      <c r="BN250" s="176"/>
      <c r="BO250" s="176"/>
    </row>
    <row r="251" spans="1:67" s="36" customFormat="1" ht="10.5" customHeight="1" x14ac:dyDescent="0.2">
      <c r="A251" s="1348"/>
      <c r="B251" s="2690"/>
      <c r="C251" s="2691"/>
      <c r="D251" s="2692"/>
      <c r="E251" s="2601"/>
      <c r="F251" s="2602"/>
      <c r="G251" s="1088"/>
      <c r="H251" s="1089"/>
      <c r="I251" s="1083">
        <f t="shared" si="56"/>
        <v>0</v>
      </c>
      <c r="J251" s="1084"/>
      <c r="K251" s="1087"/>
      <c r="L251" s="1307"/>
      <c r="M251" s="1317">
        <f t="shared" si="58"/>
        <v>0</v>
      </c>
      <c r="N251" s="506"/>
      <c r="O251" s="365">
        <f t="shared" si="59"/>
        <v>0</v>
      </c>
      <c r="P251" s="366"/>
      <c r="Q251" s="135"/>
      <c r="R251" s="136"/>
      <c r="S251" s="129"/>
      <c r="T251" s="129"/>
      <c r="U251" s="129"/>
      <c r="V251" s="129"/>
      <c r="W251" s="129"/>
      <c r="X251" s="129"/>
      <c r="Y251" s="129"/>
      <c r="Z251" s="133"/>
      <c r="AA251" s="133"/>
      <c r="AB251" s="133"/>
      <c r="AC251" s="133"/>
      <c r="AD251" s="133"/>
      <c r="AE251" s="133"/>
      <c r="AF251" s="222"/>
      <c r="AG251" s="222"/>
      <c r="AH251" s="222"/>
      <c r="AI251" s="176"/>
      <c r="AJ251" s="176"/>
      <c r="AK251" s="176"/>
      <c r="AL251" s="176"/>
      <c r="AM251" s="176"/>
      <c r="AN251" s="176"/>
      <c r="AO251" s="176"/>
      <c r="AP251" s="176"/>
      <c r="AQ251" s="176"/>
      <c r="AR251" s="176"/>
      <c r="AS251" s="176"/>
      <c r="AT251" s="176"/>
      <c r="AU251" s="176"/>
      <c r="AV251" s="176"/>
      <c r="AW251" s="176"/>
      <c r="AX251" s="176"/>
      <c r="AY251" s="176"/>
      <c r="AZ251" s="176"/>
      <c r="BA251" s="176"/>
      <c r="BB251" s="176"/>
      <c r="BC251" s="176"/>
      <c r="BD251" s="176"/>
      <c r="BE251" s="176"/>
      <c r="BF251" s="176"/>
      <c r="BG251" s="176"/>
      <c r="BH251" s="176"/>
      <c r="BI251" s="176"/>
      <c r="BJ251" s="176"/>
      <c r="BK251" s="176"/>
      <c r="BL251" s="176"/>
      <c r="BM251" s="176"/>
      <c r="BN251" s="176"/>
      <c r="BO251" s="176"/>
    </row>
    <row r="252" spans="1:67" s="36" customFormat="1" ht="10.5" customHeight="1" x14ac:dyDescent="0.2">
      <c r="A252" s="1115" t="s">
        <v>341</v>
      </c>
      <c r="B252" s="2611"/>
      <c r="C252" s="2612"/>
      <c r="D252" s="2613"/>
      <c r="E252" s="2676">
        <f>SUM(E253:E265)</f>
        <v>0</v>
      </c>
      <c r="F252" s="2677"/>
      <c r="G252" s="2678"/>
      <c r="H252" s="2679"/>
      <c r="I252" s="1116">
        <f>IF(E252=0,0,J252/E252)</f>
        <v>0</v>
      </c>
      <c r="J252" s="1117">
        <f>SUM(J253:J265)</f>
        <v>0</v>
      </c>
      <c r="K252" s="2686">
        <f>IF(E252=0,0,M252/E252*100)</f>
        <v>0</v>
      </c>
      <c r="L252" s="2687"/>
      <c r="M252" s="1118">
        <f>SUM(M253:M265)</f>
        <v>0</v>
      </c>
      <c r="N252" s="506"/>
      <c r="O252" s="178">
        <f>IF(H252="",G252,H252)</f>
        <v>0</v>
      </c>
      <c r="P252" s="366"/>
      <c r="Q252" s="135"/>
      <c r="R252" s="136"/>
      <c r="S252" s="129"/>
      <c r="T252" s="129"/>
      <c r="U252" s="129"/>
      <c r="V252" s="129"/>
      <c r="W252" s="129"/>
      <c r="X252" s="129"/>
      <c r="Y252" s="129"/>
      <c r="Z252" s="133"/>
      <c r="AA252" s="133"/>
      <c r="AB252" s="133"/>
      <c r="AC252" s="133"/>
      <c r="AD252" s="133"/>
      <c r="AE252" s="133"/>
      <c r="AF252" s="222"/>
      <c r="AG252" s="222"/>
      <c r="AH252" s="222"/>
      <c r="AI252" s="176"/>
      <c r="AJ252" s="176"/>
      <c r="AK252" s="176"/>
      <c r="AL252" s="176"/>
      <c r="AM252" s="176"/>
      <c r="AN252" s="176"/>
      <c r="AO252" s="176"/>
      <c r="AP252" s="176"/>
      <c r="AQ252" s="176"/>
      <c r="AR252" s="176"/>
      <c r="AS252" s="176"/>
      <c r="AT252" s="176"/>
      <c r="AU252" s="176"/>
      <c r="AV252" s="176"/>
      <c r="AW252" s="176"/>
      <c r="AX252" s="176"/>
      <c r="AY252" s="176"/>
      <c r="AZ252" s="176"/>
      <c r="BA252" s="176"/>
      <c r="BB252" s="176"/>
      <c r="BC252" s="176"/>
      <c r="BD252" s="176"/>
      <c r="BE252" s="176"/>
      <c r="BF252" s="176"/>
      <c r="BG252" s="176"/>
      <c r="BH252" s="176"/>
      <c r="BI252" s="176"/>
      <c r="BJ252" s="176"/>
      <c r="BK252" s="176"/>
      <c r="BL252" s="176"/>
      <c r="BM252" s="176"/>
      <c r="BN252" s="176"/>
      <c r="BO252" s="176"/>
    </row>
    <row r="253" spans="1:67" s="36" customFormat="1" ht="10.5" customHeight="1" x14ac:dyDescent="0.2">
      <c r="A253" s="1359" t="s">
        <v>342</v>
      </c>
      <c r="B253" s="2743"/>
      <c r="C253" s="2744"/>
      <c r="D253" s="2745"/>
      <c r="E253" s="2746"/>
      <c r="F253" s="2788"/>
      <c r="G253" s="1056">
        <v>15</v>
      </c>
      <c r="H253" s="1057"/>
      <c r="I253" s="1079">
        <f t="shared" ref="I253:I266" si="60">IF($O253&gt;0,-PMT(($I$9),$O253,1),0)</f>
        <v>7.9288524964265278E-2</v>
      </c>
      <c r="J253" s="1080">
        <f t="shared" ref="J253:J265" si="61">ROUND(E253*I253,0)</f>
        <v>0</v>
      </c>
      <c r="K253" s="1060">
        <v>1.5</v>
      </c>
      <c r="L253" s="1304"/>
      <c r="M253" s="1085">
        <f t="shared" ref="M253:M266" si="62">ROUND(E253/100*IF(ISBLANK(L253),K253,L253),0)</f>
        <v>0</v>
      </c>
      <c r="N253" s="506"/>
      <c r="O253" s="365">
        <f t="shared" ref="O253:O266" si="63">IF(ISBLANK(H253),G253,H253)</f>
        <v>15</v>
      </c>
      <c r="P253" s="366"/>
      <c r="Q253" s="135"/>
      <c r="R253" s="136"/>
      <c r="S253" s="129"/>
      <c r="T253" s="129"/>
      <c r="U253" s="129"/>
      <c r="V253" s="129"/>
      <c r="W253" s="129"/>
      <c r="X253" s="129"/>
      <c r="Y253" s="129"/>
      <c r="Z253" s="133"/>
      <c r="AA253" s="133"/>
      <c r="AB253" s="133"/>
      <c r="AC253" s="133"/>
      <c r="AD253" s="133"/>
      <c r="AE253" s="133"/>
      <c r="AF253" s="222"/>
      <c r="AG253" s="222"/>
      <c r="AH253" s="222"/>
      <c r="AI253" s="176"/>
      <c r="AJ253" s="176"/>
      <c r="AK253" s="176"/>
      <c r="AL253" s="176"/>
      <c r="AM253" s="176"/>
      <c r="AN253" s="176"/>
      <c r="AO253" s="176"/>
      <c r="AP253" s="176"/>
      <c r="AQ253" s="176"/>
      <c r="AR253" s="176"/>
      <c r="AS253" s="176"/>
      <c r="AT253" s="176"/>
      <c r="AU253" s="176"/>
      <c r="AV253" s="176"/>
      <c r="AW253" s="176"/>
      <c r="AX253" s="176"/>
      <c r="AY253" s="176"/>
      <c r="AZ253" s="176"/>
      <c r="BA253" s="176"/>
      <c r="BB253" s="176"/>
      <c r="BC253" s="176"/>
      <c r="BD253" s="176"/>
      <c r="BE253" s="176"/>
      <c r="BF253" s="176"/>
      <c r="BG253" s="176"/>
      <c r="BH253" s="176"/>
      <c r="BI253" s="176"/>
      <c r="BJ253" s="176"/>
      <c r="BK253" s="176"/>
      <c r="BL253" s="176"/>
      <c r="BM253" s="176"/>
      <c r="BN253" s="176"/>
      <c r="BO253" s="176"/>
    </row>
    <row r="254" spans="1:67" s="36" customFormat="1" ht="10.5" customHeight="1" x14ac:dyDescent="0.2">
      <c r="A254" s="1043" t="s">
        <v>343</v>
      </c>
      <c r="B254" s="2594"/>
      <c r="C254" s="2595"/>
      <c r="D254" s="2596"/>
      <c r="E254" s="2395"/>
      <c r="F254" s="2789"/>
      <c r="G254" s="1058">
        <v>15</v>
      </c>
      <c r="H254" s="1059"/>
      <c r="I254" s="1081">
        <f t="shared" si="60"/>
        <v>7.9288524964265278E-2</v>
      </c>
      <c r="J254" s="1082">
        <f t="shared" si="61"/>
        <v>0</v>
      </c>
      <c r="K254" s="1061">
        <v>1</v>
      </c>
      <c r="L254" s="1305"/>
      <c r="M254" s="1086">
        <f t="shared" si="62"/>
        <v>0</v>
      </c>
      <c r="N254" s="506"/>
      <c r="O254" s="365">
        <f t="shared" si="63"/>
        <v>15</v>
      </c>
      <c r="P254" s="366"/>
      <c r="Q254" s="135"/>
      <c r="R254" s="136"/>
      <c r="S254" s="129"/>
      <c r="T254" s="129"/>
      <c r="U254" s="129"/>
      <c r="V254" s="129"/>
      <c r="W254" s="129"/>
      <c r="X254" s="129"/>
      <c r="Y254" s="129"/>
      <c r="Z254" s="133"/>
      <c r="AA254" s="133"/>
      <c r="AB254" s="133"/>
      <c r="AC254" s="133"/>
      <c r="AD254" s="133"/>
      <c r="AE254" s="133"/>
      <c r="AF254" s="222"/>
      <c r="AG254" s="222"/>
      <c r="AH254" s="222"/>
      <c r="AI254" s="176"/>
      <c r="AJ254" s="176"/>
      <c r="AK254" s="176"/>
      <c r="AL254" s="176"/>
      <c r="AM254" s="176"/>
      <c r="AN254" s="176"/>
      <c r="AO254" s="176"/>
      <c r="AP254" s="176"/>
      <c r="AQ254" s="176"/>
      <c r="AR254" s="176"/>
      <c r="AS254" s="176"/>
      <c r="AT254" s="176"/>
      <c r="AU254" s="176"/>
      <c r="AV254" s="176"/>
      <c r="AW254" s="176"/>
      <c r="AX254" s="176"/>
      <c r="AY254" s="176"/>
      <c r="AZ254" s="176"/>
      <c r="BA254" s="176"/>
      <c r="BB254" s="176"/>
      <c r="BC254" s="176"/>
      <c r="BD254" s="176"/>
      <c r="BE254" s="176"/>
      <c r="BF254" s="176"/>
      <c r="BG254" s="176"/>
      <c r="BH254" s="176"/>
      <c r="BI254" s="176"/>
      <c r="BJ254" s="176"/>
      <c r="BK254" s="176"/>
      <c r="BL254" s="176"/>
      <c r="BM254" s="176"/>
      <c r="BN254" s="176"/>
      <c r="BO254" s="176"/>
    </row>
    <row r="255" spans="1:67" s="36" customFormat="1" ht="10.5" customHeight="1" x14ac:dyDescent="0.2">
      <c r="A255" s="1043" t="s">
        <v>344</v>
      </c>
      <c r="B255" s="2594"/>
      <c r="C255" s="2595"/>
      <c r="D255" s="2596"/>
      <c r="E255" s="2395"/>
      <c r="F255" s="2789"/>
      <c r="G255" s="1058">
        <v>15</v>
      </c>
      <c r="H255" s="1059"/>
      <c r="I255" s="1081">
        <f t="shared" si="60"/>
        <v>7.9288524964265278E-2</v>
      </c>
      <c r="J255" s="1082">
        <f t="shared" si="61"/>
        <v>0</v>
      </c>
      <c r="K255" s="1061">
        <v>1.5</v>
      </c>
      <c r="L255" s="1305"/>
      <c r="M255" s="1086">
        <f t="shared" si="62"/>
        <v>0</v>
      </c>
      <c r="N255" s="506"/>
      <c r="O255" s="365">
        <f t="shared" si="63"/>
        <v>15</v>
      </c>
      <c r="P255" s="366"/>
      <c r="Q255" s="135"/>
      <c r="R255" s="136"/>
      <c r="S255" s="129"/>
      <c r="T255" s="129"/>
      <c r="U255" s="129"/>
      <c r="V255" s="129"/>
      <c r="W255" s="129"/>
      <c r="X255" s="129"/>
      <c r="Y255" s="129"/>
      <c r="Z255" s="133"/>
      <c r="AA255" s="133"/>
      <c r="AB255" s="133"/>
      <c r="AC255" s="133"/>
      <c r="AD255" s="133"/>
      <c r="AE255" s="133"/>
      <c r="AF255" s="222"/>
      <c r="AG255" s="222"/>
      <c r="AH255" s="222"/>
      <c r="AI255" s="176"/>
      <c r="AJ255" s="176"/>
      <c r="AK255" s="176"/>
      <c r="AL255" s="176"/>
      <c r="AM255" s="176"/>
      <c r="AN255" s="176"/>
      <c r="AO255" s="176"/>
      <c r="AP255" s="176"/>
      <c r="AQ255" s="176"/>
      <c r="AR255" s="176"/>
      <c r="AS255" s="176"/>
      <c r="AT255" s="176"/>
      <c r="AU255" s="176"/>
      <c r="AV255" s="176"/>
      <c r="AW255" s="176"/>
      <c r="AX255" s="176"/>
      <c r="AY255" s="176"/>
      <c r="AZ255" s="176"/>
      <c r="BA255" s="176"/>
      <c r="BB255" s="176"/>
      <c r="BC255" s="176"/>
      <c r="BD255" s="176"/>
      <c r="BE255" s="176"/>
      <c r="BF255" s="176"/>
      <c r="BG255" s="176"/>
      <c r="BH255" s="176"/>
      <c r="BI255" s="176"/>
      <c r="BJ255" s="176"/>
      <c r="BK255" s="176"/>
      <c r="BL255" s="176"/>
      <c r="BM255" s="176"/>
      <c r="BN255" s="176"/>
      <c r="BO255" s="176"/>
    </row>
    <row r="256" spans="1:67" s="36" customFormat="1" ht="10.5" customHeight="1" x14ac:dyDescent="0.2">
      <c r="A256" s="1043" t="s">
        <v>345</v>
      </c>
      <c r="B256" s="2594"/>
      <c r="C256" s="2595"/>
      <c r="D256" s="2596"/>
      <c r="E256" s="2395"/>
      <c r="F256" s="2789"/>
      <c r="G256" s="1058">
        <v>15</v>
      </c>
      <c r="H256" s="1059"/>
      <c r="I256" s="1081">
        <f t="shared" si="60"/>
        <v>7.9288524964265278E-2</v>
      </c>
      <c r="J256" s="1082">
        <f t="shared" si="61"/>
        <v>0</v>
      </c>
      <c r="K256" s="1061">
        <v>0</v>
      </c>
      <c r="L256" s="1305"/>
      <c r="M256" s="1086">
        <f t="shared" si="62"/>
        <v>0</v>
      </c>
      <c r="N256" s="506"/>
      <c r="O256" s="365">
        <f t="shared" si="63"/>
        <v>15</v>
      </c>
      <c r="P256" s="366"/>
      <c r="Q256" s="135"/>
      <c r="R256" s="136"/>
      <c r="S256" s="129"/>
      <c r="T256" s="129"/>
      <c r="U256" s="129"/>
      <c r="V256" s="129"/>
      <c r="W256" s="129"/>
      <c r="X256" s="129"/>
      <c r="Y256" s="129"/>
      <c r="Z256" s="133"/>
      <c r="AA256" s="133"/>
      <c r="AB256" s="133"/>
      <c r="AC256" s="133"/>
      <c r="AD256" s="133"/>
      <c r="AE256" s="133"/>
      <c r="AF256" s="222"/>
      <c r="AG256" s="222"/>
      <c r="AH256" s="222"/>
      <c r="AI256" s="176"/>
      <c r="AJ256" s="176"/>
      <c r="AK256" s="176"/>
      <c r="AL256" s="176"/>
      <c r="AM256" s="176"/>
      <c r="AN256" s="176"/>
      <c r="AO256" s="176"/>
      <c r="AP256" s="176"/>
      <c r="AQ256" s="176"/>
      <c r="AR256" s="176"/>
      <c r="AS256" s="176"/>
      <c r="AT256" s="176"/>
      <c r="AU256" s="176"/>
      <c r="AV256" s="176"/>
      <c r="AW256" s="176"/>
      <c r="AX256" s="176"/>
      <c r="AY256" s="176"/>
      <c r="AZ256" s="176"/>
      <c r="BA256" s="176"/>
      <c r="BB256" s="176"/>
      <c r="BC256" s="176"/>
      <c r="BD256" s="176"/>
      <c r="BE256" s="176"/>
      <c r="BF256" s="176"/>
      <c r="BG256" s="176"/>
      <c r="BH256" s="176"/>
      <c r="BI256" s="176"/>
      <c r="BJ256" s="176"/>
      <c r="BK256" s="176"/>
      <c r="BL256" s="176"/>
      <c r="BM256" s="176"/>
      <c r="BN256" s="176"/>
      <c r="BO256" s="176"/>
    </row>
    <row r="257" spans="1:67" s="36" customFormat="1" ht="10.5" customHeight="1" x14ac:dyDescent="0.2">
      <c r="A257" s="1055"/>
      <c r="B257" s="2594"/>
      <c r="C257" s="2595"/>
      <c r="D257" s="2596"/>
      <c r="E257" s="2395"/>
      <c r="F257" s="2396"/>
      <c r="G257" s="2590"/>
      <c r="H257" s="2591"/>
      <c r="I257" s="1081">
        <f t="shared" si="60"/>
        <v>0</v>
      </c>
      <c r="J257" s="1082">
        <f t="shared" si="61"/>
        <v>0</v>
      </c>
      <c r="K257" s="2588"/>
      <c r="L257" s="2589"/>
      <c r="M257" s="1086">
        <f t="shared" si="62"/>
        <v>0</v>
      </c>
      <c r="N257" s="506"/>
      <c r="O257" s="365">
        <f t="shared" si="63"/>
        <v>0</v>
      </c>
      <c r="P257" s="366"/>
      <c r="Q257" s="135"/>
      <c r="R257" s="136"/>
      <c r="S257" s="129"/>
      <c r="T257" s="129"/>
      <c r="U257" s="129"/>
      <c r="V257" s="129"/>
      <c r="W257" s="129"/>
      <c r="X257" s="129"/>
      <c r="Y257" s="129"/>
      <c r="Z257" s="133"/>
      <c r="AA257" s="133"/>
      <c r="AB257" s="133"/>
      <c r="AC257" s="133"/>
      <c r="AD257" s="133"/>
      <c r="AE257" s="133"/>
      <c r="AF257" s="222"/>
      <c r="AG257" s="222"/>
      <c r="AH257" s="222"/>
      <c r="AI257" s="176"/>
      <c r="AJ257" s="176"/>
      <c r="AK257" s="176"/>
      <c r="AL257" s="176"/>
      <c r="AM257" s="176"/>
      <c r="AN257" s="176"/>
      <c r="AO257" s="176"/>
      <c r="AP257" s="176"/>
      <c r="AQ257" s="176"/>
      <c r="AR257" s="176"/>
      <c r="AS257" s="176"/>
      <c r="AT257" s="176"/>
      <c r="AU257" s="176"/>
      <c r="AV257" s="176"/>
      <c r="AW257" s="176"/>
      <c r="AX257" s="176"/>
      <c r="AY257" s="176"/>
      <c r="AZ257" s="176"/>
      <c r="BA257" s="176"/>
      <c r="BB257" s="176"/>
      <c r="BC257" s="176"/>
      <c r="BD257" s="176"/>
      <c r="BE257" s="176"/>
      <c r="BF257" s="176"/>
      <c r="BG257" s="176"/>
      <c r="BH257" s="176"/>
      <c r="BI257" s="176"/>
      <c r="BJ257" s="176"/>
      <c r="BK257" s="176"/>
      <c r="BL257" s="176"/>
      <c r="BM257" s="176"/>
      <c r="BN257" s="176"/>
      <c r="BO257" s="176"/>
    </row>
    <row r="258" spans="1:67" s="36" customFormat="1" ht="10.5" customHeight="1" x14ac:dyDescent="0.2">
      <c r="A258" s="1055"/>
      <c r="B258" s="2594"/>
      <c r="C258" s="2595"/>
      <c r="D258" s="2596"/>
      <c r="E258" s="2395"/>
      <c r="F258" s="2396"/>
      <c r="G258" s="2590"/>
      <c r="H258" s="2591"/>
      <c r="I258" s="1081">
        <f t="shared" si="60"/>
        <v>0</v>
      </c>
      <c r="J258" s="1082">
        <f t="shared" si="61"/>
        <v>0</v>
      </c>
      <c r="K258" s="2588"/>
      <c r="L258" s="2589"/>
      <c r="M258" s="1086">
        <f t="shared" si="62"/>
        <v>0</v>
      </c>
      <c r="N258" s="506"/>
      <c r="O258" s="365">
        <f t="shared" si="63"/>
        <v>0</v>
      </c>
      <c r="P258" s="366"/>
      <c r="Q258" s="135"/>
      <c r="R258" s="136"/>
      <c r="S258" s="129"/>
      <c r="T258" s="129"/>
      <c r="U258" s="129"/>
      <c r="V258" s="129"/>
      <c r="W258" s="129"/>
      <c r="X258" s="129"/>
      <c r="Y258" s="129"/>
      <c r="Z258" s="133"/>
      <c r="AA258" s="133"/>
      <c r="AB258" s="133"/>
      <c r="AC258" s="133"/>
      <c r="AD258" s="133"/>
      <c r="AE258" s="133"/>
      <c r="AF258" s="222"/>
      <c r="AG258" s="222"/>
      <c r="AH258" s="222"/>
      <c r="AI258" s="176"/>
      <c r="AJ258" s="176"/>
      <c r="AK258" s="176"/>
      <c r="AL258" s="176"/>
      <c r="AM258" s="176"/>
      <c r="AN258" s="176"/>
      <c r="AO258" s="176"/>
      <c r="AP258" s="176"/>
      <c r="AQ258" s="176"/>
      <c r="AR258" s="176"/>
      <c r="AS258" s="176"/>
      <c r="AT258" s="176"/>
      <c r="AU258" s="176"/>
      <c r="AV258" s="176"/>
      <c r="AW258" s="176"/>
      <c r="AX258" s="176"/>
      <c r="AY258" s="176"/>
      <c r="AZ258" s="176"/>
      <c r="BA258" s="176"/>
      <c r="BB258" s="176"/>
      <c r="BC258" s="176"/>
      <c r="BD258" s="176"/>
      <c r="BE258" s="176"/>
      <c r="BF258" s="176"/>
      <c r="BG258" s="176"/>
      <c r="BH258" s="176"/>
      <c r="BI258" s="176"/>
      <c r="BJ258" s="176"/>
      <c r="BK258" s="176"/>
      <c r="BL258" s="176"/>
      <c r="BM258" s="176"/>
      <c r="BN258" s="176"/>
      <c r="BO258" s="176"/>
    </row>
    <row r="259" spans="1:67" s="36" customFormat="1" ht="10.5" customHeight="1" x14ac:dyDescent="0.2">
      <c r="A259" s="1055"/>
      <c r="B259" s="2594"/>
      <c r="C259" s="2595"/>
      <c r="D259" s="2596"/>
      <c r="E259" s="2395"/>
      <c r="F259" s="2396"/>
      <c r="G259" s="2590"/>
      <c r="H259" s="2591"/>
      <c r="I259" s="1081">
        <f t="shared" si="60"/>
        <v>0</v>
      </c>
      <c r="J259" s="1082">
        <f t="shared" si="61"/>
        <v>0</v>
      </c>
      <c r="K259" s="2588"/>
      <c r="L259" s="2589"/>
      <c r="M259" s="1086">
        <f t="shared" si="62"/>
        <v>0</v>
      </c>
      <c r="N259" s="506"/>
      <c r="O259" s="365">
        <f t="shared" si="63"/>
        <v>0</v>
      </c>
      <c r="P259" s="366"/>
      <c r="Q259" s="135"/>
      <c r="R259" s="136"/>
      <c r="S259" s="129"/>
      <c r="T259" s="129"/>
      <c r="U259" s="129"/>
      <c r="V259" s="129"/>
      <c r="W259" s="129"/>
      <c r="X259" s="129"/>
      <c r="Y259" s="129"/>
      <c r="Z259" s="133"/>
      <c r="AA259" s="133"/>
      <c r="AB259" s="133"/>
      <c r="AC259" s="133"/>
      <c r="AD259" s="133"/>
      <c r="AE259" s="133"/>
      <c r="AF259" s="222"/>
      <c r="AG259" s="222"/>
      <c r="AH259" s="222"/>
      <c r="AI259" s="176"/>
      <c r="AJ259" s="176"/>
      <c r="AK259" s="176"/>
      <c r="AL259" s="176"/>
      <c r="AM259" s="176"/>
      <c r="AN259" s="176"/>
      <c r="AO259" s="176"/>
      <c r="AP259" s="176"/>
      <c r="AQ259" s="176"/>
      <c r="AR259" s="176"/>
      <c r="AS259" s="176"/>
      <c r="AT259" s="176"/>
      <c r="AU259" s="176"/>
      <c r="AV259" s="176"/>
      <c r="AW259" s="176"/>
      <c r="AX259" s="176"/>
      <c r="AY259" s="176"/>
      <c r="AZ259" s="176"/>
      <c r="BA259" s="176"/>
      <c r="BB259" s="176"/>
      <c r="BC259" s="176"/>
      <c r="BD259" s="176"/>
      <c r="BE259" s="176"/>
      <c r="BF259" s="176"/>
      <c r="BG259" s="176"/>
      <c r="BH259" s="176"/>
      <c r="BI259" s="176"/>
      <c r="BJ259" s="176"/>
      <c r="BK259" s="176"/>
      <c r="BL259" s="176"/>
      <c r="BM259" s="176"/>
      <c r="BN259" s="176"/>
      <c r="BO259" s="176"/>
    </row>
    <row r="260" spans="1:67" s="36" customFormat="1" ht="10.5" customHeight="1" x14ac:dyDescent="0.2">
      <c r="A260" s="1055"/>
      <c r="B260" s="2594"/>
      <c r="C260" s="2595"/>
      <c r="D260" s="2596"/>
      <c r="E260" s="2395"/>
      <c r="F260" s="2396"/>
      <c r="G260" s="2590"/>
      <c r="H260" s="2591"/>
      <c r="I260" s="1081">
        <f t="shared" si="60"/>
        <v>0</v>
      </c>
      <c r="J260" s="1082">
        <f t="shared" si="61"/>
        <v>0</v>
      </c>
      <c r="K260" s="2588"/>
      <c r="L260" s="2589"/>
      <c r="M260" s="1086">
        <f t="shared" si="62"/>
        <v>0</v>
      </c>
      <c r="N260" s="506"/>
      <c r="O260" s="365">
        <f t="shared" si="63"/>
        <v>0</v>
      </c>
      <c r="P260" s="366"/>
      <c r="Q260" s="135"/>
      <c r="R260" s="136"/>
      <c r="S260" s="129"/>
      <c r="T260" s="129"/>
      <c r="U260" s="129"/>
      <c r="V260" s="129"/>
      <c r="W260" s="129"/>
      <c r="X260" s="129"/>
      <c r="Y260" s="129"/>
      <c r="Z260" s="133"/>
      <c r="AA260" s="133"/>
      <c r="AB260" s="133"/>
      <c r="AC260" s="133"/>
      <c r="AD260" s="133"/>
      <c r="AE260" s="133"/>
      <c r="AF260" s="222"/>
      <c r="AG260" s="222"/>
      <c r="AH260" s="222"/>
      <c r="AI260" s="176"/>
      <c r="AJ260" s="176"/>
      <c r="AK260" s="176"/>
      <c r="AL260" s="176"/>
      <c r="AM260" s="176"/>
      <c r="AN260" s="176"/>
      <c r="AO260" s="176"/>
      <c r="AP260" s="176"/>
      <c r="AQ260" s="176"/>
      <c r="AR260" s="176"/>
      <c r="AS260" s="176"/>
      <c r="AT260" s="176"/>
      <c r="AU260" s="176"/>
      <c r="AV260" s="176"/>
      <c r="AW260" s="176"/>
      <c r="AX260" s="176"/>
      <c r="AY260" s="176"/>
      <c r="AZ260" s="176"/>
      <c r="BA260" s="176"/>
      <c r="BB260" s="176"/>
      <c r="BC260" s="176"/>
      <c r="BD260" s="176"/>
      <c r="BE260" s="176"/>
      <c r="BF260" s="176"/>
      <c r="BG260" s="176"/>
      <c r="BH260" s="176"/>
      <c r="BI260" s="176"/>
      <c r="BJ260" s="176"/>
      <c r="BK260" s="176"/>
      <c r="BL260" s="176"/>
      <c r="BM260" s="176"/>
      <c r="BN260" s="176"/>
      <c r="BO260" s="176"/>
    </row>
    <row r="261" spans="1:67" s="36" customFormat="1" ht="10.5" customHeight="1" x14ac:dyDescent="0.2">
      <c r="A261" s="1055"/>
      <c r="B261" s="2594"/>
      <c r="C261" s="2595"/>
      <c r="D261" s="2596"/>
      <c r="E261" s="2395"/>
      <c r="F261" s="2396"/>
      <c r="G261" s="2590"/>
      <c r="H261" s="2591"/>
      <c r="I261" s="1081">
        <f t="shared" si="60"/>
        <v>0</v>
      </c>
      <c r="J261" s="1082">
        <f t="shared" si="61"/>
        <v>0</v>
      </c>
      <c r="K261" s="2588"/>
      <c r="L261" s="2589"/>
      <c r="M261" s="1086">
        <f t="shared" si="62"/>
        <v>0</v>
      </c>
      <c r="N261" s="506"/>
      <c r="O261" s="365">
        <f t="shared" si="63"/>
        <v>0</v>
      </c>
      <c r="P261" s="366"/>
      <c r="Q261" s="135"/>
      <c r="R261" s="136"/>
      <c r="S261" s="129"/>
      <c r="T261" s="129"/>
      <c r="U261" s="129"/>
      <c r="V261" s="129"/>
      <c r="W261" s="129"/>
      <c r="X261" s="129"/>
      <c r="Y261" s="129"/>
      <c r="Z261" s="133"/>
      <c r="AA261" s="133"/>
      <c r="AB261" s="133"/>
      <c r="AC261" s="133"/>
      <c r="AD261" s="133"/>
      <c r="AE261" s="133"/>
      <c r="AF261" s="222"/>
      <c r="AG261" s="222"/>
      <c r="AH261" s="222"/>
      <c r="AI261" s="176"/>
      <c r="AJ261" s="176"/>
      <c r="AK261" s="176"/>
      <c r="AL261" s="176"/>
      <c r="AM261" s="176"/>
      <c r="AN261" s="176"/>
      <c r="AO261" s="176"/>
      <c r="AP261" s="176"/>
      <c r="AQ261" s="176"/>
      <c r="AR261" s="176"/>
      <c r="AS261" s="176"/>
      <c r="AT261" s="176"/>
      <c r="AU261" s="176"/>
      <c r="AV261" s="176"/>
      <c r="AW261" s="176"/>
      <c r="AX261" s="176"/>
      <c r="AY261" s="176"/>
      <c r="AZ261" s="176"/>
      <c r="BA261" s="176"/>
      <c r="BB261" s="176"/>
      <c r="BC261" s="176"/>
      <c r="BD261" s="176"/>
      <c r="BE261" s="176"/>
      <c r="BF261" s="176"/>
      <c r="BG261" s="176"/>
      <c r="BH261" s="176"/>
      <c r="BI261" s="176"/>
      <c r="BJ261" s="176"/>
      <c r="BK261" s="176"/>
      <c r="BL261" s="176"/>
      <c r="BM261" s="176"/>
      <c r="BN261" s="176"/>
      <c r="BO261" s="176"/>
    </row>
    <row r="262" spans="1:67" s="36" customFormat="1" ht="10.5" customHeight="1" x14ac:dyDescent="0.2">
      <c r="A262" s="1055"/>
      <c r="B262" s="2594"/>
      <c r="C262" s="2595"/>
      <c r="D262" s="2596"/>
      <c r="E262" s="2395"/>
      <c r="F262" s="2396"/>
      <c r="G262" s="2590"/>
      <c r="H262" s="2591"/>
      <c r="I262" s="1081">
        <f t="shared" si="60"/>
        <v>0</v>
      </c>
      <c r="J262" s="1082">
        <f t="shared" si="61"/>
        <v>0</v>
      </c>
      <c r="K262" s="2588"/>
      <c r="L262" s="2589"/>
      <c r="M262" s="1086">
        <f t="shared" si="62"/>
        <v>0</v>
      </c>
      <c r="N262" s="506"/>
      <c r="O262" s="365">
        <f t="shared" si="63"/>
        <v>0</v>
      </c>
      <c r="P262" s="366"/>
      <c r="Q262" s="135"/>
      <c r="R262" s="136"/>
      <c r="S262" s="129"/>
      <c r="T262" s="129"/>
      <c r="U262" s="129"/>
      <c r="V262" s="129"/>
      <c r="W262" s="129"/>
      <c r="X262" s="129"/>
      <c r="Y262" s="129"/>
      <c r="Z262" s="133"/>
      <c r="AA262" s="133"/>
      <c r="AB262" s="133"/>
      <c r="AC262" s="133"/>
      <c r="AD262" s="133"/>
      <c r="AE262" s="133"/>
      <c r="AF262" s="222"/>
      <c r="AG262" s="222"/>
      <c r="AH262" s="222"/>
      <c r="AI262" s="176"/>
      <c r="AJ262" s="176"/>
      <c r="AK262" s="176"/>
      <c r="AL262" s="176"/>
      <c r="AM262" s="176"/>
      <c r="AN262" s="176"/>
      <c r="AO262" s="176"/>
      <c r="AP262" s="176"/>
      <c r="AQ262" s="176"/>
      <c r="AR262" s="176"/>
      <c r="AS262" s="176"/>
      <c r="AT262" s="176"/>
      <c r="AU262" s="176"/>
      <c r="AV262" s="176"/>
      <c r="AW262" s="176"/>
      <c r="AX262" s="176"/>
      <c r="AY262" s="176"/>
      <c r="AZ262" s="176"/>
      <c r="BA262" s="176"/>
      <c r="BB262" s="176"/>
      <c r="BC262" s="176"/>
      <c r="BD262" s="176"/>
      <c r="BE262" s="176"/>
      <c r="BF262" s="176"/>
      <c r="BG262" s="176"/>
      <c r="BH262" s="176"/>
      <c r="BI262" s="176"/>
      <c r="BJ262" s="176"/>
      <c r="BK262" s="176"/>
      <c r="BL262" s="176"/>
      <c r="BM262" s="176"/>
      <c r="BN262" s="176"/>
      <c r="BO262" s="176"/>
    </row>
    <row r="263" spans="1:67" s="36" customFormat="1" ht="10.5" customHeight="1" x14ac:dyDescent="0.2">
      <c r="A263" s="1055"/>
      <c r="B263" s="2594"/>
      <c r="C263" s="2595"/>
      <c r="D263" s="2596"/>
      <c r="E263" s="2395"/>
      <c r="F263" s="2396"/>
      <c r="G263" s="2590"/>
      <c r="H263" s="2591"/>
      <c r="I263" s="1081">
        <f t="shared" si="60"/>
        <v>0</v>
      </c>
      <c r="J263" s="1082">
        <f t="shared" si="61"/>
        <v>0</v>
      </c>
      <c r="K263" s="2588"/>
      <c r="L263" s="2589"/>
      <c r="M263" s="1086">
        <f t="shared" si="62"/>
        <v>0</v>
      </c>
      <c r="N263" s="506"/>
      <c r="O263" s="365">
        <f t="shared" si="63"/>
        <v>0</v>
      </c>
      <c r="P263" s="366"/>
      <c r="Q263" s="135"/>
      <c r="R263" s="136"/>
      <c r="S263" s="129"/>
      <c r="T263" s="129"/>
      <c r="U263" s="129"/>
      <c r="V263" s="129"/>
      <c r="W263" s="129"/>
      <c r="X263" s="129"/>
      <c r="Y263" s="129"/>
      <c r="Z263" s="133"/>
      <c r="AA263" s="133"/>
      <c r="AB263" s="133"/>
      <c r="AC263" s="133"/>
      <c r="AD263" s="133"/>
      <c r="AE263" s="133"/>
      <c r="AF263" s="222"/>
      <c r="AG263" s="222"/>
      <c r="AH263" s="222"/>
      <c r="AI263" s="176"/>
      <c r="AJ263" s="176"/>
      <c r="AK263" s="176"/>
      <c r="AL263" s="176"/>
      <c r="AM263" s="176"/>
      <c r="AN263" s="176"/>
      <c r="AO263" s="176"/>
      <c r="AP263" s="176"/>
      <c r="AQ263" s="176"/>
      <c r="AR263" s="176"/>
      <c r="AS263" s="176"/>
      <c r="AT263" s="176"/>
      <c r="AU263" s="176"/>
      <c r="AV263" s="176"/>
      <c r="AW263" s="176"/>
      <c r="AX263" s="176"/>
      <c r="AY263" s="176"/>
      <c r="AZ263" s="176"/>
      <c r="BA263" s="176"/>
      <c r="BB263" s="176"/>
      <c r="BC263" s="176"/>
      <c r="BD263" s="176"/>
      <c r="BE263" s="176"/>
      <c r="BF263" s="176"/>
      <c r="BG263" s="176"/>
      <c r="BH263" s="176"/>
      <c r="BI263" s="176"/>
      <c r="BJ263" s="176"/>
      <c r="BK263" s="176"/>
      <c r="BL263" s="176"/>
      <c r="BM263" s="176"/>
      <c r="BN263" s="176"/>
      <c r="BO263" s="176"/>
    </row>
    <row r="264" spans="1:67" s="36" customFormat="1" ht="10.5" customHeight="1" x14ac:dyDescent="0.2">
      <c r="A264" s="1055"/>
      <c r="B264" s="2594"/>
      <c r="C264" s="2595"/>
      <c r="D264" s="2596"/>
      <c r="E264" s="2395"/>
      <c r="F264" s="2396"/>
      <c r="G264" s="2590"/>
      <c r="H264" s="2591"/>
      <c r="I264" s="1081">
        <f t="shared" si="60"/>
        <v>0</v>
      </c>
      <c r="J264" s="1082">
        <f t="shared" si="61"/>
        <v>0</v>
      </c>
      <c r="K264" s="2588"/>
      <c r="L264" s="2589"/>
      <c r="M264" s="1086">
        <f t="shared" si="62"/>
        <v>0</v>
      </c>
      <c r="N264" s="506"/>
      <c r="O264" s="365">
        <f t="shared" si="63"/>
        <v>0</v>
      </c>
      <c r="P264" s="366"/>
      <c r="Q264" s="135"/>
      <c r="R264" s="136"/>
      <c r="S264" s="129"/>
      <c r="T264" s="129"/>
      <c r="U264" s="129"/>
      <c r="V264" s="129"/>
      <c r="W264" s="129"/>
      <c r="X264" s="129"/>
      <c r="Y264" s="129"/>
      <c r="Z264" s="133"/>
      <c r="AA264" s="133"/>
      <c r="AB264" s="133"/>
      <c r="AC264" s="133"/>
      <c r="AD264" s="133"/>
      <c r="AE264" s="133"/>
      <c r="AF264" s="222"/>
      <c r="AG264" s="222"/>
      <c r="AH264" s="222"/>
      <c r="AI264" s="176"/>
      <c r="AJ264" s="176"/>
      <c r="AK264" s="176"/>
      <c r="AL264" s="176"/>
      <c r="AM264" s="176"/>
      <c r="AN264" s="176"/>
      <c r="AO264" s="176"/>
      <c r="AP264" s="176"/>
      <c r="AQ264" s="176"/>
      <c r="AR264" s="176"/>
      <c r="AS264" s="176"/>
      <c r="AT264" s="176"/>
      <c r="AU264" s="176"/>
      <c r="AV264" s="176"/>
      <c r="AW264" s="176"/>
      <c r="AX264" s="176"/>
      <c r="AY264" s="176"/>
      <c r="AZ264" s="176"/>
      <c r="BA264" s="176"/>
      <c r="BB264" s="176"/>
      <c r="BC264" s="176"/>
      <c r="BD264" s="176"/>
      <c r="BE264" s="176"/>
      <c r="BF264" s="176"/>
      <c r="BG264" s="176"/>
      <c r="BH264" s="176"/>
      <c r="BI264" s="176"/>
      <c r="BJ264" s="176"/>
      <c r="BK264" s="176"/>
      <c r="BL264" s="176"/>
      <c r="BM264" s="176"/>
      <c r="BN264" s="176"/>
      <c r="BO264" s="176"/>
    </row>
    <row r="265" spans="1:67" s="36" customFormat="1" ht="10.5" customHeight="1" x14ac:dyDescent="0.2">
      <c r="A265" s="1055"/>
      <c r="B265" s="2594"/>
      <c r="C265" s="2595"/>
      <c r="D265" s="2596"/>
      <c r="E265" s="2395"/>
      <c r="F265" s="2396"/>
      <c r="G265" s="2590"/>
      <c r="H265" s="2591"/>
      <c r="I265" s="1081">
        <f t="shared" si="60"/>
        <v>0</v>
      </c>
      <c r="J265" s="1082">
        <f t="shared" si="61"/>
        <v>0</v>
      </c>
      <c r="K265" s="2588"/>
      <c r="L265" s="2589"/>
      <c r="M265" s="1086">
        <f t="shared" si="62"/>
        <v>0</v>
      </c>
      <c r="N265" s="506"/>
      <c r="O265" s="365">
        <f t="shared" si="63"/>
        <v>0</v>
      </c>
      <c r="P265" s="366"/>
      <c r="Q265" s="135"/>
      <c r="R265" s="136"/>
      <c r="S265" s="129"/>
      <c r="T265" s="129"/>
      <c r="U265" s="129"/>
      <c r="V265" s="129"/>
      <c r="W265" s="129"/>
      <c r="X265" s="129"/>
      <c r="Y265" s="129"/>
      <c r="Z265" s="133"/>
      <c r="AA265" s="133"/>
      <c r="AB265" s="133"/>
      <c r="AC265" s="133"/>
      <c r="AD265" s="133"/>
      <c r="AE265" s="133"/>
      <c r="AF265" s="222"/>
      <c r="AG265" s="222"/>
      <c r="AH265" s="222"/>
      <c r="AI265" s="176"/>
      <c r="AJ265" s="176"/>
      <c r="AK265" s="176"/>
      <c r="AL265" s="176"/>
      <c r="AM265" s="176"/>
      <c r="AN265" s="176"/>
      <c r="AO265" s="176"/>
      <c r="AP265" s="176"/>
      <c r="AQ265" s="176"/>
      <c r="AR265" s="176"/>
      <c r="AS265" s="176"/>
      <c r="AT265" s="176"/>
      <c r="AU265" s="176"/>
      <c r="AV265" s="176"/>
      <c r="AW265" s="176"/>
      <c r="AX265" s="176"/>
      <c r="AY265" s="176"/>
      <c r="AZ265" s="176"/>
      <c r="BA265" s="176"/>
      <c r="BB265" s="176"/>
      <c r="BC265" s="176"/>
      <c r="BD265" s="176"/>
      <c r="BE265" s="176"/>
      <c r="BF265" s="176"/>
      <c r="BG265" s="176"/>
      <c r="BH265" s="176"/>
      <c r="BI265" s="176"/>
      <c r="BJ265" s="176"/>
      <c r="BK265" s="176"/>
      <c r="BL265" s="176"/>
      <c r="BM265" s="176"/>
      <c r="BN265" s="176"/>
      <c r="BO265" s="176"/>
    </row>
    <row r="266" spans="1:67" s="36" customFormat="1" ht="10.5" customHeight="1" x14ac:dyDescent="0.2">
      <c r="A266" s="1348"/>
      <c r="B266" s="2690"/>
      <c r="C266" s="2691"/>
      <c r="D266" s="2692"/>
      <c r="E266" s="2601"/>
      <c r="F266" s="2602"/>
      <c r="G266" s="1088"/>
      <c r="H266" s="1089"/>
      <c r="I266" s="1083">
        <f t="shared" si="60"/>
        <v>0</v>
      </c>
      <c r="J266" s="1084"/>
      <c r="K266" s="1087"/>
      <c r="L266" s="1307"/>
      <c r="M266" s="1317">
        <f t="shared" si="62"/>
        <v>0</v>
      </c>
      <c r="N266" s="506"/>
      <c r="O266" s="365">
        <f t="shared" si="63"/>
        <v>0</v>
      </c>
      <c r="P266" s="366"/>
      <c r="Q266" s="135"/>
      <c r="R266" s="136"/>
      <c r="S266" s="129"/>
      <c r="T266" s="129"/>
      <c r="U266" s="129"/>
      <c r="V266" s="129"/>
      <c r="W266" s="129"/>
      <c r="X266" s="129"/>
      <c r="Y266" s="129"/>
      <c r="Z266" s="133"/>
      <c r="AA266" s="133"/>
      <c r="AB266" s="133"/>
      <c r="AC266" s="133"/>
      <c r="AD266" s="133"/>
      <c r="AE266" s="133"/>
      <c r="AF266" s="222"/>
      <c r="AG266" s="222"/>
      <c r="AH266" s="222"/>
      <c r="AI266" s="176"/>
      <c r="AJ266" s="176"/>
      <c r="AK266" s="176"/>
      <c r="AL266" s="176"/>
      <c r="AM266" s="176"/>
      <c r="AN266" s="176"/>
      <c r="AO266" s="176"/>
      <c r="AP266" s="176"/>
      <c r="AQ266" s="176"/>
      <c r="AR266" s="176"/>
      <c r="AS266" s="176"/>
      <c r="AT266" s="176"/>
      <c r="AU266" s="176"/>
      <c r="AV266" s="176"/>
      <c r="AW266" s="176"/>
      <c r="AX266" s="176"/>
      <c r="AY266" s="176"/>
      <c r="AZ266" s="176"/>
      <c r="BA266" s="176"/>
      <c r="BB266" s="176"/>
      <c r="BC266" s="176"/>
      <c r="BD266" s="176"/>
      <c r="BE266" s="176"/>
      <c r="BF266" s="176"/>
      <c r="BG266" s="176"/>
      <c r="BH266" s="176"/>
      <c r="BI266" s="176"/>
      <c r="BJ266" s="176"/>
      <c r="BK266" s="176"/>
      <c r="BL266" s="176"/>
      <c r="BM266" s="176"/>
      <c r="BN266" s="176"/>
      <c r="BO266" s="176"/>
    </row>
    <row r="267" spans="1:67" s="36" customFormat="1" ht="10.5" customHeight="1" x14ac:dyDescent="0.2">
      <c r="A267" s="1115" t="s">
        <v>346</v>
      </c>
      <c r="B267" s="2611"/>
      <c r="C267" s="2612"/>
      <c r="D267" s="2613"/>
      <c r="E267" s="2676">
        <f>SUM(E268:E280)</f>
        <v>0</v>
      </c>
      <c r="F267" s="2677"/>
      <c r="G267" s="2678"/>
      <c r="H267" s="2679"/>
      <c r="I267" s="1116">
        <f>IF(E267=0,0,J267/E267)</f>
        <v>0</v>
      </c>
      <c r="J267" s="1117">
        <f>SUM(J268:J280)</f>
        <v>0</v>
      </c>
      <c r="K267" s="2686">
        <f>IF(E267=0,0,M267/E267*100)</f>
        <v>0</v>
      </c>
      <c r="L267" s="2687"/>
      <c r="M267" s="1118">
        <f>SUM(M268:M280)</f>
        <v>0</v>
      </c>
      <c r="N267" s="506"/>
      <c r="O267" s="178">
        <f>IF(H267="",G267,H267)</f>
        <v>0</v>
      </c>
      <c r="P267" s="366"/>
      <c r="Q267" s="135"/>
      <c r="R267" s="136"/>
      <c r="S267" s="129"/>
      <c r="T267" s="129"/>
      <c r="U267" s="129"/>
      <c r="V267" s="129"/>
      <c r="W267" s="129"/>
      <c r="X267" s="129"/>
      <c r="Y267" s="129"/>
      <c r="Z267" s="133"/>
      <c r="AA267" s="133"/>
      <c r="AB267" s="133"/>
      <c r="AC267" s="133"/>
      <c r="AD267" s="133"/>
      <c r="AE267" s="133"/>
      <c r="AF267" s="222"/>
      <c r="AG267" s="222"/>
      <c r="AH267" s="222"/>
      <c r="AI267" s="176"/>
      <c r="AJ267" s="176"/>
      <c r="AK267" s="176"/>
      <c r="AL267" s="176"/>
      <c r="AM267" s="176"/>
      <c r="AN267" s="176"/>
      <c r="AO267" s="176"/>
      <c r="AP267" s="176"/>
      <c r="AQ267" s="176"/>
      <c r="AR267" s="176"/>
      <c r="AS267" s="176"/>
      <c r="AT267" s="176"/>
      <c r="AU267" s="176"/>
      <c r="AV267" s="176"/>
      <c r="AW267" s="176"/>
      <c r="AX267" s="176"/>
      <c r="AY267" s="176"/>
      <c r="AZ267" s="176"/>
      <c r="BA267" s="176"/>
      <c r="BB267" s="176"/>
      <c r="BC267" s="176"/>
      <c r="BD267" s="176"/>
      <c r="BE267" s="176"/>
      <c r="BF267" s="176"/>
      <c r="BG267" s="176"/>
      <c r="BH267" s="176"/>
      <c r="BI267" s="176"/>
      <c r="BJ267" s="176"/>
      <c r="BK267" s="176"/>
      <c r="BL267" s="176"/>
      <c r="BM267" s="176"/>
      <c r="BN267" s="176"/>
      <c r="BO267" s="176"/>
    </row>
    <row r="268" spans="1:67" s="36" customFormat="1" ht="10.5" customHeight="1" x14ac:dyDescent="0.2">
      <c r="A268" s="1359" t="s">
        <v>347</v>
      </c>
      <c r="B268" s="2743"/>
      <c r="C268" s="2744"/>
      <c r="D268" s="2745"/>
      <c r="E268" s="2746"/>
      <c r="F268" s="2788"/>
      <c r="G268" s="1056">
        <v>15</v>
      </c>
      <c r="H268" s="1057"/>
      <c r="I268" s="1079">
        <f t="shared" ref="I268:I281" si="64">IF($O268&gt;0,-PMT(($I$9),$O268,1),0)</f>
        <v>7.9288524964265278E-2</v>
      </c>
      <c r="J268" s="1080">
        <f t="shared" ref="J268:J280" si="65">ROUND(E268*I268,0)</f>
        <v>0</v>
      </c>
      <c r="K268" s="1060">
        <v>0</v>
      </c>
      <c r="L268" s="1304"/>
      <c r="M268" s="1085">
        <f t="shared" ref="M268:M281" si="66">ROUND(E268/100*IF(ISBLANK(L268),K268,L268),0)</f>
        <v>0</v>
      </c>
      <c r="N268" s="506"/>
      <c r="O268" s="365">
        <f t="shared" ref="O268:O281" si="67">IF(ISBLANK(H268),G268,H268)</f>
        <v>15</v>
      </c>
      <c r="P268" s="366"/>
      <c r="Q268" s="135"/>
      <c r="R268" s="136"/>
      <c r="S268" s="129"/>
      <c r="T268" s="129"/>
      <c r="U268" s="129"/>
      <c r="V268" s="129"/>
      <c r="W268" s="129"/>
      <c r="X268" s="129"/>
      <c r="Y268" s="129"/>
      <c r="Z268" s="133"/>
      <c r="AA268" s="133"/>
      <c r="AB268" s="133"/>
      <c r="AC268" s="133"/>
      <c r="AD268" s="133"/>
      <c r="AE268" s="133"/>
      <c r="AF268" s="222"/>
      <c r="AG268" s="222"/>
      <c r="AH268" s="222"/>
      <c r="AI268" s="176"/>
      <c r="AJ268" s="176"/>
      <c r="AK268" s="176"/>
      <c r="AL268" s="176"/>
      <c r="AM268" s="176"/>
      <c r="AN268" s="176"/>
      <c r="AO268" s="176"/>
      <c r="AP268" s="176"/>
      <c r="AQ268" s="176"/>
      <c r="AR268" s="176"/>
      <c r="AS268" s="176"/>
      <c r="AT268" s="176"/>
      <c r="AU268" s="176"/>
      <c r="AV268" s="176"/>
      <c r="AW268" s="176"/>
      <c r="AX268" s="176"/>
      <c r="AY268" s="176"/>
      <c r="AZ268" s="176"/>
      <c r="BA268" s="176"/>
      <c r="BB268" s="176"/>
      <c r="BC268" s="176"/>
      <c r="BD268" s="176"/>
      <c r="BE268" s="176"/>
      <c r="BF268" s="176"/>
      <c r="BG268" s="176"/>
      <c r="BH268" s="176"/>
      <c r="BI268" s="176"/>
      <c r="BJ268" s="176"/>
      <c r="BK268" s="176"/>
      <c r="BL268" s="176"/>
      <c r="BM268" s="176"/>
      <c r="BN268" s="176"/>
      <c r="BO268" s="176"/>
    </row>
    <row r="269" spans="1:67" s="36" customFormat="1" ht="10.5" customHeight="1" x14ac:dyDescent="0.2">
      <c r="A269" s="1043" t="s">
        <v>348</v>
      </c>
      <c r="B269" s="2594"/>
      <c r="C269" s="2595"/>
      <c r="D269" s="2596"/>
      <c r="E269" s="2395"/>
      <c r="F269" s="2789"/>
      <c r="G269" s="1058">
        <v>15</v>
      </c>
      <c r="H269" s="1059"/>
      <c r="I269" s="1081">
        <f t="shared" si="64"/>
        <v>7.9288524964265278E-2</v>
      </c>
      <c r="J269" s="1082">
        <f t="shared" si="65"/>
        <v>0</v>
      </c>
      <c r="K269" s="1061">
        <v>0</v>
      </c>
      <c r="L269" s="1305"/>
      <c r="M269" s="1086">
        <f t="shared" si="66"/>
        <v>0</v>
      </c>
      <c r="N269" s="506"/>
      <c r="O269" s="365">
        <f t="shared" si="67"/>
        <v>15</v>
      </c>
      <c r="P269" s="366"/>
      <c r="Q269" s="135"/>
      <c r="R269" s="136"/>
      <c r="S269" s="129"/>
      <c r="T269" s="129"/>
      <c r="U269" s="129"/>
      <c r="V269" s="129"/>
      <c r="W269" s="129"/>
      <c r="X269" s="129"/>
      <c r="Y269" s="129"/>
      <c r="Z269" s="133"/>
      <c r="AA269" s="133"/>
      <c r="AB269" s="133"/>
      <c r="AC269" s="133"/>
      <c r="AD269" s="133"/>
      <c r="AE269" s="133"/>
      <c r="AF269" s="222"/>
      <c r="AG269" s="222"/>
      <c r="AH269" s="222"/>
      <c r="AI269" s="176"/>
      <c r="AJ269" s="176"/>
      <c r="AK269" s="176"/>
      <c r="AL269" s="176"/>
      <c r="AM269" s="176"/>
      <c r="AN269" s="176"/>
      <c r="AO269" s="176"/>
      <c r="AP269" s="176"/>
      <c r="AQ269" s="176"/>
      <c r="AR269" s="176"/>
      <c r="AS269" s="176"/>
      <c r="AT269" s="176"/>
      <c r="AU269" s="176"/>
      <c r="AV269" s="176"/>
      <c r="AW269" s="176"/>
      <c r="AX269" s="176"/>
      <c r="AY269" s="176"/>
      <c r="AZ269" s="176"/>
      <c r="BA269" s="176"/>
      <c r="BB269" s="176"/>
      <c r="BC269" s="176"/>
      <c r="BD269" s="176"/>
      <c r="BE269" s="176"/>
      <c r="BF269" s="176"/>
      <c r="BG269" s="176"/>
      <c r="BH269" s="176"/>
      <c r="BI269" s="176"/>
      <c r="BJ269" s="176"/>
      <c r="BK269" s="176"/>
      <c r="BL269" s="176"/>
      <c r="BM269" s="176"/>
      <c r="BN269" s="176"/>
      <c r="BO269" s="176"/>
    </row>
    <row r="270" spans="1:67" s="36" customFormat="1" ht="10.5" customHeight="1" x14ac:dyDescent="0.2">
      <c r="A270" s="1043" t="s">
        <v>349</v>
      </c>
      <c r="B270" s="2594"/>
      <c r="C270" s="2595"/>
      <c r="D270" s="2596"/>
      <c r="E270" s="2395"/>
      <c r="F270" s="2789"/>
      <c r="G270" s="1058">
        <v>20</v>
      </c>
      <c r="H270" s="1059"/>
      <c r="I270" s="1081">
        <f t="shared" si="64"/>
        <v>6.2642070767998229E-2</v>
      </c>
      <c r="J270" s="1082">
        <f t="shared" si="65"/>
        <v>0</v>
      </c>
      <c r="K270" s="1061">
        <v>1</v>
      </c>
      <c r="L270" s="1305"/>
      <c r="M270" s="1086">
        <f t="shared" si="66"/>
        <v>0</v>
      </c>
      <c r="N270" s="506"/>
      <c r="O270" s="365">
        <f t="shared" si="67"/>
        <v>20</v>
      </c>
      <c r="P270" s="366"/>
      <c r="Q270" s="135"/>
      <c r="R270" s="136"/>
      <c r="S270" s="129"/>
      <c r="T270" s="129"/>
      <c r="U270" s="129"/>
      <c r="V270" s="129"/>
      <c r="W270" s="129"/>
      <c r="X270" s="129"/>
      <c r="Y270" s="129"/>
      <c r="Z270" s="133"/>
      <c r="AA270" s="133"/>
      <c r="AB270" s="133"/>
      <c r="AC270" s="133"/>
      <c r="AD270" s="133"/>
      <c r="AE270" s="133"/>
      <c r="AF270" s="222"/>
      <c r="AG270" s="222"/>
      <c r="AH270" s="222"/>
      <c r="AI270" s="176"/>
      <c r="AJ270" s="176"/>
      <c r="AK270" s="176"/>
      <c r="AL270" s="176"/>
      <c r="AM270" s="176"/>
      <c r="AN270" s="176"/>
      <c r="AO270" s="176"/>
      <c r="AP270" s="176"/>
      <c r="AQ270" s="176"/>
      <c r="AR270" s="176"/>
      <c r="AS270" s="176"/>
      <c r="AT270" s="176"/>
      <c r="AU270" s="176"/>
      <c r="AV270" s="176"/>
      <c r="AW270" s="176"/>
      <c r="AX270" s="176"/>
      <c r="AY270" s="176"/>
      <c r="AZ270" s="176"/>
      <c r="BA270" s="176"/>
      <c r="BB270" s="176"/>
      <c r="BC270" s="176"/>
      <c r="BD270" s="176"/>
      <c r="BE270" s="176"/>
      <c r="BF270" s="176"/>
      <c r="BG270" s="176"/>
      <c r="BH270" s="176"/>
      <c r="BI270" s="176"/>
      <c r="BJ270" s="176"/>
      <c r="BK270" s="176"/>
      <c r="BL270" s="176"/>
      <c r="BM270" s="176"/>
      <c r="BN270" s="176"/>
      <c r="BO270" s="176"/>
    </row>
    <row r="271" spans="1:67" s="36" customFormat="1" ht="10.5" customHeight="1" x14ac:dyDescent="0.2">
      <c r="A271" s="1043" t="s">
        <v>350</v>
      </c>
      <c r="B271" s="2594"/>
      <c r="C271" s="2595"/>
      <c r="D271" s="2596"/>
      <c r="E271" s="2395"/>
      <c r="F271" s="2789"/>
      <c r="G271" s="1058">
        <v>30</v>
      </c>
      <c r="H271" s="1059"/>
      <c r="I271" s="1081">
        <f t="shared" si="64"/>
        <v>4.6199342169092869E-2</v>
      </c>
      <c r="J271" s="1082">
        <f t="shared" si="65"/>
        <v>0</v>
      </c>
      <c r="K271" s="1061">
        <v>0.5</v>
      </c>
      <c r="L271" s="1305"/>
      <c r="M271" s="1086">
        <f t="shared" si="66"/>
        <v>0</v>
      </c>
      <c r="N271" s="506"/>
      <c r="O271" s="365">
        <f t="shared" si="67"/>
        <v>30</v>
      </c>
      <c r="P271" s="366"/>
      <c r="Q271" s="135"/>
      <c r="R271" s="136"/>
      <c r="S271" s="129"/>
      <c r="T271" s="129"/>
      <c r="U271" s="129"/>
      <c r="V271" s="129"/>
      <c r="W271" s="129"/>
      <c r="X271" s="129"/>
      <c r="Y271" s="129"/>
      <c r="Z271" s="133"/>
      <c r="AA271" s="133"/>
      <c r="AB271" s="133"/>
      <c r="AC271" s="133"/>
      <c r="AD271" s="133"/>
      <c r="AE271" s="133"/>
      <c r="AF271" s="222"/>
      <c r="AG271" s="222"/>
      <c r="AH271" s="222"/>
      <c r="AI271" s="176"/>
      <c r="AJ271" s="176"/>
      <c r="AK271" s="176"/>
      <c r="AL271" s="176"/>
      <c r="AM271" s="176"/>
      <c r="AN271" s="176"/>
      <c r="AO271" s="176"/>
      <c r="AP271" s="176"/>
      <c r="AQ271" s="176"/>
      <c r="AR271" s="176"/>
      <c r="AS271" s="176"/>
      <c r="AT271" s="176"/>
      <c r="AU271" s="176"/>
      <c r="AV271" s="176"/>
      <c r="AW271" s="176"/>
      <c r="AX271" s="176"/>
      <c r="AY271" s="176"/>
      <c r="AZ271" s="176"/>
      <c r="BA271" s="176"/>
      <c r="BB271" s="176"/>
      <c r="BC271" s="176"/>
      <c r="BD271" s="176"/>
      <c r="BE271" s="176"/>
      <c r="BF271" s="176"/>
      <c r="BG271" s="176"/>
      <c r="BH271" s="176"/>
      <c r="BI271" s="176"/>
      <c r="BJ271" s="176"/>
      <c r="BK271" s="176"/>
      <c r="BL271" s="176"/>
      <c r="BM271" s="176"/>
      <c r="BN271" s="176"/>
      <c r="BO271" s="176"/>
    </row>
    <row r="272" spans="1:67" s="36" customFormat="1" ht="10.5" customHeight="1" x14ac:dyDescent="0.2">
      <c r="A272" s="1043" t="s">
        <v>231</v>
      </c>
      <c r="B272" s="2594"/>
      <c r="C272" s="2595"/>
      <c r="D272" s="2596"/>
      <c r="E272" s="2395"/>
      <c r="F272" s="2789"/>
      <c r="G272" s="1058">
        <v>15</v>
      </c>
      <c r="H272" s="1059"/>
      <c r="I272" s="1081">
        <f t="shared" si="64"/>
        <v>7.9288524964265278E-2</v>
      </c>
      <c r="J272" s="1082">
        <f t="shared" si="65"/>
        <v>0</v>
      </c>
      <c r="K272" s="1061">
        <v>2</v>
      </c>
      <c r="L272" s="1305"/>
      <c r="M272" s="1086">
        <f t="shared" si="66"/>
        <v>0</v>
      </c>
      <c r="N272" s="506"/>
      <c r="O272" s="365">
        <f t="shared" si="67"/>
        <v>15</v>
      </c>
      <c r="P272" s="366"/>
      <c r="Q272" s="135"/>
      <c r="R272" s="136"/>
      <c r="S272" s="129"/>
      <c r="T272" s="129"/>
      <c r="U272" s="129"/>
      <c r="V272" s="129"/>
      <c r="W272" s="129"/>
      <c r="X272" s="129"/>
      <c r="Y272" s="129"/>
      <c r="Z272" s="133"/>
      <c r="AA272" s="133"/>
      <c r="AB272" s="133"/>
      <c r="AC272" s="133"/>
      <c r="AD272" s="133"/>
      <c r="AE272" s="133"/>
      <c r="AF272" s="222"/>
      <c r="AG272" s="222"/>
      <c r="AH272" s="222"/>
      <c r="AI272" s="176"/>
      <c r="AJ272" s="176"/>
      <c r="AK272" s="176"/>
      <c r="AL272" s="176"/>
      <c r="AM272" s="176"/>
      <c r="AN272" s="176"/>
      <c r="AO272" s="176"/>
      <c r="AP272" s="176"/>
      <c r="AQ272" s="176"/>
      <c r="AR272" s="176"/>
      <c r="AS272" s="176"/>
      <c r="AT272" s="176"/>
      <c r="AU272" s="176"/>
      <c r="AV272" s="176"/>
      <c r="AW272" s="176"/>
      <c r="AX272" s="176"/>
      <c r="AY272" s="176"/>
      <c r="AZ272" s="176"/>
      <c r="BA272" s="176"/>
      <c r="BB272" s="176"/>
      <c r="BC272" s="176"/>
      <c r="BD272" s="176"/>
      <c r="BE272" s="176"/>
      <c r="BF272" s="176"/>
      <c r="BG272" s="176"/>
      <c r="BH272" s="176"/>
      <c r="BI272" s="176"/>
      <c r="BJ272" s="176"/>
      <c r="BK272" s="176"/>
      <c r="BL272" s="176"/>
      <c r="BM272" s="176"/>
      <c r="BN272" s="176"/>
      <c r="BO272" s="176"/>
    </row>
    <row r="273" spans="1:67" s="36" customFormat="1" ht="10.5" customHeight="1" x14ac:dyDescent="0.2">
      <c r="A273" s="1043" t="s">
        <v>351</v>
      </c>
      <c r="B273" s="2594"/>
      <c r="C273" s="2595"/>
      <c r="D273" s="2596"/>
      <c r="E273" s="2395"/>
      <c r="F273" s="2789"/>
      <c r="G273" s="1058">
        <v>20</v>
      </c>
      <c r="H273" s="1059"/>
      <c r="I273" s="1081">
        <f t="shared" si="64"/>
        <v>6.2642070767998229E-2</v>
      </c>
      <c r="J273" s="1082">
        <f t="shared" si="65"/>
        <v>0</v>
      </c>
      <c r="K273" s="1061">
        <v>1</v>
      </c>
      <c r="L273" s="1305"/>
      <c r="M273" s="1086">
        <f t="shared" si="66"/>
        <v>0</v>
      </c>
      <c r="N273" s="506"/>
      <c r="O273" s="365">
        <f t="shared" si="67"/>
        <v>20</v>
      </c>
      <c r="P273" s="366"/>
      <c r="Q273" s="135"/>
      <c r="R273" s="136"/>
      <c r="S273" s="129"/>
      <c r="T273" s="129"/>
      <c r="U273" s="129"/>
      <c r="V273" s="129"/>
      <c r="W273" s="129"/>
      <c r="X273" s="129"/>
      <c r="Y273" s="129"/>
      <c r="Z273" s="133"/>
      <c r="AA273" s="133"/>
      <c r="AB273" s="133"/>
      <c r="AC273" s="133"/>
      <c r="AD273" s="133"/>
      <c r="AE273" s="133"/>
      <c r="AF273" s="222"/>
      <c r="AG273" s="222"/>
      <c r="AH273" s="222"/>
      <c r="AI273" s="176"/>
      <c r="AJ273" s="176"/>
      <c r="AK273" s="176"/>
      <c r="AL273" s="176"/>
      <c r="AM273" s="176"/>
      <c r="AN273" s="176"/>
      <c r="AO273" s="176"/>
      <c r="AP273" s="176"/>
      <c r="AQ273" s="176"/>
      <c r="AR273" s="176"/>
      <c r="AS273" s="176"/>
      <c r="AT273" s="176"/>
      <c r="AU273" s="176"/>
      <c r="AV273" s="176"/>
      <c r="AW273" s="176"/>
      <c r="AX273" s="176"/>
      <c r="AY273" s="176"/>
      <c r="AZ273" s="176"/>
      <c r="BA273" s="176"/>
      <c r="BB273" s="176"/>
      <c r="BC273" s="176"/>
      <c r="BD273" s="176"/>
      <c r="BE273" s="176"/>
      <c r="BF273" s="176"/>
      <c r="BG273" s="176"/>
      <c r="BH273" s="176"/>
      <c r="BI273" s="176"/>
      <c r="BJ273" s="176"/>
      <c r="BK273" s="176"/>
      <c r="BL273" s="176"/>
      <c r="BM273" s="176"/>
      <c r="BN273" s="176"/>
      <c r="BO273" s="176"/>
    </row>
    <row r="274" spans="1:67" s="36" customFormat="1" ht="10.5" customHeight="1" x14ac:dyDescent="0.2">
      <c r="A274" s="1043" t="s">
        <v>352</v>
      </c>
      <c r="B274" s="2594"/>
      <c r="C274" s="2595"/>
      <c r="D274" s="2596"/>
      <c r="E274" s="2395"/>
      <c r="F274" s="2789"/>
      <c r="G274" s="1058">
        <v>20</v>
      </c>
      <c r="H274" s="1059"/>
      <c r="I274" s="1081">
        <f t="shared" si="64"/>
        <v>6.2642070767998229E-2</v>
      </c>
      <c r="J274" s="1082">
        <f t="shared" si="65"/>
        <v>0</v>
      </c>
      <c r="K274" s="1061">
        <v>1</v>
      </c>
      <c r="L274" s="1305"/>
      <c r="M274" s="1086">
        <f t="shared" si="66"/>
        <v>0</v>
      </c>
      <c r="N274" s="506"/>
      <c r="O274" s="365">
        <f t="shared" si="67"/>
        <v>20</v>
      </c>
      <c r="P274" s="366"/>
      <c r="Q274" s="135"/>
      <c r="R274" s="136"/>
      <c r="S274" s="129"/>
      <c r="T274" s="129"/>
      <c r="U274" s="129"/>
      <c r="V274" s="129"/>
      <c r="W274" s="129"/>
      <c r="X274" s="129"/>
      <c r="Y274" s="129"/>
      <c r="Z274" s="133"/>
      <c r="AA274" s="133"/>
      <c r="AB274" s="133"/>
      <c r="AC274" s="133"/>
      <c r="AD274" s="133"/>
      <c r="AE274" s="133"/>
      <c r="AF274" s="222"/>
      <c r="AG274" s="222"/>
      <c r="AH274" s="222"/>
      <c r="AI274" s="176"/>
      <c r="AJ274" s="176"/>
      <c r="AK274" s="176"/>
      <c r="AL274" s="176"/>
      <c r="AM274" s="176"/>
      <c r="AN274" s="176"/>
      <c r="AO274" s="176"/>
      <c r="AP274" s="176"/>
      <c r="AQ274" s="176"/>
      <c r="AR274" s="176"/>
      <c r="AS274" s="176"/>
      <c r="AT274" s="176"/>
      <c r="AU274" s="176"/>
      <c r="AV274" s="176"/>
      <c r="AW274" s="176"/>
      <c r="AX274" s="176"/>
      <c r="AY274" s="176"/>
      <c r="AZ274" s="176"/>
      <c r="BA274" s="176"/>
      <c r="BB274" s="176"/>
      <c r="BC274" s="176"/>
      <c r="BD274" s="176"/>
      <c r="BE274" s="176"/>
      <c r="BF274" s="176"/>
      <c r="BG274" s="176"/>
      <c r="BH274" s="176"/>
      <c r="BI274" s="176"/>
      <c r="BJ274" s="176"/>
      <c r="BK274" s="176"/>
      <c r="BL274" s="176"/>
      <c r="BM274" s="176"/>
      <c r="BN274" s="176"/>
      <c r="BO274" s="176"/>
    </row>
    <row r="275" spans="1:67" s="36" customFormat="1" ht="10.5" customHeight="1" x14ac:dyDescent="0.2">
      <c r="A275" s="1043" t="s">
        <v>353</v>
      </c>
      <c r="B275" s="2594"/>
      <c r="C275" s="2595"/>
      <c r="D275" s="2596"/>
      <c r="E275" s="2395"/>
      <c r="F275" s="2789"/>
      <c r="G275" s="1058">
        <v>15</v>
      </c>
      <c r="H275" s="1059"/>
      <c r="I275" s="1081">
        <f t="shared" si="64"/>
        <v>7.9288524964265278E-2</v>
      </c>
      <c r="J275" s="1082">
        <f t="shared" si="65"/>
        <v>0</v>
      </c>
      <c r="K275" s="1061">
        <v>2.5</v>
      </c>
      <c r="L275" s="1305"/>
      <c r="M275" s="1086">
        <f t="shared" si="66"/>
        <v>0</v>
      </c>
      <c r="N275" s="506"/>
      <c r="O275" s="365">
        <f t="shared" si="67"/>
        <v>15</v>
      </c>
      <c r="P275" s="366"/>
      <c r="Q275" s="135"/>
      <c r="R275" s="136"/>
      <c r="S275" s="129"/>
      <c r="T275" s="129"/>
      <c r="U275" s="129"/>
      <c r="V275" s="129"/>
      <c r="W275" s="129"/>
      <c r="X275" s="129"/>
      <c r="Y275" s="129"/>
      <c r="Z275" s="133"/>
      <c r="AA275" s="133"/>
      <c r="AB275" s="133"/>
      <c r="AC275" s="133"/>
      <c r="AD275" s="133"/>
      <c r="AE275" s="133"/>
      <c r="AF275" s="222"/>
      <c r="AG275" s="222"/>
      <c r="AH275" s="222"/>
      <c r="AI275" s="176"/>
      <c r="AJ275" s="176"/>
      <c r="AK275" s="176"/>
      <c r="AL275" s="176"/>
      <c r="AM275" s="176"/>
      <c r="AN275" s="176"/>
      <c r="AO275" s="176"/>
      <c r="AP275" s="176"/>
      <c r="AQ275" s="176"/>
      <c r="AR275" s="176"/>
      <c r="AS275" s="176"/>
      <c r="AT275" s="176"/>
      <c r="AU275" s="176"/>
      <c r="AV275" s="176"/>
      <c r="AW275" s="176"/>
      <c r="AX275" s="176"/>
      <c r="AY275" s="176"/>
      <c r="AZ275" s="176"/>
      <c r="BA275" s="176"/>
      <c r="BB275" s="176"/>
      <c r="BC275" s="176"/>
      <c r="BD275" s="176"/>
      <c r="BE275" s="176"/>
      <c r="BF275" s="176"/>
      <c r="BG275" s="176"/>
      <c r="BH275" s="176"/>
      <c r="BI275" s="176"/>
      <c r="BJ275" s="176"/>
      <c r="BK275" s="176"/>
      <c r="BL275" s="176"/>
      <c r="BM275" s="176"/>
      <c r="BN275" s="176"/>
      <c r="BO275" s="176"/>
    </row>
    <row r="276" spans="1:67" s="36" customFormat="1" ht="10.5" customHeight="1" x14ac:dyDescent="0.2">
      <c r="A276" s="1043" t="s">
        <v>354</v>
      </c>
      <c r="B276" s="2594"/>
      <c r="C276" s="2595"/>
      <c r="D276" s="2596"/>
      <c r="E276" s="2395"/>
      <c r="F276" s="2789"/>
      <c r="G276" s="1058">
        <v>15</v>
      </c>
      <c r="H276" s="1059"/>
      <c r="I276" s="1081">
        <f t="shared" si="64"/>
        <v>7.9288524964265278E-2</v>
      </c>
      <c r="J276" s="1082">
        <f t="shared" si="65"/>
        <v>0</v>
      </c>
      <c r="K276" s="1061">
        <v>2.5</v>
      </c>
      <c r="L276" s="1305"/>
      <c r="M276" s="1086">
        <f t="shared" si="66"/>
        <v>0</v>
      </c>
      <c r="N276" s="506"/>
      <c r="O276" s="365">
        <f t="shared" si="67"/>
        <v>15</v>
      </c>
      <c r="P276" s="366"/>
      <c r="Q276" s="135"/>
      <c r="R276" s="136"/>
      <c r="S276" s="129"/>
      <c r="T276" s="129"/>
      <c r="U276" s="129"/>
      <c r="V276" s="129"/>
      <c r="W276" s="129"/>
      <c r="X276" s="129"/>
      <c r="Y276" s="129"/>
      <c r="Z276" s="133"/>
      <c r="AA276" s="133"/>
      <c r="AB276" s="133"/>
      <c r="AC276" s="133"/>
      <c r="AD276" s="133"/>
      <c r="AE276" s="133"/>
      <c r="AF276" s="222"/>
      <c r="AG276" s="222"/>
      <c r="AH276" s="222"/>
      <c r="AI276" s="176"/>
      <c r="AJ276" s="176"/>
      <c r="AK276" s="176"/>
      <c r="AL276" s="176"/>
      <c r="AM276" s="176"/>
      <c r="AN276" s="176"/>
      <c r="AO276" s="176"/>
      <c r="AP276" s="176"/>
      <c r="AQ276" s="176"/>
      <c r="AR276" s="176"/>
      <c r="AS276" s="176"/>
      <c r="AT276" s="176"/>
      <c r="AU276" s="176"/>
      <c r="AV276" s="176"/>
      <c r="AW276" s="176"/>
      <c r="AX276" s="176"/>
      <c r="AY276" s="176"/>
      <c r="AZ276" s="176"/>
      <c r="BA276" s="176"/>
      <c r="BB276" s="176"/>
      <c r="BC276" s="176"/>
      <c r="BD276" s="176"/>
      <c r="BE276" s="176"/>
      <c r="BF276" s="176"/>
      <c r="BG276" s="176"/>
      <c r="BH276" s="176"/>
      <c r="BI276" s="176"/>
      <c r="BJ276" s="176"/>
      <c r="BK276" s="176"/>
      <c r="BL276" s="176"/>
      <c r="BM276" s="176"/>
      <c r="BN276" s="176"/>
      <c r="BO276" s="176"/>
    </row>
    <row r="277" spans="1:67" s="36" customFormat="1" ht="10.5" customHeight="1" x14ac:dyDescent="0.2">
      <c r="A277" s="1055"/>
      <c r="B277" s="2594"/>
      <c r="C277" s="2595"/>
      <c r="D277" s="2596"/>
      <c r="E277" s="2395"/>
      <c r="F277" s="2396"/>
      <c r="G277" s="2590"/>
      <c r="H277" s="2591"/>
      <c r="I277" s="1081">
        <f t="shared" si="64"/>
        <v>0</v>
      </c>
      <c r="J277" s="1082">
        <f t="shared" si="65"/>
        <v>0</v>
      </c>
      <c r="K277" s="2588"/>
      <c r="L277" s="2589"/>
      <c r="M277" s="1086">
        <f t="shared" si="66"/>
        <v>0</v>
      </c>
      <c r="N277" s="506"/>
      <c r="O277" s="365">
        <f t="shared" si="67"/>
        <v>0</v>
      </c>
      <c r="P277" s="366"/>
      <c r="Q277" s="135"/>
      <c r="R277" s="136"/>
      <c r="S277" s="129"/>
      <c r="T277" s="129"/>
      <c r="U277" s="129"/>
      <c r="V277" s="129"/>
      <c r="W277" s="129"/>
      <c r="X277" s="129"/>
      <c r="Y277" s="129"/>
      <c r="Z277" s="133"/>
      <c r="AA277" s="133"/>
      <c r="AB277" s="133"/>
      <c r="AC277" s="133"/>
      <c r="AD277" s="133"/>
      <c r="AE277" s="133"/>
      <c r="AF277" s="222"/>
      <c r="AG277" s="222"/>
      <c r="AH277" s="222"/>
      <c r="AI277" s="176"/>
      <c r="AJ277" s="176"/>
      <c r="AK277" s="176"/>
      <c r="AL277" s="176"/>
      <c r="AM277" s="176"/>
      <c r="AN277" s="176"/>
      <c r="AO277" s="176"/>
      <c r="AP277" s="176"/>
      <c r="AQ277" s="176"/>
      <c r="AR277" s="176"/>
      <c r="AS277" s="176"/>
      <c r="AT277" s="176"/>
      <c r="AU277" s="176"/>
      <c r="AV277" s="176"/>
      <c r="AW277" s="176"/>
      <c r="AX277" s="176"/>
      <c r="AY277" s="176"/>
      <c r="AZ277" s="176"/>
      <c r="BA277" s="176"/>
      <c r="BB277" s="176"/>
      <c r="BC277" s="176"/>
      <c r="BD277" s="176"/>
      <c r="BE277" s="176"/>
      <c r="BF277" s="176"/>
      <c r="BG277" s="176"/>
      <c r="BH277" s="176"/>
      <c r="BI277" s="176"/>
      <c r="BJ277" s="176"/>
      <c r="BK277" s="176"/>
      <c r="BL277" s="176"/>
      <c r="BM277" s="176"/>
      <c r="BN277" s="176"/>
      <c r="BO277" s="176"/>
    </row>
    <row r="278" spans="1:67" s="36" customFormat="1" ht="10.5" customHeight="1" x14ac:dyDescent="0.2">
      <c r="A278" s="1055"/>
      <c r="B278" s="2594"/>
      <c r="C278" s="2595"/>
      <c r="D278" s="2596"/>
      <c r="E278" s="2395"/>
      <c r="F278" s="2396"/>
      <c r="G278" s="2590"/>
      <c r="H278" s="2591"/>
      <c r="I278" s="1081">
        <f t="shared" si="64"/>
        <v>0</v>
      </c>
      <c r="J278" s="1082">
        <f t="shared" si="65"/>
        <v>0</v>
      </c>
      <c r="K278" s="2588"/>
      <c r="L278" s="2589"/>
      <c r="M278" s="1086">
        <f t="shared" si="66"/>
        <v>0</v>
      </c>
      <c r="N278" s="506"/>
      <c r="O278" s="365">
        <f t="shared" si="67"/>
        <v>0</v>
      </c>
      <c r="P278" s="366"/>
      <c r="Q278" s="135"/>
      <c r="R278" s="136"/>
      <c r="S278" s="129"/>
      <c r="T278" s="129"/>
      <c r="U278" s="129"/>
      <c r="V278" s="129"/>
      <c r="W278" s="129"/>
      <c r="X278" s="129"/>
      <c r="Y278" s="129"/>
      <c r="Z278" s="133"/>
      <c r="AA278" s="133"/>
      <c r="AB278" s="133"/>
      <c r="AC278" s="133"/>
      <c r="AD278" s="133"/>
      <c r="AE278" s="133"/>
      <c r="AF278" s="222"/>
      <c r="AG278" s="222"/>
      <c r="AH278" s="222"/>
      <c r="AI278" s="176"/>
      <c r="AJ278" s="176"/>
      <c r="AK278" s="176"/>
      <c r="AL278" s="176"/>
      <c r="AM278" s="176"/>
      <c r="AN278" s="176"/>
      <c r="AO278" s="176"/>
      <c r="AP278" s="176"/>
      <c r="AQ278" s="176"/>
      <c r="AR278" s="176"/>
      <c r="AS278" s="176"/>
      <c r="AT278" s="176"/>
      <c r="AU278" s="176"/>
      <c r="AV278" s="176"/>
      <c r="AW278" s="176"/>
      <c r="AX278" s="176"/>
      <c r="AY278" s="176"/>
      <c r="AZ278" s="176"/>
      <c r="BA278" s="176"/>
      <c r="BB278" s="176"/>
      <c r="BC278" s="176"/>
      <c r="BD278" s="176"/>
      <c r="BE278" s="176"/>
      <c r="BF278" s="176"/>
      <c r="BG278" s="176"/>
      <c r="BH278" s="176"/>
      <c r="BI278" s="176"/>
      <c r="BJ278" s="176"/>
      <c r="BK278" s="176"/>
      <c r="BL278" s="176"/>
      <c r="BM278" s="176"/>
      <c r="BN278" s="176"/>
      <c r="BO278" s="176"/>
    </row>
    <row r="279" spans="1:67" s="36" customFormat="1" ht="10.5" customHeight="1" x14ac:dyDescent="0.2">
      <c r="A279" s="1055"/>
      <c r="B279" s="2594"/>
      <c r="C279" s="2595"/>
      <c r="D279" s="2596"/>
      <c r="E279" s="2395"/>
      <c r="F279" s="2396"/>
      <c r="G279" s="2590"/>
      <c r="H279" s="2591"/>
      <c r="I279" s="1081">
        <f t="shared" si="64"/>
        <v>0</v>
      </c>
      <c r="J279" s="1082">
        <f t="shared" si="65"/>
        <v>0</v>
      </c>
      <c r="K279" s="2588"/>
      <c r="L279" s="2589"/>
      <c r="M279" s="1086">
        <f t="shared" si="66"/>
        <v>0</v>
      </c>
      <c r="N279" s="506"/>
      <c r="O279" s="365">
        <f t="shared" si="67"/>
        <v>0</v>
      </c>
      <c r="P279" s="366"/>
      <c r="Q279" s="135"/>
      <c r="R279" s="136"/>
      <c r="S279" s="129"/>
      <c r="T279" s="129"/>
      <c r="U279" s="129"/>
      <c r="V279" s="129"/>
      <c r="W279" s="129"/>
      <c r="X279" s="129"/>
      <c r="Y279" s="129"/>
      <c r="Z279" s="133"/>
      <c r="AA279" s="133"/>
      <c r="AB279" s="133"/>
      <c r="AC279" s="133"/>
      <c r="AD279" s="133"/>
      <c r="AE279" s="133"/>
      <c r="AF279" s="222"/>
      <c r="AG279" s="222"/>
      <c r="AH279" s="222"/>
      <c r="AI279" s="176"/>
      <c r="AJ279" s="176"/>
      <c r="AK279" s="176"/>
      <c r="AL279" s="176"/>
      <c r="AM279" s="176"/>
      <c r="AN279" s="176"/>
      <c r="AO279" s="176"/>
      <c r="AP279" s="176"/>
      <c r="AQ279" s="176"/>
      <c r="AR279" s="176"/>
      <c r="AS279" s="176"/>
      <c r="AT279" s="176"/>
      <c r="AU279" s="176"/>
      <c r="AV279" s="176"/>
      <c r="AW279" s="176"/>
      <c r="AX279" s="176"/>
      <c r="AY279" s="176"/>
      <c r="AZ279" s="176"/>
      <c r="BA279" s="176"/>
      <c r="BB279" s="176"/>
      <c r="BC279" s="176"/>
      <c r="BD279" s="176"/>
      <c r="BE279" s="176"/>
      <c r="BF279" s="176"/>
      <c r="BG279" s="176"/>
      <c r="BH279" s="176"/>
      <c r="BI279" s="176"/>
      <c r="BJ279" s="176"/>
      <c r="BK279" s="176"/>
      <c r="BL279" s="176"/>
      <c r="BM279" s="176"/>
      <c r="BN279" s="176"/>
      <c r="BO279" s="176"/>
    </row>
    <row r="280" spans="1:67" s="36" customFormat="1" ht="10.5" customHeight="1" x14ac:dyDescent="0.2">
      <c r="A280" s="1055"/>
      <c r="B280" s="2594"/>
      <c r="C280" s="2595"/>
      <c r="D280" s="2596"/>
      <c r="E280" s="2395"/>
      <c r="F280" s="2396"/>
      <c r="G280" s="2590"/>
      <c r="H280" s="2591"/>
      <c r="I280" s="1081">
        <f t="shared" si="64"/>
        <v>0</v>
      </c>
      <c r="J280" s="1082">
        <f t="shared" si="65"/>
        <v>0</v>
      </c>
      <c r="K280" s="2588"/>
      <c r="L280" s="2589"/>
      <c r="M280" s="1086">
        <f t="shared" si="66"/>
        <v>0</v>
      </c>
      <c r="N280" s="506"/>
      <c r="O280" s="365">
        <f t="shared" si="67"/>
        <v>0</v>
      </c>
      <c r="P280" s="366"/>
      <c r="Q280" s="135"/>
      <c r="R280" s="136"/>
      <c r="S280" s="129"/>
      <c r="T280" s="129"/>
      <c r="U280" s="129"/>
      <c r="V280" s="129"/>
      <c r="W280" s="129"/>
      <c r="X280" s="129"/>
      <c r="Y280" s="129"/>
      <c r="Z280" s="133"/>
      <c r="AA280" s="133"/>
      <c r="AB280" s="133"/>
      <c r="AC280" s="133"/>
      <c r="AD280" s="133"/>
      <c r="AE280" s="133"/>
      <c r="AF280" s="222"/>
      <c r="AG280" s="222"/>
      <c r="AH280" s="222"/>
      <c r="AI280" s="176"/>
      <c r="AJ280" s="176"/>
      <c r="AK280" s="176"/>
      <c r="AL280" s="176"/>
      <c r="AM280" s="176"/>
      <c r="AN280" s="176"/>
      <c r="AO280" s="176"/>
      <c r="AP280" s="176"/>
      <c r="AQ280" s="176"/>
      <c r="AR280" s="176"/>
      <c r="AS280" s="176"/>
      <c r="AT280" s="176"/>
      <c r="AU280" s="176"/>
      <c r="AV280" s="176"/>
      <c r="AW280" s="176"/>
      <c r="AX280" s="176"/>
      <c r="AY280" s="176"/>
      <c r="AZ280" s="176"/>
      <c r="BA280" s="176"/>
      <c r="BB280" s="176"/>
      <c r="BC280" s="176"/>
      <c r="BD280" s="176"/>
      <c r="BE280" s="176"/>
      <c r="BF280" s="176"/>
      <c r="BG280" s="176"/>
      <c r="BH280" s="176"/>
      <c r="BI280" s="176"/>
      <c r="BJ280" s="176"/>
      <c r="BK280" s="176"/>
      <c r="BL280" s="176"/>
      <c r="BM280" s="176"/>
      <c r="BN280" s="176"/>
      <c r="BO280" s="176"/>
    </row>
    <row r="281" spans="1:67" s="36" customFormat="1" ht="10.5" customHeight="1" x14ac:dyDescent="0.2">
      <c r="A281" s="1348"/>
      <c r="B281" s="2690"/>
      <c r="C281" s="2691"/>
      <c r="D281" s="2692"/>
      <c r="E281" s="2601"/>
      <c r="F281" s="2602"/>
      <c r="G281" s="1088"/>
      <c r="H281" s="1089"/>
      <c r="I281" s="1083">
        <f t="shared" si="64"/>
        <v>0</v>
      </c>
      <c r="J281" s="1084"/>
      <c r="K281" s="1087"/>
      <c r="L281" s="1307"/>
      <c r="M281" s="1317">
        <f t="shared" si="66"/>
        <v>0</v>
      </c>
      <c r="N281" s="506"/>
      <c r="O281" s="365">
        <f t="shared" si="67"/>
        <v>0</v>
      </c>
      <c r="P281" s="366"/>
      <c r="Q281" s="135"/>
      <c r="R281" s="136"/>
      <c r="S281" s="129"/>
      <c r="T281" s="129"/>
      <c r="U281" s="129"/>
      <c r="V281" s="129"/>
      <c r="W281" s="129"/>
      <c r="X281" s="129"/>
      <c r="Y281" s="129"/>
      <c r="Z281" s="133"/>
      <c r="AA281" s="133"/>
      <c r="AB281" s="133"/>
      <c r="AC281" s="133"/>
      <c r="AD281" s="133"/>
      <c r="AE281" s="133"/>
      <c r="AF281" s="222"/>
      <c r="AG281" s="222"/>
      <c r="AH281" s="222"/>
      <c r="AI281" s="176"/>
      <c r="AJ281" s="176"/>
      <c r="AK281" s="176"/>
      <c r="AL281" s="176"/>
      <c r="AM281" s="176"/>
      <c r="AN281" s="176"/>
      <c r="AO281" s="176"/>
      <c r="AP281" s="176"/>
      <c r="AQ281" s="176"/>
      <c r="AR281" s="176"/>
      <c r="AS281" s="176"/>
      <c r="AT281" s="176"/>
      <c r="AU281" s="176"/>
      <c r="AV281" s="176"/>
      <c r="AW281" s="176"/>
      <c r="AX281" s="176"/>
      <c r="AY281" s="176"/>
      <c r="AZ281" s="176"/>
      <c r="BA281" s="176"/>
      <c r="BB281" s="176"/>
      <c r="BC281" s="176"/>
      <c r="BD281" s="176"/>
      <c r="BE281" s="176"/>
      <c r="BF281" s="176"/>
      <c r="BG281" s="176"/>
      <c r="BH281" s="176"/>
      <c r="BI281" s="176"/>
      <c r="BJ281" s="176"/>
      <c r="BK281" s="176"/>
      <c r="BL281" s="176"/>
      <c r="BM281" s="176"/>
      <c r="BN281" s="176"/>
      <c r="BO281" s="176"/>
    </row>
    <row r="282" spans="1:67" s="36" customFormat="1" ht="10.5" customHeight="1" x14ac:dyDescent="0.2">
      <c r="A282" s="1115" t="s">
        <v>355</v>
      </c>
      <c r="B282" s="2611"/>
      <c r="C282" s="2612"/>
      <c r="D282" s="2613"/>
      <c r="E282" s="2676">
        <f>SUM(E283:E295)</f>
        <v>0</v>
      </c>
      <c r="F282" s="2677"/>
      <c r="G282" s="2678"/>
      <c r="H282" s="2679"/>
      <c r="I282" s="1116">
        <f>IF(E282=0,0,J282/E282)</f>
        <v>0</v>
      </c>
      <c r="J282" s="1117">
        <f>SUM(J283:J295)</f>
        <v>0</v>
      </c>
      <c r="K282" s="2686">
        <f>IF(E282=0,0,M282/E282*100)</f>
        <v>0</v>
      </c>
      <c r="L282" s="2687"/>
      <c r="M282" s="1118">
        <f>SUM(M283:M295)</f>
        <v>0</v>
      </c>
      <c r="N282" s="506"/>
      <c r="O282" s="178">
        <f>IF(H282="",G282,H282)</f>
        <v>0</v>
      </c>
      <c r="P282" s="366"/>
      <c r="Q282" s="135"/>
      <c r="R282" s="136"/>
      <c r="S282" s="129"/>
      <c r="T282" s="129"/>
      <c r="U282" s="129"/>
      <c r="V282" s="129"/>
      <c r="W282" s="129"/>
      <c r="X282" s="129"/>
      <c r="Y282" s="129"/>
      <c r="Z282" s="133"/>
      <c r="AA282" s="133"/>
      <c r="AB282" s="133"/>
      <c r="AC282" s="133"/>
      <c r="AD282" s="133"/>
      <c r="AE282" s="133"/>
      <c r="AF282" s="222"/>
      <c r="AG282" s="222"/>
      <c r="AH282" s="222"/>
      <c r="AI282" s="176"/>
      <c r="AJ282" s="176"/>
      <c r="AK282" s="176"/>
      <c r="AL282" s="176"/>
      <c r="AM282" s="176"/>
      <c r="AN282" s="176"/>
      <c r="AO282" s="176"/>
      <c r="AP282" s="176"/>
      <c r="AQ282" s="176"/>
      <c r="AR282" s="176"/>
      <c r="AS282" s="176"/>
      <c r="AT282" s="176"/>
      <c r="AU282" s="176"/>
      <c r="AV282" s="176"/>
      <c r="AW282" s="176"/>
      <c r="AX282" s="176"/>
      <c r="AY282" s="176"/>
      <c r="AZ282" s="176"/>
      <c r="BA282" s="176"/>
      <c r="BB282" s="176"/>
      <c r="BC282" s="176"/>
      <c r="BD282" s="176"/>
      <c r="BE282" s="176"/>
      <c r="BF282" s="176"/>
      <c r="BG282" s="176"/>
      <c r="BH282" s="176"/>
      <c r="BI282" s="176"/>
      <c r="BJ282" s="176"/>
      <c r="BK282" s="176"/>
      <c r="BL282" s="176"/>
      <c r="BM282" s="176"/>
      <c r="BN282" s="176"/>
      <c r="BO282" s="176"/>
    </row>
    <row r="283" spans="1:67" s="36" customFormat="1" ht="10.5" customHeight="1" x14ac:dyDescent="0.2">
      <c r="A283" s="1359" t="s">
        <v>356</v>
      </c>
      <c r="B283" s="2743"/>
      <c r="C283" s="2744"/>
      <c r="D283" s="2745"/>
      <c r="E283" s="2746"/>
      <c r="F283" s="2788"/>
      <c r="G283" s="1056">
        <v>20</v>
      </c>
      <c r="H283" s="1057"/>
      <c r="I283" s="1079">
        <f t="shared" ref="I283:I296" si="68">IF($O283&gt;0,-PMT(($I$9),$O283,1),0)</f>
        <v>6.2642070767998229E-2</v>
      </c>
      <c r="J283" s="1080">
        <f t="shared" ref="J283:J295" si="69">ROUND(E283*I283,0)</f>
        <v>0</v>
      </c>
      <c r="K283" s="1060"/>
      <c r="L283" s="1304"/>
      <c r="M283" s="1085">
        <f t="shared" ref="M283:M296" si="70">ROUND(E283/100*IF(ISBLANK(L283),K283,L283),0)</f>
        <v>0</v>
      </c>
      <c r="N283" s="506"/>
      <c r="O283" s="365">
        <f t="shared" ref="O283:O296" si="71">IF(ISBLANK(H283),G283,H283)</f>
        <v>20</v>
      </c>
      <c r="P283" s="366"/>
      <c r="Q283" s="135"/>
      <c r="R283" s="136"/>
      <c r="S283" s="129"/>
      <c r="T283" s="129"/>
      <c r="U283" s="129"/>
      <c r="V283" s="129"/>
      <c r="W283" s="129"/>
      <c r="X283" s="129"/>
      <c r="Y283" s="129"/>
      <c r="Z283" s="133"/>
      <c r="AA283" s="133"/>
      <c r="AB283" s="133"/>
      <c r="AC283" s="133"/>
      <c r="AD283" s="133"/>
      <c r="AE283" s="133"/>
      <c r="AF283" s="222"/>
      <c r="AG283" s="222"/>
      <c r="AH283" s="222"/>
      <c r="AI283" s="176"/>
      <c r="AJ283" s="176"/>
      <c r="AK283" s="176"/>
      <c r="AL283" s="176"/>
      <c r="AM283" s="176"/>
      <c r="AN283" s="176"/>
      <c r="AO283" s="176"/>
      <c r="AP283" s="176"/>
      <c r="AQ283" s="176"/>
      <c r="AR283" s="176"/>
      <c r="AS283" s="176"/>
      <c r="AT283" s="176"/>
      <c r="AU283" s="176"/>
      <c r="AV283" s="176"/>
      <c r="AW283" s="176"/>
      <c r="AX283" s="176"/>
      <c r="AY283" s="176"/>
      <c r="AZ283" s="176"/>
      <c r="BA283" s="176"/>
      <c r="BB283" s="176"/>
      <c r="BC283" s="176"/>
      <c r="BD283" s="176"/>
      <c r="BE283" s="176"/>
      <c r="BF283" s="176"/>
      <c r="BG283" s="176"/>
      <c r="BH283" s="176"/>
      <c r="BI283" s="176"/>
      <c r="BJ283" s="176"/>
      <c r="BK283" s="176"/>
      <c r="BL283" s="176"/>
      <c r="BM283" s="176"/>
      <c r="BN283" s="176"/>
      <c r="BO283" s="176"/>
    </row>
    <row r="284" spans="1:67" s="36" customFormat="1" ht="10.5" customHeight="1" x14ac:dyDescent="0.2">
      <c r="A284" s="1043" t="s">
        <v>357</v>
      </c>
      <c r="B284" s="2594"/>
      <c r="C284" s="2595"/>
      <c r="D284" s="2596"/>
      <c r="E284" s="2395"/>
      <c r="F284" s="2789"/>
      <c r="G284" s="1058">
        <v>20</v>
      </c>
      <c r="H284" s="1059"/>
      <c r="I284" s="1081">
        <f t="shared" si="68"/>
        <v>6.2642070767998229E-2</v>
      </c>
      <c r="J284" s="1082">
        <f t="shared" si="69"/>
        <v>0</v>
      </c>
      <c r="K284" s="1061"/>
      <c r="L284" s="1305"/>
      <c r="M284" s="1086">
        <f t="shared" si="70"/>
        <v>0</v>
      </c>
      <c r="N284" s="506"/>
      <c r="O284" s="365">
        <f t="shared" si="71"/>
        <v>20</v>
      </c>
      <c r="P284" s="366"/>
      <c r="Q284" s="135"/>
      <c r="R284" s="136"/>
      <c r="S284" s="129"/>
      <c r="T284" s="129"/>
      <c r="U284" s="129"/>
      <c r="V284" s="129"/>
      <c r="W284" s="129"/>
      <c r="X284" s="129"/>
      <c r="Y284" s="129"/>
      <c r="Z284" s="133"/>
      <c r="AA284" s="133"/>
      <c r="AB284" s="133"/>
      <c r="AC284" s="133"/>
      <c r="AD284" s="133"/>
      <c r="AE284" s="133"/>
      <c r="AF284" s="222"/>
      <c r="AG284" s="222"/>
      <c r="AH284" s="222"/>
      <c r="AI284" s="176"/>
      <c r="AJ284" s="176"/>
      <c r="AK284" s="176"/>
      <c r="AL284" s="176"/>
      <c r="AM284" s="176"/>
      <c r="AN284" s="176"/>
      <c r="AO284" s="176"/>
      <c r="AP284" s="176"/>
      <c r="AQ284" s="176"/>
      <c r="AR284" s="176"/>
      <c r="AS284" s="176"/>
      <c r="AT284" s="176"/>
      <c r="AU284" s="176"/>
      <c r="AV284" s="176"/>
      <c r="AW284" s="176"/>
      <c r="AX284" s="176"/>
      <c r="AY284" s="176"/>
      <c r="AZ284" s="176"/>
      <c r="BA284" s="176"/>
      <c r="BB284" s="176"/>
      <c r="BC284" s="176"/>
      <c r="BD284" s="176"/>
      <c r="BE284" s="176"/>
      <c r="BF284" s="176"/>
      <c r="BG284" s="176"/>
      <c r="BH284" s="176"/>
      <c r="BI284" s="176"/>
      <c r="BJ284" s="176"/>
      <c r="BK284" s="176"/>
      <c r="BL284" s="176"/>
      <c r="BM284" s="176"/>
      <c r="BN284" s="176"/>
      <c r="BO284" s="176"/>
    </row>
    <row r="285" spans="1:67" s="36" customFormat="1" ht="10.5" customHeight="1" x14ac:dyDescent="0.2">
      <c r="A285" s="1043" t="s">
        <v>358</v>
      </c>
      <c r="B285" s="2594"/>
      <c r="C285" s="2595"/>
      <c r="D285" s="2596"/>
      <c r="E285" s="2395"/>
      <c r="F285" s="2789"/>
      <c r="G285" s="1058">
        <v>20</v>
      </c>
      <c r="H285" s="1059"/>
      <c r="I285" s="1081">
        <f t="shared" si="68"/>
        <v>6.2642070767998229E-2</v>
      </c>
      <c r="J285" s="1082">
        <f t="shared" si="69"/>
        <v>0</v>
      </c>
      <c r="K285" s="1061">
        <v>0.5</v>
      </c>
      <c r="L285" s="1305"/>
      <c r="M285" s="1086">
        <f t="shared" si="70"/>
        <v>0</v>
      </c>
      <c r="N285" s="506"/>
      <c r="O285" s="365">
        <f t="shared" si="71"/>
        <v>20</v>
      </c>
      <c r="P285" s="366"/>
      <c r="Q285" s="135"/>
      <c r="R285" s="136"/>
      <c r="S285" s="129"/>
      <c r="T285" s="129"/>
      <c r="U285" s="129"/>
      <c r="V285" s="129"/>
      <c r="W285" s="129"/>
      <c r="X285" s="129"/>
      <c r="Y285" s="129"/>
      <c r="Z285" s="133"/>
      <c r="AA285" s="133"/>
      <c r="AB285" s="133"/>
      <c r="AC285" s="133"/>
      <c r="AD285" s="133"/>
      <c r="AE285" s="133"/>
      <c r="AF285" s="222"/>
      <c r="AG285" s="222"/>
      <c r="AH285" s="222"/>
      <c r="AI285" s="176"/>
      <c r="AJ285" s="176"/>
      <c r="AK285" s="176"/>
      <c r="AL285" s="176"/>
      <c r="AM285" s="176"/>
      <c r="AN285" s="176"/>
      <c r="AO285" s="176"/>
      <c r="AP285" s="176"/>
      <c r="AQ285" s="176"/>
      <c r="AR285" s="176"/>
      <c r="AS285" s="176"/>
      <c r="AT285" s="176"/>
      <c r="AU285" s="176"/>
      <c r="AV285" s="176"/>
      <c r="AW285" s="176"/>
      <c r="AX285" s="176"/>
      <c r="AY285" s="176"/>
      <c r="AZ285" s="176"/>
      <c r="BA285" s="176"/>
      <c r="BB285" s="176"/>
      <c r="BC285" s="176"/>
      <c r="BD285" s="176"/>
      <c r="BE285" s="176"/>
      <c r="BF285" s="176"/>
      <c r="BG285" s="176"/>
      <c r="BH285" s="176"/>
      <c r="BI285" s="176"/>
      <c r="BJ285" s="176"/>
      <c r="BK285" s="176"/>
      <c r="BL285" s="176"/>
      <c r="BM285" s="176"/>
      <c r="BN285" s="176"/>
      <c r="BO285" s="176"/>
    </row>
    <row r="286" spans="1:67" s="36" customFormat="1" ht="10.5" customHeight="1" x14ac:dyDescent="0.2">
      <c r="A286" s="1043" t="s">
        <v>359</v>
      </c>
      <c r="B286" s="2594"/>
      <c r="C286" s="2595"/>
      <c r="D286" s="2596"/>
      <c r="E286" s="2395"/>
      <c r="F286" s="2789"/>
      <c r="G286" s="1058">
        <v>20</v>
      </c>
      <c r="H286" s="1059"/>
      <c r="I286" s="1081">
        <f t="shared" si="68"/>
        <v>6.2642070767998229E-2</v>
      </c>
      <c r="J286" s="1082">
        <f t="shared" si="69"/>
        <v>0</v>
      </c>
      <c r="K286" s="1061"/>
      <c r="L286" s="1305"/>
      <c r="M286" s="1086">
        <f t="shared" si="70"/>
        <v>0</v>
      </c>
      <c r="N286" s="506"/>
      <c r="O286" s="365">
        <f t="shared" si="71"/>
        <v>20</v>
      </c>
      <c r="P286" s="366"/>
      <c r="Q286" s="135"/>
      <c r="R286" s="136"/>
      <c r="S286" s="129"/>
      <c r="T286" s="129"/>
      <c r="U286" s="129"/>
      <c r="V286" s="129"/>
      <c r="W286" s="129"/>
      <c r="X286" s="129"/>
      <c r="Y286" s="129"/>
      <c r="Z286" s="133"/>
      <c r="AA286" s="133"/>
      <c r="AB286" s="133"/>
      <c r="AC286" s="133"/>
      <c r="AD286" s="133"/>
      <c r="AE286" s="133"/>
      <c r="AF286" s="222"/>
      <c r="AG286" s="222"/>
      <c r="AH286" s="222"/>
      <c r="AI286" s="176"/>
      <c r="AJ286" s="176"/>
      <c r="AK286" s="176"/>
      <c r="AL286" s="176"/>
      <c r="AM286" s="176"/>
      <c r="AN286" s="176"/>
      <c r="AO286" s="176"/>
      <c r="AP286" s="176"/>
      <c r="AQ286" s="176"/>
      <c r="AR286" s="176"/>
      <c r="AS286" s="176"/>
      <c r="AT286" s="176"/>
      <c r="AU286" s="176"/>
      <c r="AV286" s="176"/>
      <c r="AW286" s="176"/>
      <c r="AX286" s="176"/>
      <c r="AY286" s="176"/>
      <c r="AZ286" s="176"/>
      <c r="BA286" s="176"/>
      <c r="BB286" s="176"/>
      <c r="BC286" s="176"/>
      <c r="BD286" s="176"/>
      <c r="BE286" s="176"/>
      <c r="BF286" s="176"/>
      <c r="BG286" s="176"/>
      <c r="BH286" s="176"/>
      <c r="BI286" s="176"/>
      <c r="BJ286" s="176"/>
      <c r="BK286" s="176"/>
      <c r="BL286" s="176"/>
      <c r="BM286" s="176"/>
      <c r="BN286" s="176"/>
      <c r="BO286" s="176"/>
    </row>
    <row r="287" spans="1:67" s="36" customFormat="1" ht="10.5" customHeight="1" x14ac:dyDescent="0.2">
      <c r="A287" s="1043" t="s">
        <v>360</v>
      </c>
      <c r="B287" s="2594"/>
      <c r="C287" s="2595"/>
      <c r="D287" s="2596"/>
      <c r="E287" s="2395"/>
      <c r="F287" s="2789"/>
      <c r="G287" s="1058">
        <v>20</v>
      </c>
      <c r="H287" s="1059"/>
      <c r="I287" s="1081">
        <f t="shared" si="68"/>
        <v>6.2642070767998229E-2</v>
      </c>
      <c r="J287" s="1082">
        <f t="shared" si="69"/>
        <v>0</v>
      </c>
      <c r="K287" s="1061"/>
      <c r="L287" s="1305"/>
      <c r="M287" s="1086">
        <f t="shared" si="70"/>
        <v>0</v>
      </c>
      <c r="N287" s="506"/>
      <c r="O287" s="365">
        <f t="shared" si="71"/>
        <v>20</v>
      </c>
      <c r="P287" s="366"/>
      <c r="Q287" s="135"/>
      <c r="R287" s="136"/>
      <c r="S287" s="129"/>
      <c r="T287" s="129"/>
      <c r="U287" s="129"/>
      <c r="V287" s="129"/>
      <c r="W287" s="129"/>
      <c r="X287" s="129"/>
      <c r="Y287" s="129"/>
      <c r="Z287" s="133"/>
      <c r="AA287" s="133"/>
      <c r="AB287" s="133"/>
      <c r="AC287" s="133"/>
      <c r="AD287" s="133"/>
      <c r="AE287" s="133"/>
      <c r="AF287" s="222"/>
      <c r="AG287" s="222"/>
      <c r="AH287" s="222"/>
      <c r="AI287" s="176"/>
      <c r="AJ287" s="176"/>
      <c r="AK287" s="176"/>
      <c r="AL287" s="176"/>
      <c r="AM287" s="176"/>
      <c r="AN287" s="176"/>
      <c r="AO287" s="176"/>
      <c r="AP287" s="176"/>
      <c r="AQ287" s="176"/>
      <c r="AR287" s="176"/>
      <c r="AS287" s="176"/>
      <c r="AT287" s="176"/>
      <c r="AU287" s="176"/>
      <c r="AV287" s="176"/>
      <c r="AW287" s="176"/>
      <c r="AX287" s="176"/>
      <c r="AY287" s="176"/>
      <c r="AZ287" s="176"/>
      <c r="BA287" s="176"/>
      <c r="BB287" s="176"/>
      <c r="BC287" s="176"/>
      <c r="BD287" s="176"/>
      <c r="BE287" s="176"/>
      <c r="BF287" s="176"/>
      <c r="BG287" s="176"/>
      <c r="BH287" s="176"/>
      <c r="BI287" s="176"/>
      <c r="BJ287" s="176"/>
      <c r="BK287" s="176"/>
      <c r="BL287" s="176"/>
      <c r="BM287" s="176"/>
      <c r="BN287" s="176"/>
      <c r="BO287" s="176"/>
    </row>
    <row r="288" spans="1:67" s="36" customFormat="1" ht="10.5" customHeight="1" x14ac:dyDescent="0.2">
      <c r="A288" s="1043" t="s">
        <v>361</v>
      </c>
      <c r="B288" s="2594"/>
      <c r="C288" s="2595"/>
      <c r="D288" s="2596"/>
      <c r="E288" s="2395"/>
      <c r="F288" s="2789"/>
      <c r="G288" s="1058">
        <v>20</v>
      </c>
      <c r="H288" s="1059"/>
      <c r="I288" s="1081">
        <f t="shared" si="68"/>
        <v>6.2642070767998229E-2</v>
      </c>
      <c r="J288" s="1082">
        <f t="shared" si="69"/>
        <v>0</v>
      </c>
      <c r="K288" s="1061">
        <v>2</v>
      </c>
      <c r="L288" s="1305"/>
      <c r="M288" s="1086">
        <f t="shared" si="70"/>
        <v>0</v>
      </c>
      <c r="N288" s="506"/>
      <c r="O288" s="365">
        <f t="shared" si="71"/>
        <v>20</v>
      </c>
      <c r="P288" s="366"/>
      <c r="Q288" s="135"/>
      <c r="R288" s="136"/>
      <c r="S288" s="129"/>
      <c r="T288" s="129"/>
      <c r="U288" s="129"/>
      <c r="V288" s="129"/>
      <c r="W288" s="129"/>
      <c r="X288" s="129"/>
      <c r="Y288" s="129"/>
      <c r="Z288" s="133"/>
      <c r="AA288" s="133"/>
      <c r="AB288" s="133"/>
      <c r="AC288" s="133"/>
      <c r="AD288" s="133"/>
      <c r="AE288" s="133"/>
      <c r="AF288" s="222"/>
      <c r="AG288" s="222"/>
      <c r="AH288" s="222"/>
      <c r="AI288" s="176"/>
      <c r="AJ288" s="176"/>
      <c r="AK288" s="176"/>
      <c r="AL288" s="176"/>
      <c r="AM288" s="176"/>
      <c r="AN288" s="176"/>
      <c r="AO288" s="176"/>
      <c r="AP288" s="176"/>
      <c r="AQ288" s="176"/>
      <c r="AR288" s="176"/>
      <c r="AS288" s="176"/>
      <c r="AT288" s="176"/>
      <c r="AU288" s="176"/>
      <c r="AV288" s="176"/>
      <c r="AW288" s="176"/>
      <c r="AX288" s="176"/>
      <c r="AY288" s="176"/>
      <c r="AZ288" s="176"/>
      <c r="BA288" s="176"/>
      <c r="BB288" s="176"/>
      <c r="BC288" s="176"/>
      <c r="BD288" s="176"/>
      <c r="BE288" s="176"/>
      <c r="BF288" s="176"/>
      <c r="BG288" s="176"/>
      <c r="BH288" s="176"/>
      <c r="BI288" s="176"/>
      <c r="BJ288" s="176"/>
      <c r="BK288" s="176"/>
      <c r="BL288" s="176"/>
      <c r="BM288" s="176"/>
      <c r="BN288" s="176"/>
      <c r="BO288" s="176"/>
    </row>
    <row r="289" spans="1:67" s="36" customFormat="1" ht="10.5" customHeight="1" x14ac:dyDescent="0.2">
      <c r="A289" s="1043" t="s">
        <v>362</v>
      </c>
      <c r="B289" s="2594"/>
      <c r="C289" s="2595"/>
      <c r="D289" s="2596"/>
      <c r="E289" s="2395"/>
      <c r="F289" s="2789"/>
      <c r="G289" s="1058">
        <v>20</v>
      </c>
      <c r="H289" s="1059"/>
      <c r="I289" s="1081">
        <f t="shared" si="68"/>
        <v>6.2642070767998229E-2</v>
      </c>
      <c r="J289" s="1082">
        <f t="shared" si="69"/>
        <v>0</v>
      </c>
      <c r="K289" s="1061"/>
      <c r="L289" s="1305"/>
      <c r="M289" s="1086">
        <f t="shared" si="70"/>
        <v>0</v>
      </c>
      <c r="N289" s="506"/>
      <c r="O289" s="365">
        <f t="shared" si="71"/>
        <v>20</v>
      </c>
      <c r="P289" s="366"/>
      <c r="Q289" s="135"/>
      <c r="R289" s="136"/>
      <c r="S289" s="129"/>
      <c r="T289" s="129"/>
      <c r="U289" s="129"/>
      <c r="V289" s="129"/>
      <c r="W289" s="129"/>
      <c r="X289" s="129"/>
      <c r="Y289" s="129"/>
      <c r="Z289" s="133"/>
      <c r="AA289" s="133"/>
      <c r="AB289" s="133"/>
      <c r="AC289" s="133"/>
      <c r="AD289" s="133"/>
      <c r="AE289" s="133"/>
      <c r="AF289" s="222"/>
      <c r="AG289" s="222"/>
      <c r="AH289" s="222"/>
      <c r="AI289" s="176"/>
      <c r="AJ289" s="176"/>
      <c r="AK289" s="176"/>
      <c r="AL289" s="176"/>
      <c r="AM289" s="176"/>
      <c r="AN289" s="176"/>
      <c r="AO289" s="176"/>
      <c r="AP289" s="176"/>
      <c r="AQ289" s="176"/>
      <c r="AR289" s="176"/>
      <c r="AS289" s="176"/>
      <c r="AT289" s="176"/>
      <c r="AU289" s="176"/>
      <c r="AV289" s="176"/>
      <c r="AW289" s="176"/>
      <c r="AX289" s="176"/>
      <c r="AY289" s="176"/>
      <c r="AZ289" s="176"/>
      <c r="BA289" s="176"/>
      <c r="BB289" s="176"/>
      <c r="BC289" s="176"/>
      <c r="BD289" s="176"/>
      <c r="BE289" s="176"/>
      <c r="BF289" s="176"/>
      <c r="BG289" s="176"/>
      <c r="BH289" s="176"/>
      <c r="BI289" s="176"/>
      <c r="BJ289" s="176"/>
      <c r="BK289" s="176"/>
      <c r="BL289" s="176"/>
      <c r="BM289" s="176"/>
      <c r="BN289" s="176"/>
      <c r="BO289" s="176"/>
    </row>
    <row r="290" spans="1:67" s="36" customFormat="1" ht="10.5" customHeight="1" x14ac:dyDescent="0.2">
      <c r="A290" s="1043" t="s">
        <v>363</v>
      </c>
      <c r="B290" s="2594"/>
      <c r="C290" s="2595"/>
      <c r="D290" s="2596"/>
      <c r="E290" s="2395"/>
      <c r="F290" s="2789"/>
      <c r="G290" s="1058">
        <v>20</v>
      </c>
      <c r="H290" s="1059"/>
      <c r="I290" s="1081">
        <f t="shared" si="68"/>
        <v>6.2642070767998229E-2</v>
      </c>
      <c r="J290" s="1082">
        <f t="shared" si="69"/>
        <v>0</v>
      </c>
      <c r="K290" s="1061"/>
      <c r="L290" s="1305"/>
      <c r="M290" s="1086">
        <f t="shared" si="70"/>
        <v>0</v>
      </c>
      <c r="N290" s="506"/>
      <c r="O290" s="365">
        <f t="shared" si="71"/>
        <v>20</v>
      </c>
      <c r="P290" s="366"/>
      <c r="Q290" s="135"/>
      <c r="R290" s="136"/>
      <c r="S290" s="129"/>
      <c r="T290" s="129"/>
      <c r="U290" s="129"/>
      <c r="V290" s="129"/>
      <c r="W290" s="129"/>
      <c r="X290" s="129"/>
      <c r="Y290" s="129"/>
      <c r="Z290" s="133"/>
      <c r="AA290" s="133"/>
      <c r="AB290" s="133"/>
      <c r="AC290" s="133"/>
      <c r="AD290" s="133"/>
      <c r="AE290" s="133"/>
      <c r="AF290" s="222"/>
      <c r="AG290" s="222"/>
      <c r="AH290" s="222"/>
      <c r="AI290" s="176"/>
      <c r="AJ290" s="176"/>
      <c r="AK290" s="176"/>
      <c r="AL290" s="176"/>
      <c r="AM290" s="176"/>
      <c r="AN290" s="176"/>
      <c r="AO290" s="176"/>
      <c r="AP290" s="176"/>
      <c r="AQ290" s="176"/>
      <c r="AR290" s="176"/>
      <c r="AS290" s="176"/>
      <c r="AT290" s="176"/>
      <c r="AU290" s="176"/>
      <c r="AV290" s="176"/>
      <c r="AW290" s="176"/>
      <c r="AX290" s="176"/>
      <c r="AY290" s="176"/>
      <c r="AZ290" s="176"/>
      <c r="BA290" s="176"/>
      <c r="BB290" s="176"/>
      <c r="BC290" s="176"/>
      <c r="BD290" s="176"/>
      <c r="BE290" s="176"/>
      <c r="BF290" s="176"/>
      <c r="BG290" s="176"/>
      <c r="BH290" s="176"/>
      <c r="BI290" s="176"/>
      <c r="BJ290" s="176"/>
      <c r="BK290" s="176"/>
      <c r="BL290" s="176"/>
      <c r="BM290" s="176"/>
      <c r="BN290" s="176"/>
      <c r="BO290" s="176"/>
    </row>
    <row r="291" spans="1:67" s="36" customFormat="1" ht="10.5" customHeight="1" x14ac:dyDescent="0.2">
      <c r="A291" s="1055"/>
      <c r="B291" s="2594"/>
      <c r="C291" s="2595"/>
      <c r="D291" s="2596"/>
      <c r="E291" s="2395"/>
      <c r="F291" s="2396"/>
      <c r="G291" s="2590"/>
      <c r="H291" s="2591"/>
      <c r="I291" s="1081">
        <f t="shared" si="68"/>
        <v>0</v>
      </c>
      <c r="J291" s="1082">
        <f t="shared" si="69"/>
        <v>0</v>
      </c>
      <c r="K291" s="2588"/>
      <c r="L291" s="2589"/>
      <c r="M291" s="1086">
        <f t="shared" si="70"/>
        <v>0</v>
      </c>
      <c r="N291" s="506"/>
      <c r="O291" s="365">
        <f t="shared" si="71"/>
        <v>0</v>
      </c>
      <c r="P291" s="366"/>
      <c r="Q291" s="135"/>
      <c r="R291" s="136"/>
      <c r="S291" s="129"/>
      <c r="T291" s="129"/>
      <c r="U291" s="129"/>
      <c r="V291" s="129"/>
      <c r="W291" s="129"/>
      <c r="X291" s="129"/>
      <c r="Y291" s="129"/>
      <c r="Z291" s="133"/>
      <c r="AA291" s="133"/>
      <c r="AB291" s="133"/>
      <c r="AC291" s="133"/>
      <c r="AD291" s="133"/>
      <c r="AE291" s="133"/>
      <c r="AF291" s="222"/>
      <c r="AG291" s="222"/>
      <c r="AH291" s="222"/>
      <c r="AI291" s="176"/>
      <c r="AJ291" s="176"/>
      <c r="AK291" s="176"/>
      <c r="AL291" s="176"/>
      <c r="AM291" s="176"/>
      <c r="AN291" s="176"/>
      <c r="AO291" s="176"/>
      <c r="AP291" s="176"/>
      <c r="AQ291" s="176"/>
      <c r="AR291" s="176"/>
      <c r="AS291" s="176"/>
      <c r="AT291" s="176"/>
      <c r="AU291" s="176"/>
      <c r="AV291" s="176"/>
      <c r="AW291" s="176"/>
      <c r="AX291" s="176"/>
      <c r="AY291" s="176"/>
      <c r="AZ291" s="176"/>
      <c r="BA291" s="176"/>
      <c r="BB291" s="176"/>
      <c r="BC291" s="176"/>
      <c r="BD291" s="176"/>
      <c r="BE291" s="176"/>
      <c r="BF291" s="176"/>
      <c r="BG291" s="176"/>
      <c r="BH291" s="176"/>
      <c r="BI291" s="176"/>
      <c r="BJ291" s="176"/>
      <c r="BK291" s="176"/>
      <c r="BL291" s="176"/>
      <c r="BM291" s="176"/>
      <c r="BN291" s="176"/>
      <c r="BO291" s="176"/>
    </row>
    <row r="292" spans="1:67" s="36" customFormat="1" ht="10.5" customHeight="1" x14ac:dyDescent="0.2">
      <c r="A292" s="1055"/>
      <c r="B292" s="2594"/>
      <c r="C292" s="2595"/>
      <c r="D292" s="2596"/>
      <c r="E292" s="2395"/>
      <c r="F292" s="2396"/>
      <c r="G292" s="2590"/>
      <c r="H292" s="2591"/>
      <c r="I292" s="1081">
        <f t="shared" si="68"/>
        <v>0</v>
      </c>
      <c r="J292" s="1082">
        <f t="shared" si="69"/>
        <v>0</v>
      </c>
      <c r="K292" s="2588"/>
      <c r="L292" s="2589"/>
      <c r="M292" s="1086">
        <f t="shared" si="70"/>
        <v>0</v>
      </c>
      <c r="N292" s="506"/>
      <c r="O292" s="365">
        <f t="shared" si="71"/>
        <v>0</v>
      </c>
      <c r="P292" s="366"/>
      <c r="Q292" s="135"/>
      <c r="R292" s="136"/>
      <c r="S292" s="129"/>
      <c r="T292" s="129"/>
      <c r="U292" s="129"/>
      <c r="V292" s="129"/>
      <c r="W292" s="129"/>
      <c r="X292" s="129"/>
      <c r="Y292" s="129"/>
      <c r="Z292" s="133"/>
      <c r="AA292" s="133"/>
      <c r="AB292" s="133"/>
      <c r="AC292" s="133"/>
      <c r="AD292" s="133"/>
      <c r="AE292" s="133"/>
      <c r="AF292" s="222"/>
      <c r="AG292" s="222"/>
      <c r="AH292" s="222"/>
      <c r="AI292" s="176"/>
      <c r="AJ292" s="176"/>
      <c r="AK292" s="176"/>
      <c r="AL292" s="176"/>
      <c r="AM292" s="176"/>
      <c r="AN292" s="176"/>
      <c r="AO292" s="176"/>
      <c r="AP292" s="176"/>
      <c r="AQ292" s="176"/>
      <c r="AR292" s="176"/>
      <c r="AS292" s="176"/>
      <c r="AT292" s="176"/>
      <c r="AU292" s="176"/>
      <c r="AV292" s="176"/>
      <c r="AW292" s="176"/>
      <c r="AX292" s="176"/>
      <c r="AY292" s="176"/>
      <c r="AZ292" s="176"/>
      <c r="BA292" s="176"/>
      <c r="BB292" s="176"/>
      <c r="BC292" s="176"/>
      <c r="BD292" s="176"/>
      <c r="BE292" s="176"/>
      <c r="BF292" s="176"/>
      <c r="BG292" s="176"/>
      <c r="BH292" s="176"/>
      <c r="BI292" s="176"/>
      <c r="BJ292" s="176"/>
      <c r="BK292" s="176"/>
      <c r="BL292" s="176"/>
      <c r="BM292" s="176"/>
      <c r="BN292" s="176"/>
      <c r="BO292" s="176"/>
    </row>
    <row r="293" spans="1:67" s="36" customFormat="1" ht="10.5" customHeight="1" x14ac:dyDescent="0.2">
      <c r="A293" s="1055"/>
      <c r="B293" s="2594"/>
      <c r="C293" s="2595"/>
      <c r="D293" s="2596"/>
      <c r="E293" s="2395"/>
      <c r="F293" s="2396"/>
      <c r="G293" s="2590"/>
      <c r="H293" s="2591"/>
      <c r="I293" s="1081">
        <f t="shared" si="68"/>
        <v>0</v>
      </c>
      <c r="J293" s="1082">
        <f t="shared" si="69"/>
        <v>0</v>
      </c>
      <c r="K293" s="2588"/>
      <c r="L293" s="2589"/>
      <c r="M293" s="1086">
        <f t="shared" si="70"/>
        <v>0</v>
      </c>
      <c r="N293" s="506"/>
      <c r="O293" s="365">
        <f t="shared" si="71"/>
        <v>0</v>
      </c>
      <c r="P293" s="366"/>
      <c r="Q293" s="135"/>
      <c r="R293" s="136"/>
      <c r="S293" s="129"/>
      <c r="T293" s="129"/>
      <c r="U293" s="129"/>
      <c r="V293" s="129"/>
      <c r="W293" s="129"/>
      <c r="X293" s="129"/>
      <c r="Y293" s="129"/>
      <c r="Z293" s="133"/>
      <c r="AA293" s="133"/>
      <c r="AB293" s="133"/>
      <c r="AC293" s="133"/>
      <c r="AD293" s="133"/>
      <c r="AE293" s="133"/>
      <c r="AF293" s="222"/>
      <c r="AG293" s="222"/>
      <c r="AH293" s="222"/>
      <c r="AI293" s="176"/>
      <c r="AJ293" s="176"/>
      <c r="AK293" s="176"/>
      <c r="AL293" s="176"/>
      <c r="AM293" s="176"/>
      <c r="AN293" s="176"/>
      <c r="AO293" s="176"/>
      <c r="AP293" s="176"/>
      <c r="AQ293" s="176"/>
      <c r="AR293" s="176"/>
      <c r="AS293" s="176"/>
      <c r="AT293" s="176"/>
      <c r="AU293" s="176"/>
      <c r="AV293" s="176"/>
      <c r="AW293" s="176"/>
      <c r="AX293" s="176"/>
      <c r="AY293" s="176"/>
      <c r="AZ293" s="176"/>
      <c r="BA293" s="176"/>
      <c r="BB293" s="176"/>
      <c r="BC293" s="176"/>
      <c r="BD293" s="176"/>
      <c r="BE293" s="176"/>
      <c r="BF293" s="176"/>
      <c r="BG293" s="176"/>
      <c r="BH293" s="176"/>
      <c r="BI293" s="176"/>
      <c r="BJ293" s="176"/>
      <c r="BK293" s="176"/>
      <c r="BL293" s="176"/>
      <c r="BM293" s="176"/>
      <c r="BN293" s="176"/>
      <c r="BO293" s="176"/>
    </row>
    <row r="294" spans="1:67" s="36" customFormat="1" ht="10.5" customHeight="1" x14ac:dyDescent="0.2">
      <c r="A294" s="1055"/>
      <c r="B294" s="2594"/>
      <c r="C294" s="2595"/>
      <c r="D294" s="2596"/>
      <c r="E294" s="2395"/>
      <c r="F294" s="2396"/>
      <c r="G294" s="2590"/>
      <c r="H294" s="2591"/>
      <c r="I294" s="1081">
        <f t="shared" si="68"/>
        <v>0</v>
      </c>
      <c r="J294" s="1082">
        <f t="shared" si="69"/>
        <v>0</v>
      </c>
      <c r="K294" s="2588"/>
      <c r="L294" s="2589"/>
      <c r="M294" s="1086">
        <f t="shared" si="70"/>
        <v>0</v>
      </c>
      <c r="N294" s="506"/>
      <c r="O294" s="365">
        <f t="shared" si="71"/>
        <v>0</v>
      </c>
      <c r="P294" s="366"/>
      <c r="Q294" s="135"/>
      <c r="R294" s="136"/>
      <c r="S294" s="129"/>
      <c r="T294" s="129"/>
      <c r="U294" s="129"/>
      <c r="V294" s="129"/>
      <c r="W294" s="129"/>
      <c r="X294" s="129"/>
      <c r="Y294" s="129"/>
      <c r="Z294" s="133"/>
      <c r="AA294" s="133"/>
      <c r="AB294" s="133"/>
      <c r="AC294" s="133"/>
      <c r="AD294" s="133"/>
      <c r="AE294" s="133"/>
      <c r="AF294" s="222"/>
      <c r="AG294" s="222"/>
      <c r="AH294" s="222"/>
      <c r="AI294" s="176"/>
      <c r="AJ294" s="176"/>
      <c r="AK294" s="176"/>
      <c r="AL294" s="176"/>
      <c r="AM294" s="176"/>
      <c r="AN294" s="176"/>
      <c r="AO294" s="176"/>
      <c r="AP294" s="176"/>
      <c r="AQ294" s="176"/>
      <c r="AR294" s="176"/>
      <c r="AS294" s="176"/>
      <c r="AT294" s="176"/>
      <c r="AU294" s="176"/>
      <c r="AV294" s="176"/>
      <c r="AW294" s="176"/>
      <c r="AX294" s="176"/>
      <c r="AY294" s="176"/>
      <c r="AZ294" s="176"/>
      <c r="BA294" s="176"/>
      <c r="BB294" s="176"/>
      <c r="BC294" s="176"/>
      <c r="BD294" s="176"/>
      <c r="BE294" s="176"/>
      <c r="BF294" s="176"/>
      <c r="BG294" s="176"/>
      <c r="BH294" s="176"/>
      <c r="BI294" s="176"/>
      <c r="BJ294" s="176"/>
      <c r="BK294" s="176"/>
      <c r="BL294" s="176"/>
      <c r="BM294" s="176"/>
      <c r="BN294" s="176"/>
      <c r="BO294" s="176"/>
    </row>
    <row r="295" spans="1:67" s="36" customFormat="1" ht="10.5" customHeight="1" x14ac:dyDescent="0.2">
      <c r="A295" s="1055"/>
      <c r="B295" s="2594"/>
      <c r="C295" s="2595"/>
      <c r="D295" s="2596"/>
      <c r="E295" s="2395"/>
      <c r="F295" s="2396"/>
      <c r="G295" s="2590"/>
      <c r="H295" s="2591"/>
      <c r="I295" s="1081">
        <f t="shared" si="68"/>
        <v>0</v>
      </c>
      <c r="J295" s="1082">
        <f t="shared" si="69"/>
        <v>0</v>
      </c>
      <c r="K295" s="2588"/>
      <c r="L295" s="2589"/>
      <c r="M295" s="1086">
        <f t="shared" si="70"/>
        <v>0</v>
      </c>
      <c r="N295" s="506"/>
      <c r="O295" s="365">
        <f t="shared" si="71"/>
        <v>0</v>
      </c>
      <c r="P295" s="366"/>
      <c r="Q295" s="135"/>
      <c r="R295" s="136"/>
      <c r="S295" s="129"/>
      <c r="T295" s="129"/>
      <c r="U295" s="129"/>
      <c r="V295" s="129"/>
      <c r="W295" s="129"/>
      <c r="X295" s="129"/>
      <c r="Y295" s="129"/>
      <c r="Z295" s="133"/>
      <c r="AA295" s="133"/>
      <c r="AB295" s="133"/>
      <c r="AC295" s="133"/>
      <c r="AD295" s="133"/>
      <c r="AE295" s="133"/>
      <c r="AF295" s="222"/>
      <c r="AG295" s="222"/>
      <c r="AH295" s="222"/>
      <c r="AI295" s="176"/>
      <c r="AJ295" s="176"/>
      <c r="AK295" s="176"/>
      <c r="AL295" s="176"/>
      <c r="AM295" s="176"/>
      <c r="AN295" s="176"/>
      <c r="AO295" s="176"/>
      <c r="AP295" s="176"/>
      <c r="AQ295" s="176"/>
      <c r="AR295" s="176"/>
      <c r="AS295" s="176"/>
      <c r="AT295" s="176"/>
      <c r="AU295" s="176"/>
      <c r="AV295" s="176"/>
      <c r="AW295" s="176"/>
      <c r="AX295" s="176"/>
      <c r="AY295" s="176"/>
      <c r="AZ295" s="176"/>
      <c r="BA295" s="176"/>
      <c r="BB295" s="176"/>
      <c r="BC295" s="176"/>
      <c r="BD295" s="176"/>
      <c r="BE295" s="176"/>
      <c r="BF295" s="176"/>
      <c r="BG295" s="176"/>
      <c r="BH295" s="176"/>
      <c r="BI295" s="176"/>
      <c r="BJ295" s="176"/>
      <c r="BK295" s="176"/>
      <c r="BL295" s="176"/>
      <c r="BM295" s="176"/>
      <c r="BN295" s="176"/>
      <c r="BO295" s="176"/>
    </row>
    <row r="296" spans="1:67" s="36" customFormat="1" ht="10.5" customHeight="1" x14ac:dyDescent="0.2">
      <c r="A296" s="1348"/>
      <c r="B296" s="2690"/>
      <c r="C296" s="2691"/>
      <c r="D296" s="2692"/>
      <c r="E296" s="2601"/>
      <c r="F296" s="2602"/>
      <c r="G296" s="1088"/>
      <c r="H296" s="1089"/>
      <c r="I296" s="1083">
        <f t="shared" si="68"/>
        <v>0</v>
      </c>
      <c r="J296" s="1084"/>
      <c r="K296" s="1087"/>
      <c r="L296" s="1307"/>
      <c r="M296" s="1317">
        <f t="shared" si="70"/>
        <v>0</v>
      </c>
      <c r="N296" s="506"/>
      <c r="O296" s="365">
        <f t="shared" si="71"/>
        <v>0</v>
      </c>
      <c r="P296" s="366"/>
      <c r="Q296" s="135"/>
      <c r="R296" s="136"/>
      <c r="S296" s="129"/>
      <c r="T296" s="129"/>
      <c r="U296" s="129"/>
      <c r="V296" s="129"/>
      <c r="W296" s="129"/>
      <c r="X296" s="129"/>
      <c r="Y296" s="129"/>
      <c r="Z296" s="133"/>
      <c r="AA296" s="133"/>
      <c r="AB296" s="133"/>
      <c r="AC296" s="133"/>
      <c r="AD296" s="133"/>
      <c r="AE296" s="133"/>
      <c r="AF296" s="222"/>
      <c r="AG296" s="222"/>
      <c r="AH296" s="222"/>
      <c r="AI296" s="176"/>
      <c r="AJ296" s="176"/>
      <c r="AK296" s="176"/>
      <c r="AL296" s="176"/>
      <c r="AM296" s="176"/>
      <c r="AN296" s="176"/>
      <c r="AO296" s="176"/>
      <c r="AP296" s="176"/>
      <c r="AQ296" s="176"/>
      <c r="AR296" s="176"/>
      <c r="AS296" s="176"/>
      <c r="AT296" s="176"/>
      <c r="AU296" s="176"/>
      <c r="AV296" s="176"/>
      <c r="AW296" s="176"/>
      <c r="AX296" s="176"/>
      <c r="AY296" s="176"/>
      <c r="AZ296" s="176"/>
      <c r="BA296" s="176"/>
      <c r="BB296" s="176"/>
      <c r="BC296" s="176"/>
      <c r="BD296" s="176"/>
      <c r="BE296" s="176"/>
      <c r="BF296" s="176"/>
      <c r="BG296" s="176"/>
      <c r="BH296" s="176"/>
      <c r="BI296" s="176"/>
      <c r="BJ296" s="176"/>
      <c r="BK296" s="176"/>
      <c r="BL296" s="176"/>
      <c r="BM296" s="176"/>
      <c r="BN296" s="176"/>
      <c r="BO296" s="176"/>
    </row>
    <row r="297" spans="1:67" s="36" customFormat="1" ht="10.5" customHeight="1" x14ac:dyDescent="0.2">
      <c r="A297" s="1115" t="s">
        <v>364</v>
      </c>
      <c r="B297" s="2611"/>
      <c r="C297" s="2612"/>
      <c r="D297" s="2613"/>
      <c r="E297" s="2676">
        <f>SUM(E298:E310)</f>
        <v>0</v>
      </c>
      <c r="F297" s="2677"/>
      <c r="G297" s="2678"/>
      <c r="H297" s="2679"/>
      <c r="I297" s="1116">
        <f>IF(E297=0,0,J297/E297)</f>
        <v>0</v>
      </c>
      <c r="J297" s="1117">
        <f>SUM(J298:J310)</f>
        <v>0</v>
      </c>
      <c r="K297" s="2686">
        <f>IF(E297=0,0,M297/E297*100)</f>
        <v>0</v>
      </c>
      <c r="L297" s="2687"/>
      <c r="M297" s="1118">
        <f>SUM(M298:M310)</f>
        <v>0</v>
      </c>
      <c r="N297" s="506"/>
      <c r="O297" s="178">
        <f>IF(H297="",G297,H297)</f>
        <v>0</v>
      </c>
      <c r="P297" s="366"/>
      <c r="Q297" s="135"/>
      <c r="R297" s="136"/>
      <c r="S297" s="129"/>
      <c r="T297" s="129"/>
      <c r="U297" s="129"/>
      <c r="V297" s="129"/>
      <c r="W297" s="129"/>
      <c r="X297" s="129"/>
      <c r="Y297" s="129"/>
      <c r="Z297" s="133"/>
      <c r="AA297" s="133"/>
      <c r="AB297" s="133"/>
      <c r="AC297" s="133"/>
      <c r="AD297" s="133"/>
      <c r="AE297" s="133"/>
      <c r="AF297" s="222"/>
      <c r="AG297" s="222"/>
      <c r="AH297" s="222"/>
      <c r="AI297" s="176"/>
      <c r="AJ297" s="176"/>
      <c r="AK297" s="176"/>
      <c r="AL297" s="176"/>
      <c r="AM297" s="176"/>
      <c r="AN297" s="176"/>
      <c r="AO297" s="176"/>
      <c r="AP297" s="176"/>
      <c r="AQ297" s="176"/>
      <c r="AR297" s="176"/>
      <c r="AS297" s="176"/>
      <c r="AT297" s="176"/>
      <c r="AU297" s="176"/>
      <c r="AV297" s="176"/>
      <c r="AW297" s="176"/>
      <c r="AX297" s="176"/>
      <c r="AY297" s="176"/>
      <c r="AZ297" s="176"/>
      <c r="BA297" s="176"/>
      <c r="BB297" s="176"/>
      <c r="BC297" s="176"/>
      <c r="BD297" s="176"/>
      <c r="BE297" s="176"/>
      <c r="BF297" s="176"/>
      <c r="BG297" s="176"/>
      <c r="BH297" s="176"/>
      <c r="BI297" s="176"/>
      <c r="BJ297" s="176"/>
      <c r="BK297" s="176"/>
      <c r="BL297" s="176"/>
      <c r="BM297" s="176"/>
      <c r="BN297" s="176"/>
      <c r="BO297" s="176"/>
    </row>
    <row r="298" spans="1:67" s="36" customFormat="1" ht="10.5" customHeight="1" x14ac:dyDescent="0.2">
      <c r="A298" s="1055"/>
      <c r="B298" s="2594"/>
      <c r="C298" s="2595"/>
      <c r="D298" s="2596"/>
      <c r="E298" s="2395"/>
      <c r="F298" s="2396"/>
      <c r="G298" s="2590"/>
      <c r="H298" s="2591"/>
      <c r="I298" s="1081">
        <f t="shared" ref="I298:I311" si="72">IF($O298&gt;0,-PMT(($I$9),$O298,1),0)</f>
        <v>0</v>
      </c>
      <c r="J298" s="1082">
        <f t="shared" ref="J298:J310" si="73">ROUND(E298*I298,0)</f>
        <v>0</v>
      </c>
      <c r="K298" s="2588"/>
      <c r="L298" s="2589"/>
      <c r="M298" s="1086">
        <f t="shared" ref="M298:M311" si="74">ROUND(E298/100*IF(ISBLANK(L298),K298,L298),0)</f>
        <v>0</v>
      </c>
      <c r="N298" s="506"/>
      <c r="O298" s="365">
        <f t="shared" ref="O298:O311" si="75">IF(ISBLANK(H298),G298,H298)</f>
        <v>0</v>
      </c>
      <c r="P298" s="366"/>
      <c r="Q298" s="135"/>
      <c r="R298" s="136"/>
      <c r="S298" s="129"/>
      <c r="T298" s="129"/>
      <c r="U298" s="129"/>
      <c r="V298" s="129"/>
      <c r="W298" s="129"/>
      <c r="X298" s="129"/>
      <c r="Y298" s="129"/>
      <c r="Z298" s="133"/>
      <c r="AA298" s="133"/>
      <c r="AB298" s="133"/>
      <c r="AC298" s="133"/>
      <c r="AD298" s="133"/>
      <c r="AE298" s="133"/>
      <c r="AF298" s="222"/>
      <c r="AG298" s="222"/>
      <c r="AH298" s="222"/>
      <c r="AI298" s="176"/>
      <c r="AJ298" s="176"/>
      <c r="AK298" s="176"/>
      <c r="AL298" s="176"/>
      <c r="AM298" s="176"/>
      <c r="AN298" s="176"/>
      <c r="AO298" s="176"/>
      <c r="AP298" s="176"/>
      <c r="AQ298" s="176"/>
      <c r="AR298" s="176"/>
      <c r="AS298" s="176"/>
      <c r="AT298" s="176"/>
      <c r="AU298" s="176"/>
      <c r="AV298" s="176"/>
      <c r="AW298" s="176"/>
      <c r="AX298" s="176"/>
      <c r="AY298" s="176"/>
      <c r="AZ298" s="176"/>
      <c r="BA298" s="176"/>
      <c r="BB298" s="176"/>
      <c r="BC298" s="176"/>
      <c r="BD298" s="176"/>
      <c r="BE298" s="176"/>
      <c r="BF298" s="176"/>
      <c r="BG298" s="176"/>
      <c r="BH298" s="176"/>
      <c r="BI298" s="176"/>
      <c r="BJ298" s="176"/>
      <c r="BK298" s="176"/>
      <c r="BL298" s="176"/>
      <c r="BM298" s="176"/>
      <c r="BN298" s="176"/>
      <c r="BO298" s="176"/>
    </row>
    <row r="299" spans="1:67" s="36" customFormat="1" ht="10.5" customHeight="1" x14ac:dyDescent="0.2">
      <c r="A299" s="1055"/>
      <c r="B299" s="2594"/>
      <c r="C299" s="2595"/>
      <c r="D299" s="2596"/>
      <c r="E299" s="2395"/>
      <c r="F299" s="2396"/>
      <c r="G299" s="2590"/>
      <c r="H299" s="2591"/>
      <c r="I299" s="1081">
        <f t="shared" si="72"/>
        <v>0</v>
      </c>
      <c r="J299" s="1082">
        <f t="shared" si="73"/>
        <v>0</v>
      </c>
      <c r="K299" s="2588"/>
      <c r="L299" s="2589"/>
      <c r="M299" s="1086">
        <f t="shared" si="74"/>
        <v>0</v>
      </c>
      <c r="N299" s="506"/>
      <c r="O299" s="365">
        <f t="shared" si="75"/>
        <v>0</v>
      </c>
      <c r="P299" s="366"/>
      <c r="Q299" s="135"/>
      <c r="R299" s="136"/>
      <c r="S299" s="129"/>
      <c r="T299" s="129"/>
      <c r="U299" s="129"/>
      <c r="V299" s="129"/>
      <c r="W299" s="129"/>
      <c r="X299" s="129"/>
      <c r="Y299" s="129"/>
      <c r="Z299" s="133"/>
      <c r="AA299" s="133"/>
      <c r="AB299" s="133"/>
      <c r="AC299" s="133"/>
      <c r="AD299" s="133"/>
      <c r="AE299" s="133"/>
      <c r="AF299" s="222"/>
      <c r="AG299" s="222"/>
      <c r="AH299" s="222"/>
      <c r="AI299" s="176"/>
      <c r="AJ299" s="176"/>
      <c r="AK299" s="176"/>
      <c r="AL299" s="176"/>
      <c r="AM299" s="176"/>
      <c r="AN299" s="176"/>
      <c r="AO299" s="176"/>
      <c r="AP299" s="176"/>
      <c r="AQ299" s="176"/>
      <c r="AR299" s="176"/>
      <c r="AS299" s="176"/>
      <c r="AT299" s="176"/>
      <c r="AU299" s="176"/>
      <c r="AV299" s="176"/>
      <c r="AW299" s="176"/>
      <c r="AX299" s="176"/>
      <c r="AY299" s="176"/>
      <c r="AZ299" s="176"/>
      <c r="BA299" s="176"/>
      <c r="BB299" s="176"/>
      <c r="BC299" s="176"/>
      <c r="BD299" s="176"/>
      <c r="BE299" s="176"/>
      <c r="BF299" s="176"/>
      <c r="BG299" s="176"/>
      <c r="BH299" s="176"/>
      <c r="BI299" s="176"/>
      <c r="BJ299" s="176"/>
      <c r="BK299" s="176"/>
      <c r="BL299" s="176"/>
      <c r="BM299" s="176"/>
      <c r="BN299" s="176"/>
      <c r="BO299" s="176"/>
    </row>
    <row r="300" spans="1:67" s="36" customFormat="1" ht="10.5" customHeight="1" x14ac:dyDescent="0.2">
      <c r="A300" s="1055"/>
      <c r="B300" s="2594"/>
      <c r="C300" s="2595"/>
      <c r="D300" s="2596"/>
      <c r="E300" s="2395"/>
      <c r="F300" s="2396"/>
      <c r="G300" s="2590"/>
      <c r="H300" s="2591"/>
      <c r="I300" s="1081">
        <f t="shared" si="72"/>
        <v>0</v>
      </c>
      <c r="J300" s="1082">
        <f t="shared" si="73"/>
        <v>0</v>
      </c>
      <c r="K300" s="2588"/>
      <c r="L300" s="2589"/>
      <c r="M300" s="1086">
        <f t="shared" si="74"/>
        <v>0</v>
      </c>
      <c r="N300" s="506"/>
      <c r="O300" s="365">
        <f t="shared" si="75"/>
        <v>0</v>
      </c>
      <c r="P300" s="366"/>
      <c r="Q300" s="135"/>
      <c r="R300" s="136"/>
      <c r="S300" s="129"/>
      <c r="T300" s="129"/>
      <c r="U300" s="129"/>
      <c r="V300" s="129"/>
      <c r="W300" s="129"/>
      <c r="X300" s="129"/>
      <c r="Y300" s="129"/>
      <c r="Z300" s="133"/>
      <c r="AA300" s="133"/>
      <c r="AB300" s="133"/>
      <c r="AC300" s="133"/>
      <c r="AD300" s="133"/>
      <c r="AE300" s="133"/>
      <c r="AF300" s="222"/>
      <c r="AG300" s="222"/>
      <c r="AH300" s="222"/>
      <c r="AI300" s="176"/>
      <c r="AJ300" s="176"/>
      <c r="AK300" s="176"/>
      <c r="AL300" s="176"/>
      <c r="AM300" s="176"/>
      <c r="AN300" s="176"/>
      <c r="AO300" s="176"/>
      <c r="AP300" s="176"/>
      <c r="AQ300" s="176"/>
      <c r="AR300" s="176"/>
      <c r="AS300" s="176"/>
      <c r="AT300" s="176"/>
      <c r="AU300" s="176"/>
      <c r="AV300" s="176"/>
      <c r="AW300" s="176"/>
      <c r="AX300" s="176"/>
      <c r="AY300" s="176"/>
      <c r="AZ300" s="176"/>
      <c r="BA300" s="176"/>
      <c r="BB300" s="176"/>
      <c r="BC300" s="176"/>
      <c r="BD300" s="176"/>
      <c r="BE300" s="176"/>
      <c r="BF300" s="176"/>
      <c r="BG300" s="176"/>
      <c r="BH300" s="176"/>
      <c r="BI300" s="176"/>
      <c r="BJ300" s="176"/>
      <c r="BK300" s="176"/>
      <c r="BL300" s="176"/>
      <c r="BM300" s="176"/>
      <c r="BN300" s="176"/>
      <c r="BO300" s="176"/>
    </row>
    <row r="301" spans="1:67" s="36" customFormat="1" ht="10.5" customHeight="1" x14ac:dyDescent="0.2">
      <c r="A301" s="1055"/>
      <c r="B301" s="2594"/>
      <c r="C301" s="2595"/>
      <c r="D301" s="2596"/>
      <c r="E301" s="2395"/>
      <c r="F301" s="2396"/>
      <c r="G301" s="2590"/>
      <c r="H301" s="2591"/>
      <c r="I301" s="1081">
        <f t="shared" si="72"/>
        <v>0</v>
      </c>
      <c r="J301" s="1082">
        <f t="shared" si="73"/>
        <v>0</v>
      </c>
      <c r="K301" s="2588"/>
      <c r="L301" s="2589"/>
      <c r="M301" s="1086">
        <f t="shared" si="74"/>
        <v>0</v>
      </c>
      <c r="N301" s="506"/>
      <c r="O301" s="365">
        <f t="shared" si="75"/>
        <v>0</v>
      </c>
      <c r="P301" s="366"/>
      <c r="Q301" s="135"/>
      <c r="R301" s="136"/>
      <c r="S301" s="129"/>
      <c r="T301" s="129"/>
      <c r="U301" s="129"/>
      <c r="V301" s="129"/>
      <c r="W301" s="129"/>
      <c r="X301" s="129"/>
      <c r="Y301" s="129"/>
      <c r="Z301" s="133"/>
      <c r="AA301" s="133"/>
      <c r="AB301" s="133"/>
      <c r="AC301" s="133"/>
      <c r="AD301" s="133"/>
      <c r="AE301" s="133"/>
      <c r="AF301" s="222"/>
      <c r="AG301" s="222"/>
      <c r="AH301" s="222"/>
      <c r="AI301" s="176"/>
      <c r="AJ301" s="176"/>
      <c r="AK301" s="176"/>
      <c r="AL301" s="176"/>
      <c r="AM301" s="176"/>
      <c r="AN301" s="176"/>
      <c r="AO301" s="176"/>
      <c r="AP301" s="176"/>
      <c r="AQ301" s="176"/>
      <c r="AR301" s="176"/>
      <c r="AS301" s="176"/>
      <c r="AT301" s="176"/>
      <c r="AU301" s="176"/>
      <c r="AV301" s="176"/>
      <c r="AW301" s="176"/>
      <c r="AX301" s="176"/>
      <c r="AY301" s="176"/>
      <c r="AZ301" s="176"/>
      <c r="BA301" s="176"/>
      <c r="BB301" s="176"/>
      <c r="BC301" s="176"/>
      <c r="BD301" s="176"/>
      <c r="BE301" s="176"/>
      <c r="BF301" s="176"/>
      <c r="BG301" s="176"/>
      <c r="BH301" s="176"/>
      <c r="BI301" s="176"/>
      <c r="BJ301" s="176"/>
      <c r="BK301" s="176"/>
      <c r="BL301" s="176"/>
      <c r="BM301" s="176"/>
      <c r="BN301" s="176"/>
      <c r="BO301" s="176"/>
    </row>
    <row r="302" spans="1:67" s="36" customFormat="1" ht="10.5" customHeight="1" x14ac:dyDescent="0.2">
      <c r="A302" s="1055"/>
      <c r="B302" s="2594"/>
      <c r="C302" s="2595"/>
      <c r="D302" s="2596"/>
      <c r="E302" s="2395"/>
      <c r="F302" s="2396"/>
      <c r="G302" s="2590"/>
      <c r="H302" s="2591"/>
      <c r="I302" s="1081">
        <f t="shared" si="72"/>
        <v>0</v>
      </c>
      <c r="J302" s="1082">
        <f t="shared" si="73"/>
        <v>0</v>
      </c>
      <c r="K302" s="2588"/>
      <c r="L302" s="2589"/>
      <c r="M302" s="1086">
        <f t="shared" si="74"/>
        <v>0</v>
      </c>
      <c r="N302" s="506"/>
      <c r="O302" s="365">
        <f t="shared" si="75"/>
        <v>0</v>
      </c>
      <c r="P302" s="366"/>
      <c r="Q302" s="135"/>
      <c r="R302" s="136"/>
      <c r="S302" s="129"/>
      <c r="T302" s="129"/>
      <c r="U302" s="129"/>
      <c r="V302" s="129"/>
      <c r="W302" s="129"/>
      <c r="X302" s="129"/>
      <c r="Y302" s="129"/>
      <c r="Z302" s="133"/>
      <c r="AA302" s="133"/>
      <c r="AB302" s="133"/>
      <c r="AC302" s="133"/>
      <c r="AD302" s="133"/>
      <c r="AE302" s="133"/>
      <c r="AF302" s="222"/>
      <c r="AG302" s="222"/>
      <c r="AH302" s="222"/>
      <c r="AI302" s="176"/>
      <c r="AJ302" s="176"/>
      <c r="AK302" s="176"/>
      <c r="AL302" s="176"/>
      <c r="AM302" s="176"/>
      <c r="AN302" s="176"/>
      <c r="AO302" s="176"/>
      <c r="AP302" s="176"/>
      <c r="AQ302" s="176"/>
      <c r="AR302" s="176"/>
      <c r="AS302" s="176"/>
      <c r="AT302" s="176"/>
      <c r="AU302" s="176"/>
      <c r="AV302" s="176"/>
      <c r="AW302" s="176"/>
      <c r="AX302" s="176"/>
      <c r="AY302" s="176"/>
      <c r="AZ302" s="176"/>
      <c r="BA302" s="176"/>
      <c r="BB302" s="176"/>
      <c r="BC302" s="176"/>
      <c r="BD302" s="176"/>
      <c r="BE302" s="176"/>
      <c r="BF302" s="176"/>
      <c r="BG302" s="176"/>
      <c r="BH302" s="176"/>
      <c r="BI302" s="176"/>
      <c r="BJ302" s="176"/>
      <c r="BK302" s="176"/>
      <c r="BL302" s="176"/>
      <c r="BM302" s="176"/>
      <c r="BN302" s="176"/>
      <c r="BO302" s="176"/>
    </row>
    <row r="303" spans="1:67" s="36" customFormat="1" ht="10.5" customHeight="1" x14ac:dyDescent="0.2">
      <c r="A303" s="1055"/>
      <c r="B303" s="2594"/>
      <c r="C303" s="2595"/>
      <c r="D303" s="2596"/>
      <c r="E303" s="2395"/>
      <c r="F303" s="2396"/>
      <c r="G303" s="2590"/>
      <c r="H303" s="2591"/>
      <c r="I303" s="1081">
        <f t="shared" si="72"/>
        <v>0</v>
      </c>
      <c r="J303" s="1082">
        <f t="shared" si="73"/>
        <v>0</v>
      </c>
      <c r="K303" s="2588"/>
      <c r="L303" s="2589"/>
      <c r="M303" s="1086">
        <f t="shared" si="74"/>
        <v>0</v>
      </c>
      <c r="N303" s="506"/>
      <c r="O303" s="365">
        <f t="shared" si="75"/>
        <v>0</v>
      </c>
      <c r="P303" s="366"/>
      <c r="Q303" s="135"/>
      <c r="R303" s="136"/>
      <c r="S303" s="129"/>
      <c r="T303" s="129"/>
      <c r="U303" s="129"/>
      <c r="V303" s="129"/>
      <c r="W303" s="129"/>
      <c r="X303" s="129"/>
      <c r="Y303" s="129"/>
      <c r="Z303" s="133"/>
      <c r="AA303" s="133"/>
      <c r="AB303" s="133"/>
      <c r="AC303" s="133"/>
      <c r="AD303" s="133"/>
      <c r="AE303" s="133"/>
      <c r="AF303" s="222"/>
      <c r="AG303" s="222"/>
      <c r="AH303" s="222"/>
      <c r="AI303" s="176"/>
      <c r="AJ303" s="176"/>
      <c r="AK303" s="176"/>
      <c r="AL303" s="176"/>
      <c r="AM303" s="176"/>
      <c r="AN303" s="176"/>
      <c r="AO303" s="176"/>
      <c r="AP303" s="176"/>
      <c r="AQ303" s="176"/>
      <c r="AR303" s="176"/>
      <c r="AS303" s="176"/>
      <c r="AT303" s="176"/>
      <c r="AU303" s="176"/>
      <c r="AV303" s="176"/>
      <c r="AW303" s="176"/>
      <c r="AX303" s="176"/>
      <c r="AY303" s="176"/>
      <c r="AZ303" s="176"/>
      <c r="BA303" s="176"/>
      <c r="BB303" s="176"/>
      <c r="BC303" s="176"/>
      <c r="BD303" s="176"/>
      <c r="BE303" s="176"/>
      <c r="BF303" s="176"/>
      <c r="BG303" s="176"/>
      <c r="BH303" s="176"/>
      <c r="BI303" s="176"/>
      <c r="BJ303" s="176"/>
      <c r="BK303" s="176"/>
      <c r="BL303" s="176"/>
      <c r="BM303" s="176"/>
      <c r="BN303" s="176"/>
      <c r="BO303" s="176"/>
    </row>
    <row r="304" spans="1:67" s="36" customFormat="1" ht="10.5" customHeight="1" x14ac:dyDescent="0.2">
      <c r="A304" s="1055"/>
      <c r="B304" s="2594"/>
      <c r="C304" s="2595"/>
      <c r="D304" s="2596"/>
      <c r="E304" s="2395"/>
      <c r="F304" s="2396"/>
      <c r="G304" s="2590"/>
      <c r="H304" s="2591"/>
      <c r="I304" s="1081">
        <f t="shared" si="72"/>
        <v>0</v>
      </c>
      <c r="J304" s="1082">
        <f t="shared" si="73"/>
        <v>0</v>
      </c>
      <c r="K304" s="2588"/>
      <c r="L304" s="2589"/>
      <c r="M304" s="1086">
        <f t="shared" si="74"/>
        <v>0</v>
      </c>
      <c r="N304" s="506"/>
      <c r="O304" s="365">
        <f t="shared" si="75"/>
        <v>0</v>
      </c>
      <c r="P304" s="366"/>
      <c r="Q304" s="135"/>
      <c r="R304" s="136"/>
      <c r="S304" s="129"/>
      <c r="T304" s="129"/>
      <c r="U304" s="129"/>
      <c r="V304" s="129"/>
      <c r="W304" s="129"/>
      <c r="X304" s="129"/>
      <c r="Y304" s="129"/>
      <c r="Z304" s="133"/>
      <c r="AA304" s="133"/>
      <c r="AB304" s="133"/>
      <c r="AC304" s="133"/>
      <c r="AD304" s="133"/>
      <c r="AE304" s="133"/>
      <c r="AF304" s="222"/>
      <c r="AG304" s="222"/>
      <c r="AH304" s="222"/>
      <c r="AI304" s="176"/>
      <c r="AJ304" s="176"/>
      <c r="AK304" s="176"/>
      <c r="AL304" s="176"/>
      <c r="AM304" s="176"/>
      <c r="AN304" s="176"/>
      <c r="AO304" s="176"/>
      <c r="AP304" s="176"/>
      <c r="AQ304" s="176"/>
      <c r="AR304" s="176"/>
      <c r="AS304" s="176"/>
      <c r="AT304" s="176"/>
      <c r="AU304" s="176"/>
      <c r="AV304" s="176"/>
      <c r="AW304" s="176"/>
      <c r="AX304" s="176"/>
      <c r="AY304" s="176"/>
      <c r="AZ304" s="176"/>
      <c r="BA304" s="176"/>
      <c r="BB304" s="176"/>
      <c r="BC304" s="176"/>
      <c r="BD304" s="176"/>
      <c r="BE304" s="176"/>
      <c r="BF304" s="176"/>
      <c r="BG304" s="176"/>
      <c r="BH304" s="176"/>
      <c r="BI304" s="176"/>
      <c r="BJ304" s="176"/>
      <c r="BK304" s="176"/>
      <c r="BL304" s="176"/>
      <c r="BM304" s="176"/>
      <c r="BN304" s="176"/>
      <c r="BO304" s="176"/>
    </row>
    <row r="305" spans="1:67" s="36" customFormat="1" ht="10.5" customHeight="1" x14ac:dyDescent="0.2">
      <c r="A305" s="1055"/>
      <c r="B305" s="2594"/>
      <c r="C305" s="2595"/>
      <c r="D305" s="2596"/>
      <c r="E305" s="2395"/>
      <c r="F305" s="2396"/>
      <c r="G305" s="2590"/>
      <c r="H305" s="2591"/>
      <c r="I305" s="1081">
        <f t="shared" si="72"/>
        <v>0</v>
      </c>
      <c r="J305" s="1082">
        <f t="shared" si="73"/>
        <v>0</v>
      </c>
      <c r="K305" s="2588"/>
      <c r="L305" s="2589"/>
      <c r="M305" s="1086">
        <f t="shared" si="74"/>
        <v>0</v>
      </c>
      <c r="N305" s="506"/>
      <c r="O305" s="365">
        <f t="shared" si="75"/>
        <v>0</v>
      </c>
      <c r="P305" s="366"/>
      <c r="Q305" s="135"/>
      <c r="R305" s="136"/>
      <c r="S305" s="129"/>
      <c r="T305" s="129"/>
      <c r="U305" s="129"/>
      <c r="V305" s="129"/>
      <c r="W305" s="129"/>
      <c r="X305" s="129"/>
      <c r="Y305" s="129"/>
      <c r="Z305" s="133"/>
      <c r="AA305" s="133"/>
      <c r="AB305" s="133"/>
      <c r="AC305" s="133"/>
      <c r="AD305" s="133"/>
      <c r="AE305" s="133"/>
      <c r="AF305" s="222"/>
      <c r="AG305" s="222"/>
      <c r="AH305" s="222"/>
      <c r="AI305" s="176"/>
      <c r="AJ305" s="176"/>
      <c r="AK305" s="176"/>
      <c r="AL305" s="176"/>
      <c r="AM305" s="176"/>
      <c r="AN305" s="176"/>
      <c r="AO305" s="176"/>
      <c r="AP305" s="176"/>
      <c r="AQ305" s="176"/>
      <c r="AR305" s="176"/>
      <c r="AS305" s="176"/>
      <c r="AT305" s="176"/>
      <c r="AU305" s="176"/>
      <c r="AV305" s="176"/>
      <c r="AW305" s="176"/>
      <c r="AX305" s="176"/>
      <c r="AY305" s="176"/>
      <c r="AZ305" s="176"/>
      <c r="BA305" s="176"/>
      <c r="BB305" s="176"/>
      <c r="BC305" s="176"/>
      <c r="BD305" s="176"/>
      <c r="BE305" s="176"/>
      <c r="BF305" s="176"/>
      <c r="BG305" s="176"/>
      <c r="BH305" s="176"/>
      <c r="BI305" s="176"/>
      <c r="BJ305" s="176"/>
      <c r="BK305" s="176"/>
      <c r="BL305" s="176"/>
      <c r="BM305" s="176"/>
      <c r="BN305" s="176"/>
      <c r="BO305" s="176"/>
    </row>
    <row r="306" spans="1:67" s="36" customFormat="1" ht="10.5" customHeight="1" x14ac:dyDescent="0.2">
      <c r="A306" s="1055"/>
      <c r="B306" s="2594"/>
      <c r="C306" s="2595"/>
      <c r="D306" s="2596"/>
      <c r="E306" s="2395"/>
      <c r="F306" s="2396"/>
      <c r="G306" s="2590"/>
      <c r="H306" s="2591"/>
      <c r="I306" s="1081">
        <f t="shared" si="72"/>
        <v>0</v>
      </c>
      <c r="J306" s="1082">
        <f t="shared" si="73"/>
        <v>0</v>
      </c>
      <c r="K306" s="2588"/>
      <c r="L306" s="2589"/>
      <c r="M306" s="1086">
        <f t="shared" si="74"/>
        <v>0</v>
      </c>
      <c r="N306" s="506"/>
      <c r="O306" s="365">
        <f t="shared" si="75"/>
        <v>0</v>
      </c>
      <c r="P306" s="366"/>
      <c r="Q306" s="135"/>
      <c r="R306" s="136"/>
      <c r="S306" s="129"/>
      <c r="T306" s="129"/>
      <c r="U306" s="129"/>
      <c r="V306" s="129"/>
      <c r="W306" s="129"/>
      <c r="X306" s="129"/>
      <c r="Y306" s="129"/>
      <c r="Z306" s="133"/>
      <c r="AA306" s="133"/>
      <c r="AB306" s="133"/>
      <c r="AC306" s="133"/>
      <c r="AD306" s="133"/>
      <c r="AE306" s="133"/>
      <c r="AF306" s="222"/>
      <c r="AG306" s="222"/>
      <c r="AH306" s="222"/>
      <c r="AI306" s="176"/>
      <c r="AJ306" s="176"/>
      <c r="AK306" s="176"/>
      <c r="AL306" s="176"/>
      <c r="AM306" s="176"/>
      <c r="AN306" s="176"/>
      <c r="AO306" s="176"/>
      <c r="AP306" s="176"/>
      <c r="AQ306" s="176"/>
      <c r="AR306" s="176"/>
      <c r="AS306" s="176"/>
      <c r="AT306" s="176"/>
      <c r="AU306" s="176"/>
      <c r="AV306" s="176"/>
      <c r="AW306" s="176"/>
      <c r="AX306" s="176"/>
      <c r="AY306" s="176"/>
      <c r="AZ306" s="176"/>
      <c r="BA306" s="176"/>
      <c r="BB306" s="176"/>
      <c r="BC306" s="176"/>
      <c r="BD306" s="176"/>
      <c r="BE306" s="176"/>
      <c r="BF306" s="176"/>
      <c r="BG306" s="176"/>
      <c r="BH306" s="176"/>
      <c r="BI306" s="176"/>
      <c r="BJ306" s="176"/>
      <c r="BK306" s="176"/>
      <c r="BL306" s="176"/>
      <c r="BM306" s="176"/>
      <c r="BN306" s="176"/>
      <c r="BO306" s="176"/>
    </row>
    <row r="307" spans="1:67" s="36" customFormat="1" ht="10.5" customHeight="1" x14ac:dyDescent="0.2">
      <c r="A307" s="1055"/>
      <c r="B307" s="2594"/>
      <c r="C307" s="2595"/>
      <c r="D307" s="2596"/>
      <c r="E307" s="2395"/>
      <c r="F307" s="2396"/>
      <c r="G307" s="2590"/>
      <c r="H307" s="2591"/>
      <c r="I307" s="1081">
        <f t="shared" si="72"/>
        <v>0</v>
      </c>
      <c r="J307" s="1082">
        <f t="shared" si="73"/>
        <v>0</v>
      </c>
      <c r="K307" s="2588"/>
      <c r="L307" s="2589"/>
      <c r="M307" s="1086">
        <f t="shared" si="74"/>
        <v>0</v>
      </c>
      <c r="N307" s="506"/>
      <c r="O307" s="365">
        <f t="shared" si="75"/>
        <v>0</v>
      </c>
      <c r="P307" s="366"/>
      <c r="Q307" s="135"/>
      <c r="R307" s="136"/>
      <c r="S307" s="129"/>
      <c r="T307" s="129"/>
      <c r="U307" s="129"/>
      <c r="V307" s="129"/>
      <c r="W307" s="129"/>
      <c r="X307" s="129"/>
      <c r="Y307" s="129"/>
      <c r="Z307" s="133"/>
      <c r="AA307" s="133"/>
      <c r="AB307" s="133"/>
      <c r="AC307" s="133"/>
      <c r="AD307" s="133"/>
      <c r="AE307" s="133"/>
      <c r="AF307" s="222"/>
      <c r="AG307" s="222"/>
      <c r="AH307" s="222"/>
      <c r="AI307" s="176"/>
      <c r="AJ307" s="176"/>
      <c r="AK307" s="176"/>
      <c r="AL307" s="176"/>
      <c r="AM307" s="176"/>
      <c r="AN307" s="176"/>
      <c r="AO307" s="176"/>
      <c r="AP307" s="176"/>
      <c r="AQ307" s="176"/>
      <c r="AR307" s="176"/>
      <c r="AS307" s="176"/>
      <c r="AT307" s="176"/>
      <c r="AU307" s="176"/>
      <c r="AV307" s="176"/>
      <c r="AW307" s="176"/>
      <c r="AX307" s="176"/>
      <c r="AY307" s="176"/>
      <c r="AZ307" s="176"/>
      <c r="BA307" s="176"/>
      <c r="BB307" s="176"/>
      <c r="BC307" s="176"/>
      <c r="BD307" s="176"/>
      <c r="BE307" s="176"/>
      <c r="BF307" s="176"/>
      <c r="BG307" s="176"/>
      <c r="BH307" s="176"/>
      <c r="BI307" s="176"/>
      <c r="BJ307" s="176"/>
      <c r="BK307" s="176"/>
      <c r="BL307" s="176"/>
      <c r="BM307" s="176"/>
      <c r="BN307" s="176"/>
      <c r="BO307" s="176"/>
    </row>
    <row r="308" spans="1:67" s="36" customFormat="1" ht="10.5" customHeight="1" x14ac:dyDescent="0.2">
      <c r="A308" s="1055"/>
      <c r="B308" s="2594"/>
      <c r="C308" s="2595"/>
      <c r="D308" s="2596"/>
      <c r="E308" s="2395"/>
      <c r="F308" s="2396"/>
      <c r="G308" s="2590"/>
      <c r="H308" s="2591"/>
      <c r="I308" s="1081">
        <f t="shared" si="72"/>
        <v>0</v>
      </c>
      <c r="J308" s="1082">
        <f t="shared" si="73"/>
        <v>0</v>
      </c>
      <c r="K308" s="2588"/>
      <c r="L308" s="2589"/>
      <c r="M308" s="1086">
        <f t="shared" si="74"/>
        <v>0</v>
      </c>
      <c r="N308" s="506"/>
      <c r="O308" s="365">
        <f t="shared" si="75"/>
        <v>0</v>
      </c>
      <c r="P308" s="366"/>
      <c r="Q308" s="135"/>
      <c r="R308" s="136"/>
      <c r="S308" s="129"/>
      <c r="T308" s="129"/>
      <c r="U308" s="129"/>
      <c r="V308" s="129"/>
      <c r="W308" s="129"/>
      <c r="X308" s="129"/>
      <c r="Y308" s="129"/>
      <c r="Z308" s="133"/>
      <c r="AA308" s="133"/>
      <c r="AB308" s="133"/>
      <c r="AC308" s="133"/>
      <c r="AD308" s="133"/>
      <c r="AE308" s="133"/>
      <c r="AF308" s="222"/>
      <c r="AG308" s="222"/>
      <c r="AH308" s="222"/>
      <c r="AI308" s="176"/>
      <c r="AJ308" s="176"/>
      <c r="AK308" s="176"/>
      <c r="AL308" s="176"/>
      <c r="AM308" s="176"/>
      <c r="AN308" s="176"/>
      <c r="AO308" s="176"/>
      <c r="AP308" s="176"/>
      <c r="AQ308" s="176"/>
      <c r="AR308" s="176"/>
      <c r="AS308" s="176"/>
      <c r="AT308" s="176"/>
      <c r="AU308" s="176"/>
      <c r="AV308" s="176"/>
      <c r="AW308" s="176"/>
      <c r="AX308" s="176"/>
      <c r="AY308" s="176"/>
      <c r="AZ308" s="176"/>
      <c r="BA308" s="176"/>
      <c r="BB308" s="176"/>
      <c r="BC308" s="176"/>
      <c r="BD308" s="176"/>
      <c r="BE308" s="176"/>
      <c r="BF308" s="176"/>
      <c r="BG308" s="176"/>
      <c r="BH308" s="176"/>
      <c r="BI308" s="176"/>
      <c r="BJ308" s="176"/>
      <c r="BK308" s="176"/>
      <c r="BL308" s="176"/>
      <c r="BM308" s="176"/>
      <c r="BN308" s="176"/>
      <c r="BO308" s="176"/>
    </row>
    <row r="309" spans="1:67" s="36" customFormat="1" ht="10.5" customHeight="1" x14ac:dyDescent="0.2">
      <c r="A309" s="1055"/>
      <c r="B309" s="2594"/>
      <c r="C309" s="2595"/>
      <c r="D309" s="2596"/>
      <c r="E309" s="2395"/>
      <c r="F309" s="2396"/>
      <c r="G309" s="2590"/>
      <c r="H309" s="2591"/>
      <c r="I309" s="1081">
        <f t="shared" si="72"/>
        <v>0</v>
      </c>
      <c r="J309" s="1082">
        <f t="shared" si="73"/>
        <v>0</v>
      </c>
      <c r="K309" s="2588"/>
      <c r="L309" s="2589"/>
      <c r="M309" s="1086">
        <f t="shared" si="74"/>
        <v>0</v>
      </c>
      <c r="N309" s="506"/>
      <c r="O309" s="365">
        <f t="shared" si="75"/>
        <v>0</v>
      </c>
      <c r="P309" s="366"/>
      <c r="Q309" s="135"/>
      <c r="R309" s="136"/>
      <c r="S309" s="129"/>
      <c r="T309" s="129"/>
      <c r="U309" s="129"/>
      <c r="V309" s="129"/>
      <c r="W309" s="129"/>
      <c r="X309" s="129"/>
      <c r="Y309" s="129"/>
      <c r="Z309" s="133"/>
      <c r="AA309" s="133"/>
      <c r="AB309" s="133"/>
      <c r="AC309" s="133"/>
      <c r="AD309" s="133"/>
      <c r="AE309" s="133"/>
      <c r="AF309" s="222"/>
      <c r="AG309" s="222"/>
      <c r="AH309" s="222"/>
      <c r="AI309" s="176"/>
      <c r="AJ309" s="176"/>
      <c r="AK309" s="176"/>
      <c r="AL309" s="176"/>
      <c r="AM309" s="176"/>
      <c r="AN309" s="176"/>
      <c r="AO309" s="176"/>
      <c r="AP309" s="176"/>
      <c r="AQ309" s="176"/>
      <c r="AR309" s="176"/>
      <c r="AS309" s="176"/>
      <c r="AT309" s="176"/>
      <c r="AU309" s="176"/>
      <c r="AV309" s="176"/>
      <c r="AW309" s="176"/>
      <c r="AX309" s="176"/>
      <c r="AY309" s="176"/>
      <c r="AZ309" s="176"/>
      <c r="BA309" s="176"/>
      <c r="BB309" s="176"/>
      <c r="BC309" s="176"/>
      <c r="BD309" s="176"/>
      <c r="BE309" s="176"/>
      <c r="BF309" s="176"/>
      <c r="BG309" s="176"/>
      <c r="BH309" s="176"/>
      <c r="BI309" s="176"/>
      <c r="BJ309" s="176"/>
      <c r="BK309" s="176"/>
      <c r="BL309" s="176"/>
      <c r="BM309" s="176"/>
      <c r="BN309" s="176"/>
      <c r="BO309" s="176"/>
    </row>
    <row r="310" spans="1:67" s="36" customFormat="1" ht="10.5" customHeight="1" x14ac:dyDescent="0.2">
      <c r="A310" s="1055"/>
      <c r="B310" s="2594"/>
      <c r="C310" s="2595"/>
      <c r="D310" s="2596"/>
      <c r="E310" s="2395"/>
      <c r="F310" s="2396"/>
      <c r="G310" s="2590"/>
      <c r="H310" s="2591"/>
      <c r="I310" s="1081">
        <f t="shared" si="72"/>
        <v>0</v>
      </c>
      <c r="J310" s="1082">
        <f t="shared" si="73"/>
        <v>0</v>
      </c>
      <c r="K310" s="2588"/>
      <c r="L310" s="2589"/>
      <c r="M310" s="1086">
        <f t="shared" si="74"/>
        <v>0</v>
      </c>
      <c r="N310" s="506"/>
      <c r="O310" s="365">
        <f t="shared" si="75"/>
        <v>0</v>
      </c>
      <c r="P310" s="366"/>
      <c r="Q310" s="135"/>
      <c r="R310" s="136"/>
      <c r="S310" s="129"/>
      <c r="T310" s="129"/>
      <c r="U310" s="129"/>
      <c r="V310" s="129"/>
      <c r="W310" s="129"/>
      <c r="X310" s="129"/>
      <c r="Y310" s="129"/>
      <c r="Z310" s="133"/>
      <c r="AA310" s="133"/>
      <c r="AB310" s="133"/>
      <c r="AC310" s="133"/>
      <c r="AD310" s="133"/>
      <c r="AE310" s="133"/>
      <c r="AF310" s="222"/>
      <c r="AG310" s="222"/>
      <c r="AH310" s="222"/>
      <c r="AI310" s="176"/>
      <c r="AJ310" s="176"/>
      <c r="AK310" s="176"/>
      <c r="AL310" s="176"/>
      <c r="AM310" s="176"/>
      <c r="AN310" s="176"/>
      <c r="AO310" s="176"/>
      <c r="AP310" s="176"/>
      <c r="AQ310" s="176"/>
      <c r="AR310" s="176"/>
      <c r="AS310" s="176"/>
      <c r="AT310" s="176"/>
      <c r="AU310" s="176"/>
      <c r="AV310" s="176"/>
      <c r="AW310" s="176"/>
      <c r="AX310" s="176"/>
      <c r="AY310" s="176"/>
      <c r="AZ310" s="176"/>
      <c r="BA310" s="176"/>
      <c r="BB310" s="176"/>
      <c r="BC310" s="176"/>
      <c r="BD310" s="176"/>
      <c r="BE310" s="176"/>
      <c r="BF310" s="176"/>
      <c r="BG310" s="176"/>
      <c r="BH310" s="176"/>
      <c r="BI310" s="176"/>
      <c r="BJ310" s="176"/>
      <c r="BK310" s="176"/>
      <c r="BL310" s="176"/>
      <c r="BM310" s="176"/>
      <c r="BN310" s="176"/>
      <c r="BO310" s="176"/>
    </row>
    <row r="311" spans="1:67" s="36" customFormat="1" ht="10.5" customHeight="1" x14ac:dyDescent="0.2">
      <c r="A311" s="1348"/>
      <c r="B311" s="2690"/>
      <c r="C311" s="2691"/>
      <c r="D311" s="2692"/>
      <c r="E311" s="2601"/>
      <c r="F311" s="2602"/>
      <c r="G311" s="1088"/>
      <c r="H311" s="1089"/>
      <c r="I311" s="1083">
        <f t="shared" si="72"/>
        <v>0</v>
      </c>
      <c r="J311" s="1084"/>
      <c r="K311" s="1087"/>
      <c r="L311" s="1307"/>
      <c r="M311" s="1317">
        <f t="shared" si="74"/>
        <v>0</v>
      </c>
      <c r="N311" s="506"/>
      <c r="O311" s="365">
        <f t="shared" si="75"/>
        <v>0</v>
      </c>
      <c r="P311" s="366"/>
      <c r="Q311" s="135"/>
      <c r="R311" s="136"/>
      <c r="S311" s="129"/>
      <c r="T311" s="129"/>
      <c r="U311" s="129"/>
      <c r="V311" s="129"/>
      <c r="W311" s="129"/>
      <c r="X311" s="129"/>
      <c r="Y311" s="129"/>
      <c r="Z311" s="133"/>
      <c r="AA311" s="133"/>
      <c r="AB311" s="133"/>
      <c r="AC311" s="133"/>
      <c r="AD311" s="133"/>
      <c r="AE311" s="133"/>
      <c r="AF311" s="222"/>
      <c r="AG311" s="222"/>
      <c r="AH311" s="222"/>
      <c r="AI311" s="176"/>
      <c r="AJ311" s="176"/>
      <c r="AK311" s="176"/>
      <c r="AL311" s="176"/>
      <c r="AM311" s="176"/>
      <c r="AN311" s="176"/>
      <c r="AO311" s="176"/>
      <c r="AP311" s="176"/>
      <c r="AQ311" s="176"/>
      <c r="AR311" s="176"/>
      <c r="AS311" s="176"/>
      <c r="AT311" s="176"/>
      <c r="AU311" s="176"/>
      <c r="AV311" s="176"/>
      <c r="AW311" s="176"/>
      <c r="AX311" s="176"/>
      <c r="AY311" s="176"/>
      <c r="AZ311" s="176"/>
      <c r="BA311" s="176"/>
      <c r="BB311" s="176"/>
      <c r="BC311" s="176"/>
      <c r="BD311" s="176"/>
      <c r="BE311" s="176"/>
      <c r="BF311" s="176"/>
      <c r="BG311" s="176"/>
      <c r="BH311" s="176"/>
      <c r="BI311" s="176"/>
      <c r="BJ311" s="176"/>
      <c r="BK311" s="176"/>
      <c r="BL311" s="176"/>
      <c r="BM311" s="176"/>
      <c r="BN311" s="176"/>
      <c r="BO311" s="176"/>
    </row>
    <row r="312" spans="1:67" s="36" customFormat="1" ht="10.5" customHeight="1" x14ac:dyDescent="0.2">
      <c r="A312" s="1115" t="s">
        <v>365</v>
      </c>
      <c r="B312" s="2611"/>
      <c r="C312" s="2612"/>
      <c r="D312" s="2613"/>
      <c r="E312" s="2676">
        <f>SUM(E313:E325)</f>
        <v>0</v>
      </c>
      <c r="F312" s="2677"/>
      <c r="G312" s="2678"/>
      <c r="H312" s="2679"/>
      <c r="I312" s="1116">
        <f>IF(E312=0,0,J312/E312)</f>
        <v>0</v>
      </c>
      <c r="J312" s="1117">
        <f>SUM(J313:J325)</f>
        <v>0</v>
      </c>
      <c r="K312" s="2686">
        <f>IF(E312=0,0,M312/E312*100)</f>
        <v>0</v>
      </c>
      <c r="L312" s="2687"/>
      <c r="M312" s="1118">
        <f>SUM(M313:M325)</f>
        <v>0</v>
      </c>
      <c r="N312" s="506"/>
      <c r="O312" s="178">
        <f>IF(H312="",G312,H312)</f>
        <v>0</v>
      </c>
      <c r="P312" s="366"/>
      <c r="Q312" s="135"/>
      <c r="R312" s="136"/>
      <c r="S312" s="129"/>
      <c r="T312" s="129"/>
      <c r="U312" s="129"/>
      <c r="V312" s="129"/>
      <c r="W312" s="129"/>
      <c r="X312" s="129"/>
      <c r="Y312" s="129"/>
      <c r="Z312" s="133"/>
      <c r="AA312" s="133"/>
      <c r="AB312" s="133"/>
      <c r="AC312" s="133"/>
      <c r="AD312" s="133"/>
      <c r="AE312" s="133"/>
      <c r="AF312" s="222"/>
      <c r="AG312" s="222"/>
      <c r="AH312" s="222"/>
      <c r="AI312" s="176"/>
      <c r="AJ312" s="176"/>
      <c r="AK312" s="176"/>
      <c r="AL312" s="176"/>
      <c r="AM312" s="176"/>
      <c r="AN312" s="176"/>
      <c r="AO312" s="176"/>
      <c r="AP312" s="176"/>
      <c r="AQ312" s="176"/>
      <c r="AR312" s="176"/>
      <c r="AS312" s="176"/>
      <c r="AT312" s="176"/>
      <c r="AU312" s="176"/>
      <c r="AV312" s="176"/>
      <c r="AW312" s="176"/>
      <c r="AX312" s="176"/>
      <c r="AY312" s="176"/>
      <c r="AZ312" s="176"/>
      <c r="BA312" s="176"/>
      <c r="BB312" s="176"/>
      <c r="BC312" s="176"/>
      <c r="BD312" s="176"/>
      <c r="BE312" s="176"/>
      <c r="BF312" s="176"/>
      <c r="BG312" s="176"/>
      <c r="BH312" s="176"/>
      <c r="BI312" s="176"/>
      <c r="BJ312" s="176"/>
      <c r="BK312" s="176"/>
      <c r="BL312" s="176"/>
      <c r="BM312" s="176"/>
      <c r="BN312" s="176"/>
      <c r="BO312" s="176"/>
    </row>
    <row r="313" spans="1:67" s="36" customFormat="1" ht="10.5" customHeight="1" x14ac:dyDescent="0.2">
      <c r="A313" s="1359" t="s">
        <v>366</v>
      </c>
      <c r="B313" s="2743"/>
      <c r="C313" s="2744"/>
      <c r="D313" s="2745"/>
      <c r="E313" s="2746"/>
      <c r="F313" s="2788"/>
      <c r="G313" s="1056">
        <v>15</v>
      </c>
      <c r="H313" s="1057"/>
      <c r="I313" s="1079">
        <f t="shared" ref="I313:I326" si="76">IF($O313&gt;0,-PMT(($I$9),$O313,1),0)</f>
        <v>7.9288524964265278E-2</v>
      </c>
      <c r="J313" s="1080">
        <f t="shared" ref="J313:J325" si="77">ROUND(E313*I313,0)</f>
        <v>0</v>
      </c>
      <c r="K313" s="1060"/>
      <c r="L313" s="1304"/>
      <c r="M313" s="1085">
        <f t="shared" ref="M313:M326" si="78">ROUND(E313/100*IF(ISBLANK(L313),K313,L313),0)</f>
        <v>0</v>
      </c>
      <c r="N313" s="506"/>
      <c r="O313" s="365">
        <f t="shared" ref="O313:O326" si="79">IF(ISBLANK(H313),G313,H313)</f>
        <v>15</v>
      </c>
      <c r="P313" s="366"/>
      <c r="Q313" s="135"/>
      <c r="R313" s="136"/>
      <c r="S313" s="129"/>
      <c r="T313" s="129"/>
      <c r="U313" s="129"/>
      <c r="V313" s="129"/>
      <c r="W313" s="129"/>
      <c r="X313" s="129"/>
      <c r="Y313" s="129"/>
      <c r="Z313" s="133"/>
      <c r="AA313" s="133"/>
      <c r="AB313" s="133"/>
      <c r="AC313" s="133"/>
      <c r="AD313" s="133"/>
      <c r="AE313" s="133"/>
      <c r="AF313" s="222"/>
      <c r="AG313" s="222"/>
      <c r="AH313" s="222"/>
      <c r="AI313" s="176"/>
      <c r="AJ313" s="176"/>
      <c r="AK313" s="176"/>
      <c r="AL313" s="176"/>
      <c r="AM313" s="176"/>
      <c r="AN313" s="176"/>
      <c r="AO313" s="176"/>
      <c r="AP313" s="176"/>
      <c r="AQ313" s="176"/>
      <c r="AR313" s="176"/>
      <c r="AS313" s="176"/>
      <c r="AT313" s="176"/>
      <c r="AU313" s="176"/>
      <c r="AV313" s="176"/>
      <c r="AW313" s="176"/>
      <c r="AX313" s="176"/>
      <c r="AY313" s="176"/>
      <c r="AZ313" s="176"/>
      <c r="BA313" s="176"/>
      <c r="BB313" s="176"/>
      <c r="BC313" s="176"/>
      <c r="BD313" s="176"/>
      <c r="BE313" s="176"/>
      <c r="BF313" s="176"/>
      <c r="BG313" s="176"/>
      <c r="BH313" s="176"/>
      <c r="BI313" s="176"/>
      <c r="BJ313" s="176"/>
      <c r="BK313" s="176"/>
      <c r="BL313" s="176"/>
      <c r="BM313" s="176"/>
      <c r="BN313" s="176"/>
      <c r="BO313" s="176"/>
    </row>
    <row r="314" spans="1:67" s="36" customFormat="1" ht="10.5" customHeight="1" x14ac:dyDescent="0.2">
      <c r="A314" s="1043" t="s">
        <v>367</v>
      </c>
      <c r="B314" s="2594"/>
      <c r="C314" s="2595"/>
      <c r="D314" s="2596"/>
      <c r="E314" s="2395"/>
      <c r="F314" s="2396"/>
      <c r="G314" s="1058">
        <v>15</v>
      </c>
      <c r="H314" s="1059"/>
      <c r="I314" s="1081">
        <f t="shared" si="76"/>
        <v>7.9288524964265278E-2</v>
      </c>
      <c r="J314" s="1082">
        <f t="shared" si="77"/>
        <v>0</v>
      </c>
      <c r="K314" s="1061">
        <v>0.5</v>
      </c>
      <c r="L314" s="1305"/>
      <c r="M314" s="1086">
        <f t="shared" si="78"/>
        <v>0</v>
      </c>
      <c r="N314" s="1344"/>
      <c r="O314" s="365">
        <f t="shared" si="79"/>
        <v>15</v>
      </c>
      <c r="P314" s="366"/>
      <c r="Q314" s="135"/>
      <c r="R314" s="136"/>
      <c r="S314" s="129"/>
      <c r="T314" s="129"/>
      <c r="U314" s="129"/>
      <c r="V314" s="129"/>
      <c r="W314" s="129"/>
      <c r="X314" s="129"/>
      <c r="Y314" s="129"/>
      <c r="Z314" s="133"/>
      <c r="AA314" s="133"/>
      <c r="AB314" s="133"/>
      <c r="AC314" s="133"/>
      <c r="AD314" s="133"/>
      <c r="AE314" s="133"/>
      <c r="AF314" s="222"/>
      <c r="AG314" s="222"/>
      <c r="AH314" s="222"/>
      <c r="AI314" s="176"/>
      <c r="AJ314" s="176"/>
      <c r="AK314" s="176"/>
      <c r="AL314" s="176"/>
      <c r="AM314" s="176"/>
      <c r="AN314" s="176"/>
      <c r="AO314" s="176"/>
      <c r="AP314" s="176"/>
      <c r="AQ314" s="176"/>
      <c r="AR314" s="176"/>
      <c r="AS314" s="176"/>
      <c r="AT314" s="176"/>
      <c r="AU314" s="176"/>
      <c r="AV314" s="176"/>
      <c r="AW314" s="176"/>
      <c r="AX314" s="176"/>
      <c r="AY314" s="176"/>
      <c r="AZ314" s="176"/>
      <c r="BA314" s="176"/>
      <c r="BB314" s="176"/>
      <c r="BC314" s="176"/>
      <c r="BD314" s="176"/>
      <c r="BE314" s="176"/>
      <c r="BF314" s="176"/>
      <c r="BG314" s="176"/>
      <c r="BH314" s="176"/>
      <c r="BI314" s="176"/>
      <c r="BJ314" s="176"/>
      <c r="BK314" s="176"/>
      <c r="BL314" s="176"/>
      <c r="BM314" s="176"/>
      <c r="BN314" s="176"/>
      <c r="BO314" s="176"/>
    </row>
    <row r="315" spans="1:67" s="36" customFormat="1" ht="10.5" customHeight="1" x14ac:dyDescent="0.2">
      <c r="A315" s="1043" t="s">
        <v>368</v>
      </c>
      <c r="B315" s="2594"/>
      <c r="C315" s="2595"/>
      <c r="D315" s="2596"/>
      <c r="E315" s="2395"/>
      <c r="F315" s="2396"/>
      <c r="G315" s="1058">
        <v>15</v>
      </c>
      <c r="H315" s="1059"/>
      <c r="I315" s="1081">
        <f t="shared" si="76"/>
        <v>7.9288524964265278E-2</v>
      </c>
      <c r="J315" s="1082">
        <f t="shared" si="77"/>
        <v>0</v>
      </c>
      <c r="K315" s="1061"/>
      <c r="L315" s="1305"/>
      <c r="M315" s="1086">
        <f t="shared" si="78"/>
        <v>0</v>
      </c>
      <c r="N315" s="1344"/>
      <c r="O315" s="365">
        <f t="shared" si="79"/>
        <v>15</v>
      </c>
      <c r="P315" s="366"/>
      <c r="Q315" s="135"/>
      <c r="R315" s="136"/>
      <c r="S315" s="129"/>
      <c r="T315" s="129"/>
      <c r="U315" s="129"/>
      <c r="V315" s="129"/>
      <c r="W315" s="129"/>
      <c r="X315" s="129"/>
      <c r="Y315" s="129"/>
      <c r="Z315" s="133"/>
      <c r="AA315" s="133"/>
      <c r="AB315" s="133"/>
      <c r="AC315" s="133"/>
      <c r="AD315" s="133"/>
      <c r="AE315" s="133"/>
      <c r="AF315" s="222"/>
      <c r="AG315" s="222"/>
      <c r="AH315" s="222"/>
      <c r="AI315" s="176"/>
      <c r="AJ315" s="176"/>
      <c r="AK315" s="176"/>
      <c r="AL315" s="176"/>
      <c r="AM315" s="176"/>
      <c r="AN315" s="176"/>
      <c r="AO315" s="176"/>
      <c r="AP315" s="176"/>
      <c r="AQ315" s="176"/>
      <c r="AR315" s="176"/>
      <c r="AS315" s="176"/>
      <c r="AT315" s="176"/>
      <c r="AU315" s="176"/>
      <c r="AV315" s="176"/>
      <c r="AW315" s="176"/>
      <c r="AX315" s="176"/>
      <c r="AY315" s="176"/>
      <c r="AZ315" s="176"/>
      <c r="BA315" s="176"/>
      <c r="BB315" s="176"/>
      <c r="BC315" s="176"/>
      <c r="BD315" s="176"/>
      <c r="BE315" s="176"/>
      <c r="BF315" s="176"/>
      <c r="BG315" s="176"/>
      <c r="BH315" s="176"/>
      <c r="BI315" s="176"/>
      <c r="BJ315" s="176"/>
      <c r="BK315" s="176"/>
      <c r="BL315" s="176"/>
      <c r="BM315" s="176"/>
      <c r="BN315" s="176"/>
      <c r="BO315" s="176"/>
    </row>
    <row r="316" spans="1:67" s="36" customFormat="1" ht="10.5" customHeight="1" x14ac:dyDescent="0.2">
      <c r="A316" s="1043" t="s">
        <v>369</v>
      </c>
      <c r="B316" s="2594"/>
      <c r="C316" s="2595"/>
      <c r="D316" s="2596"/>
      <c r="E316" s="2395"/>
      <c r="F316" s="2396"/>
      <c r="G316" s="1058">
        <v>30</v>
      </c>
      <c r="H316" s="1059"/>
      <c r="I316" s="1081">
        <f t="shared" si="76"/>
        <v>4.6199342169092869E-2</v>
      </c>
      <c r="J316" s="1082">
        <f t="shared" si="77"/>
        <v>0</v>
      </c>
      <c r="K316" s="1061">
        <v>0.5</v>
      </c>
      <c r="L316" s="1305"/>
      <c r="M316" s="1086">
        <f t="shared" si="78"/>
        <v>0</v>
      </c>
      <c r="N316" s="1344"/>
      <c r="O316" s="365">
        <f t="shared" si="79"/>
        <v>30</v>
      </c>
      <c r="P316" s="366"/>
      <c r="Q316" s="135"/>
      <c r="R316" s="136"/>
      <c r="S316" s="129"/>
      <c r="T316" s="129"/>
      <c r="U316" s="129"/>
      <c r="V316" s="129"/>
      <c r="W316" s="129"/>
      <c r="X316" s="129"/>
      <c r="Y316" s="129"/>
      <c r="Z316" s="133"/>
      <c r="AA316" s="133"/>
      <c r="AB316" s="133"/>
      <c r="AC316" s="133"/>
      <c r="AD316" s="133"/>
      <c r="AE316" s="133"/>
      <c r="AF316" s="222"/>
      <c r="AG316" s="222"/>
      <c r="AH316" s="222"/>
      <c r="AI316" s="176"/>
      <c r="AJ316" s="176"/>
      <c r="AK316" s="176"/>
      <c r="AL316" s="176"/>
      <c r="AM316" s="176"/>
      <c r="AN316" s="176"/>
      <c r="AO316" s="176"/>
      <c r="AP316" s="176"/>
      <c r="AQ316" s="176"/>
      <c r="AR316" s="176"/>
      <c r="AS316" s="176"/>
      <c r="AT316" s="176"/>
      <c r="AU316" s="176"/>
      <c r="AV316" s="176"/>
      <c r="AW316" s="176"/>
      <c r="AX316" s="176"/>
      <c r="AY316" s="176"/>
      <c r="AZ316" s="176"/>
      <c r="BA316" s="176"/>
      <c r="BB316" s="176"/>
      <c r="BC316" s="176"/>
      <c r="BD316" s="176"/>
      <c r="BE316" s="176"/>
      <c r="BF316" s="176"/>
      <c r="BG316" s="176"/>
      <c r="BH316" s="176"/>
      <c r="BI316" s="176"/>
      <c r="BJ316" s="176"/>
      <c r="BK316" s="176"/>
      <c r="BL316" s="176"/>
      <c r="BM316" s="176"/>
      <c r="BN316" s="176"/>
      <c r="BO316" s="176"/>
    </row>
    <row r="317" spans="1:67" s="36" customFormat="1" ht="10.5" customHeight="1" x14ac:dyDescent="0.2">
      <c r="A317" s="1055"/>
      <c r="B317" s="2594"/>
      <c r="C317" s="2595"/>
      <c r="D317" s="2596"/>
      <c r="E317" s="2395"/>
      <c r="F317" s="2396"/>
      <c r="G317" s="2590"/>
      <c r="H317" s="2591"/>
      <c r="I317" s="1081">
        <f t="shared" si="76"/>
        <v>0</v>
      </c>
      <c r="J317" s="1082">
        <f t="shared" si="77"/>
        <v>0</v>
      </c>
      <c r="K317" s="2588"/>
      <c r="L317" s="2629"/>
      <c r="M317" s="1086">
        <f t="shared" si="78"/>
        <v>0</v>
      </c>
      <c r="N317" s="1344"/>
      <c r="O317" s="365">
        <f t="shared" si="79"/>
        <v>0</v>
      </c>
      <c r="P317" s="366"/>
      <c r="Q317" s="135"/>
      <c r="R317" s="136"/>
      <c r="S317" s="129"/>
      <c r="T317" s="129"/>
      <c r="U317" s="129"/>
      <c r="V317" s="129"/>
      <c r="W317" s="129"/>
      <c r="X317" s="129"/>
      <c r="Y317" s="129"/>
      <c r="Z317" s="133"/>
      <c r="AA317" s="133"/>
      <c r="AB317" s="133"/>
      <c r="AC317" s="133"/>
      <c r="AD317" s="133"/>
      <c r="AE317" s="133"/>
      <c r="AF317" s="222"/>
      <c r="AG317" s="222"/>
      <c r="AH317" s="222"/>
      <c r="AI317" s="176"/>
      <c r="AJ317" s="176"/>
      <c r="AK317" s="176"/>
      <c r="AL317" s="176"/>
      <c r="AM317" s="176"/>
      <c r="AN317" s="176"/>
      <c r="AO317" s="176"/>
      <c r="AP317" s="176"/>
      <c r="AQ317" s="176"/>
      <c r="AR317" s="176"/>
      <c r="AS317" s="176"/>
      <c r="AT317" s="176"/>
      <c r="AU317" s="176"/>
      <c r="AV317" s="176"/>
      <c r="AW317" s="176"/>
      <c r="AX317" s="176"/>
      <c r="AY317" s="176"/>
      <c r="AZ317" s="176"/>
      <c r="BA317" s="176"/>
      <c r="BB317" s="176"/>
      <c r="BC317" s="176"/>
      <c r="BD317" s="176"/>
      <c r="BE317" s="176"/>
      <c r="BF317" s="176"/>
      <c r="BG317" s="176"/>
      <c r="BH317" s="176"/>
      <c r="BI317" s="176"/>
      <c r="BJ317" s="176"/>
      <c r="BK317" s="176"/>
      <c r="BL317" s="176"/>
      <c r="BM317" s="176"/>
      <c r="BN317" s="176"/>
      <c r="BO317" s="176"/>
    </row>
    <row r="318" spans="1:67" s="36" customFormat="1" ht="10.5" customHeight="1" x14ac:dyDescent="0.2">
      <c r="A318" s="1055"/>
      <c r="B318" s="2594"/>
      <c r="C318" s="2595"/>
      <c r="D318" s="2596"/>
      <c r="E318" s="2395"/>
      <c r="F318" s="2396"/>
      <c r="G318" s="2590"/>
      <c r="H318" s="2591"/>
      <c r="I318" s="1081">
        <f t="shared" si="76"/>
        <v>0</v>
      </c>
      <c r="J318" s="1082">
        <f t="shared" si="77"/>
        <v>0</v>
      </c>
      <c r="K318" s="2588"/>
      <c r="L318" s="2629"/>
      <c r="M318" s="1086">
        <f t="shared" si="78"/>
        <v>0</v>
      </c>
      <c r="N318" s="1344"/>
      <c r="O318" s="365">
        <f t="shared" si="79"/>
        <v>0</v>
      </c>
      <c r="P318" s="366"/>
      <c r="Q318" s="135"/>
      <c r="R318" s="136"/>
      <c r="S318" s="129"/>
      <c r="T318" s="129"/>
      <c r="U318" s="129"/>
      <c r="V318" s="129"/>
      <c r="W318" s="129"/>
      <c r="X318" s="129"/>
      <c r="Y318" s="129"/>
      <c r="Z318" s="133"/>
      <c r="AA318" s="133"/>
      <c r="AB318" s="133"/>
      <c r="AC318" s="133"/>
      <c r="AD318" s="133"/>
      <c r="AE318" s="133"/>
      <c r="AF318" s="222"/>
      <c r="AG318" s="222"/>
      <c r="AH318" s="222"/>
      <c r="AI318" s="176"/>
      <c r="AJ318" s="176"/>
      <c r="AK318" s="176"/>
      <c r="AL318" s="176"/>
      <c r="AM318" s="176"/>
      <c r="AN318" s="176"/>
      <c r="AO318" s="176"/>
      <c r="AP318" s="176"/>
      <c r="AQ318" s="176"/>
      <c r="AR318" s="176"/>
      <c r="AS318" s="176"/>
      <c r="AT318" s="176"/>
      <c r="AU318" s="176"/>
      <c r="AV318" s="176"/>
      <c r="AW318" s="176"/>
      <c r="AX318" s="176"/>
      <c r="AY318" s="176"/>
      <c r="AZ318" s="176"/>
      <c r="BA318" s="176"/>
      <c r="BB318" s="176"/>
      <c r="BC318" s="176"/>
      <c r="BD318" s="176"/>
      <c r="BE318" s="176"/>
      <c r="BF318" s="176"/>
      <c r="BG318" s="176"/>
      <c r="BH318" s="176"/>
      <c r="BI318" s="176"/>
      <c r="BJ318" s="176"/>
      <c r="BK318" s="176"/>
      <c r="BL318" s="176"/>
      <c r="BM318" s="176"/>
      <c r="BN318" s="176"/>
      <c r="BO318" s="176"/>
    </row>
    <row r="319" spans="1:67" s="36" customFormat="1" ht="10.5" customHeight="1" x14ac:dyDescent="0.2">
      <c r="A319" s="1055"/>
      <c r="B319" s="2594"/>
      <c r="C319" s="2595"/>
      <c r="D319" s="2596"/>
      <c r="E319" s="2395"/>
      <c r="F319" s="2396"/>
      <c r="G319" s="2590"/>
      <c r="H319" s="2591"/>
      <c r="I319" s="1081">
        <f t="shared" si="76"/>
        <v>0</v>
      </c>
      <c r="J319" s="1082">
        <f t="shared" si="77"/>
        <v>0</v>
      </c>
      <c r="K319" s="2588"/>
      <c r="L319" s="2629"/>
      <c r="M319" s="1086">
        <f t="shared" si="78"/>
        <v>0</v>
      </c>
      <c r="N319" s="1344"/>
      <c r="O319" s="365">
        <f t="shared" si="79"/>
        <v>0</v>
      </c>
      <c r="P319" s="366"/>
      <c r="Q319" s="135"/>
      <c r="R319" s="136"/>
      <c r="S319" s="129"/>
      <c r="T319" s="129"/>
      <c r="U319" s="129"/>
      <c r="V319" s="129"/>
      <c r="W319" s="129"/>
      <c r="X319" s="129"/>
      <c r="Y319" s="129"/>
      <c r="Z319" s="133"/>
      <c r="AA319" s="133"/>
      <c r="AB319" s="133"/>
      <c r="AC319" s="133"/>
      <c r="AD319" s="133"/>
      <c r="AE319" s="133"/>
      <c r="AF319" s="222"/>
      <c r="AG319" s="222"/>
      <c r="AH319" s="222"/>
      <c r="AI319" s="176"/>
      <c r="AJ319" s="176"/>
      <c r="AK319" s="176"/>
      <c r="AL319" s="176"/>
      <c r="AM319" s="176"/>
      <c r="AN319" s="176"/>
      <c r="AO319" s="176"/>
      <c r="AP319" s="176"/>
      <c r="AQ319" s="176"/>
      <c r="AR319" s="176"/>
      <c r="AS319" s="176"/>
      <c r="AT319" s="176"/>
      <c r="AU319" s="176"/>
      <c r="AV319" s="176"/>
      <c r="AW319" s="176"/>
      <c r="AX319" s="176"/>
      <c r="AY319" s="176"/>
      <c r="AZ319" s="176"/>
      <c r="BA319" s="176"/>
      <c r="BB319" s="176"/>
      <c r="BC319" s="176"/>
      <c r="BD319" s="176"/>
      <c r="BE319" s="176"/>
      <c r="BF319" s="176"/>
      <c r="BG319" s="176"/>
      <c r="BH319" s="176"/>
      <c r="BI319" s="176"/>
      <c r="BJ319" s="176"/>
      <c r="BK319" s="176"/>
      <c r="BL319" s="176"/>
      <c r="BM319" s="176"/>
      <c r="BN319" s="176"/>
      <c r="BO319" s="176"/>
    </row>
    <row r="320" spans="1:67" s="36" customFormat="1" ht="10.5" customHeight="1" x14ac:dyDescent="0.2">
      <c r="A320" s="1055"/>
      <c r="B320" s="2594"/>
      <c r="C320" s="2595"/>
      <c r="D320" s="2596"/>
      <c r="E320" s="2395"/>
      <c r="F320" s="2396"/>
      <c r="G320" s="2590"/>
      <c r="H320" s="2591"/>
      <c r="I320" s="1081">
        <f t="shared" si="76"/>
        <v>0</v>
      </c>
      <c r="J320" s="1082">
        <f t="shared" si="77"/>
        <v>0</v>
      </c>
      <c r="K320" s="2588"/>
      <c r="L320" s="2629"/>
      <c r="M320" s="1086">
        <f t="shared" si="78"/>
        <v>0</v>
      </c>
      <c r="N320" s="1344"/>
      <c r="O320" s="365">
        <f t="shared" si="79"/>
        <v>0</v>
      </c>
      <c r="P320" s="366"/>
      <c r="Q320" s="135"/>
      <c r="R320" s="136"/>
      <c r="S320" s="129"/>
      <c r="T320" s="129"/>
      <c r="U320" s="129"/>
      <c r="V320" s="129"/>
      <c r="W320" s="129"/>
      <c r="X320" s="129"/>
      <c r="Y320" s="129"/>
      <c r="Z320" s="133"/>
      <c r="AA320" s="133"/>
      <c r="AB320" s="133"/>
      <c r="AC320" s="133"/>
      <c r="AD320" s="133"/>
      <c r="AE320" s="133"/>
      <c r="AF320" s="222"/>
      <c r="AG320" s="222"/>
      <c r="AH320" s="222"/>
      <c r="AI320" s="176"/>
      <c r="AJ320" s="176"/>
      <c r="AK320" s="176"/>
      <c r="AL320" s="176"/>
      <c r="AM320" s="176"/>
      <c r="AN320" s="176"/>
      <c r="AO320" s="176"/>
      <c r="AP320" s="176"/>
      <c r="AQ320" s="176"/>
      <c r="AR320" s="176"/>
      <c r="AS320" s="176"/>
      <c r="AT320" s="176"/>
      <c r="AU320" s="176"/>
      <c r="AV320" s="176"/>
      <c r="AW320" s="176"/>
      <c r="AX320" s="176"/>
      <c r="AY320" s="176"/>
      <c r="AZ320" s="176"/>
      <c r="BA320" s="176"/>
      <c r="BB320" s="176"/>
      <c r="BC320" s="176"/>
      <c r="BD320" s="176"/>
      <c r="BE320" s="176"/>
      <c r="BF320" s="176"/>
      <c r="BG320" s="176"/>
      <c r="BH320" s="176"/>
      <c r="BI320" s="176"/>
      <c r="BJ320" s="176"/>
      <c r="BK320" s="176"/>
      <c r="BL320" s="176"/>
      <c r="BM320" s="176"/>
      <c r="BN320" s="176"/>
      <c r="BO320" s="176"/>
    </row>
    <row r="321" spans="1:67" s="36" customFormat="1" ht="10.5" customHeight="1" x14ac:dyDescent="0.2">
      <c r="A321" s="1055"/>
      <c r="B321" s="2594"/>
      <c r="C321" s="2595"/>
      <c r="D321" s="2596"/>
      <c r="E321" s="2395"/>
      <c r="F321" s="2396"/>
      <c r="G321" s="2590"/>
      <c r="H321" s="2591"/>
      <c r="I321" s="1081">
        <f t="shared" si="76"/>
        <v>0</v>
      </c>
      <c r="J321" s="1082">
        <f t="shared" si="77"/>
        <v>0</v>
      </c>
      <c r="K321" s="2588"/>
      <c r="L321" s="2629"/>
      <c r="M321" s="1086">
        <f t="shared" si="78"/>
        <v>0</v>
      </c>
      <c r="N321" s="1344"/>
      <c r="O321" s="365">
        <f t="shared" si="79"/>
        <v>0</v>
      </c>
      <c r="P321" s="366"/>
      <c r="Q321" s="135"/>
      <c r="R321" s="136"/>
      <c r="S321" s="129"/>
      <c r="T321" s="129"/>
      <c r="U321" s="129"/>
      <c r="V321" s="129"/>
      <c r="W321" s="129"/>
      <c r="X321" s="129"/>
      <c r="Y321" s="129"/>
      <c r="Z321" s="133"/>
      <c r="AA321" s="133"/>
      <c r="AB321" s="133"/>
      <c r="AC321" s="133"/>
      <c r="AD321" s="133"/>
      <c r="AE321" s="133"/>
      <c r="AF321" s="222"/>
      <c r="AG321" s="222"/>
      <c r="AH321" s="222"/>
      <c r="AI321" s="176"/>
      <c r="AJ321" s="176"/>
      <c r="AK321" s="176"/>
      <c r="AL321" s="176"/>
      <c r="AM321" s="176"/>
      <c r="AN321" s="176"/>
      <c r="AO321" s="176"/>
      <c r="AP321" s="176"/>
      <c r="AQ321" s="176"/>
      <c r="AR321" s="176"/>
      <c r="AS321" s="176"/>
      <c r="AT321" s="176"/>
      <c r="AU321" s="176"/>
      <c r="AV321" s="176"/>
      <c r="AW321" s="176"/>
      <c r="AX321" s="176"/>
      <c r="AY321" s="176"/>
      <c r="AZ321" s="176"/>
      <c r="BA321" s="176"/>
      <c r="BB321" s="176"/>
      <c r="BC321" s="176"/>
      <c r="BD321" s="176"/>
      <c r="BE321" s="176"/>
      <c r="BF321" s="176"/>
      <c r="BG321" s="176"/>
      <c r="BH321" s="176"/>
      <c r="BI321" s="176"/>
      <c r="BJ321" s="176"/>
      <c r="BK321" s="176"/>
      <c r="BL321" s="176"/>
      <c r="BM321" s="176"/>
      <c r="BN321" s="176"/>
      <c r="BO321" s="176"/>
    </row>
    <row r="322" spans="1:67" s="36" customFormat="1" ht="10.5" customHeight="1" x14ac:dyDescent="0.2">
      <c r="A322" s="1055"/>
      <c r="B322" s="2594"/>
      <c r="C322" s="2595"/>
      <c r="D322" s="2596"/>
      <c r="E322" s="2395"/>
      <c r="F322" s="2396"/>
      <c r="G322" s="2590"/>
      <c r="H322" s="2591"/>
      <c r="I322" s="1081">
        <f t="shared" si="76"/>
        <v>0</v>
      </c>
      <c r="J322" s="1082">
        <f t="shared" si="77"/>
        <v>0</v>
      </c>
      <c r="K322" s="2588"/>
      <c r="L322" s="2629"/>
      <c r="M322" s="1086">
        <f t="shared" si="78"/>
        <v>0</v>
      </c>
      <c r="N322" s="1344"/>
      <c r="O322" s="365">
        <f t="shared" si="79"/>
        <v>0</v>
      </c>
      <c r="P322" s="366"/>
      <c r="Q322" s="135"/>
      <c r="R322" s="136"/>
      <c r="S322" s="129"/>
      <c r="T322" s="129"/>
      <c r="U322" s="129"/>
      <c r="V322" s="129"/>
      <c r="W322" s="129"/>
      <c r="X322" s="129"/>
      <c r="Y322" s="129"/>
      <c r="Z322" s="133"/>
      <c r="AA322" s="133"/>
      <c r="AB322" s="133"/>
      <c r="AC322" s="133"/>
      <c r="AD322" s="133"/>
      <c r="AE322" s="133"/>
      <c r="AF322" s="222"/>
      <c r="AG322" s="222"/>
      <c r="AH322" s="222"/>
      <c r="AI322" s="176"/>
      <c r="AJ322" s="176"/>
      <c r="AK322" s="176"/>
      <c r="AL322" s="176"/>
      <c r="AM322" s="176"/>
      <c r="AN322" s="176"/>
      <c r="AO322" s="176"/>
      <c r="AP322" s="176"/>
      <c r="AQ322" s="176"/>
      <c r="AR322" s="176"/>
      <c r="AS322" s="176"/>
      <c r="AT322" s="176"/>
      <c r="AU322" s="176"/>
      <c r="AV322" s="176"/>
      <c r="AW322" s="176"/>
      <c r="AX322" s="176"/>
      <c r="AY322" s="176"/>
      <c r="AZ322" s="176"/>
      <c r="BA322" s="176"/>
      <c r="BB322" s="176"/>
      <c r="BC322" s="176"/>
      <c r="BD322" s="176"/>
      <c r="BE322" s="176"/>
      <c r="BF322" s="176"/>
      <c r="BG322" s="176"/>
      <c r="BH322" s="176"/>
      <c r="BI322" s="176"/>
      <c r="BJ322" s="176"/>
      <c r="BK322" s="176"/>
      <c r="BL322" s="176"/>
      <c r="BM322" s="176"/>
      <c r="BN322" s="176"/>
      <c r="BO322" s="176"/>
    </row>
    <row r="323" spans="1:67" s="36" customFormat="1" ht="10.5" customHeight="1" x14ac:dyDescent="0.2">
      <c r="A323" s="1055"/>
      <c r="B323" s="2594"/>
      <c r="C323" s="2595"/>
      <c r="D323" s="2596"/>
      <c r="E323" s="2395"/>
      <c r="F323" s="2396"/>
      <c r="G323" s="2590"/>
      <c r="H323" s="2591"/>
      <c r="I323" s="1081">
        <f t="shared" si="76"/>
        <v>0</v>
      </c>
      <c r="J323" s="1082">
        <f t="shared" si="77"/>
        <v>0</v>
      </c>
      <c r="K323" s="2588"/>
      <c r="L323" s="2629"/>
      <c r="M323" s="1086">
        <f t="shared" si="78"/>
        <v>0</v>
      </c>
      <c r="N323" s="1344"/>
      <c r="O323" s="365">
        <f t="shared" si="79"/>
        <v>0</v>
      </c>
      <c r="P323" s="366"/>
      <c r="Q323" s="135"/>
      <c r="R323" s="136"/>
      <c r="S323" s="129"/>
      <c r="T323" s="129"/>
      <c r="U323" s="129"/>
      <c r="V323" s="129"/>
      <c r="W323" s="129"/>
      <c r="X323" s="129"/>
      <c r="Y323" s="129"/>
      <c r="Z323" s="133"/>
      <c r="AA323" s="133"/>
      <c r="AB323" s="133"/>
      <c r="AC323" s="133"/>
      <c r="AD323" s="133"/>
      <c r="AE323" s="133"/>
      <c r="AF323" s="222"/>
      <c r="AG323" s="222"/>
      <c r="AH323" s="222"/>
      <c r="AI323" s="176"/>
      <c r="AJ323" s="176"/>
      <c r="AK323" s="176"/>
      <c r="AL323" s="176"/>
      <c r="AM323" s="176"/>
      <c r="AN323" s="176"/>
      <c r="AO323" s="176"/>
      <c r="AP323" s="176"/>
      <c r="AQ323" s="176"/>
      <c r="AR323" s="176"/>
      <c r="AS323" s="176"/>
      <c r="AT323" s="176"/>
      <c r="AU323" s="176"/>
      <c r="AV323" s="176"/>
      <c r="AW323" s="176"/>
      <c r="AX323" s="176"/>
      <c r="AY323" s="176"/>
      <c r="AZ323" s="176"/>
      <c r="BA323" s="176"/>
      <c r="BB323" s="176"/>
      <c r="BC323" s="176"/>
      <c r="BD323" s="176"/>
      <c r="BE323" s="176"/>
      <c r="BF323" s="176"/>
      <c r="BG323" s="176"/>
      <c r="BH323" s="176"/>
      <c r="BI323" s="176"/>
      <c r="BJ323" s="176"/>
      <c r="BK323" s="176"/>
      <c r="BL323" s="176"/>
      <c r="BM323" s="176"/>
      <c r="BN323" s="176"/>
      <c r="BO323" s="176"/>
    </row>
    <row r="324" spans="1:67" s="36" customFormat="1" ht="10.5" customHeight="1" x14ac:dyDescent="0.2">
      <c r="A324" s="1055"/>
      <c r="B324" s="2594"/>
      <c r="C324" s="2595"/>
      <c r="D324" s="2596"/>
      <c r="E324" s="2395"/>
      <c r="F324" s="2396"/>
      <c r="G324" s="2590"/>
      <c r="H324" s="2591"/>
      <c r="I324" s="1081">
        <f t="shared" si="76"/>
        <v>0</v>
      </c>
      <c r="J324" s="1082">
        <f t="shared" si="77"/>
        <v>0</v>
      </c>
      <c r="K324" s="2588"/>
      <c r="L324" s="2629"/>
      <c r="M324" s="1086">
        <f t="shared" si="78"/>
        <v>0</v>
      </c>
      <c r="N324" s="1344"/>
      <c r="O324" s="365">
        <f t="shared" si="79"/>
        <v>0</v>
      </c>
      <c r="P324" s="366"/>
      <c r="Q324" s="135"/>
      <c r="R324" s="136"/>
      <c r="S324" s="129"/>
      <c r="T324" s="129"/>
      <c r="U324" s="129"/>
      <c r="V324" s="129"/>
      <c r="W324" s="129"/>
      <c r="X324" s="129"/>
      <c r="Y324" s="129"/>
      <c r="Z324" s="133"/>
      <c r="AA324" s="133"/>
      <c r="AB324" s="133"/>
      <c r="AC324" s="133"/>
      <c r="AD324" s="133"/>
      <c r="AE324" s="133"/>
      <c r="AF324" s="222"/>
      <c r="AG324" s="222"/>
      <c r="AH324" s="222"/>
      <c r="AI324" s="176"/>
      <c r="AJ324" s="176"/>
      <c r="AK324" s="176"/>
      <c r="AL324" s="176"/>
      <c r="AM324" s="176"/>
      <c r="AN324" s="176"/>
      <c r="AO324" s="176"/>
      <c r="AP324" s="176"/>
      <c r="AQ324" s="176"/>
      <c r="AR324" s="176"/>
      <c r="AS324" s="176"/>
      <c r="AT324" s="176"/>
      <c r="AU324" s="176"/>
      <c r="AV324" s="176"/>
      <c r="AW324" s="176"/>
      <c r="AX324" s="176"/>
      <c r="AY324" s="176"/>
      <c r="AZ324" s="176"/>
      <c r="BA324" s="176"/>
      <c r="BB324" s="176"/>
      <c r="BC324" s="176"/>
      <c r="BD324" s="176"/>
      <c r="BE324" s="176"/>
      <c r="BF324" s="176"/>
      <c r="BG324" s="176"/>
      <c r="BH324" s="176"/>
      <c r="BI324" s="176"/>
      <c r="BJ324" s="176"/>
      <c r="BK324" s="176"/>
      <c r="BL324" s="176"/>
      <c r="BM324" s="176"/>
      <c r="BN324" s="176"/>
      <c r="BO324" s="176"/>
    </row>
    <row r="325" spans="1:67" s="36" customFormat="1" ht="10.5" customHeight="1" x14ac:dyDescent="0.2">
      <c r="A325" s="1055"/>
      <c r="B325" s="2737"/>
      <c r="C325" s="2738"/>
      <c r="D325" s="2739"/>
      <c r="E325" s="2740"/>
      <c r="F325" s="2741"/>
      <c r="G325" s="2756"/>
      <c r="H325" s="2757"/>
      <c r="I325" s="1081">
        <f t="shared" si="76"/>
        <v>0</v>
      </c>
      <c r="J325" s="1082">
        <f t="shared" si="77"/>
        <v>0</v>
      </c>
      <c r="K325" s="2758"/>
      <c r="L325" s="2790"/>
      <c r="M325" s="1086">
        <f t="shared" si="78"/>
        <v>0</v>
      </c>
      <c r="N325" s="1344"/>
      <c r="O325" s="365">
        <f t="shared" si="79"/>
        <v>0</v>
      </c>
      <c r="P325" s="366"/>
      <c r="Q325" s="135"/>
      <c r="R325" s="136"/>
      <c r="S325" s="129"/>
      <c r="T325" s="129"/>
      <c r="U325" s="129"/>
      <c r="V325" s="129"/>
      <c r="W325" s="129"/>
      <c r="X325" s="129"/>
      <c r="Y325" s="129"/>
      <c r="Z325" s="133"/>
      <c r="AA325" s="133"/>
      <c r="AB325" s="133"/>
      <c r="AC325" s="133"/>
      <c r="AD325" s="133"/>
      <c r="AE325" s="133"/>
      <c r="AF325" s="222"/>
      <c r="AG325" s="222"/>
      <c r="AH325" s="222"/>
      <c r="AI325" s="176"/>
      <c r="AJ325" s="176"/>
      <c r="AK325" s="176"/>
      <c r="AL325" s="176"/>
      <c r="AM325" s="176"/>
      <c r="AN325" s="176"/>
      <c r="AO325" s="176"/>
      <c r="AP325" s="176"/>
      <c r="AQ325" s="176"/>
      <c r="AR325" s="176"/>
      <c r="AS325" s="176"/>
      <c r="AT325" s="176"/>
      <c r="AU325" s="176"/>
      <c r="AV325" s="176"/>
      <c r="AW325" s="176"/>
      <c r="AX325" s="176"/>
      <c r="AY325" s="176"/>
      <c r="AZ325" s="176"/>
      <c r="BA325" s="176"/>
      <c r="BB325" s="176"/>
      <c r="BC325" s="176"/>
      <c r="BD325" s="176"/>
      <c r="BE325" s="176"/>
      <c r="BF325" s="176"/>
      <c r="BG325" s="176"/>
      <c r="BH325" s="176"/>
      <c r="BI325" s="176"/>
      <c r="BJ325" s="176"/>
      <c r="BK325" s="176"/>
      <c r="BL325" s="176"/>
      <c r="BM325" s="176"/>
      <c r="BN325" s="176"/>
      <c r="BO325" s="176"/>
    </row>
    <row r="326" spans="1:67" s="36" customFormat="1" ht="10.5" customHeight="1" x14ac:dyDescent="0.2">
      <c r="A326" s="1348"/>
      <c r="B326" s="2690"/>
      <c r="C326" s="2691"/>
      <c r="D326" s="2692"/>
      <c r="E326" s="2601"/>
      <c r="F326" s="2602"/>
      <c r="G326" s="1088"/>
      <c r="H326" s="1089"/>
      <c r="I326" s="1083">
        <f t="shared" si="76"/>
        <v>0</v>
      </c>
      <c r="J326" s="1084"/>
      <c r="K326" s="1087"/>
      <c r="L326" s="1307"/>
      <c r="M326" s="1317">
        <f t="shared" si="78"/>
        <v>0</v>
      </c>
      <c r="N326" s="1344"/>
      <c r="O326" s="365">
        <f t="shared" si="79"/>
        <v>0</v>
      </c>
      <c r="P326" s="366"/>
      <c r="Q326" s="135"/>
      <c r="R326" s="136"/>
      <c r="S326" s="129"/>
      <c r="T326" s="129"/>
      <c r="U326" s="129"/>
      <c r="V326" s="129"/>
      <c r="W326" s="129"/>
      <c r="X326" s="129"/>
      <c r="Y326" s="129"/>
      <c r="Z326" s="133"/>
      <c r="AA326" s="133"/>
      <c r="AB326" s="133"/>
      <c r="AC326" s="133"/>
      <c r="AD326" s="133"/>
      <c r="AE326" s="133"/>
      <c r="AF326" s="222"/>
      <c r="AG326" s="222"/>
      <c r="AH326" s="222"/>
      <c r="AI326" s="176"/>
      <c r="AJ326" s="176"/>
      <c r="AK326" s="176"/>
      <c r="AL326" s="176"/>
      <c r="AM326" s="176"/>
      <c r="AN326" s="176"/>
      <c r="AO326" s="176"/>
      <c r="AP326" s="176"/>
      <c r="AQ326" s="176"/>
      <c r="AR326" s="176"/>
      <c r="AS326" s="176"/>
      <c r="AT326" s="176"/>
      <c r="AU326" s="176"/>
      <c r="AV326" s="176"/>
      <c r="AW326" s="176"/>
      <c r="AX326" s="176"/>
      <c r="AY326" s="176"/>
      <c r="AZ326" s="176"/>
      <c r="BA326" s="176"/>
      <c r="BB326" s="176"/>
      <c r="BC326" s="176"/>
      <c r="BD326" s="176"/>
      <c r="BE326" s="176"/>
      <c r="BF326" s="176"/>
      <c r="BG326" s="176"/>
      <c r="BH326" s="176"/>
      <c r="BI326" s="176"/>
      <c r="BJ326" s="176"/>
      <c r="BK326" s="176"/>
      <c r="BL326" s="176"/>
      <c r="BM326" s="176"/>
      <c r="BN326" s="176"/>
      <c r="BO326" s="176"/>
    </row>
    <row r="327" spans="1:67" s="36" customFormat="1" ht="10.5" customHeight="1" x14ac:dyDescent="0.2">
      <c r="A327" s="1115" t="s">
        <v>370</v>
      </c>
      <c r="B327" s="2611"/>
      <c r="C327" s="2612"/>
      <c r="D327" s="2613"/>
      <c r="E327" s="2676">
        <f>SUM(E328:E339)</f>
        <v>0</v>
      </c>
      <c r="F327" s="2677"/>
      <c r="G327" s="2678"/>
      <c r="H327" s="2679"/>
      <c r="I327" s="1116">
        <f>IF(E327=0,0,J327/E327)</f>
        <v>0</v>
      </c>
      <c r="J327" s="1117">
        <f>SUM(J328:J339)</f>
        <v>0</v>
      </c>
      <c r="K327" s="2686">
        <f>IF(E327=0,0,M327/E327*100)</f>
        <v>0</v>
      </c>
      <c r="L327" s="2687"/>
      <c r="M327" s="1118"/>
      <c r="N327" s="506"/>
      <c r="O327" s="178"/>
      <c r="P327" s="366"/>
      <c r="Q327" s="135"/>
      <c r="R327" s="136"/>
      <c r="S327" s="129"/>
      <c r="T327" s="129"/>
      <c r="U327" s="129"/>
      <c r="V327" s="129"/>
      <c r="W327" s="129"/>
      <c r="X327" s="129"/>
      <c r="Y327" s="129"/>
      <c r="Z327" s="133"/>
      <c r="AA327" s="133"/>
      <c r="AB327" s="133"/>
      <c r="AC327" s="133"/>
      <c r="AD327" s="133"/>
      <c r="AE327" s="133"/>
      <c r="AF327" s="222"/>
      <c r="AG327" s="222"/>
      <c r="AH327" s="222"/>
      <c r="AI327" s="176"/>
      <c r="AJ327" s="176"/>
      <c r="AK327" s="176"/>
      <c r="AL327" s="176"/>
      <c r="AM327" s="176"/>
      <c r="AN327" s="176"/>
      <c r="AO327" s="176"/>
      <c r="AP327" s="176"/>
      <c r="AQ327" s="176"/>
      <c r="AR327" s="176"/>
      <c r="AS327" s="176"/>
      <c r="AT327" s="176"/>
      <c r="AU327" s="176"/>
      <c r="AV327" s="176"/>
      <c r="AW327" s="176"/>
      <c r="AX327" s="176"/>
      <c r="AY327" s="176"/>
      <c r="AZ327" s="176"/>
      <c r="BA327" s="176"/>
      <c r="BB327" s="176"/>
      <c r="BC327" s="176"/>
      <c r="BD327" s="176"/>
      <c r="BE327" s="176"/>
      <c r="BF327" s="176"/>
      <c r="BG327" s="176"/>
      <c r="BH327" s="176"/>
      <c r="BI327" s="176"/>
      <c r="BJ327" s="176"/>
      <c r="BK327" s="176"/>
      <c r="BL327" s="176"/>
      <c r="BM327" s="176"/>
      <c r="BN327" s="176"/>
      <c r="BO327" s="176"/>
    </row>
    <row r="328" spans="1:67" s="36" customFormat="1" ht="10.5" customHeight="1" x14ac:dyDescent="0.2">
      <c r="A328" s="1350" t="s">
        <v>444</v>
      </c>
      <c r="B328" s="1342"/>
      <c r="C328" s="1343"/>
      <c r="D328" s="1351"/>
      <c r="E328" s="2627">
        <f>ROUND(SUM(E55,E70,E85,E102,E117,E132,E147,E162,E177,E237,E252,E267,E297,E312)*D328,-2)</f>
        <v>0</v>
      </c>
      <c r="F328" s="2628"/>
      <c r="G328" s="1056">
        <v>20</v>
      </c>
      <c r="H328" s="1057"/>
      <c r="I328" s="1079">
        <f t="shared" ref="I328:I340" si="80">IF($O328&gt;0,-PMT(($I$9),$O328,1),0)</f>
        <v>6.2642070767998229E-2</v>
      </c>
      <c r="J328" s="1080">
        <f t="shared" ref="J328:J339" si="81">ROUND(E328*I328,0)</f>
        <v>0</v>
      </c>
      <c r="K328" s="1060">
        <v>2</v>
      </c>
      <c r="L328" s="1304"/>
      <c r="M328" s="1085">
        <f t="shared" ref="M328:M354" si="82">ROUND(E328/100*IF(ISBLANK(L328),K328,L328),0)</f>
        <v>0</v>
      </c>
      <c r="N328" s="506"/>
      <c r="O328" s="365">
        <f t="shared" ref="O328:O340" si="83">IF(ISBLANK(H328),G328,H328)</f>
        <v>20</v>
      </c>
      <c r="P328" s="366"/>
      <c r="Q328" s="135"/>
      <c r="R328" s="136"/>
      <c r="S328" s="129"/>
      <c r="T328" s="129"/>
      <c r="U328" s="129"/>
      <c r="V328" s="129"/>
      <c r="W328" s="129"/>
      <c r="X328" s="129"/>
      <c r="Y328" s="129"/>
      <c r="Z328" s="133"/>
      <c r="AA328" s="133"/>
      <c r="AB328" s="133"/>
      <c r="AC328" s="133"/>
      <c r="AD328" s="133"/>
      <c r="AE328" s="133"/>
      <c r="AF328" s="222"/>
      <c r="AG328" s="222"/>
      <c r="AH328" s="222"/>
      <c r="AI328" s="176"/>
      <c r="AJ328" s="176"/>
      <c r="AK328" s="176"/>
      <c r="AL328" s="176"/>
      <c r="AM328" s="176"/>
      <c r="AN328" s="176"/>
      <c r="AO328" s="176"/>
      <c r="AP328" s="176"/>
      <c r="AQ328" s="176"/>
      <c r="AR328" s="176"/>
      <c r="AS328" s="176"/>
      <c r="AT328" s="176"/>
      <c r="AU328" s="176"/>
      <c r="AV328" s="176"/>
      <c r="AW328" s="176"/>
      <c r="AX328" s="176"/>
      <c r="AY328" s="176"/>
      <c r="AZ328" s="176"/>
      <c r="BA328" s="176"/>
      <c r="BB328" s="176"/>
      <c r="BC328" s="176"/>
      <c r="BD328" s="176"/>
      <c r="BE328" s="176"/>
      <c r="BF328" s="176"/>
      <c r="BG328" s="176"/>
      <c r="BH328" s="176"/>
      <c r="BI328" s="176"/>
      <c r="BJ328" s="176"/>
      <c r="BK328" s="176"/>
      <c r="BL328" s="176"/>
      <c r="BM328" s="176"/>
      <c r="BN328" s="176"/>
      <c r="BO328" s="176"/>
    </row>
    <row r="329" spans="1:67" s="36" customFormat="1" ht="10.5" customHeight="1" x14ac:dyDescent="0.2">
      <c r="A329" s="1349"/>
      <c r="B329" s="2743"/>
      <c r="C329" s="2744"/>
      <c r="D329" s="2745"/>
      <c r="E329" s="2746"/>
      <c r="F329" s="2747"/>
      <c r="G329" s="2590"/>
      <c r="H329" s="2591"/>
      <c r="I329" s="1081">
        <f t="shared" si="80"/>
        <v>0</v>
      </c>
      <c r="J329" s="1082">
        <f t="shared" si="81"/>
        <v>0</v>
      </c>
      <c r="K329" s="2588"/>
      <c r="L329" s="2629"/>
      <c r="M329" s="1086">
        <f t="shared" si="82"/>
        <v>0</v>
      </c>
      <c r="N329" s="506"/>
      <c r="O329" s="365">
        <f t="shared" si="83"/>
        <v>0</v>
      </c>
      <c r="P329" s="366"/>
      <c r="Q329" s="135"/>
      <c r="R329" s="136"/>
      <c r="S329" s="129"/>
      <c r="T329" s="129"/>
      <c r="U329" s="129"/>
      <c r="V329" s="129"/>
      <c r="W329" s="129"/>
      <c r="X329" s="129"/>
      <c r="Y329" s="129"/>
      <c r="Z329" s="133"/>
      <c r="AA329" s="133"/>
      <c r="AB329" s="133"/>
      <c r="AC329" s="133"/>
      <c r="AD329" s="133"/>
      <c r="AE329" s="133"/>
      <c r="AF329" s="222"/>
      <c r="AG329" s="222"/>
      <c r="AH329" s="222"/>
      <c r="AI329" s="176"/>
      <c r="AJ329" s="176"/>
      <c r="AK329" s="176"/>
      <c r="AL329" s="176"/>
      <c r="AM329" s="176"/>
      <c r="AN329" s="176"/>
      <c r="AO329" s="176"/>
      <c r="AP329" s="176"/>
      <c r="AQ329" s="176"/>
      <c r="AR329" s="176"/>
      <c r="AS329" s="176"/>
      <c r="AT329" s="176"/>
      <c r="AU329" s="176"/>
      <c r="AV329" s="176"/>
      <c r="AW329" s="176"/>
      <c r="AX329" s="176"/>
      <c r="AY329" s="176"/>
      <c r="AZ329" s="176"/>
      <c r="BA329" s="176"/>
      <c r="BB329" s="176"/>
      <c r="BC329" s="176"/>
      <c r="BD329" s="176"/>
      <c r="BE329" s="176"/>
      <c r="BF329" s="176"/>
      <c r="BG329" s="176"/>
      <c r="BH329" s="176"/>
      <c r="BI329" s="176"/>
      <c r="BJ329" s="176"/>
      <c r="BK329" s="176"/>
      <c r="BL329" s="176"/>
      <c r="BM329" s="176"/>
      <c r="BN329" s="176"/>
      <c r="BO329" s="176"/>
    </row>
    <row r="330" spans="1:67" s="36" customFormat="1" ht="10.5" customHeight="1" x14ac:dyDescent="0.2">
      <c r="A330" s="1055"/>
      <c r="B330" s="2594"/>
      <c r="C330" s="2595"/>
      <c r="D330" s="2596"/>
      <c r="E330" s="2395"/>
      <c r="F330" s="2396"/>
      <c r="G330" s="2590"/>
      <c r="H330" s="2591"/>
      <c r="I330" s="1081">
        <f t="shared" si="80"/>
        <v>0</v>
      </c>
      <c r="J330" s="1082">
        <f t="shared" si="81"/>
        <v>0</v>
      </c>
      <c r="K330" s="2588"/>
      <c r="L330" s="2629"/>
      <c r="M330" s="1086">
        <f t="shared" si="82"/>
        <v>0</v>
      </c>
      <c r="N330" s="506"/>
      <c r="O330" s="365">
        <f t="shared" si="83"/>
        <v>0</v>
      </c>
      <c r="P330" s="366"/>
      <c r="Q330" s="135"/>
      <c r="R330" s="136"/>
      <c r="S330" s="129"/>
      <c r="T330" s="129"/>
      <c r="U330" s="129"/>
      <c r="V330" s="129"/>
      <c r="W330" s="129"/>
      <c r="X330" s="129"/>
      <c r="Y330" s="129"/>
      <c r="Z330" s="133"/>
      <c r="AA330" s="133"/>
      <c r="AB330" s="133"/>
      <c r="AC330" s="133"/>
      <c r="AD330" s="133"/>
      <c r="AE330" s="133"/>
      <c r="AF330" s="222"/>
      <c r="AG330" s="222"/>
      <c r="AH330" s="222"/>
      <c r="AI330" s="176"/>
      <c r="AJ330" s="176"/>
      <c r="AK330" s="176"/>
      <c r="AL330" s="176"/>
      <c r="AM330" s="176"/>
      <c r="AN330" s="176"/>
      <c r="AO330" s="176"/>
      <c r="AP330" s="176"/>
      <c r="AQ330" s="176"/>
      <c r="AR330" s="176"/>
      <c r="AS330" s="176"/>
      <c r="AT330" s="176"/>
      <c r="AU330" s="176"/>
      <c r="AV330" s="176"/>
      <c r="AW330" s="176"/>
      <c r="AX330" s="176"/>
      <c r="AY330" s="176"/>
      <c r="AZ330" s="176"/>
      <c r="BA330" s="176"/>
      <c r="BB330" s="176"/>
      <c r="BC330" s="176"/>
      <c r="BD330" s="176"/>
      <c r="BE330" s="176"/>
      <c r="BF330" s="176"/>
      <c r="BG330" s="176"/>
      <c r="BH330" s="176"/>
      <c r="BI330" s="176"/>
      <c r="BJ330" s="176"/>
      <c r="BK330" s="176"/>
      <c r="BL330" s="176"/>
      <c r="BM330" s="176"/>
      <c r="BN330" s="176"/>
      <c r="BO330" s="176"/>
    </row>
    <row r="331" spans="1:67" s="36" customFormat="1" ht="10.5" customHeight="1" x14ac:dyDescent="0.2">
      <c r="A331" s="1055"/>
      <c r="B331" s="2594"/>
      <c r="C331" s="2595"/>
      <c r="D331" s="2596"/>
      <c r="E331" s="2395"/>
      <c r="F331" s="2396"/>
      <c r="G331" s="2590"/>
      <c r="H331" s="2591"/>
      <c r="I331" s="1081">
        <f t="shared" si="80"/>
        <v>0</v>
      </c>
      <c r="J331" s="1082">
        <f t="shared" si="81"/>
        <v>0</v>
      </c>
      <c r="K331" s="2588"/>
      <c r="L331" s="2629"/>
      <c r="M331" s="1086">
        <f t="shared" si="82"/>
        <v>0</v>
      </c>
      <c r="N331" s="506"/>
      <c r="O331" s="365">
        <f t="shared" si="83"/>
        <v>0</v>
      </c>
      <c r="P331" s="366"/>
      <c r="Q331" s="135"/>
      <c r="R331" s="136"/>
      <c r="S331" s="129"/>
      <c r="T331" s="129"/>
      <c r="U331" s="129"/>
      <c r="V331" s="129"/>
      <c r="W331" s="129"/>
      <c r="X331" s="129"/>
      <c r="Y331" s="129"/>
      <c r="Z331" s="133"/>
      <c r="AA331" s="133"/>
      <c r="AB331" s="133"/>
      <c r="AC331" s="133"/>
      <c r="AD331" s="133"/>
      <c r="AE331" s="133"/>
      <c r="AF331" s="222"/>
      <c r="AG331" s="222"/>
      <c r="AH331" s="222"/>
      <c r="AI331" s="176"/>
      <c r="AJ331" s="176"/>
      <c r="AK331" s="176"/>
      <c r="AL331" s="176"/>
      <c r="AM331" s="176"/>
      <c r="AN331" s="176"/>
      <c r="AO331" s="176"/>
      <c r="AP331" s="176"/>
      <c r="AQ331" s="176"/>
      <c r="AR331" s="176"/>
      <c r="AS331" s="176"/>
      <c r="AT331" s="176"/>
      <c r="AU331" s="176"/>
      <c r="AV331" s="176"/>
      <c r="AW331" s="176"/>
      <c r="AX331" s="176"/>
      <c r="AY331" s="176"/>
      <c r="AZ331" s="176"/>
      <c r="BA331" s="176"/>
      <c r="BB331" s="176"/>
      <c r="BC331" s="176"/>
      <c r="BD331" s="176"/>
      <c r="BE331" s="176"/>
      <c r="BF331" s="176"/>
      <c r="BG331" s="176"/>
      <c r="BH331" s="176"/>
      <c r="BI331" s="176"/>
      <c r="BJ331" s="176"/>
      <c r="BK331" s="176"/>
      <c r="BL331" s="176"/>
      <c r="BM331" s="176"/>
      <c r="BN331" s="176"/>
      <c r="BO331" s="176"/>
    </row>
    <row r="332" spans="1:67" s="36" customFormat="1" ht="10.5" customHeight="1" x14ac:dyDescent="0.2">
      <c r="A332" s="1055"/>
      <c r="B332" s="2594"/>
      <c r="C332" s="2595"/>
      <c r="D332" s="2596"/>
      <c r="E332" s="2395"/>
      <c r="F332" s="2396"/>
      <c r="G332" s="2590"/>
      <c r="H332" s="2591"/>
      <c r="I332" s="1081">
        <f t="shared" si="80"/>
        <v>0</v>
      </c>
      <c r="J332" s="1082">
        <f t="shared" si="81"/>
        <v>0</v>
      </c>
      <c r="K332" s="2588"/>
      <c r="L332" s="2629"/>
      <c r="M332" s="1086">
        <f t="shared" si="82"/>
        <v>0</v>
      </c>
      <c r="N332" s="506"/>
      <c r="O332" s="365">
        <f t="shared" si="83"/>
        <v>0</v>
      </c>
      <c r="P332" s="366"/>
      <c r="Q332" s="135"/>
      <c r="R332" s="136"/>
      <c r="S332" s="129"/>
      <c r="T332" s="129"/>
      <c r="U332" s="129"/>
      <c r="V332" s="129"/>
      <c r="W332" s="129"/>
      <c r="X332" s="129"/>
      <c r="Y332" s="129"/>
      <c r="Z332" s="133"/>
      <c r="AA332" s="133"/>
      <c r="AB332" s="133"/>
      <c r="AC332" s="133"/>
      <c r="AD332" s="133"/>
      <c r="AE332" s="133"/>
      <c r="AF332" s="222"/>
      <c r="AG332" s="222"/>
      <c r="AH332" s="222"/>
      <c r="AI332" s="176"/>
      <c r="AJ332" s="176"/>
      <c r="AK332" s="176"/>
      <c r="AL332" s="176"/>
      <c r="AM332" s="176"/>
      <c r="AN332" s="176"/>
      <c r="AO332" s="176"/>
      <c r="AP332" s="176"/>
      <c r="AQ332" s="176"/>
      <c r="AR332" s="176"/>
      <c r="AS332" s="176"/>
      <c r="AT332" s="176"/>
      <c r="AU332" s="176"/>
      <c r="AV332" s="176"/>
      <c r="AW332" s="176"/>
      <c r="AX332" s="176"/>
      <c r="AY332" s="176"/>
      <c r="AZ332" s="176"/>
      <c r="BA332" s="176"/>
      <c r="BB332" s="176"/>
      <c r="BC332" s="176"/>
      <c r="BD332" s="176"/>
      <c r="BE332" s="176"/>
      <c r="BF332" s="176"/>
      <c r="BG332" s="176"/>
      <c r="BH332" s="176"/>
      <c r="BI332" s="176"/>
      <c r="BJ332" s="176"/>
      <c r="BK332" s="176"/>
      <c r="BL332" s="176"/>
      <c r="BM332" s="176"/>
      <c r="BN332" s="176"/>
      <c r="BO332" s="176"/>
    </row>
    <row r="333" spans="1:67" s="36" customFormat="1" ht="10.5" customHeight="1" x14ac:dyDescent="0.2">
      <c r="A333" s="1055"/>
      <c r="B333" s="2594"/>
      <c r="C333" s="2595"/>
      <c r="D333" s="2596"/>
      <c r="E333" s="2395"/>
      <c r="F333" s="2396"/>
      <c r="G333" s="2590"/>
      <c r="H333" s="2591"/>
      <c r="I333" s="1081">
        <f t="shared" si="80"/>
        <v>0</v>
      </c>
      <c r="J333" s="1082">
        <f t="shared" si="81"/>
        <v>0</v>
      </c>
      <c r="K333" s="2588"/>
      <c r="L333" s="2629"/>
      <c r="M333" s="1086">
        <f t="shared" si="82"/>
        <v>0</v>
      </c>
      <c r="N333" s="506"/>
      <c r="O333" s="365">
        <f t="shared" si="83"/>
        <v>0</v>
      </c>
      <c r="P333" s="366"/>
      <c r="Q333" s="135"/>
      <c r="R333" s="136"/>
      <c r="S333" s="129"/>
      <c r="T333" s="129"/>
      <c r="U333" s="129"/>
      <c r="V333" s="129"/>
      <c r="W333" s="129"/>
      <c r="X333" s="129"/>
      <c r="Y333" s="129"/>
      <c r="Z333" s="133"/>
      <c r="AA333" s="133"/>
      <c r="AB333" s="133"/>
      <c r="AC333" s="133"/>
      <c r="AD333" s="133"/>
      <c r="AE333" s="133"/>
      <c r="AF333" s="222"/>
      <c r="AG333" s="222"/>
      <c r="AH333" s="222"/>
      <c r="AI333" s="176"/>
      <c r="AJ333" s="176"/>
      <c r="AK333" s="176"/>
      <c r="AL333" s="176"/>
      <c r="AM333" s="176"/>
      <c r="AN333" s="176"/>
      <c r="AO333" s="176"/>
      <c r="AP333" s="176"/>
      <c r="AQ333" s="176"/>
      <c r="AR333" s="176"/>
      <c r="AS333" s="176"/>
      <c r="AT333" s="176"/>
      <c r="AU333" s="176"/>
      <c r="AV333" s="176"/>
      <c r="AW333" s="176"/>
      <c r="AX333" s="176"/>
      <c r="AY333" s="176"/>
      <c r="AZ333" s="176"/>
      <c r="BA333" s="176"/>
      <c r="BB333" s="176"/>
      <c r="BC333" s="176"/>
      <c r="BD333" s="176"/>
      <c r="BE333" s="176"/>
      <c r="BF333" s="176"/>
      <c r="BG333" s="176"/>
      <c r="BH333" s="176"/>
      <c r="BI333" s="176"/>
      <c r="BJ333" s="176"/>
      <c r="BK333" s="176"/>
      <c r="BL333" s="176"/>
      <c r="BM333" s="176"/>
      <c r="BN333" s="176"/>
      <c r="BO333" s="176"/>
    </row>
    <row r="334" spans="1:67" s="36" customFormat="1" ht="10.5" customHeight="1" x14ac:dyDescent="0.2">
      <c r="A334" s="1350" t="s">
        <v>445</v>
      </c>
      <c r="B334" s="1342"/>
      <c r="C334" s="1343"/>
      <c r="D334" s="1351"/>
      <c r="E334" s="2627">
        <f>ROUND(SUM(E40,E192,E207,E222,E282)*D334,-2)</f>
        <v>0</v>
      </c>
      <c r="F334" s="2628"/>
      <c r="G334" s="1056">
        <v>20</v>
      </c>
      <c r="H334" s="1057"/>
      <c r="I334" s="1079">
        <f t="shared" si="80"/>
        <v>6.2642070767998229E-2</v>
      </c>
      <c r="J334" s="1080">
        <f t="shared" si="81"/>
        <v>0</v>
      </c>
      <c r="K334" s="1060">
        <v>1</v>
      </c>
      <c r="L334" s="1304"/>
      <c r="M334" s="1085">
        <f t="shared" si="82"/>
        <v>0</v>
      </c>
      <c r="N334" s="506"/>
      <c r="O334" s="365">
        <f t="shared" si="83"/>
        <v>20</v>
      </c>
      <c r="P334" s="366"/>
      <c r="Q334" s="135"/>
      <c r="R334" s="136"/>
      <c r="S334" s="129"/>
      <c r="T334" s="129"/>
      <c r="U334" s="129"/>
      <c r="V334" s="129"/>
      <c r="W334" s="129"/>
      <c r="X334" s="129"/>
      <c r="Y334" s="129"/>
      <c r="Z334" s="133"/>
      <c r="AA334" s="133"/>
      <c r="AB334" s="133"/>
      <c r="AC334" s="133"/>
      <c r="AD334" s="133"/>
      <c r="AE334" s="133"/>
      <c r="AF334" s="222"/>
      <c r="AG334" s="222"/>
      <c r="AH334" s="222"/>
      <c r="AI334" s="176"/>
      <c r="AJ334" s="176"/>
      <c r="AK334" s="176"/>
      <c r="AL334" s="176"/>
      <c r="AM334" s="176"/>
      <c r="AN334" s="176"/>
      <c r="AO334" s="176"/>
      <c r="AP334" s="176"/>
      <c r="AQ334" s="176"/>
      <c r="AR334" s="176"/>
      <c r="AS334" s="176"/>
      <c r="AT334" s="176"/>
      <c r="AU334" s="176"/>
      <c r="AV334" s="176"/>
      <c r="AW334" s="176"/>
      <c r="AX334" s="176"/>
      <c r="AY334" s="176"/>
      <c r="AZ334" s="176"/>
      <c r="BA334" s="176"/>
      <c r="BB334" s="176"/>
      <c r="BC334" s="176"/>
      <c r="BD334" s="176"/>
      <c r="BE334" s="176"/>
      <c r="BF334" s="176"/>
      <c r="BG334" s="176"/>
      <c r="BH334" s="176"/>
      <c r="BI334" s="176"/>
      <c r="BJ334" s="176"/>
      <c r="BK334" s="176"/>
      <c r="BL334" s="176"/>
      <c r="BM334" s="176"/>
      <c r="BN334" s="176"/>
      <c r="BO334" s="176"/>
    </row>
    <row r="335" spans="1:67" s="36" customFormat="1" ht="10.5" customHeight="1" x14ac:dyDescent="0.2">
      <c r="A335" s="1349"/>
      <c r="B335" s="2743"/>
      <c r="C335" s="2744"/>
      <c r="D335" s="2745"/>
      <c r="E335" s="2746"/>
      <c r="F335" s="2747"/>
      <c r="G335" s="2590"/>
      <c r="H335" s="2591"/>
      <c r="I335" s="1081">
        <f t="shared" si="80"/>
        <v>0</v>
      </c>
      <c r="J335" s="1082">
        <f t="shared" si="81"/>
        <v>0</v>
      </c>
      <c r="K335" s="2588"/>
      <c r="L335" s="2629"/>
      <c r="M335" s="1086">
        <f t="shared" si="82"/>
        <v>0</v>
      </c>
      <c r="N335" s="506"/>
      <c r="O335" s="365">
        <f t="shared" si="83"/>
        <v>0</v>
      </c>
      <c r="P335" s="366"/>
      <c r="Q335" s="135"/>
      <c r="R335" s="136"/>
      <c r="S335" s="129"/>
      <c r="T335" s="129"/>
      <c r="U335" s="129"/>
      <c r="V335" s="129"/>
      <c r="W335" s="129"/>
      <c r="X335" s="129"/>
      <c r="Y335" s="129"/>
      <c r="Z335" s="133"/>
      <c r="AA335" s="133"/>
      <c r="AB335" s="133"/>
      <c r="AC335" s="133"/>
      <c r="AD335" s="133"/>
      <c r="AE335" s="133"/>
      <c r="AF335" s="222"/>
      <c r="AG335" s="222"/>
      <c r="AH335" s="222"/>
      <c r="AI335" s="176"/>
      <c r="AJ335" s="176"/>
      <c r="AK335" s="176"/>
      <c r="AL335" s="176"/>
      <c r="AM335" s="176"/>
      <c r="AN335" s="176"/>
      <c r="AO335" s="176"/>
      <c r="AP335" s="176"/>
      <c r="AQ335" s="176"/>
      <c r="AR335" s="176"/>
      <c r="AS335" s="176"/>
      <c r="AT335" s="176"/>
      <c r="AU335" s="176"/>
      <c r="AV335" s="176"/>
      <c r="AW335" s="176"/>
      <c r="AX335" s="176"/>
      <c r="AY335" s="176"/>
      <c r="AZ335" s="176"/>
      <c r="BA335" s="176"/>
      <c r="BB335" s="176"/>
      <c r="BC335" s="176"/>
      <c r="BD335" s="176"/>
      <c r="BE335" s="176"/>
      <c r="BF335" s="176"/>
      <c r="BG335" s="176"/>
      <c r="BH335" s="176"/>
      <c r="BI335" s="176"/>
      <c r="BJ335" s="176"/>
      <c r="BK335" s="176"/>
      <c r="BL335" s="176"/>
      <c r="BM335" s="176"/>
      <c r="BN335" s="176"/>
      <c r="BO335" s="176"/>
    </row>
    <row r="336" spans="1:67" s="36" customFormat="1" ht="10.5" customHeight="1" x14ac:dyDescent="0.2">
      <c r="A336" s="1055"/>
      <c r="B336" s="2594"/>
      <c r="C336" s="2595"/>
      <c r="D336" s="2596"/>
      <c r="E336" s="2395"/>
      <c r="F336" s="2396"/>
      <c r="G336" s="2590"/>
      <c r="H336" s="2591"/>
      <c r="I336" s="1081">
        <f t="shared" si="80"/>
        <v>0</v>
      </c>
      <c r="J336" s="1082">
        <f t="shared" si="81"/>
        <v>0</v>
      </c>
      <c r="K336" s="2588"/>
      <c r="L336" s="2629"/>
      <c r="M336" s="1086">
        <f t="shared" si="82"/>
        <v>0</v>
      </c>
      <c r="N336" s="506"/>
      <c r="O336" s="365">
        <f t="shared" si="83"/>
        <v>0</v>
      </c>
      <c r="P336" s="366"/>
      <c r="Q336" s="135"/>
      <c r="R336" s="136"/>
      <c r="S336" s="129"/>
      <c r="T336" s="129"/>
      <c r="U336" s="129"/>
      <c r="V336" s="129"/>
      <c r="W336" s="129"/>
      <c r="X336" s="129"/>
      <c r="Y336" s="129"/>
      <c r="Z336" s="133"/>
      <c r="AA336" s="133"/>
      <c r="AB336" s="133"/>
      <c r="AC336" s="133"/>
      <c r="AD336" s="133"/>
      <c r="AE336" s="133"/>
      <c r="AF336" s="222"/>
      <c r="AG336" s="222"/>
      <c r="AH336" s="222"/>
      <c r="AI336" s="176"/>
      <c r="AJ336" s="176"/>
      <c r="AK336" s="176"/>
      <c r="AL336" s="176"/>
      <c r="AM336" s="176"/>
      <c r="AN336" s="176"/>
      <c r="AO336" s="176"/>
      <c r="AP336" s="176"/>
      <c r="AQ336" s="176"/>
      <c r="AR336" s="176"/>
      <c r="AS336" s="176"/>
      <c r="AT336" s="176"/>
      <c r="AU336" s="176"/>
      <c r="AV336" s="176"/>
      <c r="AW336" s="176"/>
      <c r="AX336" s="176"/>
      <c r="AY336" s="176"/>
      <c r="AZ336" s="176"/>
      <c r="BA336" s="176"/>
      <c r="BB336" s="176"/>
      <c r="BC336" s="176"/>
      <c r="BD336" s="176"/>
      <c r="BE336" s="176"/>
      <c r="BF336" s="176"/>
      <c r="BG336" s="176"/>
      <c r="BH336" s="176"/>
      <c r="BI336" s="176"/>
      <c r="BJ336" s="176"/>
      <c r="BK336" s="176"/>
      <c r="BL336" s="176"/>
      <c r="BM336" s="176"/>
      <c r="BN336" s="176"/>
      <c r="BO336" s="176"/>
    </row>
    <row r="337" spans="1:67" s="36" customFormat="1" ht="10.5" customHeight="1" x14ac:dyDescent="0.2">
      <c r="A337" s="1055"/>
      <c r="B337" s="2594"/>
      <c r="C337" s="2595"/>
      <c r="D337" s="2596"/>
      <c r="E337" s="2395"/>
      <c r="F337" s="2396"/>
      <c r="G337" s="2590"/>
      <c r="H337" s="2591"/>
      <c r="I337" s="1081">
        <f t="shared" si="80"/>
        <v>0</v>
      </c>
      <c r="J337" s="1082">
        <f t="shared" si="81"/>
        <v>0</v>
      </c>
      <c r="K337" s="2588"/>
      <c r="L337" s="2629"/>
      <c r="M337" s="1086">
        <f t="shared" si="82"/>
        <v>0</v>
      </c>
      <c r="N337" s="506"/>
      <c r="O337" s="365">
        <f t="shared" si="83"/>
        <v>0</v>
      </c>
      <c r="P337" s="366"/>
      <c r="Q337" s="135"/>
      <c r="R337" s="136"/>
      <c r="S337" s="129"/>
      <c r="T337" s="129"/>
      <c r="U337" s="129"/>
      <c r="V337" s="129"/>
      <c r="W337" s="129"/>
      <c r="X337" s="129"/>
      <c r="Y337" s="129"/>
      <c r="Z337" s="133"/>
      <c r="AA337" s="133"/>
      <c r="AB337" s="133"/>
      <c r="AC337" s="133"/>
      <c r="AD337" s="133"/>
      <c r="AE337" s="133"/>
      <c r="AF337" s="222"/>
      <c r="AG337" s="222"/>
      <c r="AH337" s="222"/>
      <c r="AI337" s="176"/>
      <c r="AJ337" s="176"/>
      <c r="AK337" s="176"/>
      <c r="AL337" s="176"/>
      <c r="AM337" s="176"/>
      <c r="AN337" s="176"/>
      <c r="AO337" s="176"/>
      <c r="AP337" s="176"/>
      <c r="AQ337" s="176"/>
      <c r="AR337" s="176"/>
      <c r="AS337" s="176"/>
      <c r="AT337" s="176"/>
      <c r="AU337" s="176"/>
      <c r="AV337" s="176"/>
      <c r="AW337" s="176"/>
      <c r="AX337" s="176"/>
      <c r="AY337" s="176"/>
      <c r="AZ337" s="176"/>
      <c r="BA337" s="176"/>
      <c r="BB337" s="176"/>
      <c r="BC337" s="176"/>
      <c r="BD337" s="176"/>
      <c r="BE337" s="176"/>
      <c r="BF337" s="176"/>
      <c r="BG337" s="176"/>
      <c r="BH337" s="176"/>
      <c r="BI337" s="176"/>
      <c r="BJ337" s="176"/>
      <c r="BK337" s="176"/>
      <c r="BL337" s="176"/>
      <c r="BM337" s="176"/>
      <c r="BN337" s="176"/>
      <c r="BO337" s="176"/>
    </row>
    <row r="338" spans="1:67" s="36" customFormat="1" ht="10.5" customHeight="1" x14ac:dyDescent="0.2">
      <c r="A338" s="1055"/>
      <c r="B338" s="2594"/>
      <c r="C338" s="2595"/>
      <c r="D338" s="2596"/>
      <c r="E338" s="2395"/>
      <c r="F338" s="2396"/>
      <c r="G338" s="2590"/>
      <c r="H338" s="2591"/>
      <c r="I338" s="1081">
        <f t="shared" si="80"/>
        <v>0</v>
      </c>
      <c r="J338" s="1082">
        <f t="shared" si="81"/>
        <v>0</v>
      </c>
      <c r="K338" s="2588"/>
      <c r="L338" s="2629"/>
      <c r="M338" s="1086">
        <f t="shared" si="82"/>
        <v>0</v>
      </c>
      <c r="N338" s="506"/>
      <c r="O338" s="365">
        <f t="shared" si="83"/>
        <v>0</v>
      </c>
      <c r="P338" s="366"/>
      <c r="Q338" s="135"/>
      <c r="R338" s="136"/>
      <c r="S338" s="129"/>
      <c r="T338" s="129"/>
      <c r="U338" s="129"/>
      <c r="V338" s="129"/>
      <c r="W338" s="129"/>
      <c r="X338" s="129"/>
      <c r="Y338" s="129"/>
      <c r="Z338" s="133"/>
      <c r="AA338" s="133"/>
      <c r="AB338" s="133"/>
      <c r="AC338" s="133"/>
      <c r="AD338" s="133"/>
      <c r="AE338" s="133"/>
      <c r="AF338" s="222"/>
      <c r="AG338" s="222"/>
      <c r="AH338" s="222"/>
      <c r="AI338" s="176"/>
      <c r="AJ338" s="176"/>
      <c r="AK338" s="176"/>
      <c r="AL338" s="176"/>
      <c r="AM338" s="176"/>
      <c r="AN338" s="176"/>
      <c r="AO338" s="176"/>
      <c r="AP338" s="176"/>
      <c r="AQ338" s="176"/>
      <c r="AR338" s="176"/>
      <c r="AS338" s="176"/>
      <c r="AT338" s="176"/>
      <c r="AU338" s="176"/>
      <c r="AV338" s="176"/>
      <c r="AW338" s="176"/>
      <c r="AX338" s="176"/>
      <c r="AY338" s="176"/>
      <c r="AZ338" s="176"/>
      <c r="BA338" s="176"/>
      <c r="BB338" s="176"/>
      <c r="BC338" s="176"/>
      <c r="BD338" s="176"/>
      <c r="BE338" s="176"/>
      <c r="BF338" s="176"/>
      <c r="BG338" s="176"/>
      <c r="BH338" s="176"/>
      <c r="BI338" s="176"/>
      <c r="BJ338" s="176"/>
      <c r="BK338" s="176"/>
      <c r="BL338" s="176"/>
      <c r="BM338" s="176"/>
      <c r="BN338" s="176"/>
      <c r="BO338" s="176"/>
    </row>
    <row r="339" spans="1:67" s="36" customFormat="1" ht="10.5" customHeight="1" x14ac:dyDescent="0.2">
      <c r="A339" s="1055"/>
      <c r="B339" s="2594"/>
      <c r="C339" s="2595"/>
      <c r="D339" s="2596"/>
      <c r="E339" s="2395"/>
      <c r="F339" s="2396"/>
      <c r="G339" s="2590"/>
      <c r="H339" s="2591"/>
      <c r="I339" s="1081">
        <f t="shared" si="80"/>
        <v>0</v>
      </c>
      <c r="J339" s="1082">
        <f t="shared" si="81"/>
        <v>0</v>
      </c>
      <c r="K339" s="2588"/>
      <c r="L339" s="2629"/>
      <c r="M339" s="1086">
        <f t="shared" si="82"/>
        <v>0</v>
      </c>
      <c r="N339" s="506"/>
      <c r="O339" s="365">
        <f t="shared" si="83"/>
        <v>0</v>
      </c>
      <c r="P339" s="366"/>
      <c r="Q339" s="135"/>
      <c r="R339" s="136"/>
      <c r="S339" s="129"/>
      <c r="T339" s="129"/>
      <c r="U339" s="129"/>
      <c r="V339" s="129"/>
      <c r="W339" s="129"/>
      <c r="X339" s="129"/>
      <c r="Y339" s="129"/>
      <c r="Z339" s="133"/>
      <c r="AA339" s="133"/>
      <c r="AB339" s="133"/>
      <c r="AC339" s="133"/>
      <c r="AD339" s="133"/>
      <c r="AE339" s="133"/>
      <c r="AF339" s="222"/>
      <c r="AG339" s="222"/>
      <c r="AH339" s="222"/>
      <c r="AI339" s="176"/>
      <c r="AJ339" s="176"/>
      <c r="AK339" s="176"/>
      <c r="AL339" s="176"/>
      <c r="AM339" s="176"/>
      <c r="AN339" s="176"/>
      <c r="AO339" s="176"/>
      <c r="AP339" s="176"/>
      <c r="AQ339" s="176"/>
      <c r="AR339" s="176"/>
      <c r="AS339" s="176"/>
      <c r="AT339" s="176"/>
      <c r="AU339" s="176"/>
      <c r="AV339" s="176"/>
      <c r="AW339" s="176"/>
      <c r="AX339" s="176"/>
      <c r="AY339" s="176"/>
      <c r="AZ339" s="176"/>
      <c r="BA339" s="176"/>
      <c r="BB339" s="176"/>
      <c r="BC339" s="176"/>
      <c r="BD339" s="176"/>
      <c r="BE339" s="176"/>
      <c r="BF339" s="176"/>
      <c r="BG339" s="176"/>
      <c r="BH339" s="176"/>
      <c r="BI339" s="176"/>
      <c r="BJ339" s="176"/>
      <c r="BK339" s="176"/>
      <c r="BL339" s="176"/>
      <c r="BM339" s="176"/>
      <c r="BN339" s="176"/>
      <c r="BO339" s="176"/>
    </row>
    <row r="340" spans="1:67" s="36" customFormat="1" ht="10.5" customHeight="1" x14ac:dyDescent="0.2">
      <c r="A340" s="1348"/>
      <c r="B340" s="2690"/>
      <c r="C340" s="2691"/>
      <c r="D340" s="2692"/>
      <c r="E340" s="2601"/>
      <c r="F340" s="2602"/>
      <c r="G340" s="1088"/>
      <c r="H340" s="1089"/>
      <c r="I340" s="1083">
        <f t="shared" si="80"/>
        <v>0</v>
      </c>
      <c r="J340" s="1084"/>
      <c r="K340" s="1087"/>
      <c r="L340" s="1307"/>
      <c r="M340" s="1317">
        <f t="shared" si="82"/>
        <v>0</v>
      </c>
      <c r="N340" s="506"/>
      <c r="O340" s="365">
        <f t="shared" si="83"/>
        <v>0</v>
      </c>
      <c r="P340" s="366"/>
      <c r="Q340" s="135"/>
      <c r="R340" s="136"/>
      <c r="S340" s="129"/>
      <c r="T340" s="129"/>
      <c r="U340" s="129"/>
      <c r="V340" s="129"/>
      <c r="W340" s="129"/>
      <c r="X340" s="129"/>
      <c r="Y340" s="129"/>
      <c r="Z340" s="133"/>
      <c r="AA340" s="133"/>
      <c r="AB340" s="133"/>
      <c r="AC340" s="133"/>
      <c r="AD340" s="133"/>
      <c r="AE340" s="133"/>
      <c r="AF340" s="222"/>
      <c r="AG340" s="222"/>
      <c r="AH340" s="222"/>
      <c r="AI340" s="176"/>
      <c r="AJ340" s="176"/>
      <c r="AK340" s="176"/>
      <c r="AL340" s="176"/>
      <c r="AM340" s="176"/>
      <c r="AN340" s="176"/>
      <c r="AO340" s="176"/>
      <c r="AP340" s="176"/>
      <c r="AQ340" s="176"/>
      <c r="AR340" s="176"/>
      <c r="AS340" s="176"/>
      <c r="AT340" s="176"/>
      <c r="AU340" s="176"/>
      <c r="AV340" s="176"/>
      <c r="AW340" s="176"/>
      <c r="AX340" s="176"/>
      <c r="AY340" s="176"/>
      <c r="AZ340" s="176"/>
      <c r="BA340" s="176"/>
      <c r="BB340" s="176"/>
      <c r="BC340" s="176"/>
      <c r="BD340" s="176"/>
      <c r="BE340" s="176"/>
      <c r="BF340" s="176"/>
      <c r="BG340" s="176"/>
      <c r="BH340" s="176"/>
      <c r="BI340" s="176"/>
      <c r="BJ340" s="176"/>
      <c r="BK340" s="176"/>
      <c r="BL340" s="176"/>
      <c r="BM340" s="176"/>
      <c r="BN340" s="176"/>
      <c r="BO340" s="176"/>
    </row>
    <row r="341" spans="1:67" s="36" customFormat="1" ht="10.5" customHeight="1" x14ac:dyDescent="0.2">
      <c r="A341" s="1345" t="s">
        <v>371</v>
      </c>
      <c r="B341" s="2603"/>
      <c r="C341" s="2604"/>
      <c r="D341" s="2605"/>
      <c r="E341" s="2730">
        <f>SUM(E342:E354)</f>
        <v>0</v>
      </c>
      <c r="F341" s="2731"/>
      <c r="G341" s="2678"/>
      <c r="H341" s="2679"/>
      <c r="I341" s="1116">
        <f>IF(E341=0,0,J341/E341)</f>
        <v>0</v>
      </c>
      <c r="J341" s="1117">
        <f>SUM(J342:J354)</f>
        <v>0</v>
      </c>
      <c r="K341" s="2686"/>
      <c r="L341" s="2687"/>
      <c r="M341" s="1118"/>
      <c r="N341" s="506"/>
      <c r="O341" s="178"/>
      <c r="P341" s="366"/>
      <c r="Q341" s="135"/>
      <c r="R341" s="136"/>
      <c r="S341" s="129"/>
      <c r="T341" s="129"/>
      <c r="U341" s="129"/>
      <c r="V341" s="129"/>
      <c r="W341" s="129"/>
      <c r="X341" s="129"/>
      <c r="Y341" s="129"/>
      <c r="Z341" s="133"/>
      <c r="AA341" s="133"/>
      <c r="AB341" s="133"/>
      <c r="AC341" s="133"/>
      <c r="AD341" s="133"/>
      <c r="AE341" s="133"/>
      <c r="AF341" s="222"/>
      <c r="AG341" s="222"/>
      <c r="AH341" s="222"/>
      <c r="AI341" s="176"/>
      <c r="AJ341" s="176"/>
      <c r="AK341" s="176"/>
      <c r="AL341" s="176"/>
      <c r="AM341" s="176"/>
      <c r="AN341" s="176"/>
      <c r="AO341" s="176"/>
      <c r="AP341" s="176"/>
      <c r="AQ341" s="176"/>
      <c r="AR341" s="176"/>
      <c r="AS341" s="176"/>
      <c r="AT341" s="176"/>
      <c r="AU341" s="176"/>
      <c r="AV341" s="176"/>
      <c r="AW341" s="176"/>
      <c r="AX341" s="176"/>
      <c r="AY341" s="176"/>
      <c r="AZ341" s="176"/>
      <c r="BA341" s="176"/>
      <c r="BB341" s="176"/>
      <c r="BC341" s="176"/>
      <c r="BD341" s="176"/>
      <c r="BE341" s="176"/>
      <c r="BF341" s="176"/>
      <c r="BG341" s="176"/>
      <c r="BH341" s="176"/>
      <c r="BI341" s="176"/>
      <c r="BJ341" s="176"/>
      <c r="BK341" s="176"/>
      <c r="BL341" s="176"/>
      <c r="BM341" s="176"/>
      <c r="BN341" s="176"/>
      <c r="BO341" s="176"/>
    </row>
    <row r="342" spans="1:67" s="36" customFormat="1" ht="10.5" customHeight="1" x14ac:dyDescent="0.2">
      <c r="A342" s="1353" t="s">
        <v>446</v>
      </c>
      <c r="B342" s="2753"/>
      <c r="C342" s="2754"/>
      <c r="D342" s="2755"/>
      <c r="E342" s="2627">
        <f>IF(E344=0,ROUND(E368,-2),0)</f>
        <v>0</v>
      </c>
      <c r="F342" s="2628" t="e">
        <f>IF(F344=0,ROUND(#REF!,-2),0)</f>
        <v>#REF!</v>
      </c>
      <c r="G342" s="1056">
        <v>20</v>
      </c>
      <c r="H342" s="1057"/>
      <c r="I342" s="1079">
        <f t="shared" ref="I342:I354" si="84">IF($O342&gt;0,-PMT(($I$9),$O342,1),0)</f>
        <v>6.2642070767998229E-2</v>
      </c>
      <c r="J342" s="1080">
        <f t="shared" ref="J342:J354" si="85">ROUND(E342*I342,0)</f>
        <v>0</v>
      </c>
      <c r="K342" s="1165"/>
      <c r="L342" s="1310"/>
      <c r="M342" s="1320">
        <f t="shared" si="82"/>
        <v>0</v>
      </c>
      <c r="N342" s="506"/>
      <c r="O342" s="365">
        <f t="shared" ref="O342:O350" si="86">IF(ISBLANK(H342),G342,H342)</f>
        <v>20</v>
      </c>
      <c r="P342" s="366"/>
      <c r="Q342" s="135"/>
      <c r="R342" s="136"/>
      <c r="S342" s="129"/>
      <c r="T342" s="129"/>
      <c r="U342" s="129"/>
      <c r="V342" s="129"/>
      <c r="W342" s="129"/>
      <c r="X342" s="129"/>
      <c r="Y342" s="129"/>
      <c r="Z342" s="133"/>
      <c r="AA342" s="133"/>
      <c r="AB342" s="133"/>
      <c r="AC342" s="133"/>
      <c r="AD342" s="133"/>
      <c r="AE342" s="133"/>
      <c r="AF342" s="222"/>
      <c r="AG342" s="222"/>
      <c r="AH342" s="222"/>
      <c r="AI342" s="176"/>
      <c r="AJ342" s="176"/>
      <c r="AK342" s="176"/>
      <c r="AL342" s="176"/>
      <c r="AM342" s="176"/>
      <c r="AN342" s="176"/>
      <c r="AO342" s="176"/>
      <c r="AP342" s="176"/>
      <c r="AQ342" s="176"/>
      <c r="AR342" s="176"/>
      <c r="AS342" s="176"/>
      <c r="AT342" s="176"/>
      <c r="AU342" s="176"/>
      <c r="AV342" s="176"/>
      <c r="AW342" s="176"/>
      <c r="AX342" s="176"/>
      <c r="AY342" s="176"/>
      <c r="AZ342" s="176"/>
      <c r="BA342" s="176"/>
      <c r="BB342" s="176"/>
      <c r="BC342" s="176"/>
      <c r="BD342" s="176"/>
      <c r="BE342" s="176"/>
      <c r="BF342" s="176"/>
      <c r="BG342" s="176"/>
      <c r="BH342" s="176"/>
      <c r="BI342" s="176"/>
      <c r="BJ342" s="176"/>
      <c r="BK342" s="176"/>
      <c r="BL342" s="176"/>
      <c r="BM342" s="176"/>
      <c r="BN342" s="176"/>
      <c r="BO342" s="176"/>
    </row>
    <row r="343" spans="1:67" s="36" customFormat="1" ht="10.5" customHeight="1" x14ac:dyDescent="0.2">
      <c r="A343" s="1354" t="s">
        <v>447</v>
      </c>
      <c r="B343" s="2750"/>
      <c r="C343" s="2751"/>
      <c r="D343" s="2752"/>
      <c r="E343" s="2599">
        <f>IF(E345=0,ROUND(E380,-2),0)</f>
        <v>0</v>
      </c>
      <c r="F343" s="2600">
        <f>IF(F345=0,ROUND(F396,-2),0)</f>
        <v>0</v>
      </c>
      <c r="G343" s="1058">
        <v>20</v>
      </c>
      <c r="H343" s="1059"/>
      <c r="I343" s="1081">
        <f t="shared" si="84"/>
        <v>6.2642070767998229E-2</v>
      </c>
      <c r="J343" s="1082">
        <f t="shared" si="85"/>
        <v>0</v>
      </c>
      <c r="K343" s="1341"/>
      <c r="L343" s="1315"/>
      <c r="M343" s="1321">
        <f t="shared" si="82"/>
        <v>0</v>
      </c>
      <c r="N343" s="506"/>
      <c r="O343" s="365">
        <f t="shared" si="86"/>
        <v>20</v>
      </c>
      <c r="P343" s="366"/>
      <c r="Q343" s="135"/>
      <c r="R343" s="136"/>
      <c r="S343" s="129"/>
      <c r="T343" s="129"/>
      <c r="U343" s="129"/>
      <c r="V343" s="129"/>
      <c r="W343" s="129"/>
      <c r="X343" s="129"/>
      <c r="Y343" s="129"/>
      <c r="Z343" s="133"/>
      <c r="AA343" s="133"/>
      <c r="AB343" s="133"/>
      <c r="AC343" s="133"/>
      <c r="AD343" s="133"/>
      <c r="AE343" s="133"/>
      <c r="AF343" s="222"/>
      <c r="AG343" s="222"/>
      <c r="AH343" s="222"/>
      <c r="AI343" s="176"/>
      <c r="AJ343" s="176"/>
      <c r="AK343" s="176"/>
      <c r="AL343" s="176"/>
      <c r="AM343" s="176"/>
      <c r="AN343" s="176"/>
      <c r="AO343" s="176"/>
      <c r="AP343" s="176"/>
      <c r="AQ343" s="176"/>
      <c r="AR343" s="176"/>
      <c r="AS343" s="176"/>
      <c r="AT343" s="176"/>
      <c r="AU343" s="176"/>
      <c r="AV343" s="176"/>
      <c r="AW343" s="176"/>
      <c r="AX343" s="176"/>
      <c r="AY343" s="176"/>
      <c r="AZ343" s="176"/>
      <c r="BA343" s="176"/>
      <c r="BB343" s="176"/>
      <c r="BC343" s="176"/>
      <c r="BD343" s="176"/>
      <c r="BE343" s="176"/>
      <c r="BF343" s="176"/>
      <c r="BG343" s="176"/>
      <c r="BH343" s="176"/>
      <c r="BI343" s="176"/>
      <c r="BJ343" s="176"/>
      <c r="BK343" s="176"/>
      <c r="BL343" s="176"/>
      <c r="BM343" s="176"/>
      <c r="BN343" s="176"/>
      <c r="BO343" s="176"/>
    </row>
    <row r="344" spans="1:67" s="36" customFormat="1" ht="10.5" customHeight="1" x14ac:dyDescent="0.2">
      <c r="A344" s="1354" t="s">
        <v>372</v>
      </c>
      <c r="B344" s="2750"/>
      <c r="C344" s="2751"/>
      <c r="D344" s="2752"/>
      <c r="E344" s="2599">
        <f>E389</f>
        <v>0</v>
      </c>
      <c r="F344" s="2600"/>
      <c r="G344" s="1058">
        <v>20</v>
      </c>
      <c r="H344" s="1059"/>
      <c r="I344" s="1081">
        <f t="shared" si="84"/>
        <v>6.2642070767998229E-2</v>
      </c>
      <c r="J344" s="1082">
        <f t="shared" si="85"/>
        <v>0</v>
      </c>
      <c r="K344" s="1341"/>
      <c r="L344" s="1315"/>
      <c r="M344" s="1321">
        <f t="shared" si="82"/>
        <v>0</v>
      </c>
      <c r="N344" s="506"/>
      <c r="O344" s="365">
        <f t="shared" si="86"/>
        <v>20</v>
      </c>
      <c r="P344" s="366"/>
      <c r="Q344" s="135"/>
      <c r="R344" s="136"/>
      <c r="S344" s="129"/>
      <c r="T344" s="129"/>
      <c r="U344" s="129"/>
      <c r="V344" s="129"/>
      <c r="W344" s="129"/>
      <c r="X344" s="129"/>
      <c r="Y344" s="129"/>
      <c r="Z344" s="133"/>
      <c r="AA344" s="133"/>
      <c r="AB344" s="133"/>
      <c r="AC344" s="133"/>
      <c r="AD344" s="133"/>
      <c r="AE344" s="133"/>
      <c r="AF344" s="222"/>
      <c r="AG344" s="222"/>
      <c r="AH344" s="222"/>
      <c r="AI344" s="176"/>
      <c r="AJ344" s="176"/>
      <c r="AK344" s="176"/>
      <c r="AL344" s="176"/>
      <c r="AM344" s="176"/>
      <c r="AN344" s="176"/>
      <c r="AO344" s="176"/>
      <c r="AP344" s="176"/>
      <c r="AQ344" s="176"/>
      <c r="AR344" s="176"/>
      <c r="AS344" s="176"/>
      <c r="AT344" s="176"/>
      <c r="AU344" s="176"/>
      <c r="AV344" s="176"/>
      <c r="AW344" s="176"/>
      <c r="AX344" s="176"/>
      <c r="AY344" s="176"/>
      <c r="AZ344" s="176"/>
      <c r="BA344" s="176"/>
      <c r="BB344" s="176"/>
      <c r="BC344" s="176"/>
      <c r="BD344" s="176"/>
      <c r="BE344" s="176"/>
      <c r="BF344" s="176"/>
      <c r="BG344" s="176"/>
      <c r="BH344" s="176"/>
      <c r="BI344" s="176"/>
      <c r="BJ344" s="176"/>
      <c r="BK344" s="176"/>
      <c r="BL344" s="176"/>
      <c r="BM344" s="176"/>
      <c r="BN344" s="176"/>
      <c r="BO344" s="176"/>
    </row>
    <row r="345" spans="1:67" s="36" customFormat="1" ht="10.5" customHeight="1" x14ac:dyDescent="0.2">
      <c r="A345" s="1354" t="s">
        <v>373</v>
      </c>
      <c r="B345" s="2750"/>
      <c r="C345" s="2751"/>
      <c r="D345" s="2752"/>
      <c r="E345" s="2599">
        <f>E396</f>
        <v>0</v>
      </c>
      <c r="F345" s="2600"/>
      <c r="G345" s="1058">
        <v>20</v>
      </c>
      <c r="H345" s="1059"/>
      <c r="I345" s="1081">
        <f t="shared" si="84"/>
        <v>6.2642070767998229E-2</v>
      </c>
      <c r="J345" s="1082">
        <f t="shared" si="85"/>
        <v>0</v>
      </c>
      <c r="K345" s="1341"/>
      <c r="L345" s="1315"/>
      <c r="M345" s="1321">
        <f t="shared" si="82"/>
        <v>0</v>
      </c>
      <c r="N345" s="506"/>
      <c r="O345" s="365">
        <f t="shared" si="86"/>
        <v>20</v>
      </c>
      <c r="P345" s="366"/>
      <c r="Q345" s="135"/>
      <c r="R345" s="136"/>
      <c r="S345" s="129"/>
      <c r="T345" s="129"/>
      <c r="U345" s="129"/>
      <c r="V345" s="129"/>
      <c r="W345" s="129"/>
      <c r="X345" s="129"/>
      <c r="Y345" s="129"/>
      <c r="Z345" s="133"/>
      <c r="AA345" s="133"/>
      <c r="AB345" s="133"/>
      <c r="AC345" s="133"/>
      <c r="AD345" s="133"/>
      <c r="AE345" s="133"/>
      <c r="AF345" s="222"/>
      <c r="AG345" s="222"/>
      <c r="AH345" s="222"/>
      <c r="AI345" s="176"/>
      <c r="AJ345" s="176"/>
      <c r="AK345" s="176"/>
      <c r="AL345" s="176"/>
      <c r="AM345" s="176"/>
      <c r="AN345" s="176"/>
      <c r="AO345" s="176"/>
      <c r="AP345" s="176"/>
      <c r="AQ345" s="176"/>
      <c r="AR345" s="176"/>
      <c r="AS345" s="176"/>
      <c r="AT345" s="176"/>
      <c r="AU345" s="176"/>
      <c r="AV345" s="176"/>
      <c r="AW345" s="176"/>
      <c r="AX345" s="176"/>
      <c r="AY345" s="176"/>
      <c r="AZ345" s="176"/>
      <c r="BA345" s="176"/>
      <c r="BB345" s="176"/>
      <c r="BC345" s="176"/>
      <c r="BD345" s="176"/>
      <c r="BE345" s="176"/>
      <c r="BF345" s="176"/>
      <c r="BG345" s="176"/>
      <c r="BH345" s="176"/>
      <c r="BI345" s="176"/>
      <c r="BJ345" s="176"/>
      <c r="BK345" s="176"/>
      <c r="BL345" s="176"/>
      <c r="BM345" s="176"/>
      <c r="BN345" s="176"/>
      <c r="BO345" s="176"/>
    </row>
    <row r="346" spans="1:67" s="36" customFormat="1" ht="10.5" customHeight="1" x14ac:dyDescent="0.2">
      <c r="A346" s="1354" t="s">
        <v>426</v>
      </c>
      <c r="B346" s="2750"/>
      <c r="C346" s="2751"/>
      <c r="D346" s="2752"/>
      <c r="E346" s="2395"/>
      <c r="F346" s="2396"/>
      <c r="G346" s="1058">
        <v>20</v>
      </c>
      <c r="H346" s="1059"/>
      <c r="I346" s="1081">
        <f t="shared" si="84"/>
        <v>6.2642070767998229E-2</v>
      </c>
      <c r="J346" s="1082">
        <f t="shared" si="85"/>
        <v>0</v>
      </c>
      <c r="K346" s="1341"/>
      <c r="L346" s="1315"/>
      <c r="M346" s="1321">
        <f t="shared" si="82"/>
        <v>0</v>
      </c>
      <c r="N346" s="506"/>
      <c r="O346" s="365">
        <f t="shared" si="86"/>
        <v>20</v>
      </c>
      <c r="P346" s="366"/>
      <c r="Q346" s="135"/>
      <c r="R346" s="136"/>
      <c r="S346" s="129"/>
      <c r="T346" s="129"/>
      <c r="U346" s="129"/>
      <c r="V346" s="129"/>
      <c r="W346" s="129"/>
      <c r="X346" s="129"/>
      <c r="Y346" s="129"/>
      <c r="Z346" s="133"/>
      <c r="AA346" s="133"/>
      <c r="AB346" s="133"/>
      <c r="AC346" s="133"/>
      <c r="AD346" s="133"/>
      <c r="AE346" s="133"/>
      <c r="AF346" s="222"/>
      <c r="AG346" s="222"/>
      <c r="AH346" s="222"/>
      <c r="AI346" s="176"/>
      <c r="AJ346" s="176"/>
      <c r="AK346" s="176"/>
      <c r="AL346" s="176"/>
      <c r="AM346" s="176"/>
      <c r="AN346" s="176"/>
      <c r="AO346" s="176"/>
      <c r="AP346" s="176"/>
      <c r="AQ346" s="176"/>
      <c r="AR346" s="176"/>
      <c r="AS346" s="176"/>
      <c r="AT346" s="176"/>
      <c r="AU346" s="176"/>
      <c r="AV346" s="176"/>
      <c r="AW346" s="176"/>
      <c r="AX346" s="176"/>
      <c r="AY346" s="176"/>
      <c r="AZ346" s="176"/>
      <c r="BA346" s="176"/>
      <c r="BB346" s="176"/>
      <c r="BC346" s="176"/>
      <c r="BD346" s="176"/>
      <c r="BE346" s="176"/>
      <c r="BF346" s="176"/>
      <c r="BG346" s="176"/>
      <c r="BH346" s="176"/>
      <c r="BI346" s="176"/>
      <c r="BJ346" s="176"/>
      <c r="BK346" s="176"/>
      <c r="BL346" s="176"/>
      <c r="BM346" s="176"/>
      <c r="BN346" s="176"/>
      <c r="BO346" s="176"/>
    </row>
    <row r="347" spans="1:67" s="36" customFormat="1" ht="10.5" customHeight="1" x14ac:dyDescent="0.2">
      <c r="A347" s="1354" t="s">
        <v>448</v>
      </c>
      <c r="B347" s="2750"/>
      <c r="C347" s="2751"/>
      <c r="D347" s="2752"/>
      <c r="E347" s="2395"/>
      <c r="F347" s="2396"/>
      <c r="G347" s="1058">
        <v>20</v>
      </c>
      <c r="H347" s="1059"/>
      <c r="I347" s="1081">
        <f t="shared" si="84"/>
        <v>6.2642070767998229E-2</v>
      </c>
      <c r="J347" s="1082">
        <f t="shared" si="85"/>
        <v>0</v>
      </c>
      <c r="K347" s="1341"/>
      <c r="L347" s="1315"/>
      <c r="M347" s="1321">
        <f t="shared" si="82"/>
        <v>0</v>
      </c>
      <c r="N347" s="506"/>
      <c r="O347" s="365">
        <f t="shared" si="86"/>
        <v>20</v>
      </c>
      <c r="P347" s="366"/>
      <c r="Q347" s="135"/>
      <c r="R347" s="136"/>
      <c r="S347" s="129"/>
      <c r="T347" s="129"/>
      <c r="U347" s="129"/>
      <c r="V347" s="129"/>
      <c r="W347" s="129"/>
      <c r="X347" s="129"/>
      <c r="Y347" s="129"/>
      <c r="Z347" s="133"/>
      <c r="AA347" s="133"/>
      <c r="AB347" s="133"/>
      <c r="AC347" s="133"/>
      <c r="AD347" s="133"/>
      <c r="AE347" s="133"/>
      <c r="AF347" s="222"/>
      <c r="AG347" s="222"/>
      <c r="AH347" s="222"/>
      <c r="AI347" s="176"/>
      <c r="AJ347" s="176"/>
      <c r="AK347" s="176"/>
      <c r="AL347" s="176"/>
      <c r="AM347" s="176"/>
      <c r="AN347" s="176"/>
      <c r="AO347" s="176"/>
      <c r="AP347" s="176"/>
      <c r="AQ347" s="176"/>
      <c r="AR347" s="176"/>
      <c r="AS347" s="176"/>
      <c r="AT347" s="176"/>
      <c r="AU347" s="176"/>
      <c r="AV347" s="176"/>
      <c r="AW347" s="176"/>
      <c r="AX347" s="176"/>
      <c r="AY347" s="176"/>
      <c r="AZ347" s="176"/>
      <c r="BA347" s="176"/>
      <c r="BB347" s="176"/>
      <c r="BC347" s="176"/>
      <c r="BD347" s="176"/>
      <c r="BE347" s="176"/>
      <c r="BF347" s="176"/>
      <c r="BG347" s="176"/>
      <c r="BH347" s="176"/>
      <c r="BI347" s="176"/>
      <c r="BJ347" s="176"/>
      <c r="BK347" s="176"/>
      <c r="BL347" s="176"/>
      <c r="BM347" s="176"/>
      <c r="BN347" s="176"/>
      <c r="BO347" s="176"/>
    </row>
    <row r="348" spans="1:67" s="36" customFormat="1" ht="10.5" customHeight="1" x14ac:dyDescent="0.2">
      <c r="A348" s="1354" t="s">
        <v>374</v>
      </c>
      <c r="B348" s="2750"/>
      <c r="C348" s="2751"/>
      <c r="D348" s="2752"/>
      <c r="E348" s="2395"/>
      <c r="F348" s="2396"/>
      <c r="G348" s="1058">
        <v>20</v>
      </c>
      <c r="H348" s="1059"/>
      <c r="I348" s="1081">
        <f t="shared" si="84"/>
        <v>6.2642070767998229E-2</v>
      </c>
      <c r="J348" s="1082">
        <f t="shared" si="85"/>
        <v>0</v>
      </c>
      <c r="K348" s="1341"/>
      <c r="L348" s="1315"/>
      <c r="M348" s="1321">
        <f t="shared" si="82"/>
        <v>0</v>
      </c>
      <c r="N348" s="506"/>
      <c r="O348" s="365">
        <f t="shared" si="86"/>
        <v>20</v>
      </c>
      <c r="P348" s="366"/>
      <c r="Q348" s="135"/>
      <c r="R348" s="136"/>
      <c r="S348" s="129"/>
      <c r="T348" s="129"/>
      <c r="U348" s="129"/>
      <c r="V348" s="129"/>
      <c r="W348" s="129"/>
      <c r="X348" s="129"/>
      <c r="Y348" s="129"/>
      <c r="Z348" s="133"/>
      <c r="AA348" s="133"/>
      <c r="AB348" s="133"/>
      <c r="AC348" s="133"/>
      <c r="AD348" s="133"/>
      <c r="AE348" s="133"/>
      <c r="AF348" s="222"/>
      <c r="AG348" s="222"/>
      <c r="AH348" s="222"/>
      <c r="AI348" s="176"/>
      <c r="AJ348" s="176"/>
      <c r="AK348" s="176"/>
      <c r="AL348" s="176"/>
      <c r="AM348" s="176"/>
      <c r="AN348" s="176"/>
      <c r="AO348" s="176"/>
      <c r="AP348" s="176"/>
      <c r="AQ348" s="176"/>
      <c r="AR348" s="176"/>
      <c r="AS348" s="176"/>
      <c r="AT348" s="176"/>
      <c r="AU348" s="176"/>
      <c r="AV348" s="176"/>
      <c r="AW348" s="176"/>
      <c r="AX348" s="176"/>
      <c r="AY348" s="176"/>
      <c r="AZ348" s="176"/>
      <c r="BA348" s="176"/>
      <c r="BB348" s="176"/>
      <c r="BC348" s="176"/>
      <c r="BD348" s="176"/>
      <c r="BE348" s="176"/>
      <c r="BF348" s="176"/>
      <c r="BG348" s="176"/>
      <c r="BH348" s="176"/>
      <c r="BI348" s="176"/>
      <c r="BJ348" s="176"/>
      <c r="BK348" s="176"/>
      <c r="BL348" s="176"/>
      <c r="BM348" s="176"/>
      <c r="BN348" s="176"/>
      <c r="BO348" s="176"/>
    </row>
    <row r="349" spans="1:67" s="36" customFormat="1" ht="10.5" customHeight="1" x14ac:dyDescent="0.2">
      <c r="A349" s="1354" t="s">
        <v>449</v>
      </c>
      <c r="B349" s="2750"/>
      <c r="C349" s="2751"/>
      <c r="D349" s="2752"/>
      <c r="E349" s="2395"/>
      <c r="F349" s="2396"/>
      <c r="G349" s="1058">
        <v>20</v>
      </c>
      <c r="H349" s="1059"/>
      <c r="I349" s="1081">
        <f t="shared" si="84"/>
        <v>6.2642070767998229E-2</v>
      </c>
      <c r="J349" s="1082">
        <f t="shared" si="85"/>
        <v>0</v>
      </c>
      <c r="K349" s="1341"/>
      <c r="L349" s="1315"/>
      <c r="M349" s="1321">
        <f t="shared" si="82"/>
        <v>0</v>
      </c>
      <c r="N349" s="506"/>
      <c r="O349" s="365">
        <f t="shared" si="86"/>
        <v>20</v>
      </c>
      <c r="P349" s="366"/>
      <c r="Q349" s="135"/>
      <c r="R349" s="136"/>
      <c r="S349" s="129"/>
      <c r="T349" s="129"/>
      <c r="U349" s="129"/>
      <c r="V349" s="129"/>
      <c r="W349" s="129"/>
      <c r="X349" s="129"/>
      <c r="Y349" s="129"/>
      <c r="Z349" s="133"/>
      <c r="AA349" s="133"/>
      <c r="AB349" s="133"/>
      <c r="AC349" s="133"/>
      <c r="AD349" s="133"/>
      <c r="AE349" s="133"/>
      <c r="AF349" s="222"/>
      <c r="AG349" s="222"/>
      <c r="AH349" s="222"/>
      <c r="AI349" s="176"/>
      <c r="AJ349" s="176"/>
      <c r="AK349" s="176"/>
      <c r="AL349" s="176"/>
      <c r="AM349" s="176"/>
      <c r="AN349" s="176"/>
      <c r="AO349" s="176"/>
      <c r="AP349" s="176"/>
      <c r="AQ349" s="176"/>
      <c r="AR349" s="176"/>
      <c r="AS349" s="176"/>
      <c r="AT349" s="176"/>
      <c r="AU349" s="176"/>
      <c r="AV349" s="176"/>
      <c r="AW349" s="176"/>
      <c r="AX349" s="176"/>
      <c r="AY349" s="176"/>
      <c r="AZ349" s="176"/>
      <c r="BA349" s="176"/>
      <c r="BB349" s="176"/>
      <c r="BC349" s="176"/>
      <c r="BD349" s="176"/>
      <c r="BE349" s="176"/>
      <c r="BF349" s="176"/>
      <c r="BG349" s="176"/>
      <c r="BH349" s="176"/>
      <c r="BI349" s="176"/>
      <c r="BJ349" s="176"/>
      <c r="BK349" s="176"/>
      <c r="BL349" s="176"/>
      <c r="BM349" s="176"/>
      <c r="BN349" s="176"/>
      <c r="BO349" s="176"/>
    </row>
    <row r="350" spans="1:67" s="36" customFormat="1" ht="10.5" customHeight="1" x14ac:dyDescent="0.2">
      <c r="A350" s="1354" t="s">
        <v>375</v>
      </c>
      <c r="B350" s="2750"/>
      <c r="C350" s="2751"/>
      <c r="D350" s="2752"/>
      <c r="E350" s="2395"/>
      <c r="F350" s="2396"/>
      <c r="G350" s="1058">
        <v>20</v>
      </c>
      <c r="H350" s="1059"/>
      <c r="I350" s="1081">
        <f t="shared" si="84"/>
        <v>6.2642070767998229E-2</v>
      </c>
      <c r="J350" s="1082">
        <f t="shared" si="85"/>
        <v>0</v>
      </c>
      <c r="K350" s="1341"/>
      <c r="L350" s="1315"/>
      <c r="M350" s="1321">
        <f t="shared" si="82"/>
        <v>0</v>
      </c>
      <c r="N350" s="506"/>
      <c r="O350" s="365">
        <f t="shared" si="86"/>
        <v>20</v>
      </c>
      <c r="P350" s="366"/>
      <c r="Q350" s="135"/>
      <c r="R350" s="136"/>
      <c r="S350" s="129"/>
      <c r="T350" s="129"/>
      <c r="U350" s="129"/>
      <c r="V350" s="129"/>
      <c r="W350" s="129"/>
      <c r="X350" s="129"/>
      <c r="Y350" s="129"/>
      <c r="Z350" s="133"/>
      <c r="AA350" s="133"/>
      <c r="AB350" s="133"/>
      <c r="AC350" s="133"/>
      <c r="AD350" s="133"/>
      <c r="AE350" s="133"/>
      <c r="AF350" s="222"/>
      <c r="AG350" s="222"/>
      <c r="AH350" s="222"/>
      <c r="AI350" s="176"/>
      <c r="AJ350" s="176"/>
      <c r="AK350" s="176"/>
      <c r="AL350" s="176"/>
      <c r="AM350" s="176"/>
      <c r="AN350" s="176"/>
      <c r="AO350" s="176"/>
      <c r="AP350" s="176"/>
      <c r="AQ350" s="176"/>
      <c r="AR350" s="176"/>
      <c r="AS350" s="176"/>
      <c r="AT350" s="176"/>
      <c r="AU350" s="176"/>
      <c r="AV350" s="176"/>
      <c r="AW350" s="176"/>
      <c r="AX350" s="176"/>
      <c r="AY350" s="176"/>
      <c r="AZ350" s="176"/>
      <c r="BA350" s="176"/>
      <c r="BB350" s="176"/>
      <c r="BC350" s="176"/>
      <c r="BD350" s="176"/>
      <c r="BE350" s="176"/>
      <c r="BF350" s="176"/>
      <c r="BG350" s="176"/>
      <c r="BH350" s="176"/>
      <c r="BI350" s="176"/>
      <c r="BJ350" s="176"/>
      <c r="BK350" s="176"/>
      <c r="BL350" s="176"/>
      <c r="BM350" s="176"/>
      <c r="BN350" s="176"/>
      <c r="BO350" s="176"/>
    </row>
    <row r="351" spans="1:67" s="36" customFormat="1" ht="10.5" customHeight="1" x14ac:dyDescent="0.2">
      <c r="A351" s="1354" t="s">
        <v>376</v>
      </c>
      <c r="B351" s="2750"/>
      <c r="C351" s="2751"/>
      <c r="D351" s="2752"/>
      <c r="E351" s="2395"/>
      <c r="F351" s="2396"/>
      <c r="G351" s="1058">
        <v>20</v>
      </c>
      <c r="H351" s="1059"/>
      <c r="I351" s="1081">
        <f t="shared" si="84"/>
        <v>6.2642070767998229E-2</v>
      </c>
      <c r="J351" s="1082">
        <f t="shared" si="85"/>
        <v>0</v>
      </c>
      <c r="K351" s="1341"/>
      <c r="L351" s="1315"/>
      <c r="M351" s="1321">
        <f t="shared" si="82"/>
        <v>0</v>
      </c>
      <c r="N351" s="506"/>
      <c r="O351" s="365">
        <f>IF(ISBLANK(H351),G351,H351)</f>
        <v>20</v>
      </c>
      <c r="P351" s="366"/>
      <c r="Q351" s="135"/>
      <c r="R351" s="136"/>
      <c r="S351" s="129"/>
      <c r="T351" s="129"/>
      <c r="U351" s="129"/>
      <c r="V351" s="129"/>
      <c r="W351" s="129"/>
      <c r="X351" s="129"/>
      <c r="Y351" s="129"/>
      <c r="Z351" s="133"/>
      <c r="AA351" s="133"/>
      <c r="AB351" s="133"/>
      <c r="AC351" s="133"/>
      <c r="AD351" s="133"/>
      <c r="AE351" s="133"/>
      <c r="AF351" s="222"/>
      <c r="AG351" s="222"/>
      <c r="AH351" s="222"/>
      <c r="AI351" s="176"/>
      <c r="AJ351" s="176"/>
      <c r="AK351" s="176"/>
      <c r="AL351" s="176"/>
      <c r="AM351" s="176"/>
      <c r="AN351" s="176"/>
      <c r="AO351" s="176"/>
      <c r="AP351" s="176"/>
      <c r="AQ351" s="176"/>
      <c r="AR351" s="176"/>
      <c r="AS351" s="176"/>
      <c r="AT351" s="176"/>
      <c r="AU351" s="176"/>
      <c r="AV351" s="176"/>
      <c r="AW351" s="176"/>
      <c r="AX351" s="176"/>
      <c r="AY351" s="176"/>
      <c r="AZ351" s="176"/>
      <c r="BA351" s="176"/>
      <c r="BB351" s="176"/>
      <c r="BC351" s="176"/>
      <c r="BD351" s="176"/>
      <c r="BE351" s="176"/>
      <c r="BF351" s="176"/>
      <c r="BG351" s="176"/>
      <c r="BH351" s="176"/>
      <c r="BI351" s="176"/>
      <c r="BJ351" s="176"/>
      <c r="BK351" s="176"/>
      <c r="BL351" s="176"/>
      <c r="BM351" s="176"/>
      <c r="BN351" s="176"/>
      <c r="BO351" s="176"/>
    </row>
    <row r="352" spans="1:67" s="36" customFormat="1" ht="10.5" customHeight="1" x14ac:dyDescent="0.2">
      <c r="A352" s="1354" t="s">
        <v>377</v>
      </c>
      <c r="B352" s="2750"/>
      <c r="C352" s="2751"/>
      <c r="D352" s="2752"/>
      <c r="E352" s="2395"/>
      <c r="F352" s="2396"/>
      <c r="G352" s="1058">
        <v>20</v>
      </c>
      <c r="H352" s="1059"/>
      <c r="I352" s="1081">
        <f t="shared" si="84"/>
        <v>6.2642070767998229E-2</v>
      </c>
      <c r="J352" s="1082">
        <f t="shared" si="85"/>
        <v>0</v>
      </c>
      <c r="K352" s="1341"/>
      <c r="L352" s="1315"/>
      <c r="M352" s="1321">
        <f t="shared" si="82"/>
        <v>0</v>
      </c>
      <c r="N352" s="506"/>
      <c r="O352" s="365">
        <f>IF(ISBLANK(H352),G352,H352)</f>
        <v>20</v>
      </c>
      <c r="P352" s="366"/>
      <c r="Q352" s="135"/>
      <c r="R352" s="136"/>
      <c r="S352" s="129"/>
      <c r="T352" s="129"/>
      <c r="U352" s="129"/>
      <c r="V352" s="129"/>
      <c r="W352" s="129"/>
      <c r="X352" s="129"/>
      <c r="Y352" s="129"/>
      <c r="Z352" s="133"/>
      <c r="AA352" s="133"/>
      <c r="AB352" s="133"/>
      <c r="AC352" s="133"/>
      <c r="AD352" s="133"/>
      <c r="AE352" s="133"/>
      <c r="AF352" s="222"/>
      <c r="AG352" s="222"/>
      <c r="AH352" s="222"/>
      <c r="AI352" s="176"/>
      <c r="AJ352" s="176"/>
      <c r="AK352" s="176"/>
      <c r="AL352" s="176"/>
      <c r="AM352" s="176"/>
      <c r="AN352" s="176"/>
      <c r="AO352" s="176"/>
      <c r="AP352" s="176"/>
      <c r="AQ352" s="176"/>
      <c r="AR352" s="176"/>
      <c r="AS352" s="176"/>
      <c r="AT352" s="176"/>
      <c r="AU352" s="176"/>
      <c r="AV352" s="176"/>
      <c r="AW352" s="176"/>
      <c r="AX352" s="176"/>
      <c r="AY352" s="176"/>
      <c r="AZ352" s="176"/>
      <c r="BA352" s="176"/>
      <c r="BB352" s="176"/>
      <c r="BC352" s="176"/>
      <c r="BD352" s="176"/>
      <c r="BE352" s="176"/>
      <c r="BF352" s="176"/>
      <c r="BG352" s="176"/>
      <c r="BH352" s="176"/>
      <c r="BI352" s="176"/>
      <c r="BJ352" s="176"/>
      <c r="BK352" s="176"/>
      <c r="BL352" s="176"/>
      <c r="BM352" s="176"/>
      <c r="BN352" s="176"/>
      <c r="BO352" s="176"/>
    </row>
    <row r="353" spans="1:67" s="36" customFormat="1" ht="10.5" customHeight="1" x14ac:dyDescent="0.2">
      <c r="A353" s="1055"/>
      <c r="B353" s="2750"/>
      <c r="C353" s="2751"/>
      <c r="D353" s="2752"/>
      <c r="E353" s="2395"/>
      <c r="F353" s="2396"/>
      <c r="G353" s="2590"/>
      <c r="H353" s="2591"/>
      <c r="I353" s="1081">
        <f t="shared" si="84"/>
        <v>0</v>
      </c>
      <c r="J353" s="1082">
        <f t="shared" si="85"/>
        <v>0</v>
      </c>
      <c r="K353" s="1341"/>
      <c r="L353" s="1315"/>
      <c r="M353" s="1321">
        <f t="shared" si="82"/>
        <v>0</v>
      </c>
      <c r="N353" s="506"/>
      <c r="O353" s="365">
        <f>IF(ISBLANK(H353),G353,H353)</f>
        <v>0</v>
      </c>
      <c r="P353" s="366"/>
      <c r="Q353" s="135"/>
      <c r="R353" s="136"/>
      <c r="S353" s="129"/>
      <c r="T353" s="129"/>
      <c r="U353" s="129"/>
      <c r="V353" s="129"/>
      <c r="W353" s="129"/>
      <c r="X353" s="129"/>
      <c r="Y353" s="129"/>
      <c r="Z353" s="133"/>
      <c r="AA353" s="133"/>
      <c r="AB353" s="133"/>
      <c r="AC353" s="133"/>
      <c r="AD353" s="133"/>
      <c r="AE353" s="133"/>
      <c r="AF353" s="222"/>
      <c r="AG353" s="222"/>
      <c r="AH353" s="222"/>
      <c r="AI353" s="176"/>
      <c r="AJ353" s="176"/>
      <c r="AK353" s="176"/>
      <c r="AL353" s="176"/>
      <c r="AM353" s="176"/>
      <c r="AN353" s="176"/>
      <c r="AO353" s="176"/>
      <c r="AP353" s="176"/>
      <c r="AQ353" s="176"/>
      <c r="AR353" s="176"/>
      <c r="AS353" s="176"/>
      <c r="AT353" s="176"/>
      <c r="AU353" s="176"/>
      <c r="AV353" s="176"/>
      <c r="AW353" s="176"/>
      <c r="AX353" s="176"/>
      <c r="AY353" s="176"/>
      <c r="AZ353" s="176"/>
      <c r="BA353" s="176"/>
      <c r="BB353" s="176"/>
      <c r="BC353" s="176"/>
      <c r="BD353" s="176"/>
      <c r="BE353" s="176"/>
      <c r="BF353" s="176"/>
      <c r="BG353" s="176"/>
      <c r="BH353" s="176"/>
      <c r="BI353" s="176"/>
      <c r="BJ353" s="176"/>
      <c r="BK353" s="176"/>
      <c r="BL353" s="176"/>
      <c r="BM353" s="176"/>
      <c r="BN353" s="176"/>
      <c r="BO353" s="176"/>
    </row>
    <row r="354" spans="1:67" s="36" customFormat="1" ht="10.5" customHeight="1" x14ac:dyDescent="0.2">
      <c r="A354" s="1055"/>
      <c r="B354" s="2750"/>
      <c r="C354" s="2751"/>
      <c r="D354" s="2752"/>
      <c r="E354" s="2395"/>
      <c r="F354" s="2396"/>
      <c r="G354" s="2590"/>
      <c r="H354" s="2591"/>
      <c r="I354" s="1081">
        <f t="shared" si="84"/>
        <v>0</v>
      </c>
      <c r="J354" s="1082">
        <f t="shared" si="85"/>
        <v>0</v>
      </c>
      <c r="K354" s="1341"/>
      <c r="L354" s="1315"/>
      <c r="M354" s="1321">
        <f t="shared" si="82"/>
        <v>0</v>
      </c>
      <c r="N354" s="506"/>
      <c r="O354" s="365">
        <f>IF(ISBLANK(H354),G354,H354)</f>
        <v>0</v>
      </c>
      <c r="P354" s="366"/>
      <c r="Q354" s="135"/>
      <c r="R354" s="136"/>
      <c r="S354" s="129"/>
      <c r="T354" s="129"/>
      <c r="U354" s="129"/>
      <c r="V354" s="129"/>
      <c r="W354" s="129"/>
      <c r="X354" s="129"/>
      <c r="Y354" s="129"/>
      <c r="Z354" s="133"/>
      <c r="AA354" s="133"/>
      <c r="AB354" s="133"/>
      <c r="AC354" s="133"/>
      <c r="AD354" s="133"/>
      <c r="AE354" s="133"/>
      <c r="AF354" s="222"/>
      <c r="AG354" s="222"/>
      <c r="AH354" s="222"/>
      <c r="AI354" s="176"/>
      <c r="AJ354" s="176"/>
      <c r="AK354" s="176"/>
      <c r="AL354" s="176"/>
      <c r="AM354" s="176"/>
      <c r="AN354" s="176"/>
      <c r="AO354" s="176"/>
      <c r="AP354" s="176"/>
      <c r="AQ354" s="176"/>
      <c r="AR354" s="176"/>
      <c r="AS354" s="176"/>
      <c r="AT354" s="176"/>
      <c r="AU354" s="176"/>
      <c r="AV354" s="176"/>
      <c r="AW354" s="176"/>
      <c r="AX354" s="176"/>
      <c r="AY354" s="176"/>
      <c r="AZ354" s="176"/>
      <c r="BA354" s="176"/>
      <c r="BB354" s="176"/>
      <c r="BC354" s="176"/>
      <c r="BD354" s="176"/>
      <c r="BE354" s="176"/>
      <c r="BF354" s="176"/>
      <c r="BG354" s="176"/>
      <c r="BH354" s="176"/>
      <c r="BI354" s="176"/>
      <c r="BJ354" s="176"/>
      <c r="BK354" s="176"/>
      <c r="BL354" s="176"/>
      <c r="BM354" s="176"/>
      <c r="BN354" s="176"/>
      <c r="BO354" s="176"/>
    </row>
    <row r="355" spans="1:67" s="370" customFormat="1" ht="10.5" customHeight="1" x14ac:dyDescent="0.2">
      <c r="A355" s="1348"/>
      <c r="B355" s="2690"/>
      <c r="C355" s="2691"/>
      <c r="D355" s="2692"/>
      <c r="E355" s="2601"/>
      <c r="F355" s="2602"/>
      <c r="G355" s="1088"/>
      <c r="H355" s="1089"/>
      <c r="I355" s="1083"/>
      <c r="J355" s="1084"/>
      <c r="K355" s="1160"/>
      <c r="L355" s="1312"/>
      <c r="M355" s="1352"/>
      <c r="N355" s="166"/>
      <c r="O355" s="1045"/>
      <c r="P355" s="367"/>
      <c r="Q355" s="135"/>
      <c r="R355" s="136"/>
      <c r="S355" s="129"/>
      <c r="T355" s="129"/>
      <c r="U355" s="129"/>
      <c r="V355" s="129"/>
      <c r="W355" s="129"/>
      <c r="X355" s="129"/>
      <c r="Y355" s="129"/>
      <c r="Z355" s="129"/>
      <c r="AA355" s="129"/>
      <c r="AB355" s="129"/>
      <c r="AC355" s="129"/>
      <c r="AD355" s="129"/>
      <c r="AE355" s="129"/>
      <c r="AF355" s="368"/>
      <c r="AG355" s="368"/>
      <c r="AH355" s="368"/>
      <c r="AI355" s="369"/>
      <c r="AJ355" s="369"/>
      <c r="AK355" s="369"/>
      <c r="AL355" s="369"/>
      <c r="AM355" s="369"/>
      <c r="AN355" s="369"/>
      <c r="AO355" s="369"/>
      <c r="AP355" s="369"/>
      <c r="AQ355" s="369"/>
      <c r="AR355" s="369"/>
      <c r="AS355" s="369"/>
      <c r="AT355" s="369"/>
      <c r="AU355" s="369"/>
      <c r="AV355" s="369"/>
      <c r="AW355" s="369"/>
      <c r="AX355" s="369"/>
      <c r="AY355" s="369"/>
      <c r="AZ355" s="369"/>
      <c r="BA355" s="369"/>
      <c r="BB355" s="369"/>
      <c r="BC355" s="369"/>
      <c r="BD355" s="369"/>
      <c r="BE355" s="369"/>
      <c r="BF355" s="369"/>
      <c r="BG355" s="369"/>
      <c r="BH355" s="369"/>
      <c r="BI355" s="369"/>
      <c r="BJ355" s="369"/>
      <c r="BK355" s="369"/>
      <c r="BL355" s="369"/>
      <c r="BM355" s="369"/>
      <c r="BN355" s="369"/>
      <c r="BO355" s="369"/>
    </row>
    <row r="356" spans="1:67" s="370" customFormat="1" ht="10.5" customHeight="1" x14ac:dyDescent="0.2">
      <c r="A356" s="1154" t="s">
        <v>378</v>
      </c>
      <c r="B356" s="1155"/>
      <c r="C356" s="1155"/>
      <c r="D356" s="1156"/>
      <c r="E356" s="1157"/>
      <c r="F356" s="1158"/>
      <c r="G356" s="1161"/>
      <c r="H356" s="1162"/>
      <c r="I356" s="1163"/>
      <c r="J356" s="1164"/>
      <c r="K356" s="1165"/>
      <c r="L356" s="1310"/>
      <c r="M356" s="1323"/>
      <c r="N356" s="166"/>
      <c r="O356" s="1047"/>
      <c r="P356" s="1046"/>
      <c r="Q356" s="135"/>
      <c r="R356" s="136"/>
      <c r="S356" s="129"/>
      <c r="T356" s="129"/>
      <c r="U356" s="129"/>
      <c r="V356" s="129"/>
      <c r="W356" s="129"/>
      <c r="X356" s="129"/>
      <c r="Y356" s="129"/>
      <c r="Z356" s="129"/>
      <c r="AA356" s="129"/>
      <c r="AB356" s="129"/>
      <c r="AC356" s="129"/>
      <c r="AD356" s="129"/>
      <c r="AE356" s="129"/>
      <c r="AF356" s="368"/>
      <c r="AG356" s="368"/>
      <c r="AH356" s="368"/>
      <c r="AI356" s="369"/>
      <c r="AJ356" s="369"/>
      <c r="AK356" s="369"/>
      <c r="AL356" s="369"/>
      <c r="AM356" s="369"/>
      <c r="AN356" s="369"/>
      <c r="AO356" s="369"/>
      <c r="AP356" s="369"/>
      <c r="AQ356" s="369"/>
      <c r="AR356" s="369"/>
      <c r="AS356" s="369"/>
      <c r="AT356" s="369"/>
      <c r="AU356" s="369"/>
      <c r="AV356" s="369"/>
      <c r="AW356" s="369"/>
      <c r="AX356" s="369"/>
      <c r="AY356" s="369"/>
      <c r="AZ356" s="369"/>
      <c r="BA356" s="369"/>
      <c r="BB356" s="369"/>
      <c r="BC356" s="369"/>
      <c r="BD356" s="369"/>
      <c r="BE356" s="369"/>
      <c r="BF356" s="369"/>
      <c r="BG356" s="369"/>
      <c r="BH356" s="369"/>
      <c r="BI356" s="369"/>
      <c r="BJ356" s="369"/>
      <c r="BK356" s="369"/>
      <c r="BL356" s="369"/>
      <c r="BM356" s="369"/>
      <c r="BN356" s="369"/>
      <c r="BO356" s="369"/>
    </row>
    <row r="357" spans="1:67" s="370" customFormat="1" ht="10.5" customHeight="1" x14ac:dyDescent="0.2">
      <c r="A357" s="1142" t="s">
        <v>379</v>
      </c>
      <c r="B357" s="1143"/>
      <c r="C357" s="1143"/>
      <c r="D357" s="1144"/>
      <c r="E357" s="1145"/>
      <c r="F357" s="1146"/>
      <c r="G357" s="1132"/>
      <c r="H357" s="1133"/>
      <c r="I357" s="1134"/>
      <c r="J357" s="1135"/>
      <c r="K357" s="1136"/>
      <c r="L357" s="1311"/>
      <c r="M357" s="1324"/>
      <c r="N357" s="166"/>
      <c r="O357" s="1047"/>
      <c r="P357" s="1046"/>
      <c r="Q357" s="135"/>
      <c r="R357" s="136"/>
      <c r="S357" s="130"/>
      <c r="T357" s="129"/>
      <c r="U357" s="129"/>
      <c r="V357" s="129"/>
      <c r="W357" s="129"/>
      <c r="X357" s="129"/>
      <c r="Y357" s="129"/>
      <c r="Z357" s="129"/>
      <c r="AA357" s="129"/>
      <c r="AB357" s="129"/>
      <c r="AC357" s="129"/>
      <c r="AD357" s="129"/>
      <c r="AE357" s="129"/>
      <c r="AF357" s="368"/>
      <c r="AG357" s="368"/>
      <c r="AH357" s="368"/>
      <c r="AI357" s="369"/>
      <c r="AJ357" s="369"/>
      <c r="AK357" s="369"/>
      <c r="AL357" s="369"/>
      <c r="AM357" s="369"/>
      <c r="AN357" s="369"/>
      <c r="AO357" s="369"/>
      <c r="AP357" s="369"/>
      <c r="AQ357" s="369"/>
      <c r="AR357" s="369"/>
      <c r="AS357" s="369"/>
      <c r="AT357" s="369"/>
      <c r="AU357" s="369"/>
      <c r="AV357" s="369"/>
      <c r="AW357" s="369"/>
      <c r="AX357" s="369"/>
      <c r="AY357" s="369"/>
      <c r="AZ357" s="369"/>
      <c r="BA357" s="369"/>
      <c r="BB357" s="369"/>
      <c r="BC357" s="369"/>
      <c r="BD357" s="369"/>
      <c r="BE357" s="369"/>
      <c r="BF357" s="369"/>
      <c r="BG357" s="369"/>
      <c r="BH357" s="369"/>
      <c r="BI357" s="369"/>
      <c r="BJ357" s="369"/>
      <c r="BK357" s="369"/>
      <c r="BL357" s="369"/>
      <c r="BM357" s="369"/>
      <c r="BN357" s="369"/>
      <c r="BO357" s="369"/>
    </row>
    <row r="358" spans="1:67" s="370" customFormat="1" ht="10.5" customHeight="1" x14ac:dyDescent="0.2">
      <c r="A358" s="1147" t="s">
        <v>380</v>
      </c>
      <c r="B358" s="1148"/>
      <c r="C358" s="1148"/>
      <c r="D358" s="1149" t="s">
        <v>381</v>
      </c>
      <c r="E358" s="2633">
        <f>SUM(E55,E70,E85,E102,E117,E132,E147,E162,E177,E237,E252,E267,E297,E312,E328:E333)</f>
        <v>0</v>
      </c>
      <c r="F358" s="2634"/>
      <c r="G358" s="1137"/>
      <c r="H358" s="1138"/>
      <c r="I358" s="1134"/>
      <c r="J358" s="1135"/>
      <c r="K358" s="1136"/>
      <c r="L358" s="1311"/>
      <c r="M358" s="1324"/>
      <c r="N358" s="166"/>
      <c r="O358" s="1047"/>
      <c r="P358" s="1046"/>
      <c r="Q358" s="135"/>
      <c r="R358" s="136"/>
      <c r="S358" s="129"/>
      <c r="T358" s="129"/>
      <c r="U358" s="129"/>
      <c r="V358" s="129"/>
      <c r="W358" s="129"/>
      <c r="X358" s="129"/>
      <c r="Y358" s="129"/>
      <c r="Z358" s="129"/>
      <c r="AA358" s="129"/>
      <c r="AB358" s="129"/>
      <c r="AC358" s="129"/>
      <c r="AD358" s="129"/>
      <c r="AE358" s="129"/>
      <c r="AF358" s="368"/>
      <c r="AG358" s="368"/>
      <c r="AH358" s="368"/>
      <c r="AI358" s="369"/>
      <c r="AJ358" s="369"/>
      <c r="AK358" s="369"/>
      <c r="AL358" s="369"/>
      <c r="AM358" s="369"/>
      <c r="AN358" s="369"/>
      <c r="AO358" s="369"/>
      <c r="AP358" s="369"/>
      <c r="AQ358" s="369"/>
      <c r="AR358" s="369"/>
      <c r="AS358" s="369"/>
      <c r="AT358" s="369"/>
      <c r="AU358" s="369"/>
      <c r="AV358" s="369"/>
      <c r="AW358" s="369"/>
      <c r="AX358" s="369"/>
      <c r="AY358" s="369"/>
      <c r="AZ358" s="369"/>
      <c r="BA358" s="369"/>
      <c r="BB358" s="369"/>
      <c r="BC358" s="369"/>
      <c r="BD358" s="369"/>
      <c r="BE358" s="369"/>
      <c r="BF358" s="369"/>
      <c r="BG358" s="369"/>
      <c r="BH358" s="369"/>
      <c r="BI358" s="369"/>
      <c r="BJ358" s="369"/>
      <c r="BK358" s="369"/>
      <c r="BL358" s="369"/>
      <c r="BM358" s="369"/>
      <c r="BN358" s="369"/>
      <c r="BO358" s="369"/>
    </row>
    <row r="359" spans="1:67" s="370" customFormat="1" ht="10.5" customHeight="1" x14ac:dyDescent="0.2">
      <c r="A359" s="1147" t="s">
        <v>431</v>
      </c>
      <c r="B359" s="1148"/>
      <c r="C359" s="1148"/>
      <c r="D359" s="1149" t="s">
        <v>382</v>
      </c>
      <c r="E359" s="1150">
        <f>IF(E358=0,0,E362+E363/(E358^(1/3)))</f>
        <v>0</v>
      </c>
      <c r="F359" s="1151"/>
      <c r="G359" s="1139"/>
      <c r="H359" s="1133"/>
      <c r="I359" s="1134"/>
      <c r="J359" s="1135"/>
      <c r="K359" s="1136"/>
      <c r="L359" s="1311"/>
      <c r="M359" s="1324"/>
      <c r="N359" s="166"/>
      <c r="O359" s="1047"/>
      <c r="P359" s="1046"/>
      <c r="Q359" s="135"/>
      <c r="R359" s="136"/>
      <c r="S359" s="129"/>
      <c r="T359" s="129"/>
      <c r="U359" s="129"/>
      <c r="V359" s="129"/>
      <c r="W359" s="129"/>
      <c r="X359" s="129"/>
      <c r="Y359" s="129"/>
      <c r="Z359" s="129"/>
      <c r="AA359" s="129"/>
      <c r="AB359" s="129"/>
      <c r="AC359" s="129"/>
      <c r="AD359" s="129"/>
      <c r="AE359" s="129"/>
      <c r="AF359" s="368"/>
      <c r="AG359" s="368"/>
      <c r="AH359" s="368"/>
      <c r="AI359" s="369"/>
      <c r="AJ359" s="369"/>
      <c r="AK359" s="369"/>
      <c r="AL359" s="369"/>
      <c r="AM359" s="369"/>
      <c r="AN359" s="369"/>
      <c r="AO359" s="369"/>
      <c r="AP359" s="369"/>
      <c r="AQ359" s="369"/>
      <c r="AR359" s="369"/>
      <c r="AS359" s="369"/>
      <c r="AT359" s="369"/>
      <c r="AU359" s="369"/>
      <c r="AV359" s="369"/>
      <c r="AW359" s="369"/>
      <c r="AX359" s="369"/>
      <c r="AY359" s="369"/>
      <c r="AZ359" s="369"/>
      <c r="BA359" s="369"/>
      <c r="BB359" s="369"/>
      <c r="BC359" s="369"/>
      <c r="BD359" s="369"/>
      <c r="BE359" s="369"/>
      <c r="BF359" s="369"/>
      <c r="BG359" s="369"/>
      <c r="BH359" s="369"/>
      <c r="BI359" s="369"/>
      <c r="BJ359" s="369"/>
      <c r="BK359" s="369"/>
      <c r="BL359" s="369"/>
      <c r="BM359" s="369"/>
      <c r="BN359" s="369"/>
      <c r="BO359" s="369"/>
    </row>
    <row r="360" spans="1:67" s="370" customFormat="1" ht="10.5" customHeight="1" x14ac:dyDescent="0.2">
      <c r="A360" s="1147" t="s">
        <v>383</v>
      </c>
      <c r="B360" s="1148"/>
      <c r="C360" s="1148"/>
      <c r="D360" s="1149" t="s">
        <v>384</v>
      </c>
      <c r="E360" s="1130">
        <v>0.9</v>
      </c>
      <c r="F360" s="1151"/>
      <c r="G360" s="1139"/>
      <c r="H360" s="1133"/>
      <c r="I360" s="1134"/>
      <c r="J360" s="1135"/>
      <c r="K360" s="1136"/>
      <c r="L360" s="1311"/>
      <c r="M360" s="1324"/>
      <c r="N360" s="166"/>
      <c r="O360" s="1047"/>
      <c r="P360" s="1046"/>
      <c r="Q360" s="135"/>
      <c r="R360" s="136"/>
      <c r="S360" s="129"/>
      <c r="T360" s="129"/>
      <c r="U360" s="129"/>
      <c r="V360" s="129"/>
      <c r="W360" s="129"/>
      <c r="X360" s="129"/>
      <c r="Y360" s="129"/>
      <c r="Z360" s="129"/>
      <c r="AA360" s="129"/>
      <c r="AB360" s="129"/>
      <c r="AC360" s="129"/>
      <c r="AD360" s="129"/>
      <c r="AE360" s="129"/>
      <c r="AF360" s="368"/>
      <c r="AG360" s="368"/>
      <c r="AH360" s="368"/>
      <c r="AI360" s="369"/>
      <c r="AJ360" s="369"/>
      <c r="AK360" s="369"/>
      <c r="AL360" s="369"/>
      <c r="AM360" s="369"/>
      <c r="AN360" s="369"/>
      <c r="AO360" s="369"/>
      <c r="AP360" s="369"/>
      <c r="AQ360" s="369"/>
      <c r="AR360" s="369"/>
      <c r="AS360" s="369"/>
      <c r="AT360" s="369"/>
      <c r="AU360" s="369"/>
      <c r="AV360" s="369"/>
      <c r="AW360" s="369"/>
      <c r="AX360" s="369"/>
      <c r="AY360" s="369"/>
      <c r="AZ360" s="369"/>
      <c r="BA360" s="369"/>
      <c r="BB360" s="369"/>
      <c r="BC360" s="369"/>
      <c r="BD360" s="369"/>
      <c r="BE360" s="369"/>
      <c r="BF360" s="369"/>
      <c r="BG360" s="369"/>
      <c r="BH360" s="369"/>
      <c r="BI360" s="369"/>
      <c r="BJ360" s="369"/>
      <c r="BK360" s="369"/>
      <c r="BL360" s="369"/>
      <c r="BM360" s="369"/>
      <c r="BN360" s="369"/>
      <c r="BO360" s="369"/>
    </row>
    <row r="361" spans="1:67" s="370" customFormat="1" ht="10.5" customHeight="1" x14ac:dyDescent="0.2">
      <c r="A361" s="1147" t="s">
        <v>436</v>
      </c>
      <c r="B361" s="1148"/>
      <c r="C361" s="1148"/>
      <c r="D361" s="1149" t="s">
        <v>430</v>
      </c>
      <c r="E361" s="1130">
        <v>1</v>
      </c>
      <c r="F361" s="1151"/>
      <c r="G361" s="1139"/>
      <c r="H361" s="1133"/>
      <c r="I361" s="1134"/>
      <c r="J361" s="1135"/>
      <c r="K361" s="1136"/>
      <c r="L361" s="1311"/>
      <c r="M361" s="1324"/>
      <c r="N361" s="166"/>
      <c r="O361" s="1047"/>
      <c r="P361" s="1046"/>
      <c r="Q361" s="135"/>
      <c r="R361" s="136"/>
      <c r="S361" s="129"/>
      <c r="T361" s="129"/>
      <c r="U361" s="129"/>
      <c r="V361" s="129"/>
      <c r="W361" s="129"/>
      <c r="X361" s="129"/>
      <c r="Y361" s="129"/>
      <c r="Z361" s="129"/>
      <c r="AA361" s="129"/>
      <c r="AB361" s="129"/>
      <c r="AC361" s="129"/>
      <c r="AD361" s="129"/>
      <c r="AE361" s="129"/>
      <c r="AF361" s="368"/>
      <c r="AG361" s="368"/>
      <c r="AH361" s="368"/>
      <c r="AI361" s="369"/>
      <c r="AJ361" s="369"/>
      <c r="AK361" s="369"/>
      <c r="AL361" s="369"/>
      <c r="AM361" s="369"/>
      <c r="AN361" s="369"/>
      <c r="AO361" s="369"/>
      <c r="AP361" s="369"/>
      <c r="AQ361" s="369"/>
      <c r="AR361" s="369"/>
      <c r="AS361" s="369"/>
      <c r="AT361" s="369"/>
      <c r="AU361" s="369"/>
      <c r="AV361" s="369"/>
      <c r="AW361" s="369"/>
      <c r="AX361" s="369"/>
      <c r="AY361" s="369"/>
      <c r="AZ361" s="369"/>
      <c r="BA361" s="369"/>
      <c r="BB361" s="369"/>
      <c r="BC361" s="369"/>
      <c r="BD361" s="369"/>
      <c r="BE361" s="369"/>
      <c r="BF361" s="369"/>
      <c r="BG361" s="369"/>
      <c r="BH361" s="369"/>
      <c r="BI361" s="369"/>
      <c r="BJ361" s="369"/>
      <c r="BK361" s="369"/>
      <c r="BL361" s="369"/>
      <c r="BM361" s="369"/>
      <c r="BN361" s="369"/>
      <c r="BO361" s="369"/>
    </row>
    <row r="362" spans="1:67" s="370" customFormat="1" ht="10.5" customHeight="1" x14ac:dyDescent="0.2">
      <c r="A362" s="1147" t="s">
        <v>437</v>
      </c>
      <c r="B362" s="2635" t="s">
        <v>681</v>
      </c>
      <c r="C362" s="2635"/>
      <c r="D362" s="1149" t="s">
        <v>428</v>
      </c>
      <c r="E362" s="1131">
        <v>6.6000000000000003E-2</v>
      </c>
      <c r="F362" s="1151"/>
      <c r="G362" s="2655"/>
      <c r="H362" s="2656"/>
      <c r="I362" s="1134"/>
      <c r="J362" s="1135"/>
      <c r="K362" s="1136"/>
      <c r="L362" s="1311"/>
      <c r="M362" s="1324"/>
      <c r="N362" s="166"/>
      <c r="O362" s="1047"/>
      <c r="P362" s="1046"/>
      <c r="Q362" s="135"/>
      <c r="R362" s="136"/>
      <c r="S362" s="129"/>
      <c r="T362" s="129"/>
      <c r="U362" s="129"/>
      <c r="V362" s="129"/>
      <c r="W362" s="129"/>
      <c r="X362" s="129"/>
      <c r="Y362" s="129"/>
      <c r="Z362" s="129"/>
      <c r="AA362" s="129"/>
      <c r="AB362" s="129"/>
      <c r="AC362" s="129"/>
      <c r="AD362" s="129"/>
      <c r="AE362" s="129"/>
      <c r="AF362" s="368"/>
      <c r="AG362" s="368"/>
      <c r="AH362" s="368"/>
      <c r="AI362" s="369"/>
      <c r="AJ362" s="369"/>
      <c r="AK362" s="369"/>
      <c r="AL362" s="369"/>
      <c r="AM362" s="369"/>
      <c r="AN362" s="369"/>
      <c r="AO362" s="369"/>
      <c r="AP362" s="369"/>
      <c r="AQ362" s="369"/>
      <c r="AR362" s="369"/>
      <c r="AS362" s="369"/>
      <c r="AT362" s="369"/>
      <c r="AU362" s="369"/>
      <c r="AV362" s="369"/>
      <c r="AW362" s="369"/>
      <c r="AX362" s="369"/>
      <c r="AY362" s="369"/>
      <c r="AZ362" s="369"/>
      <c r="BA362" s="369"/>
      <c r="BB362" s="369"/>
      <c r="BC362" s="369"/>
      <c r="BD362" s="369"/>
      <c r="BE362" s="369"/>
      <c r="BF362" s="369"/>
      <c r="BG362" s="369"/>
      <c r="BH362" s="369"/>
      <c r="BI362" s="369"/>
      <c r="BJ362" s="369"/>
      <c r="BK362" s="369"/>
      <c r="BL362" s="369"/>
      <c r="BM362" s="369"/>
      <c r="BN362" s="369"/>
      <c r="BO362" s="369"/>
    </row>
    <row r="363" spans="1:67" s="370" customFormat="1" ht="10.5" customHeight="1" x14ac:dyDescent="0.2">
      <c r="A363" s="1147" t="s">
        <v>438</v>
      </c>
      <c r="B363" s="2635" t="s">
        <v>681</v>
      </c>
      <c r="C363" s="2635"/>
      <c r="D363" s="1149" t="s">
        <v>429</v>
      </c>
      <c r="E363" s="1131">
        <v>11.28</v>
      </c>
      <c r="F363" s="1151"/>
      <c r="G363" s="2655"/>
      <c r="H363" s="2656"/>
      <c r="I363" s="1134"/>
      <c r="J363" s="1135"/>
      <c r="K363" s="1136"/>
      <c r="L363" s="1311"/>
      <c r="M363" s="1324"/>
      <c r="N363" s="166"/>
      <c r="O363" s="1047"/>
      <c r="P363" s="1046"/>
      <c r="Q363" s="135"/>
      <c r="R363" s="136"/>
      <c r="S363" s="129"/>
      <c r="T363" s="129"/>
      <c r="U363" s="129"/>
      <c r="V363" s="129"/>
      <c r="W363" s="129"/>
      <c r="X363" s="129"/>
      <c r="Y363" s="129"/>
      <c r="Z363" s="129"/>
      <c r="AA363" s="129"/>
      <c r="AB363" s="129"/>
      <c r="AC363" s="129"/>
      <c r="AD363" s="129"/>
      <c r="AE363" s="129"/>
      <c r="AF363" s="368"/>
      <c r="AG363" s="368"/>
      <c r="AH363" s="368"/>
      <c r="AI363" s="369"/>
      <c r="AJ363" s="369"/>
      <c r="AK363" s="369"/>
      <c r="AL363" s="369"/>
      <c r="AM363" s="369"/>
      <c r="AN363" s="369"/>
      <c r="AO363" s="369"/>
      <c r="AP363" s="369"/>
      <c r="AQ363" s="369"/>
      <c r="AR363" s="369"/>
      <c r="AS363" s="369"/>
      <c r="AT363" s="369"/>
      <c r="AU363" s="369"/>
      <c r="AV363" s="369"/>
      <c r="AW363" s="369"/>
      <c r="AX363" s="369"/>
      <c r="AY363" s="369"/>
      <c r="AZ363" s="369"/>
      <c r="BA363" s="369"/>
      <c r="BB363" s="369"/>
      <c r="BC363" s="369"/>
      <c r="BD363" s="369"/>
      <c r="BE363" s="369"/>
      <c r="BF363" s="369"/>
      <c r="BG363" s="369"/>
      <c r="BH363" s="369"/>
      <c r="BI363" s="369"/>
      <c r="BJ363" s="369"/>
      <c r="BK363" s="369"/>
      <c r="BL363" s="369"/>
      <c r="BM363" s="369"/>
      <c r="BN363" s="369"/>
      <c r="BO363" s="369"/>
    </row>
    <row r="364" spans="1:67" s="370" customFormat="1" ht="10.5" customHeight="1" x14ac:dyDescent="0.2">
      <c r="A364" s="1147" t="s">
        <v>434</v>
      </c>
      <c r="B364" s="1148"/>
      <c r="C364" s="1148"/>
      <c r="D364" s="1149" t="s">
        <v>435</v>
      </c>
      <c r="E364" s="1131">
        <v>100</v>
      </c>
      <c r="F364" s="1152"/>
      <c r="G364" s="1140"/>
      <c r="H364" s="1141"/>
      <c r="I364" s="1134"/>
      <c r="J364" s="1135"/>
      <c r="K364" s="1136"/>
      <c r="L364" s="1311"/>
      <c r="M364" s="1324"/>
      <c r="N364" s="166"/>
      <c r="O364" s="1047"/>
      <c r="P364" s="1046"/>
      <c r="Q364" s="135"/>
      <c r="R364" s="136"/>
      <c r="S364" s="129"/>
      <c r="T364" s="129"/>
      <c r="U364" s="129"/>
      <c r="V364" s="129"/>
      <c r="W364" s="129"/>
      <c r="X364" s="129"/>
      <c r="Y364" s="129"/>
      <c r="Z364" s="129"/>
      <c r="AA364" s="129"/>
      <c r="AB364" s="129"/>
      <c r="AC364" s="129"/>
      <c r="AD364" s="129"/>
      <c r="AE364" s="129"/>
      <c r="AF364" s="368"/>
      <c r="AG364" s="368"/>
      <c r="AH364" s="368"/>
      <c r="AI364" s="369"/>
      <c r="AJ364" s="369"/>
      <c r="AK364" s="369"/>
      <c r="AL364" s="369"/>
      <c r="AM364" s="369"/>
      <c r="AN364" s="369"/>
      <c r="AO364" s="369"/>
      <c r="AP364" s="369"/>
      <c r="AQ364" s="369"/>
      <c r="AR364" s="369"/>
      <c r="AS364" s="369"/>
      <c r="AT364" s="369"/>
      <c r="AU364" s="369"/>
      <c r="AV364" s="369"/>
      <c r="AW364" s="369"/>
      <c r="AX364" s="369"/>
      <c r="AY364" s="369"/>
      <c r="AZ364" s="369"/>
      <c r="BA364" s="369"/>
      <c r="BB364" s="369"/>
      <c r="BC364" s="369"/>
      <c r="BD364" s="369"/>
      <c r="BE364" s="369"/>
      <c r="BF364" s="369"/>
      <c r="BG364" s="369"/>
      <c r="BH364" s="369"/>
      <c r="BI364" s="369"/>
      <c r="BJ364" s="369"/>
      <c r="BK364" s="369"/>
      <c r="BL364" s="369"/>
      <c r="BM364" s="369"/>
      <c r="BN364" s="369"/>
      <c r="BO364" s="369"/>
    </row>
    <row r="365" spans="1:67" s="370" customFormat="1" ht="10.5" customHeight="1" x14ac:dyDescent="0.2">
      <c r="A365" s="1147" t="s">
        <v>432</v>
      </c>
      <c r="B365" s="1148"/>
      <c r="C365" s="1148"/>
      <c r="D365" s="1149" t="s">
        <v>433</v>
      </c>
      <c r="E365" s="1130">
        <v>1</v>
      </c>
      <c r="F365" s="1153"/>
      <c r="G365" s="1140"/>
      <c r="H365" s="1141"/>
      <c r="I365" s="1134"/>
      <c r="J365" s="1135"/>
      <c r="K365" s="1136"/>
      <c r="L365" s="1311"/>
      <c r="M365" s="1324"/>
      <c r="N365" s="166"/>
      <c r="O365" s="1047"/>
      <c r="P365" s="1046"/>
      <c r="Q365" s="135"/>
      <c r="R365" s="136"/>
      <c r="S365" s="129"/>
      <c r="T365" s="129"/>
      <c r="U365" s="129"/>
      <c r="V365" s="129"/>
      <c r="W365" s="129"/>
      <c r="X365" s="129"/>
      <c r="Y365" s="129"/>
      <c r="Z365" s="129"/>
      <c r="AA365" s="129"/>
      <c r="AB365" s="129"/>
      <c r="AC365" s="129"/>
      <c r="AD365" s="129"/>
      <c r="AE365" s="129"/>
      <c r="AF365" s="368"/>
      <c r="AG365" s="368"/>
      <c r="AH365" s="368"/>
      <c r="AI365" s="369"/>
      <c r="AJ365" s="369"/>
      <c r="AK365" s="369"/>
      <c r="AL365" s="369"/>
      <c r="AM365" s="369"/>
      <c r="AN365" s="369"/>
      <c r="AO365" s="369"/>
      <c r="AP365" s="369"/>
      <c r="AQ365" s="369"/>
      <c r="AR365" s="369"/>
      <c r="AS365" s="369"/>
      <c r="AT365" s="369"/>
      <c r="AU365" s="369"/>
      <c r="AV365" s="369"/>
      <c r="AW365" s="369"/>
      <c r="AX365" s="369"/>
      <c r="AY365" s="369"/>
      <c r="AZ365" s="369"/>
      <c r="BA365" s="369"/>
      <c r="BB365" s="369"/>
      <c r="BC365" s="369"/>
      <c r="BD365" s="369"/>
      <c r="BE365" s="369"/>
      <c r="BF365" s="369"/>
      <c r="BG365" s="369"/>
      <c r="BH365" s="369"/>
      <c r="BI365" s="369"/>
      <c r="BJ365" s="369"/>
      <c r="BK365" s="369"/>
      <c r="BL365" s="369"/>
      <c r="BM365" s="369"/>
      <c r="BN365" s="369"/>
      <c r="BO365" s="369"/>
    </row>
    <row r="366" spans="1:67" s="370" customFormat="1" ht="10.5" customHeight="1" x14ac:dyDescent="0.2">
      <c r="A366" s="1147" t="s">
        <v>439</v>
      </c>
      <c r="B366" s="1148"/>
      <c r="C366" s="1148"/>
      <c r="D366" s="1149" t="s">
        <v>441</v>
      </c>
      <c r="E366" s="1130">
        <v>1</v>
      </c>
      <c r="F366" s="1153"/>
      <c r="G366" s="1140"/>
      <c r="H366" s="1141"/>
      <c r="I366" s="1134"/>
      <c r="J366" s="1135"/>
      <c r="K366" s="1136"/>
      <c r="L366" s="1311"/>
      <c r="M366" s="1324"/>
      <c r="N366" s="166"/>
      <c r="O366" s="1047"/>
      <c r="P366" s="1046"/>
      <c r="Q366" s="135"/>
      <c r="R366" s="136"/>
      <c r="S366" s="129"/>
      <c r="T366" s="129"/>
      <c r="U366" s="129"/>
      <c r="V366" s="129"/>
      <c r="W366" s="129"/>
      <c r="X366" s="129"/>
      <c r="Y366" s="129"/>
      <c r="Z366" s="129"/>
      <c r="AA366" s="129"/>
      <c r="AB366" s="129"/>
      <c r="AC366" s="129"/>
      <c r="AD366" s="129"/>
      <c r="AE366" s="129"/>
      <c r="AF366" s="368"/>
      <c r="AG366" s="368"/>
      <c r="AH366" s="368"/>
      <c r="AI366" s="369"/>
      <c r="AJ366" s="369"/>
      <c r="AK366" s="369"/>
      <c r="AL366" s="369"/>
      <c r="AM366" s="369"/>
      <c r="AN366" s="369"/>
      <c r="AO366" s="369"/>
      <c r="AP366" s="369"/>
      <c r="AQ366" s="369"/>
      <c r="AR366" s="369"/>
      <c r="AS366" s="369"/>
      <c r="AT366" s="369"/>
      <c r="AU366" s="369"/>
      <c r="AV366" s="369"/>
      <c r="AW366" s="369"/>
      <c r="AX366" s="369"/>
      <c r="AY366" s="369"/>
      <c r="AZ366" s="369"/>
      <c r="BA366" s="369"/>
      <c r="BB366" s="369"/>
      <c r="BC366" s="369"/>
      <c r="BD366" s="369"/>
      <c r="BE366" s="369"/>
      <c r="BF366" s="369"/>
      <c r="BG366" s="369"/>
      <c r="BH366" s="369"/>
      <c r="BI366" s="369"/>
      <c r="BJ366" s="369"/>
      <c r="BK366" s="369"/>
      <c r="BL366" s="369"/>
      <c r="BM366" s="369"/>
      <c r="BN366" s="369"/>
      <c r="BO366" s="369"/>
    </row>
    <row r="367" spans="1:67" s="370" customFormat="1" ht="10.5" customHeight="1" x14ac:dyDescent="0.2">
      <c r="A367" s="1147" t="s">
        <v>440</v>
      </c>
      <c r="B367" s="1148"/>
      <c r="C367" s="1148"/>
      <c r="D367" s="1149" t="s">
        <v>442</v>
      </c>
      <c r="E367" s="1159">
        <v>150</v>
      </c>
      <c r="F367" s="1153"/>
      <c r="G367" s="1140"/>
      <c r="H367" s="1141"/>
      <c r="I367" s="1134"/>
      <c r="J367" s="1135"/>
      <c r="K367" s="1136"/>
      <c r="L367" s="1311"/>
      <c r="M367" s="1324"/>
      <c r="N367" s="166"/>
      <c r="O367" s="1047"/>
      <c r="P367" s="1046"/>
      <c r="Q367" s="135"/>
      <c r="R367" s="136"/>
      <c r="S367" s="129"/>
      <c r="T367" s="129"/>
      <c r="U367" s="129"/>
      <c r="V367" s="129"/>
      <c r="W367" s="129"/>
      <c r="X367" s="129"/>
      <c r="Y367" s="129"/>
      <c r="Z367" s="129"/>
      <c r="AA367" s="129"/>
      <c r="AB367" s="129"/>
      <c r="AC367" s="129"/>
      <c r="AD367" s="129"/>
      <c r="AE367" s="129"/>
      <c r="AF367" s="368"/>
      <c r="AG367" s="368"/>
      <c r="AH367" s="368"/>
      <c r="AI367" s="369"/>
      <c r="AJ367" s="369"/>
      <c r="AK367" s="369"/>
      <c r="AL367" s="369"/>
      <c r="AM367" s="369"/>
      <c r="AN367" s="369"/>
      <c r="AO367" s="369"/>
      <c r="AP367" s="369"/>
      <c r="AQ367" s="369"/>
      <c r="AR367" s="369"/>
      <c r="AS367" s="369"/>
      <c r="AT367" s="369"/>
      <c r="AU367" s="369"/>
      <c r="AV367" s="369"/>
      <c r="AW367" s="369"/>
      <c r="AX367" s="369"/>
      <c r="AY367" s="369"/>
      <c r="AZ367" s="369"/>
      <c r="BA367" s="369"/>
      <c r="BB367" s="369"/>
      <c r="BC367" s="369"/>
      <c r="BD367" s="369"/>
      <c r="BE367" s="369"/>
      <c r="BF367" s="369"/>
      <c r="BG367" s="369"/>
      <c r="BH367" s="369"/>
      <c r="BI367" s="369"/>
      <c r="BJ367" s="369"/>
      <c r="BK367" s="369"/>
      <c r="BL367" s="369"/>
      <c r="BM367" s="369"/>
      <c r="BN367" s="369"/>
      <c r="BO367" s="369"/>
    </row>
    <row r="368" spans="1:67" s="370" customFormat="1" ht="10.5" customHeight="1" x14ac:dyDescent="0.2">
      <c r="A368" s="1360" t="s">
        <v>443</v>
      </c>
      <c r="B368" s="1361"/>
      <c r="C368" s="1361"/>
      <c r="D368" s="1290"/>
      <c r="E368" s="2657">
        <f>E358*E359/100*E360*E364/100*E361*E365*E366*E367</f>
        <v>0</v>
      </c>
      <c r="F368" s="2658"/>
      <c r="G368" s="1362"/>
      <c r="H368" s="1363"/>
      <c r="I368" s="1293"/>
      <c r="J368" s="1294"/>
      <c r="K368" s="1295"/>
      <c r="L368" s="1313"/>
      <c r="M368" s="1325"/>
      <c r="N368" s="166"/>
      <c r="O368" s="1047"/>
      <c r="P368" s="1046"/>
      <c r="Q368" s="135"/>
      <c r="R368" s="136"/>
      <c r="S368" s="129"/>
      <c r="T368" s="129"/>
      <c r="U368" s="129"/>
      <c r="V368" s="129"/>
      <c r="W368" s="129"/>
      <c r="X368" s="129"/>
      <c r="Y368" s="129"/>
      <c r="Z368" s="129"/>
      <c r="AA368" s="129"/>
      <c r="AB368" s="129"/>
      <c r="AC368" s="129"/>
      <c r="AD368" s="129"/>
      <c r="AE368" s="129"/>
      <c r="AF368" s="368"/>
      <c r="AG368" s="368"/>
      <c r="AH368" s="368"/>
      <c r="AI368" s="369"/>
      <c r="AJ368" s="369"/>
      <c r="AK368" s="369"/>
      <c r="AL368" s="369"/>
      <c r="AM368" s="369"/>
      <c r="AN368" s="369"/>
      <c r="AO368" s="369"/>
      <c r="AP368" s="369"/>
      <c r="AQ368" s="369"/>
      <c r="AR368" s="369"/>
      <c r="AS368" s="369"/>
      <c r="AT368" s="369"/>
      <c r="AU368" s="369"/>
      <c r="AV368" s="369"/>
      <c r="AW368" s="369"/>
      <c r="AX368" s="369"/>
      <c r="AY368" s="369"/>
      <c r="AZ368" s="369"/>
      <c r="BA368" s="369"/>
      <c r="BB368" s="369"/>
      <c r="BC368" s="369"/>
      <c r="BD368" s="369"/>
      <c r="BE368" s="369"/>
      <c r="BF368" s="369"/>
      <c r="BG368" s="369"/>
      <c r="BH368" s="369"/>
      <c r="BI368" s="369"/>
      <c r="BJ368" s="369"/>
      <c r="BK368" s="369"/>
      <c r="BL368" s="369"/>
      <c r="BM368" s="369"/>
      <c r="BN368" s="369"/>
      <c r="BO368" s="369"/>
    </row>
    <row r="369" spans="1:67" s="370" customFormat="1" ht="10.5" customHeight="1" x14ac:dyDescent="0.2">
      <c r="A369" s="1142" t="s">
        <v>385</v>
      </c>
      <c r="B369" s="1143"/>
      <c r="C369" s="1143"/>
      <c r="D369" s="1144"/>
      <c r="E369" s="1145"/>
      <c r="F369" s="1146"/>
      <c r="G369" s="1132"/>
      <c r="H369" s="1133"/>
      <c r="I369" s="1134"/>
      <c r="J369" s="1135"/>
      <c r="K369" s="1136"/>
      <c r="L369" s="1311"/>
      <c r="M369" s="1324"/>
      <c r="N369" s="166"/>
      <c r="O369" s="1047"/>
      <c r="P369" s="1046"/>
      <c r="Q369" s="135"/>
      <c r="R369" s="136"/>
      <c r="S369" s="129"/>
      <c r="T369" s="129"/>
      <c r="U369" s="129"/>
      <c r="V369" s="129"/>
      <c r="W369" s="129"/>
      <c r="X369" s="129"/>
      <c r="Y369" s="129"/>
      <c r="Z369" s="129"/>
      <c r="AA369" s="129"/>
      <c r="AB369" s="129"/>
      <c r="AC369" s="129"/>
      <c r="AD369" s="129"/>
      <c r="AE369" s="129"/>
      <c r="AF369" s="368"/>
      <c r="AG369" s="368"/>
      <c r="AH369" s="368"/>
      <c r="AI369" s="369"/>
      <c r="AJ369" s="369"/>
      <c r="AK369" s="369"/>
      <c r="AL369" s="369"/>
      <c r="AM369" s="369"/>
      <c r="AN369" s="369"/>
      <c r="AO369" s="369"/>
      <c r="AP369" s="369"/>
      <c r="AQ369" s="369"/>
      <c r="AR369" s="369"/>
      <c r="AS369" s="369"/>
      <c r="AT369" s="369"/>
      <c r="AU369" s="369"/>
      <c r="AV369" s="369"/>
      <c r="AW369" s="369"/>
      <c r="AX369" s="369"/>
      <c r="AY369" s="369"/>
      <c r="AZ369" s="369"/>
      <c r="BA369" s="369"/>
      <c r="BB369" s="369"/>
      <c r="BC369" s="369"/>
      <c r="BD369" s="369"/>
      <c r="BE369" s="369"/>
      <c r="BF369" s="369"/>
      <c r="BG369" s="369"/>
      <c r="BH369" s="369"/>
      <c r="BI369" s="369"/>
      <c r="BJ369" s="369"/>
      <c r="BK369" s="369"/>
      <c r="BL369" s="369"/>
      <c r="BM369" s="369"/>
      <c r="BN369" s="369"/>
      <c r="BO369" s="369"/>
    </row>
    <row r="370" spans="1:67" s="370" customFormat="1" ht="10.5" customHeight="1" x14ac:dyDescent="0.2">
      <c r="A370" s="1147" t="s">
        <v>380</v>
      </c>
      <c r="B370" s="1148"/>
      <c r="C370" s="1148"/>
      <c r="D370" s="1149" t="s">
        <v>381</v>
      </c>
      <c r="E370" s="2633">
        <f>SUM(E40,E192,E207,E222,E282,E334:F339)</f>
        <v>0</v>
      </c>
      <c r="F370" s="2634"/>
      <c r="G370" s="1137"/>
      <c r="H370" s="1138"/>
      <c r="I370" s="1134"/>
      <c r="J370" s="1135"/>
      <c r="K370" s="1136"/>
      <c r="L370" s="1311"/>
      <c r="M370" s="1324"/>
      <c r="N370" s="166"/>
      <c r="O370" s="1047"/>
      <c r="P370" s="1046"/>
      <c r="Q370" s="135"/>
      <c r="R370" s="136"/>
      <c r="S370" s="129"/>
      <c r="T370" s="129"/>
      <c r="U370" s="129"/>
      <c r="V370" s="129"/>
      <c r="W370" s="129"/>
      <c r="X370" s="129"/>
      <c r="Y370" s="129"/>
      <c r="Z370" s="129"/>
      <c r="AA370" s="129"/>
      <c r="AB370" s="129"/>
      <c r="AC370" s="129"/>
      <c r="AD370" s="129"/>
      <c r="AE370" s="129"/>
      <c r="AF370" s="368"/>
      <c r="AG370" s="368"/>
      <c r="AH370" s="368"/>
      <c r="AI370" s="369"/>
      <c r="AJ370" s="369"/>
      <c r="AK370" s="369"/>
      <c r="AL370" s="369"/>
      <c r="AM370" s="369"/>
      <c r="AN370" s="369"/>
      <c r="AO370" s="369"/>
      <c r="AP370" s="369"/>
      <c r="AQ370" s="369"/>
      <c r="AR370" s="369"/>
      <c r="AS370" s="369"/>
      <c r="AT370" s="369"/>
      <c r="AU370" s="369"/>
      <c r="AV370" s="369"/>
      <c r="AW370" s="369"/>
      <c r="AX370" s="369"/>
      <c r="AY370" s="369"/>
      <c r="AZ370" s="369"/>
      <c r="BA370" s="369"/>
      <c r="BB370" s="369"/>
      <c r="BC370" s="369"/>
      <c r="BD370" s="369"/>
      <c r="BE370" s="369"/>
      <c r="BF370" s="369"/>
      <c r="BG370" s="369"/>
      <c r="BH370" s="369"/>
      <c r="BI370" s="369"/>
      <c r="BJ370" s="369"/>
      <c r="BK370" s="369"/>
      <c r="BL370" s="369"/>
      <c r="BM370" s="369"/>
      <c r="BN370" s="369"/>
      <c r="BO370" s="369"/>
    </row>
    <row r="371" spans="1:67" s="370" customFormat="1" ht="10.5" customHeight="1" x14ac:dyDescent="0.2">
      <c r="A371" s="1147" t="s">
        <v>431</v>
      </c>
      <c r="B371" s="1148"/>
      <c r="C371" s="1148"/>
      <c r="D371" s="1149" t="s">
        <v>382</v>
      </c>
      <c r="E371" s="1150">
        <f>IF(E370=0,0,E374+E375/(E370^(1/3)))</f>
        <v>0</v>
      </c>
      <c r="F371" s="1151"/>
      <c r="G371" s="1139"/>
      <c r="H371" s="1133"/>
      <c r="I371" s="1134"/>
      <c r="J371" s="1135"/>
      <c r="K371" s="1136"/>
      <c r="L371" s="1311"/>
      <c r="M371" s="1324"/>
      <c r="N371" s="166"/>
      <c r="O371" s="1047"/>
      <c r="P371" s="1046"/>
      <c r="Q371" s="135"/>
      <c r="R371" s="136"/>
      <c r="S371" s="129"/>
      <c r="T371" s="129"/>
      <c r="U371" s="129"/>
      <c r="V371" s="129"/>
      <c r="W371" s="129"/>
      <c r="X371" s="129"/>
      <c r="Y371" s="129"/>
      <c r="Z371" s="129"/>
      <c r="AA371" s="129"/>
      <c r="AB371" s="129"/>
      <c r="AC371" s="129"/>
      <c r="AD371" s="129"/>
      <c r="AE371" s="129"/>
      <c r="AF371" s="368"/>
      <c r="AG371" s="368"/>
      <c r="AH371" s="368"/>
      <c r="AI371" s="369"/>
      <c r="AJ371" s="369"/>
      <c r="AK371" s="369"/>
      <c r="AL371" s="369"/>
      <c r="AM371" s="369"/>
      <c r="AN371" s="369"/>
      <c r="AO371" s="369"/>
      <c r="AP371" s="369"/>
      <c r="AQ371" s="369"/>
      <c r="AR371" s="369"/>
      <c r="AS371" s="369"/>
      <c r="AT371" s="369"/>
      <c r="AU371" s="369"/>
      <c r="AV371" s="369"/>
      <c r="AW371" s="369"/>
      <c r="AX371" s="369"/>
      <c r="AY371" s="369"/>
      <c r="AZ371" s="369"/>
      <c r="BA371" s="369"/>
      <c r="BB371" s="369"/>
      <c r="BC371" s="369"/>
      <c r="BD371" s="369"/>
      <c r="BE371" s="369"/>
      <c r="BF371" s="369"/>
      <c r="BG371" s="369"/>
      <c r="BH371" s="369"/>
      <c r="BI371" s="369"/>
      <c r="BJ371" s="369"/>
      <c r="BK371" s="369"/>
      <c r="BL371" s="369"/>
      <c r="BM371" s="369"/>
      <c r="BN371" s="369"/>
      <c r="BO371" s="369"/>
    </row>
    <row r="372" spans="1:67" s="370" customFormat="1" ht="10.5" customHeight="1" x14ac:dyDescent="0.2">
      <c r="A372" s="1147" t="s">
        <v>383</v>
      </c>
      <c r="B372" s="1148"/>
      <c r="C372" s="1148"/>
      <c r="D372" s="1149" t="s">
        <v>384</v>
      </c>
      <c r="E372" s="1130">
        <v>0.9</v>
      </c>
      <c r="F372" s="1151"/>
      <c r="G372" s="1139"/>
      <c r="H372" s="1133"/>
      <c r="I372" s="1134"/>
      <c r="J372" s="1135"/>
      <c r="K372" s="1136"/>
      <c r="L372" s="1311"/>
      <c r="M372" s="1324"/>
      <c r="N372" s="166"/>
      <c r="O372" s="1047"/>
      <c r="P372" s="1046"/>
      <c r="Q372" s="135"/>
      <c r="R372" s="136"/>
      <c r="S372" s="129"/>
      <c r="T372" s="129"/>
      <c r="U372" s="129"/>
      <c r="V372" s="129"/>
      <c r="W372" s="129"/>
      <c r="X372" s="129"/>
      <c r="Y372" s="129"/>
      <c r="Z372" s="129"/>
      <c r="AA372" s="129"/>
      <c r="AB372" s="129"/>
      <c r="AC372" s="129"/>
      <c r="AD372" s="129"/>
      <c r="AE372" s="129"/>
      <c r="AF372" s="368"/>
      <c r="AG372" s="368"/>
      <c r="AH372" s="368"/>
      <c r="AI372" s="369"/>
      <c r="AJ372" s="369"/>
      <c r="AK372" s="369"/>
      <c r="AL372" s="369"/>
      <c r="AM372" s="369"/>
      <c r="AN372" s="369"/>
      <c r="AO372" s="369"/>
      <c r="AP372" s="369"/>
      <c r="AQ372" s="369"/>
      <c r="AR372" s="369"/>
      <c r="AS372" s="369"/>
      <c r="AT372" s="369"/>
      <c r="AU372" s="369"/>
      <c r="AV372" s="369"/>
      <c r="AW372" s="369"/>
      <c r="AX372" s="369"/>
      <c r="AY372" s="369"/>
      <c r="AZ372" s="369"/>
      <c r="BA372" s="369"/>
      <c r="BB372" s="369"/>
      <c r="BC372" s="369"/>
      <c r="BD372" s="369"/>
      <c r="BE372" s="369"/>
      <c r="BF372" s="369"/>
      <c r="BG372" s="369"/>
      <c r="BH372" s="369"/>
      <c r="BI372" s="369"/>
      <c r="BJ372" s="369"/>
      <c r="BK372" s="369"/>
      <c r="BL372" s="369"/>
      <c r="BM372" s="369"/>
      <c r="BN372" s="369"/>
      <c r="BO372" s="369"/>
    </row>
    <row r="373" spans="1:67" s="370" customFormat="1" ht="10.5" customHeight="1" x14ac:dyDescent="0.2">
      <c r="A373" s="1147" t="s">
        <v>436</v>
      </c>
      <c r="B373" s="1148"/>
      <c r="C373" s="1148"/>
      <c r="D373" s="1149" t="s">
        <v>430</v>
      </c>
      <c r="E373" s="1130">
        <v>1</v>
      </c>
      <c r="F373" s="1151"/>
      <c r="G373" s="1139"/>
      <c r="H373" s="1133"/>
      <c r="I373" s="1134"/>
      <c r="J373" s="1135"/>
      <c r="K373" s="1136"/>
      <c r="L373" s="1311"/>
      <c r="M373" s="1324"/>
      <c r="N373" s="166"/>
      <c r="O373" s="1047"/>
      <c r="P373" s="1046"/>
      <c r="Q373" s="135"/>
      <c r="R373" s="136"/>
      <c r="S373" s="129"/>
      <c r="T373" s="129"/>
      <c r="U373" s="129"/>
      <c r="V373" s="129"/>
      <c r="W373" s="129"/>
      <c r="X373" s="129"/>
      <c r="Y373" s="129"/>
      <c r="Z373" s="129"/>
      <c r="AA373" s="129"/>
      <c r="AB373" s="129"/>
      <c r="AC373" s="129"/>
      <c r="AD373" s="129"/>
      <c r="AE373" s="129"/>
      <c r="AF373" s="368"/>
      <c r="AG373" s="368"/>
      <c r="AH373" s="368"/>
      <c r="AI373" s="369"/>
      <c r="AJ373" s="369"/>
      <c r="AK373" s="369"/>
      <c r="AL373" s="369"/>
      <c r="AM373" s="369"/>
      <c r="AN373" s="369"/>
      <c r="AO373" s="369"/>
      <c r="AP373" s="369"/>
      <c r="AQ373" s="369"/>
      <c r="AR373" s="369"/>
      <c r="AS373" s="369"/>
      <c r="AT373" s="369"/>
      <c r="AU373" s="369"/>
      <c r="AV373" s="369"/>
      <c r="AW373" s="369"/>
      <c r="AX373" s="369"/>
      <c r="AY373" s="369"/>
      <c r="AZ373" s="369"/>
      <c r="BA373" s="369"/>
      <c r="BB373" s="369"/>
      <c r="BC373" s="369"/>
      <c r="BD373" s="369"/>
      <c r="BE373" s="369"/>
      <c r="BF373" s="369"/>
      <c r="BG373" s="369"/>
      <c r="BH373" s="369"/>
      <c r="BI373" s="369"/>
      <c r="BJ373" s="369"/>
      <c r="BK373" s="369"/>
      <c r="BL373" s="369"/>
      <c r="BM373" s="369"/>
      <c r="BN373" s="369"/>
      <c r="BO373" s="369"/>
    </row>
    <row r="374" spans="1:67" s="370" customFormat="1" ht="10.5" customHeight="1" x14ac:dyDescent="0.2">
      <c r="A374" s="1147" t="s">
        <v>437</v>
      </c>
      <c r="B374" s="2635" t="s">
        <v>681</v>
      </c>
      <c r="C374" s="2635"/>
      <c r="D374" s="1149" t="s">
        <v>428</v>
      </c>
      <c r="E374" s="1131">
        <v>6.2E-2</v>
      </c>
      <c r="F374" s="1151"/>
      <c r="G374" s="2655"/>
      <c r="H374" s="2656"/>
      <c r="I374" s="1134"/>
      <c r="J374" s="1135"/>
      <c r="K374" s="1136"/>
      <c r="L374" s="1311"/>
      <c r="M374" s="1324"/>
      <c r="N374" s="166"/>
      <c r="O374" s="1047"/>
      <c r="P374" s="1046"/>
      <c r="Q374" s="135"/>
      <c r="R374" s="136"/>
      <c r="S374" s="129"/>
      <c r="T374" s="129"/>
      <c r="U374" s="129"/>
      <c r="V374" s="129"/>
      <c r="W374" s="129"/>
      <c r="X374" s="129"/>
      <c r="Y374" s="129"/>
      <c r="Z374" s="129"/>
      <c r="AA374" s="129"/>
      <c r="AB374" s="129"/>
      <c r="AC374" s="129"/>
      <c r="AD374" s="129"/>
      <c r="AE374" s="129"/>
      <c r="AF374" s="368"/>
      <c r="AG374" s="368"/>
      <c r="AH374" s="368"/>
      <c r="AI374" s="369"/>
      <c r="AJ374" s="369"/>
      <c r="AK374" s="369"/>
      <c r="AL374" s="369"/>
      <c r="AM374" s="369"/>
      <c r="AN374" s="369"/>
      <c r="AO374" s="369"/>
      <c r="AP374" s="369"/>
      <c r="AQ374" s="369"/>
      <c r="AR374" s="369"/>
      <c r="AS374" s="369"/>
      <c r="AT374" s="369"/>
      <c r="AU374" s="369"/>
      <c r="AV374" s="369"/>
      <c r="AW374" s="369"/>
      <c r="AX374" s="369"/>
      <c r="AY374" s="369"/>
      <c r="AZ374" s="369"/>
      <c r="BA374" s="369"/>
      <c r="BB374" s="369"/>
      <c r="BC374" s="369"/>
      <c r="BD374" s="369"/>
      <c r="BE374" s="369"/>
      <c r="BF374" s="369"/>
      <c r="BG374" s="369"/>
      <c r="BH374" s="369"/>
      <c r="BI374" s="369"/>
      <c r="BJ374" s="369"/>
      <c r="BK374" s="369"/>
      <c r="BL374" s="369"/>
      <c r="BM374" s="369"/>
      <c r="BN374" s="369"/>
      <c r="BO374" s="369"/>
    </row>
    <row r="375" spans="1:67" s="370" customFormat="1" ht="10.5" customHeight="1" x14ac:dyDescent="0.2">
      <c r="A375" s="1147" t="s">
        <v>438</v>
      </c>
      <c r="B375" s="2635" t="s">
        <v>681</v>
      </c>
      <c r="C375" s="2635"/>
      <c r="D375" s="1149" t="s">
        <v>429</v>
      </c>
      <c r="E375" s="1131">
        <v>10.58</v>
      </c>
      <c r="F375" s="1151"/>
      <c r="G375" s="2655"/>
      <c r="H375" s="2656"/>
      <c r="I375" s="1134"/>
      <c r="J375" s="1135"/>
      <c r="K375" s="1136"/>
      <c r="L375" s="1311"/>
      <c r="M375" s="1324"/>
      <c r="N375" s="166"/>
      <c r="O375" s="1047"/>
      <c r="P375" s="1046"/>
      <c r="Q375" s="135"/>
      <c r="R375" s="136"/>
      <c r="S375" s="129"/>
      <c r="T375" s="129"/>
      <c r="U375" s="129"/>
      <c r="V375" s="129"/>
      <c r="W375" s="129"/>
      <c r="X375" s="129"/>
      <c r="Y375" s="129"/>
      <c r="Z375" s="129"/>
      <c r="AA375" s="129"/>
      <c r="AB375" s="129"/>
      <c r="AC375" s="129"/>
      <c r="AD375" s="129"/>
      <c r="AE375" s="129"/>
      <c r="AF375" s="368"/>
      <c r="AG375" s="368"/>
      <c r="AH375" s="368"/>
      <c r="AI375" s="369"/>
      <c r="AJ375" s="369"/>
      <c r="AK375" s="369"/>
      <c r="AL375" s="369"/>
      <c r="AM375" s="369"/>
      <c r="AN375" s="369"/>
      <c r="AO375" s="369"/>
      <c r="AP375" s="369"/>
      <c r="AQ375" s="369"/>
      <c r="AR375" s="369"/>
      <c r="AS375" s="369"/>
      <c r="AT375" s="369"/>
      <c r="AU375" s="369"/>
      <c r="AV375" s="369"/>
      <c r="AW375" s="369"/>
      <c r="AX375" s="369"/>
      <c r="AY375" s="369"/>
      <c r="AZ375" s="369"/>
      <c r="BA375" s="369"/>
      <c r="BB375" s="369"/>
      <c r="BC375" s="369"/>
      <c r="BD375" s="369"/>
      <c r="BE375" s="369"/>
      <c r="BF375" s="369"/>
      <c r="BG375" s="369"/>
      <c r="BH375" s="369"/>
      <c r="BI375" s="369"/>
      <c r="BJ375" s="369"/>
      <c r="BK375" s="369"/>
      <c r="BL375" s="369"/>
      <c r="BM375" s="369"/>
      <c r="BN375" s="369"/>
      <c r="BO375" s="369"/>
    </row>
    <row r="376" spans="1:67" s="370" customFormat="1" ht="10.5" customHeight="1" x14ac:dyDescent="0.2">
      <c r="A376" s="1147" t="s">
        <v>434</v>
      </c>
      <c r="B376" s="1148"/>
      <c r="C376" s="1148"/>
      <c r="D376" s="1149" t="s">
        <v>435</v>
      </c>
      <c r="E376" s="1131">
        <v>100</v>
      </c>
      <c r="F376" s="1152"/>
      <c r="G376" s="1140"/>
      <c r="H376" s="1141"/>
      <c r="I376" s="1134"/>
      <c r="J376" s="1135"/>
      <c r="K376" s="1136"/>
      <c r="L376" s="1311"/>
      <c r="M376" s="1324"/>
      <c r="N376" s="166"/>
      <c r="O376" s="1047"/>
      <c r="P376" s="1046"/>
      <c r="Q376" s="135"/>
      <c r="R376" s="136"/>
      <c r="S376" s="129"/>
      <c r="T376" s="129"/>
      <c r="U376" s="129"/>
      <c r="V376" s="129"/>
      <c r="W376" s="129"/>
      <c r="X376" s="129"/>
      <c r="Y376" s="129"/>
      <c r="Z376" s="129"/>
      <c r="AA376" s="129"/>
      <c r="AB376" s="129"/>
      <c r="AC376" s="129"/>
      <c r="AD376" s="129"/>
      <c r="AE376" s="129"/>
      <c r="AF376" s="368"/>
      <c r="AG376" s="368"/>
      <c r="AH376" s="368"/>
      <c r="AI376" s="369"/>
      <c r="AJ376" s="369"/>
      <c r="AK376" s="369"/>
      <c r="AL376" s="369"/>
      <c r="AM376" s="369"/>
      <c r="AN376" s="369"/>
      <c r="AO376" s="369"/>
      <c r="AP376" s="369"/>
      <c r="AQ376" s="369"/>
      <c r="AR376" s="369"/>
      <c r="AS376" s="369"/>
      <c r="AT376" s="369"/>
      <c r="AU376" s="369"/>
      <c r="AV376" s="369"/>
      <c r="AW376" s="369"/>
      <c r="AX376" s="369"/>
      <c r="AY376" s="369"/>
      <c r="AZ376" s="369"/>
      <c r="BA376" s="369"/>
      <c r="BB376" s="369"/>
      <c r="BC376" s="369"/>
      <c r="BD376" s="369"/>
      <c r="BE376" s="369"/>
      <c r="BF376" s="369"/>
      <c r="BG376" s="369"/>
      <c r="BH376" s="369"/>
      <c r="BI376" s="369"/>
      <c r="BJ376" s="369"/>
      <c r="BK376" s="369"/>
      <c r="BL376" s="369"/>
      <c r="BM376" s="369"/>
      <c r="BN376" s="369"/>
      <c r="BO376" s="369"/>
    </row>
    <row r="377" spans="1:67" s="370" customFormat="1" ht="10.5" customHeight="1" x14ac:dyDescent="0.2">
      <c r="A377" s="1147" t="s">
        <v>432</v>
      </c>
      <c r="B377" s="1148"/>
      <c r="C377" s="1148"/>
      <c r="D377" s="1149" t="s">
        <v>433</v>
      </c>
      <c r="E377" s="1130">
        <v>1</v>
      </c>
      <c r="F377" s="1153"/>
      <c r="G377" s="1140"/>
      <c r="H377" s="1141"/>
      <c r="I377" s="1134"/>
      <c r="J377" s="1135"/>
      <c r="K377" s="1136"/>
      <c r="L377" s="1311"/>
      <c r="M377" s="1324"/>
      <c r="N377" s="166"/>
      <c r="O377" s="1047"/>
      <c r="P377" s="1046"/>
      <c r="Q377" s="135"/>
      <c r="R377" s="136"/>
      <c r="S377" s="129"/>
      <c r="T377" s="129"/>
      <c r="U377" s="129"/>
      <c r="V377" s="129"/>
      <c r="W377" s="129"/>
      <c r="X377" s="129"/>
      <c r="Y377" s="129"/>
      <c r="Z377" s="129"/>
      <c r="AA377" s="129"/>
      <c r="AB377" s="129"/>
      <c r="AC377" s="129"/>
      <c r="AD377" s="129"/>
      <c r="AE377" s="129"/>
      <c r="AF377" s="368"/>
      <c r="AG377" s="368"/>
      <c r="AH377" s="368"/>
      <c r="AI377" s="369"/>
      <c r="AJ377" s="369"/>
      <c r="AK377" s="369"/>
      <c r="AL377" s="369"/>
      <c r="AM377" s="369"/>
      <c r="AN377" s="369"/>
      <c r="AO377" s="369"/>
      <c r="AP377" s="369"/>
      <c r="AQ377" s="369"/>
      <c r="AR377" s="369"/>
      <c r="AS377" s="369"/>
      <c r="AT377" s="369"/>
      <c r="AU377" s="369"/>
      <c r="AV377" s="369"/>
      <c r="AW377" s="369"/>
      <c r="AX377" s="369"/>
      <c r="AY377" s="369"/>
      <c r="AZ377" s="369"/>
      <c r="BA377" s="369"/>
      <c r="BB377" s="369"/>
      <c r="BC377" s="369"/>
      <c r="BD377" s="369"/>
      <c r="BE377" s="369"/>
      <c r="BF377" s="369"/>
      <c r="BG377" s="369"/>
      <c r="BH377" s="369"/>
      <c r="BI377" s="369"/>
      <c r="BJ377" s="369"/>
      <c r="BK377" s="369"/>
      <c r="BL377" s="369"/>
      <c r="BM377" s="369"/>
      <c r="BN377" s="369"/>
      <c r="BO377" s="369"/>
    </row>
    <row r="378" spans="1:67" s="370" customFormat="1" ht="10.5" customHeight="1" x14ac:dyDescent="0.2">
      <c r="A378" s="1147" t="s">
        <v>439</v>
      </c>
      <c r="B378" s="1148"/>
      <c r="C378" s="1148"/>
      <c r="D378" s="1149" t="s">
        <v>441</v>
      </c>
      <c r="E378" s="1130">
        <v>1</v>
      </c>
      <c r="F378" s="1153"/>
      <c r="G378" s="1140"/>
      <c r="H378" s="1141"/>
      <c r="I378" s="1134"/>
      <c r="J378" s="1135"/>
      <c r="K378" s="1136"/>
      <c r="L378" s="1311"/>
      <c r="M378" s="1324"/>
      <c r="N378" s="166"/>
      <c r="O378" s="1047"/>
      <c r="P378" s="1046"/>
      <c r="Q378" s="135"/>
      <c r="R378" s="136"/>
      <c r="S378" s="129"/>
      <c r="T378" s="129"/>
      <c r="U378" s="129"/>
      <c r="V378" s="129"/>
      <c r="W378" s="129"/>
      <c r="X378" s="129"/>
      <c r="Y378" s="129"/>
      <c r="Z378" s="129"/>
      <c r="AA378" s="129"/>
      <c r="AB378" s="129"/>
      <c r="AC378" s="129"/>
      <c r="AD378" s="129"/>
      <c r="AE378" s="129"/>
      <c r="AF378" s="368"/>
      <c r="AG378" s="368"/>
      <c r="AH378" s="368"/>
      <c r="AI378" s="369"/>
      <c r="AJ378" s="369"/>
      <c r="AK378" s="369"/>
      <c r="AL378" s="369"/>
      <c r="AM378" s="369"/>
      <c r="AN378" s="369"/>
      <c r="AO378" s="369"/>
      <c r="AP378" s="369"/>
      <c r="AQ378" s="369"/>
      <c r="AR378" s="369"/>
      <c r="AS378" s="369"/>
      <c r="AT378" s="369"/>
      <c r="AU378" s="369"/>
      <c r="AV378" s="369"/>
      <c r="AW378" s="369"/>
      <c r="AX378" s="369"/>
      <c r="AY378" s="369"/>
      <c r="AZ378" s="369"/>
      <c r="BA378" s="369"/>
      <c r="BB378" s="369"/>
      <c r="BC378" s="369"/>
      <c r="BD378" s="369"/>
      <c r="BE378" s="369"/>
      <c r="BF378" s="369"/>
      <c r="BG378" s="369"/>
      <c r="BH378" s="369"/>
      <c r="BI378" s="369"/>
      <c r="BJ378" s="369"/>
      <c r="BK378" s="369"/>
      <c r="BL378" s="369"/>
      <c r="BM378" s="369"/>
      <c r="BN378" s="369"/>
      <c r="BO378" s="369"/>
    </row>
    <row r="379" spans="1:67" s="370" customFormat="1" ht="10.5" customHeight="1" x14ac:dyDescent="0.2">
      <c r="A379" s="1147" t="s">
        <v>440</v>
      </c>
      <c r="B379" s="1148"/>
      <c r="C379" s="1148"/>
      <c r="D379" s="1149" t="s">
        <v>442</v>
      </c>
      <c r="E379" s="1159">
        <v>150</v>
      </c>
      <c r="F379" s="1153"/>
      <c r="G379" s="1140"/>
      <c r="H379" s="1141"/>
      <c r="I379" s="1134"/>
      <c r="J379" s="1135"/>
      <c r="K379" s="1136"/>
      <c r="L379" s="1311"/>
      <c r="M379" s="1324"/>
      <c r="N379" s="166"/>
      <c r="O379" s="1047"/>
      <c r="P379" s="1046"/>
      <c r="Q379" s="135"/>
      <c r="R379" s="136"/>
      <c r="S379" s="129"/>
      <c r="T379" s="129"/>
      <c r="U379" s="129"/>
      <c r="V379" s="129"/>
      <c r="W379" s="129"/>
      <c r="X379" s="129"/>
      <c r="Y379" s="129"/>
      <c r="Z379" s="129"/>
      <c r="AA379" s="129"/>
      <c r="AB379" s="129"/>
      <c r="AC379" s="129"/>
      <c r="AD379" s="129"/>
      <c r="AE379" s="129"/>
      <c r="AF379" s="368"/>
      <c r="AG379" s="368"/>
      <c r="AH379" s="368"/>
      <c r="AI379" s="369"/>
      <c r="AJ379" s="369"/>
      <c r="AK379" s="369"/>
      <c r="AL379" s="369"/>
      <c r="AM379" s="369"/>
      <c r="AN379" s="369"/>
      <c r="AO379" s="369"/>
      <c r="AP379" s="369"/>
      <c r="AQ379" s="369"/>
      <c r="AR379" s="369"/>
      <c r="AS379" s="369"/>
      <c r="AT379" s="369"/>
      <c r="AU379" s="369"/>
      <c r="AV379" s="369"/>
      <c r="AW379" s="369"/>
      <c r="AX379" s="369"/>
      <c r="AY379" s="369"/>
      <c r="AZ379" s="369"/>
      <c r="BA379" s="369"/>
      <c r="BB379" s="369"/>
      <c r="BC379" s="369"/>
      <c r="BD379" s="369"/>
      <c r="BE379" s="369"/>
      <c r="BF379" s="369"/>
      <c r="BG379" s="369"/>
      <c r="BH379" s="369"/>
      <c r="BI379" s="369"/>
      <c r="BJ379" s="369"/>
      <c r="BK379" s="369"/>
      <c r="BL379" s="369"/>
      <c r="BM379" s="369"/>
      <c r="BN379" s="369"/>
      <c r="BO379" s="369"/>
    </row>
    <row r="380" spans="1:67" s="370" customFormat="1" ht="10.5" customHeight="1" x14ac:dyDescent="0.2">
      <c r="A380" s="1142" t="s">
        <v>443</v>
      </c>
      <c r="B380" s="1148"/>
      <c r="C380" s="1148"/>
      <c r="D380" s="1364"/>
      <c r="E380" s="2672">
        <f>E370*E371/100*E372*E376/100*E373*E377*E378*E379</f>
        <v>0</v>
      </c>
      <c r="F380" s="2673"/>
      <c r="G380" s="1140"/>
      <c r="H380" s="1141"/>
      <c r="I380" s="1134"/>
      <c r="J380" s="1135"/>
      <c r="K380" s="1136"/>
      <c r="L380" s="1311"/>
      <c r="M380" s="1324"/>
      <c r="N380" s="166"/>
      <c r="O380" s="1047"/>
      <c r="P380" s="1046"/>
      <c r="Q380" s="135"/>
      <c r="R380" s="136"/>
      <c r="S380" s="129"/>
      <c r="T380" s="129"/>
      <c r="U380" s="129"/>
      <c r="V380" s="129"/>
      <c r="W380" s="129"/>
      <c r="X380" s="129"/>
      <c r="Y380" s="129"/>
      <c r="Z380" s="129"/>
      <c r="AA380" s="129"/>
      <c r="AB380" s="129"/>
      <c r="AC380" s="129"/>
      <c r="AD380" s="129"/>
      <c r="AE380" s="129"/>
      <c r="AF380" s="368"/>
      <c r="AG380" s="368"/>
      <c r="AH380" s="368"/>
      <c r="AI380" s="369"/>
      <c r="AJ380" s="369"/>
      <c r="AK380" s="369"/>
      <c r="AL380" s="369"/>
      <c r="AM380" s="369"/>
      <c r="AN380" s="369"/>
      <c r="AO380" s="369"/>
      <c r="AP380" s="369"/>
      <c r="AQ380" s="369"/>
      <c r="AR380" s="369"/>
      <c r="AS380" s="369"/>
      <c r="AT380" s="369"/>
      <c r="AU380" s="369"/>
      <c r="AV380" s="369"/>
      <c r="AW380" s="369"/>
      <c r="AX380" s="369"/>
      <c r="AY380" s="369"/>
      <c r="AZ380" s="369"/>
      <c r="BA380" s="369"/>
      <c r="BB380" s="369"/>
      <c r="BC380" s="369"/>
      <c r="BD380" s="369"/>
      <c r="BE380" s="369"/>
      <c r="BF380" s="369"/>
      <c r="BG380" s="369"/>
      <c r="BH380" s="369"/>
      <c r="BI380" s="369"/>
      <c r="BJ380" s="369"/>
      <c r="BK380" s="369"/>
      <c r="BL380" s="369"/>
      <c r="BM380" s="369"/>
      <c r="BN380" s="369"/>
      <c r="BO380" s="369"/>
    </row>
    <row r="381" spans="1:67" s="370" customFormat="1" ht="10.5" customHeight="1" x14ac:dyDescent="0.2">
      <c r="A381" s="1176"/>
      <c r="B381" s="2609"/>
      <c r="C381" s="2609"/>
      <c r="D381" s="2610"/>
      <c r="E381" s="2601"/>
      <c r="F381" s="2602"/>
      <c r="G381" s="1365"/>
      <c r="H381" s="1366"/>
      <c r="I381" s="1367"/>
      <c r="J381" s="1368"/>
      <c r="K381" s="1369"/>
      <c r="L381" s="1370"/>
      <c r="M381" s="1352"/>
      <c r="N381" s="166"/>
      <c r="O381" s="1047"/>
      <c r="P381" s="1046"/>
      <c r="Q381" s="135"/>
      <c r="R381" s="136"/>
      <c r="S381" s="129"/>
      <c r="T381" s="129"/>
      <c r="U381" s="129"/>
      <c r="V381" s="129"/>
      <c r="W381" s="129"/>
      <c r="X381" s="129"/>
      <c r="Y381" s="129"/>
      <c r="Z381" s="129"/>
      <c r="AA381" s="129"/>
      <c r="AB381" s="129"/>
      <c r="AC381" s="129"/>
      <c r="AD381" s="129"/>
      <c r="AE381" s="129"/>
      <c r="AF381" s="368"/>
      <c r="AG381" s="368"/>
      <c r="AH381" s="368"/>
      <c r="AI381" s="369"/>
      <c r="AJ381" s="369"/>
      <c r="AK381" s="369"/>
      <c r="AL381" s="369"/>
      <c r="AM381" s="369"/>
      <c r="AN381" s="369"/>
      <c r="AO381" s="369"/>
      <c r="AP381" s="369"/>
      <c r="AQ381" s="369"/>
      <c r="AR381" s="369"/>
      <c r="AS381" s="369"/>
      <c r="AT381" s="369"/>
      <c r="AU381" s="369"/>
      <c r="AV381" s="369"/>
      <c r="AW381" s="369"/>
      <c r="AX381" s="369"/>
      <c r="AY381" s="369"/>
      <c r="AZ381" s="369"/>
      <c r="BA381" s="369"/>
      <c r="BB381" s="369"/>
      <c r="BC381" s="369"/>
      <c r="BD381" s="369"/>
      <c r="BE381" s="369"/>
      <c r="BF381" s="369"/>
      <c r="BG381" s="369"/>
      <c r="BH381" s="369"/>
      <c r="BI381" s="369"/>
      <c r="BJ381" s="369"/>
      <c r="BK381" s="369"/>
      <c r="BL381" s="369"/>
      <c r="BM381" s="369"/>
      <c r="BN381" s="369"/>
      <c r="BO381" s="369"/>
    </row>
    <row r="382" spans="1:67" s="370" customFormat="1" ht="10.5" customHeight="1" x14ac:dyDescent="0.2">
      <c r="A382" s="1154" t="s">
        <v>386</v>
      </c>
      <c r="B382" s="1155"/>
      <c r="C382" s="1155"/>
      <c r="D382" s="1156"/>
      <c r="E382" s="1157"/>
      <c r="F382" s="1158"/>
      <c r="G382" s="1168"/>
      <c r="H382" s="1162"/>
      <c r="I382" s="1163"/>
      <c r="J382" s="1164"/>
      <c r="K382" s="1165"/>
      <c r="L382" s="1310"/>
      <c r="M382" s="1323"/>
      <c r="N382" s="166"/>
      <c r="O382" s="1047"/>
      <c r="P382" s="1046"/>
      <c r="Q382" s="135"/>
      <c r="R382" s="136"/>
      <c r="S382" s="129"/>
      <c r="T382" s="129"/>
      <c r="U382" s="129"/>
      <c r="V382" s="129"/>
      <c r="W382" s="129"/>
      <c r="X382" s="129"/>
      <c r="Y382" s="129"/>
      <c r="Z382" s="129"/>
      <c r="AA382" s="129"/>
      <c r="AB382" s="129"/>
      <c r="AC382" s="129"/>
      <c r="AD382" s="129"/>
      <c r="AE382" s="129"/>
      <c r="AF382" s="368"/>
      <c r="AG382" s="368"/>
      <c r="AH382" s="368"/>
      <c r="AI382" s="369"/>
      <c r="AJ382" s="369"/>
      <c r="AK382" s="369"/>
      <c r="AL382" s="369"/>
      <c r="AM382" s="369"/>
      <c r="AN382" s="369"/>
      <c r="AO382" s="369"/>
      <c r="AP382" s="369"/>
      <c r="AQ382" s="369"/>
      <c r="AR382" s="369"/>
      <c r="AS382" s="369"/>
      <c r="AT382" s="369"/>
      <c r="AU382" s="369"/>
      <c r="AV382" s="369"/>
      <c r="AW382" s="369"/>
      <c r="AX382" s="369"/>
      <c r="AY382" s="369"/>
      <c r="AZ382" s="369"/>
      <c r="BA382" s="369"/>
      <c r="BB382" s="369"/>
      <c r="BC382" s="369"/>
      <c r="BD382" s="369"/>
      <c r="BE382" s="369"/>
      <c r="BF382" s="369"/>
      <c r="BG382" s="369"/>
      <c r="BH382" s="369"/>
      <c r="BI382" s="369"/>
      <c r="BJ382" s="369"/>
      <c r="BK382" s="369"/>
      <c r="BL382" s="369"/>
      <c r="BM382" s="369"/>
      <c r="BN382" s="369"/>
      <c r="BO382" s="369"/>
    </row>
    <row r="383" spans="1:67" s="370" customFormat="1" ht="10.5" customHeight="1" x14ac:dyDescent="0.2">
      <c r="A383" s="1142" t="s">
        <v>387</v>
      </c>
      <c r="B383" s="1143"/>
      <c r="C383" s="1143"/>
      <c r="D383" s="1144"/>
      <c r="E383" s="1145"/>
      <c r="F383" s="1146"/>
      <c r="G383" s="1132"/>
      <c r="H383" s="1133"/>
      <c r="I383" s="1134"/>
      <c r="J383" s="1135"/>
      <c r="K383" s="1136"/>
      <c r="L383" s="1311"/>
      <c r="M383" s="1324"/>
      <c r="N383" s="166"/>
      <c r="O383" s="1047"/>
      <c r="P383" s="1046"/>
      <c r="Q383" s="135"/>
      <c r="R383" s="136"/>
      <c r="S383" s="129"/>
      <c r="T383" s="129"/>
      <c r="U383" s="129"/>
      <c r="V383" s="129"/>
      <c r="W383" s="129"/>
      <c r="X383" s="129"/>
      <c r="Y383" s="129"/>
      <c r="Z383" s="129"/>
      <c r="AA383" s="129"/>
      <c r="AB383" s="129"/>
      <c r="AC383" s="129"/>
      <c r="AD383" s="129"/>
      <c r="AE383" s="129"/>
      <c r="AF383" s="368"/>
      <c r="AG383" s="368"/>
      <c r="AH383" s="368"/>
      <c r="AI383" s="369"/>
      <c r="AJ383" s="369"/>
      <c r="AK383" s="369"/>
      <c r="AL383" s="369"/>
      <c r="AM383" s="369"/>
      <c r="AN383" s="369"/>
      <c r="AO383" s="369"/>
      <c r="AP383" s="369"/>
      <c r="AQ383" s="369"/>
      <c r="AR383" s="369"/>
      <c r="AS383" s="369"/>
      <c r="AT383" s="369"/>
      <c r="AU383" s="369"/>
      <c r="AV383" s="369"/>
      <c r="AW383" s="369"/>
      <c r="AX383" s="369"/>
      <c r="AY383" s="369"/>
      <c r="AZ383" s="369"/>
      <c r="BA383" s="369"/>
      <c r="BB383" s="369"/>
      <c r="BC383" s="369"/>
      <c r="BD383" s="369"/>
      <c r="BE383" s="369"/>
      <c r="BF383" s="369"/>
      <c r="BG383" s="369"/>
      <c r="BH383" s="369"/>
      <c r="BI383" s="369"/>
      <c r="BJ383" s="369"/>
      <c r="BK383" s="369"/>
      <c r="BL383" s="369"/>
      <c r="BM383" s="369"/>
      <c r="BN383" s="369"/>
      <c r="BO383" s="369"/>
    </row>
    <row r="384" spans="1:67" s="370" customFormat="1" ht="10.5" customHeight="1" x14ac:dyDescent="0.2">
      <c r="A384" s="1167" t="s">
        <v>477</v>
      </c>
      <c r="B384" s="2663"/>
      <c r="C384" s="2664"/>
      <c r="D384" s="2665"/>
      <c r="E384" s="2641"/>
      <c r="F384" s="2642"/>
      <c r="G384" s="1137"/>
      <c r="H384" s="1138"/>
      <c r="I384" s="1134"/>
      <c r="J384" s="1135"/>
      <c r="K384" s="1136"/>
      <c r="L384" s="1311"/>
      <c r="M384" s="1324"/>
      <c r="N384" s="166"/>
      <c r="O384" s="1047"/>
      <c r="P384" s="1046"/>
      <c r="Q384" s="135"/>
      <c r="R384" s="136"/>
      <c r="S384" s="129"/>
      <c r="T384" s="129"/>
      <c r="U384" s="129"/>
      <c r="V384" s="129"/>
      <c r="W384" s="129"/>
      <c r="X384" s="129"/>
      <c r="Y384" s="129"/>
      <c r="Z384" s="129"/>
      <c r="AA384" s="129"/>
      <c r="AB384" s="129"/>
      <c r="AC384" s="129"/>
      <c r="AD384" s="129"/>
      <c r="AE384" s="129"/>
      <c r="AF384" s="368"/>
      <c r="AG384" s="368"/>
      <c r="AH384" s="368"/>
      <c r="AI384" s="369"/>
      <c r="AJ384" s="369"/>
      <c r="AK384" s="369"/>
      <c r="AL384" s="369"/>
      <c r="AM384" s="369"/>
      <c r="AN384" s="369"/>
      <c r="AO384" s="369"/>
      <c r="AP384" s="369"/>
      <c r="AQ384" s="369"/>
      <c r="AR384" s="369"/>
      <c r="AS384" s="369"/>
      <c r="AT384" s="369"/>
      <c r="AU384" s="369"/>
      <c r="AV384" s="369"/>
      <c r="AW384" s="369"/>
      <c r="AX384" s="369"/>
      <c r="AY384" s="369"/>
      <c r="AZ384" s="369"/>
      <c r="BA384" s="369"/>
      <c r="BB384" s="369"/>
      <c r="BC384" s="369"/>
      <c r="BD384" s="369"/>
      <c r="BE384" s="369"/>
      <c r="BF384" s="369"/>
      <c r="BG384" s="369"/>
      <c r="BH384" s="369"/>
      <c r="BI384" s="369"/>
      <c r="BJ384" s="369"/>
      <c r="BK384" s="369"/>
      <c r="BL384" s="369"/>
      <c r="BM384" s="369"/>
      <c r="BN384" s="369"/>
      <c r="BO384" s="369"/>
    </row>
    <row r="385" spans="1:67" s="370" customFormat="1" ht="10.5" customHeight="1" x14ac:dyDescent="0.2">
      <c r="A385" s="1167" t="s">
        <v>55</v>
      </c>
      <c r="B385" s="2663"/>
      <c r="C385" s="2664"/>
      <c r="D385" s="2665"/>
      <c r="E385" s="2641"/>
      <c r="F385" s="2642"/>
      <c r="G385" s="1139"/>
      <c r="H385" s="1133"/>
      <c r="I385" s="1134"/>
      <c r="J385" s="1135"/>
      <c r="K385" s="1136"/>
      <c r="L385" s="1311"/>
      <c r="M385" s="1324"/>
      <c r="N385" s="166"/>
      <c r="O385" s="1047"/>
      <c r="P385" s="1046"/>
      <c r="Q385" s="135"/>
      <c r="R385" s="136"/>
      <c r="S385" s="129"/>
      <c r="T385" s="129"/>
      <c r="U385" s="129"/>
      <c r="V385" s="129"/>
      <c r="W385" s="129"/>
      <c r="X385" s="129"/>
      <c r="Y385" s="129"/>
      <c r="Z385" s="129"/>
      <c r="AA385" s="129"/>
      <c r="AB385" s="129"/>
      <c r="AC385" s="129"/>
      <c r="AD385" s="129"/>
      <c r="AE385" s="129"/>
      <c r="AF385" s="368"/>
      <c r="AG385" s="368"/>
      <c r="AH385" s="368"/>
      <c r="AI385" s="369"/>
      <c r="AJ385" s="369"/>
      <c r="AK385" s="369"/>
      <c r="AL385" s="369"/>
      <c r="AM385" s="369"/>
      <c r="AN385" s="369"/>
      <c r="AO385" s="369"/>
      <c r="AP385" s="369"/>
      <c r="AQ385" s="369"/>
      <c r="AR385" s="369"/>
      <c r="AS385" s="369"/>
      <c r="AT385" s="369"/>
      <c r="AU385" s="369"/>
      <c r="AV385" s="369"/>
      <c r="AW385" s="369"/>
      <c r="AX385" s="369"/>
      <c r="AY385" s="369"/>
      <c r="AZ385" s="369"/>
      <c r="BA385" s="369"/>
      <c r="BB385" s="369"/>
      <c r="BC385" s="369"/>
      <c r="BD385" s="369"/>
      <c r="BE385" s="369"/>
      <c r="BF385" s="369"/>
      <c r="BG385" s="369"/>
      <c r="BH385" s="369"/>
      <c r="BI385" s="369"/>
      <c r="BJ385" s="369"/>
      <c r="BK385" s="369"/>
      <c r="BL385" s="369"/>
      <c r="BM385" s="369"/>
      <c r="BN385" s="369"/>
      <c r="BO385" s="369"/>
    </row>
    <row r="386" spans="1:67" s="370" customFormat="1" ht="10.5" customHeight="1" x14ac:dyDescent="0.2">
      <c r="A386" s="1167" t="s">
        <v>56</v>
      </c>
      <c r="B386" s="2663"/>
      <c r="C386" s="2664"/>
      <c r="D386" s="2665"/>
      <c r="E386" s="2641"/>
      <c r="F386" s="2642"/>
      <c r="G386" s="1139"/>
      <c r="H386" s="1133"/>
      <c r="I386" s="1134"/>
      <c r="J386" s="1135"/>
      <c r="K386" s="1136"/>
      <c r="L386" s="1311"/>
      <c r="M386" s="1324"/>
      <c r="N386" s="166"/>
      <c r="O386" s="1047"/>
      <c r="P386" s="1046"/>
      <c r="Q386" s="135"/>
      <c r="R386" s="136"/>
      <c r="S386" s="129"/>
      <c r="T386" s="129"/>
      <c r="U386" s="129"/>
      <c r="V386" s="129"/>
      <c r="W386" s="129"/>
      <c r="X386" s="129"/>
      <c r="Y386" s="129"/>
      <c r="Z386" s="129"/>
      <c r="AA386" s="129"/>
      <c r="AB386" s="129"/>
      <c r="AC386" s="129"/>
      <c r="AD386" s="129"/>
      <c r="AE386" s="129"/>
      <c r="AF386" s="368"/>
      <c r="AG386" s="368"/>
      <c r="AH386" s="368"/>
      <c r="AI386" s="369"/>
      <c r="AJ386" s="369"/>
      <c r="AK386" s="369"/>
      <c r="AL386" s="369"/>
      <c r="AM386" s="369"/>
      <c r="AN386" s="369"/>
      <c r="AO386" s="369"/>
      <c r="AP386" s="369"/>
      <c r="AQ386" s="369"/>
      <c r="AR386" s="369"/>
      <c r="AS386" s="369"/>
      <c r="AT386" s="369"/>
      <c r="AU386" s="369"/>
      <c r="AV386" s="369"/>
      <c r="AW386" s="369"/>
      <c r="AX386" s="369"/>
      <c r="AY386" s="369"/>
      <c r="AZ386" s="369"/>
      <c r="BA386" s="369"/>
      <c r="BB386" s="369"/>
      <c r="BC386" s="369"/>
      <c r="BD386" s="369"/>
      <c r="BE386" s="369"/>
      <c r="BF386" s="369"/>
      <c r="BG386" s="369"/>
      <c r="BH386" s="369"/>
      <c r="BI386" s="369"/>
      <c r="BJ386" s="369"/>
      <c r="BK386" s="369"/>
      <c r="BL386" s="369"/>
      <c r="BM386" s="369"/>
      <c r="BN386" s="369"/>
      <c r="BO386" s="369"/>
    </row>
    <row r="387" spans="1:67" s="370" customFormat="1" ht="10.5" customHeight="1" x14ac:dyDescent="0.2">
      <c r="A387" s="1167" t="s">
        <v>388</v>
      </c>
      <c r="B387" s="2663"/>
      <c r="C387" s="2664"/>
      <c r="D387" s="2665"/>
      <c r="E387" s="2641"/>
      <c r="F387" s="2642"/>
      <c r="G387" s="1139"/>
      <c r="H387" s="1133"/>
      <c r="I387" s="1134"/>
      <c r="J387" s="1135"/>
      <c r="K387" s="1136"/>
      <c r="L387" s="1311"/>
      <c r="M387" s="1324"/>
      <c r="N387" s="166"/>
      <c r="O387" s="1047"/>
      <c r="P387" s="1046"/>
      <c r="Q387" s="135"/>
      <c r="R387" s="136"/>
      <c r="S387" s="129"/>
      <c r="T387" s="129"/>
      <c r="U387" s="129"/>
      <c r="V387" s="129"/>
      <c r="W387" s="129"/>
      <c r="X387" s="129"/>
      <c r="Y387" s="129"/>
      <c r="Z387" s="129"/>
      <c r="AA387" s="129"/>
      <c r="AB387" s="129"/>
      <c r="AC387" s="129"/>
      <c r="AD387" s="129"/>
      <c r="AE387" s="129"/>
      <c r="AF387" s="368"/>
      <c r="AG387" s="368"/>
      <c r="AH387" s="368"/>
      <c r="AI387" s="369"/>
      <c r="AJ387" s="369"/>
      <c r="AK387" s="369"/>
      <c r="AL387" s="369"/>
      <c r="AM387" s="369"/>
      <c r="AN387" s="369"/>
      <c r="AO387" s="369"/>
      <c r="AP387" s="369"/>
      <c r="AQ387" s="369"/>
      <c r="AR387" s="369"/>
      <c r="AS387" s="369"/>
      <c r="AT387" s="369"/>
      <c r="AU387" s="369"/>
      <c r="AV387" s="369"/>
      <c r="AW387" s="369"/>
      <c r="AX387" s="369"/>
      <c r="AY387" s="369"/>
      <c r="AZ387" s="369"/>
      <c r="BA387" s="369"/>
      <c r="BB387" s="369"/>
      <c r="BC387" s="369"/>
      <c r="BD387" s="369"/>
      <c r="BE387" s="369"/>
      <c r="BF387" s="369"/>
      <c r="BG387" s="369"/>
      <c r="BH387" s="369"/>
      <c r="BI387" s="369"/>
      <c r="BJ387" s="369"/>
      <c r="BK387" s="369"/>
      <c r="BL387" s="369"/>
      <c r="BM387" s="369"/>
      <c r="BN387" s="369"/>
      <c r="BO387" s="369"/>
    </row>
    <row r="388" spans="1:67" s="370" customFormat="1" ht="10.5" customHeight="1" x14ac:dyDescent="0.2">
      <c r="A388" s="1167" t="s">
        <v>389</v>
      </c>
      <c r="B388" s="2663"/>
      <c r="C388" s="2664"/>
      <c r="D388" s="2665"/>
      <c r="E388" s="2641"/>
      <c r="F388" s="2642"/>
      <c r="G388" s="1169"/>
      <c r="H388" s="1170"/>
      <c r="I388" s="1134"/>
      <c r="J388" s="1135"/>
      <c r="K388" s="1136"/>
      <c r="L388" s="1311"/>
      <c r="M388" s="1324"/>
      <c r="N388" s="166"/>
      <c r="O388" s="1047"/>
      <c r="P388" s="1046"/>
      <c r="Q388" s="135"/>
      <c r="R388" s="136"/>
      <c r="S388" s="129"/>
      <c r="T388" s="129"/>
      <c r="U388" s="129"/>
      <c r="V388" s="129"/>
      <c r="W388" s="129"/>
      <c r="X388" s="129"/>
      <c r="Y388" s="129"/>
      <c r="Z388" s="129"/>
      <c r="AA388" s="129"/>
      <c r="AB388" s="129"/>
      <c r="AC388" s="129"/>
      <c r="AD388" s="129"/>
      <c r="AE388" s="129"/>
      <c r="AF388" s="368"/>
      <c r="AG388" s="368"/>
      <c r="AH388" s="368"/>
      <c r="AI388" s="369"/>
      <c r="AJ388" s="369"/>
      <c r="AK388" s="369"/>
      <c r="AL388" s="369"/>
      <c r="AM388" s="369"/>
      <c r="AN388" s="369"/>
      <c r="AO388" s="369"/>
      <c r="AP388" s="369"/>
      <c r="AQ388" s="369"/>
      <c r="AR388" s="369"/>
      <c r="AS388" s="369"/>
      <c r="AT388" s="369"/>
      <c r="AU388" s="369"/>
      <c r="AV388" s="369"/>
      <c r="AW388" s="369"/>
      <c r="AX388" s="369"/>
      <c r="AY388" s="369"/>
      <c r="AZ388" s="369"/>
      <c r="BA388" s="369"/>
      <c r="BB388" s="369"/>
      <c r="BC388" s="369"/>
      <c r="BD388" s="369"/>
      <c r="BE388" s="369"/>
      <c r="BF388" s="369"/>
      <c r="BG388" s="369"/>
      <c r="BH388" s="369"/>
      <c r="BI388" s="369"/>
      <c r="BJ388" s="369"/>
      <c r="BK388" s="369"/>
      <c r="BL388" s="369"/>
      <c r="BM388" s="369"/>
      <c r="BN388" s="369"/>
      <c r="BO388" s="369"/>
    </row>
    <row r="389" spans="1:67" s="370" customFormat="1" ht="10.5" customHeight="1" x14ac:dyDescent="0.2">
      <c r="A389" s="1288" t="s">
        <v>13</v>
      </c>
      <c r="B389" s="1289"/>
      <c r="C389" s="1289"/>
      <c r="D389" s="1290"/>
      <c r="E389" s="2674">
        <f>SUM(E384:E388)</f>
        <v>0</v>
      </c>
      <c r="F389" s="2675"/>
      <c r="G389" s="1291"/>
      <c r="H389" s="1292"/>
      <c r="I389" s="1293"/>
      <c r="J389" s="1294"/>
      <c r="K389" s="1295"/>
      <c r="L389" s="1313"/>
      <c r="M389" s="1325"/>
      <c r="N389" s="166"/>
      <c r="O389" s="1047"/>
      <c r="P389" s="1046"/>
      <c r="Q389" s="135"/>
      <c r="R389" s="136"/>
      <c r="S389" s="129"/>
      <c r="T389" s="129"/>
      <c r="U389" s="129"/>
      <c r="V389" s="129"/>
      <c r="W389" s="129"/>
      <c r="X389" s="129"/>
      <c r="Y389" s="129"/>
      <c r="Z389" s="129"/>
      <c r="AA389" s="129"/>
      <c r="AB389" s="129"/>
      <c r="AC389" s="129"/>
      <c r="AD389" s="129"/>
      <c r="AE389" s="129"/>
      <c r="AF389" s="368"/>
      <c r="AG389" s="368"/>
      <c r="AH389" s="368"/>
      <c r="AI389" s="369"/>
      <c r="AJ389" s="369"/>
      <c r="AK389" s="369"/>
      <c r="AL389" s="369"/>
      <c r="AM389" s="369"/>
      <c r="AN389" s="369"/>
      <c r="AO389" s="369"/>
      <c r="AP389" s="369"/>
      <c r="AQ389" s="369"/>
      <c r="AR389" s="369"/>
      <c r="AS389" s="369"/>
      <c r="AT389" s="369"/>
      <c r="AU389" s="369"/>
      <c r="AV389" s="369"/>
      <c r="AW389" s="369"/>
      <c r="AX389" s="369"/>
      <c r="AY389" s="369"/>
      <c r="AZ389" s="369"/>
      <c r="BA389" s="369"/>
      <c r="BB389" s="369"/>
      <c r="BC389" s="369"/>
      <c r="BD389" s="369"/>
      <c r="BE389" s="369"/>
      <c r="BF389" s="369"/>
      <c r="BG389" s="369"/>
      <c r="BH389" s="369"/>
      <c r="BI389" s="369"/>
      <c r="BJ389" s="369"/>
      <c r="BK389" s="369"/>
      <c r="BL389" s="369"/>
      <c r="BM389" s="369"/>
      <c r="BN389" s="369"/>
      <c r="BO389" s="369"/>
    </row>
    <row r="390" spans="1:67" s="370" customFormat="1" ht="10.5" customHeight="1" x14ac:dyDescent="0.2">
      <c r="A390" s="1142" t="s">
        <v>390</v>
      </c>
      <c r="B390" s="1143"/>
      <c r="C390" s="1143"/>
      <c r="D390" s="1144"/>
      <c r="E390" s="1145"/>
      <c r="F390" s="1146"/>
      <c r="G390" s="1132"/>
      <c r="H390" s="1133"/>
      <c r="I390" s="1134"/>
      <c r="J390" s="1135"/>
      <c r="K390" s="1136"/>
      <c r="L390" s="1311"/>
      <c r="M390" s="1324"/>
      <c r="N390" s="166"/>
      <c r="O390" s="1047"/>
      <c r="P390" s="1046"/>
      <c r="Q390" s="135"/>
      <c r="R390" s="136"/>
      <c r="S390" s="129"/>
      <c r="T390" s="129"/>
      <c r="U390" s="129"/>
      <c r="V390" s="129"/>
      <c r="W390" s="129"/>
      <c r="X390" s="129"/>
      <c r="Y390" s="129"/>
      <c r="Z390" s="129"/>
      <c r="AA390" s="129"/>
      <c r="AB390" s="129"/>
      <c r="AC390" s="129"/>
      <c r="AD390" s="129"/>
      <c r="AE390" s="129"/>
      <c r="AF390" s="368"/>
      <c r="AG390" s="368"/>
      <c r="AH390" s="368"/>
      <c r="AI390" s="369"/>
      <c r="AJ390" s="369"/>
      <c r="AK390" s="369"/>
      <c r="AL390" s="369"/>
      <c r="AM390" s="369"/>
      <c r="AN390" s="369"/>
      <c r="AO390" s="369"/>
      <c r="AP390" s="369"/>
      <c r="AQ390" s="369"/>
      <c r="AR390" s="369"/>
      <c r="AS390" s="369"/>
      <c r="AT390" s="369"/>
      <c r="AU390" s="369"/>
      <c r="AV390" s="369"/>
      <c r="AW390" s="369"/>
      <c r="AX390" s="369"/>
      <c r="AY390" s="369"/>
      <c r="AZ390" s="369"/>
      <c r="BA390" s="369"/>
      <c r="BB390" s="369"/>
      <c r="BC390" s="369"/>
      <c r="BD390" s="369"/>
      <c r="BE390" s="369"/>
      <c r="BF390" s="369"/>
      <c r="BG390" s="369"/>
      <c r="BH390" s="369"/>
      <c r="BI390" s="369"/>
      <c r="BJ390" s="369"/>
      <c r="BK390" s="369"/>
      <c r="BL390" s="369"/>
      <c r="BM390" s="369"/>
      <c r="BN390" s="369"/>
      <c r="BO390" s="369"/>
    </row>
    <row r="391" spans="1:67" s="370" customFormat="1" ht="10.5" customHeight="1" x14ac:dyDescent="0.2">
      <c r="A391" s="1167" t="s">
        <v>477</v>
      </c>
      <c r="B391" s="2663"/>
      <c r="C391" s="2664"/>
      <c r="D391" s="2665"/>
      <c r="E391" s="2641"/>
      <c r="F391" s="2642"/>
      <c r="G391" s="1137"/>
      <c r="H391" s="1138"/>
      <c r="I391" s="1134"/>
      <c r="J391" s="1135"/>
      <c r="K391" s="1136"/>
      <c r="L391" s="1311"/>
      <c r="M391" s="1324"/>
      <c r="N391" s="166"/>
      <c r="O391" s="1047"/>
      <c r="P391" s="1046"/>
      <c r="Q391" s="135"/>
      <c r="R391" s="136"/>
      <c r="S391" s="129"/>
      <c r="T391" s="129"/>
      <c r="U391" s="129"/>
      <c r="V391" s="129"/>
      <c r="W391" s="129"/>
      <c r="X391" s="129"/>
      <c r="Y391" s="129"/>
      <c r="Z391" s="129"/>
      <c r="AA391" s="129"/>
      <c r="AB391" s="129"/>
      <c r="AC391" s="129"/>
      <c r="AD391" s="129"/>
      <c r="AE391" s="129"/>
      <c r="AF391" s="368"/>
      <c r="AG391" s="368"/>
      <c r="AH391" s="368"/>
      <c r="AI391" s="369"/>
      <c r="AJ391" s="369"/>
      <c r="AK391" s="369"/>
      <c r="AL391" s="369"/>
      <c r="AM391" s="369"/>
      <c r="AN391" s="369"/>
      <c r="AO391" s="369"/>
      <c r="AP391" s="369"/>
      <c r="AQ391" s="369"/>
      <c r="AR391" s="369"/>
      <c r="AS391" s="369"/>
      <c r="AT391" s="369"/>
      <c r="AU391" s="369"/>
      <c r="AV391" s="369"/>
      <c r="AW391" s="369"/>
      <c r="AX391" s="369"/>
      <c r="AY391" s="369"/>
      <c r="AZ391" s="369"/>
      <c r="BA391" s="369"/>
      <c r="BB391" s="369"/>
      <c r="BC391" s="369"/>
      <c r="BD391" s="369"/>
      <c r="BE391" s="369"/>
      <c r="BF391" s="369"/>
      <c r="BG391" s="369"/>
      <c r="BH391" s="369"/>
      <c r="BI391" s="369"/>
      <c r="BJ391" s="369"/>
      <c r="BK391" s="369"/>
      <c r="BL391" s="369"/>
      <c r="BM391" s="369"/>
      <c r="BN391" s="369"/>
      <c r="BO391" s="369"/>
    </row>
    <row r="392" spans="1:67" s="370" customFormat="1" ht="10.5" customHeight="1" x14ac:dyDescent="0.2">
      <c r="A392" s="1167" t="s">
        <v>55</v>
      </c>
      <c r="B392" s="2663"/>
      <c r="C392" s="2664"/>
      <c r="D392" s="2665"/>
      <c r="E392" s="2641"/>
      <c r="F392" s="2642"/>
      <c r="G392" s="1139"/>
      <c r="H392" s="1133"/>
      <c r="I392" s="1134"/>
      <c r="J392" s="1135"/>
      <c r="K392" s="1136"/>
      <c r="L392" s="1311"/>
      <c r="M392" s="1324"/>
      <c r="N392" s="166"/>
      <c r="O392" s="1047"/>
      <c r="P392" s="1046"/>
      <c r="Q392" s="135"/>
      <c r="R392" s="136"/>
      <c r="S392" s="129"/>
      <c r="T392" s="129"/>
      <c r="U392" s="129"/>
      <c r="V392" s="129"/>
      <c r="W392" s="129"/>
      <c r="X392" s="129"/>
      <c r="Y392" s="129"/>
      <c r="Z392" s="129"/>
      <c r="AA392" s="129"/>
      <c r="AB392" s="129"/>
      <c r="AC392" s="129"/>
      <c r="AD392" s="129"/>
      <c r="AE392" s="129"/>
      <c r="AF392" s="368"/>
      <c r="AG392" s="368"/>
      <c r="AH392" s="368"/>
      <c r="AI392" s="369"/>
      <c r="AJ392" s="369"/>
      <c r="AK392" s="369"/>
      <c r="AL392" s="369"/>
      <c r="AM392" s="369"/>
      <c r="AN392" s="369"/>
      <c r="AO392" s="369"/>
      <c r="AP392" s="369"/>
      <c r="AQ392" s="369"/>
      <c r="AR392" s="369"/>
      <c r="AS392" s="369"/>
      <c r="AT392" s="369"/>
      <c r="AU392" s="369"/>
      <c r="AV392" s="369"/>
      <c r="AW392" s="369"/>
      <c r="AX392" s="369"/>
      <c r="AY392" s="369"/>
      <c r="AZ392" s="369"/>
      <c r="BA392" s="369"/>
      <c r="BB392" s="369"/>
      <c r="BC392" s="369"/>
      <c r="BD392" s="369"/>
      <c r="BE392" s="369"/>
      <c r="BF392" s="369"/>
      <c r="BG392" s="369"/>
      <c r="BH392" s="369"/>
      <c r="BI392" s="369"/>
      <c r="BJ392" s="369"/>
      <c r="BK392" s="369"/>
      <c r="BL392" s="369"/>
      <c r="BM392" s="369"/>
      <c r="BN392" s="369"/>
      <c r="BO392" s="369"/>
    </row>
    <row r="393" spans="1:67" s="370" customFormat="1" ht="10.5" customHeight="1" x14ac:dyDescent="0.2">
      <c r="A393" s="1167" t="s">
        <v>56</v>
      </c>
      <c r="B393" s="2663"/>
      <c r="C393" s="2664"/>
      <c r="D393" s="2665"/>
      <c r="E393" s="2641"/>
      <c r="F393" s="2642"/>
      <c r="G393" s="1139"/>
      <c r="H393" s="1133"/>
      <c r="I393" s="1134"/>
      <c r="J393" s="1135"/>
      <c r="K393" s="1136"/>
      <c r="L393" s="1311"/>
      <c r="M393" s="1324"/>
      <c r="N393" s="166"/>
      <c r="O393" s="1047"/>
      <c r="P393" s="1046"/>
      <c r="Q393" s="135"/>
      <c r="R393" s="136"/>
      <c r="S393" s="129"/>
      <c r="T393" s="129"/>
      <c r="U393" s="129"/>
      <c r="V393" s="129"/>
      <c r="W393" s="129"/>
      <c r="X393" s="129"/>
      <c r="Y393" s="129"/>
      <c r="Z393" s="129"/>
      <c r="AA393" s="129"/>
      <c r="AB393" s="129"/>
      <c r="AC393" s="129"/>
      <c r="AD393" s="129"/>
      <c r="AE393" s="129"/>
      <c r="AF393" s="368"/>
      <c r="AG393" s="368"/>
      <c r="AH393" s="368"/>
      <c r="AI393" s="369"/>
      <c r="AJ393" s="369"/>
      <c r="AK393" s="369"/>
      <c r="AL393" s="369"/>
      <c r="AM393" s="369"/>
      <c r="AN393" s="369"/>
      <c r="AO393" s="369"/>
      <c r="AP393" s="369"/>
      <c r="AQ393" s="369"/>
      <c r="AR393" s="369"/>
      <c r="AS393" s="369"/>
      <c r="AT393" s="369"/>
      <c r="AU393" s="369"/>
      <c r="AV393" s="369"/>
      <c r="AW393" s="369"/>
      <c r="AX393" s="369"/>
      <c r="AY393" s="369"/>
      <c r="AZ393" s="369"/>
      <c r="BA393" s="369"/>
      <c r="BB393" s="369"/>
      <c r="BC393" s="369"/>
      <c r="BD393" s="369"/>
      <c r="BE393" s="369"/>
      <c r="BF393" s="369"/>
      <c r="BG393" s="369"/>
      <c r="BH393" s="369"/>
      <c r="BI393" s="369"/>
      <c r="BJ393" s="369"/>
      <c r="BK393" s="369"/>
      <c r="BL393" s="369"/>
      <c r="BM393" s="369"/>
      <c r="BN393" s="369"/>
      <c r="BO393" s="369"/>
    </row>
    <row r="394" spans="1:67" s="370" customFormat="1" ht="10.5" customHeight="1" x14ac:dyDescent="0.2">
      <c r="A394" s="1167" t="s">
        <v>388</v>
      </c>
      <c r="B394" s="2663"/>
      <c r="C394" s="2664"/>
      <c r="D394" s="2665"/>
      <c r="E394" s="2641"/>
      <c r="F394" s="2642"/>
      <c r="G394" s="1139"/>
      <c r="H394" s="1133"/>
      <c r="I394" s="1134"/>
      <c r="J394" s="1135"/>
      <c r="K394" s="1136"/>
      <c r="L394" s="1311"/>
      <c r="M394" s="1324"/>
      <c r="N394" s="166"/>
      <c r="O394" s="1047"/>
      <c r="P394" s="1046"/>
      <c r="Q394" s="135"/>
      <c r="R394" s="136"/>
      <c r="S394" s="129"/>
      <c r="T394" s="129"/>
      <c r="U394" s="129"/>
      <c r="V394" s="129"/>
      <c r="W394" s="129"/>
      <c r="X394" s="129"/>
      <c r="Y394" s="129"/>
      <c r="Z394" s="129"/>
      <c r="AA394" s="129"/>
      <c r="AB394" s="129"/>
      <c r="AC394" s="129"/>
      <c r="AD394" s="129"/>
      <c r="AE394" s="129"/>
      <c r="AF394" s="368"/>
      <c r="AG394" s="368"/>
      <c r="AH394" s="368"/>
      <c r="AI394" s="369"/>
      <c r="AJ394" s="369"/>
      <c r="AK394" s="369"/>
      <c r="AL394" s="369"/>
      <c r="AM394" s="369"/>
      <c r="AN394" s="369"/>
      <c r="AO394" s="369"/>
      <c r="AP394" s="369"/>
      <c r="AQ394" s="369"/>
      <c r="AR394" s="369"/>
      <c r="AS394" s="369"/>
      <c r="AT394" s="369"/>
      <c r="AU394" s="369"/>
      <c r="AV394" s="369"/>
      <c r="AW394" s="369"/>
      <c r="AX394" s="369"/>
      <c r="AY394" s="369"/>
      <c r="AZ394" s="369"/>
      <c r="BA394" s="369"/>
      <c r="BB394" s="369"/>
      <c r="BC394" s="369"/>
      <c r="BD394" s="369"/>
      <c r="BE394" s="369"/>
      <c r="BF394" s="369"/>
      <c r="BG394" s="369"/>
      <c r="BH394" s="369"/>
      <c r="BI394" s="369"/>
      <c r="BJ394" s="369"/>
      <c r="BK394" s="369"/>
      <c r="BL394" s="369"/>
      <c r="BM394" s="369"/>
      <c r="BN394" s="369"/>
      <c r="BO394" s="369"/>
    </row>
    <row r="395" spans="1:67" s="370" customFormat="1" ht="10.5" customHeight="1" x14ac:dyDescent="0.2">
      <c r="A395" s="1167" t="s">
        <v>389</v>
      </c>
      <c r="B395" s="2663"/>
      <c r="C395" s="2664"/>
      <c r="D395" s="2665"/>
      <c r="E395" s="2641"/>
      <c r="F395" s="2642"/>
      <c r="G395" s="1169"/>
      <c r="H395" s="1170"/>
      <c r="I395" s="1134"/>
      <c r="J395" s="1135"/>
      <c r="K395" s="1136"/>
      <c r="L395" s="1311"/>
      <c r="M395" s="1324"/>
      <c r="N395" s="166"/>
      <c r="O395" s="1047"/>
      <c r="P395" s="1046"/>
      <c r="Q395" s="135"/>
      <c r="R395" s="136"/>
      <c r="S395" s="129"/>
      <c r="T395" s="129"/>
      <c r="U395" s="129"/>
      <c r="V395" s="129"/>
      <c r="W395" s="129"/>
      <c r="X395" s="129"/>
      <c r="Y395" s="129"/>
      <c r="Z395" s="129"/>
      <c r="AA395" s="129"/>
      <c r="AB395" s="129"/>
      <c r="AC395" s="129"/>
      <c r="AD395" s="129"/>
      <c r="AE395" s="129"/>
      <c r="AF395" s="368"/>
      <c r="AG395" s="368"/>
      <c r="AH395" s="368"/>
      <c r="AI395" s="369"/>
      <c r="AJ395" s="369"/>
      <c r="AK395" s="369"/>
      <c r="AL395" s="369"/>
      <c r="AM395" s="369"/>
      <c r="AN395" s="369"/>
      <c r="AO395" s="369"/>
      <c r="AP395" s="369"/>
      <c r="AQ395" s="369"/>
      <c r="AR395" s="369"/>
      <c r="AS395" s="369"/>
      <c r="AT395" s="369"/>
      <c r="AU395" s="369"/>
      <c r="AV395" s="369"/>
      <c r="AW395" s="369"/>
      <c r="AX395" s="369"/>
      <c r="AY395" s="369"/>
      <c r="AZ395" s="369"/>
      <c r="BA395" s="369"/>
      <c r="BB395" s="369"/>
      <c r="BC395" s="369"/>
      <c r="BD395" s="369"/>
      <c r="BE395" s="369"/>
      <c r="BF395" s="369"/>
      <c r="BG395" s="369"/>
      <c r="BH395" s="369"/>
      <c r="BI395" s="369"/>
      <c r="BJ395" s="369"/>
      <c r="BK395" s="369"/>
      <c r="BL395" s="369"/>
      <c r="BM395" s="369"/>
      <c r="BN395" s="369"/>
      <c r="BO395" s="369"/>
    </row>
    <row r="396" spans="1:67" s="370" customFormat="1" ht="10.5" customHeight="1" x14ac:dyDescent="0.2">
      <c r="A396" s="1296" t="s">
        <v>13</v>
      </c>
      <c r="B396" s="1297"/>
      <c r="C396" s="1297"/>
      <c r="D396" s="1298"/>
      <c r="E396" s="2666">
        <f>SUM(E390:E395)</f>
        <v>0</v>
      </c>
      <c r="F396" s="2667"/>
      <c r="G396" s="1299"/>
      <c r="H396" s="1300"/>
      <c r="I396" s="1301"/>
      <c r="J396" s="1302"/>
      <c r="K396" s="1303"/>
      <c r="L396" s="1314"/>
      <c r="M396" s="1326"/>
      <c r="N396" s="166"/>
      <c r="O396" s="1047"/>
      <c r="P396" s="1046"/>
      <c r="Q396" s="135"/>
      <c r="R396" s="136"/>
      <c r="S396" s="129"/>
      <c r="T396" s="129"/>
      <c r="U396" s="129"/>
      <c r="V396" s="129"/>
      <c r="W396" s="129"/>
      <c r="X396" s="129"/>
      <c r="Y396" s="129"/>
      <c r="Z396" s="129"/>
      <c r="AA396" s="129"/>
      <c r="AB396" s="129"/>
      <c r="AC396" s="129"/>
      <c r="AD396" s="129"/>
      <c r="AE396" s="129"/>
      <c r="AF396" s="368"/>
      <c r="AG396" s="368"/>
      <c r="AH396" s="368"/>
      <c r="AI396" s="369"/>
      <c r="AJ396" s="369"/>
      <c r="AK396" s="369"/>
      <c r="AL396" s="369"/>
      <c r="AM396" s="369"/>
      <c r="AN396" s="369"/>
      <c r="AO396" s="369"/>
      <c r="AP396" s="369"/>
      <c r="AQ396" s="369"/>
      <c r="AR396" s="369"/>
      <c r="AS396" s="369"/>
      <c r="AT396" s="369"/>
      <c r="AU396" s="369"/>
      <c r="AV396" s="369"/>
      <c r="AW396" s="369"/>
      <c r="AX396" s="369"/>
      <c r="AY396" s="369"/>
      <c r="AZ396" s="369"/>
      <c r="BA396" s="369"/>
      <c r="BB396" s="369"/>
      <c r="BC396" s="369"/>
      <c r="BD396" s="369"/>
      <c r="BE396" s="369"/>
      <c r="BF396" s="369"/>
      <c r="BG396" s="369"/>
      <c r="BH396" s="369"/>
      <c r="BI396" s="369"/>
      <c r="BJ396" s="369"/>
      <c r="BK396" s="369"/>
      <c r="BL396" s="369"/>
      <c r="BM396" s="369"/>
      <c r="BN396" s="369"/>
      <c r="BO396" s="369"/>
    </row>
    <row r="397" spans="1:67" s="36" customFormat="1" ht="10.5" customHeight="1" x14ac:dyDescent="0.2">
      <c r="A397" s="1371"/>
      <c r="B397" s="2670"/>
      <c r="C397" s="2670"/>
      <c r="D397" s="2671"/>
      <c r="E397" s="2668"/>
      <c r="F397" s="2669"/>
      <c r="G397" s="1088"/>
      <c r="H397" s="1089"/>
      <c r="I397" s="1083">
        <f>IF($O397&gt;0,-PMT((#REF!),$O397,1),0)</f>
        <v>0</v>
      </c>
      <c r="J397" s="1084"/>
      <c r="K397" s="1087"/>
      <c r="L397" s="1307"/>
      <c r="M397" s="1317">
        <f>ROUND(E397/100*IF(ISBLANK(L397),K397,L397),-1)</f>
        <v>0</v>
      </c>
      <c r="N397" s="506"/>
      <c r="O397" s="391"/>
      <c r="P397" s="392"/>
      <c r="Q397" s="135"/>
      <c r="R397" s="136"/>
      <c r="S397" s="129"/>
      <c r="T397" s="129"/>
      <c r="U397" s="129"/>
      <c r="V397" s="129"/>
      <c r="W397" s="129"/>
      <c r="X397" s="129"/>
      <c r="Y397" s="129"/>
      <c r="Z397" s="133"/>
      <c r="AA397" s="133"/>
      <c r="AB397" s="133"/>
      <c r="AC397" s="133"/>
      <c r="AD397" s="133"/>
      <c r="AE397" s="133"/>
      <c r="AF397" s="222"/>
      <c r="AG397" s="222"/>
      <c r="AH397" s="222"/>
      <c r="AI397" s="176"/>
      <c r="AJ397" s="176"/>
      <c r="AK397" s="176"/>
      <c r="AL397" s="176"/>
      <c r="AM397" s="176"/>
      <c r="AN397" s="176"/>
      <c r="AO397" s="176"/>
      <c r="AP397" s="176"/>
      <c r="AQ397" s="176"/>
      <c r="AR397" s="176"/>
      <c r="AS397" s="176"/>
      <c r="AT397" s="176"/>
      <c r="AU397" s="176"/>
      <c r="AV397" s="176"/>
      <c r="AW397" s="176"/>
      <c r="AX397" s="176"/>
      <c r="AY397" s="176"/>
      <c r="AZ397" s="176"/>
      <c r="BA397" s="176"/>
      <c r="BB397" s="176"/>
      <c r="BC397" s="176"/>
      <c r="BD397" s="176"/>
      <c r="BE397" s="176"/>
      <c r="BF397" s="176"/>
      <c r="BG397" s="176"/>
      <c r="BH397" s="176"/>
      <c r="BI397" s="176"/>
      <c r="BJ397" s="176"/>
      <c r="BK397" s="176"/>
      <c r="BL397" s="176"/>
      <c r="BM397" s="176"/>
      <c r="BN397" s="176"/>
      <c r="BO397" s="176"/>
    </row>
    <row r="398" spans="1:67" s="36" customFormat="1" ht="10.5" customHeight="1" x14ac:dyDescent="0.2">
      <c r="A398" s="1120" t="s">
        <v>478</v>
      </c>
      <c r="B398" s="2603"/>
      <c r="C398" s="2604"/>
      <c r="D398" s="2605"/>
      <c r="E398" s="2653"/>
      <c r="F398" s="2654"/>
      <c r="G398" s="2620"/>
      <c r="H398" s="2621"/>
      <c r="I398" s="1171"/>
      <c r="J398" s="1172"/>
      <c r="K398" s="2659"/>
      <c r="L398" s="2660"/>
      <c r="M398" s="1318">
        <f>SUM(M399:M402)</f>
        <v>0</v>
      </c>
      <c r="N398" s="506"/>
      <c r="O398" s="391"/>
      <c r="P398" s="392"/>
      <c r="Q398" s="135"/>
      <c r="R398" s="136"/>
      <c r="S398" s="129"/>
      <c r="T398" s="129"/>
      <c r="U398" s="129"/>
      <c r="V398" s="129"/>
      <c r="W398" s="129"/>
      <c r="X398" s="129"/>
      <c r="Y398" s="129"/>
      <c r="Z398" s="133"/>
      <c r="AA398" s="133"/>
      <c r="AB398" s="133"/>
      <c r="AC398" s="133"/>
      <c r="AD398" s="133"/>
      <c r="AE398" s="133"/>
      <c r="AF398" s="222"/>
      <c r="AG398" s="222"/>
      <c r="AH398" s="222"/>
      <c r="AI398" s="176"/>
      <c r="AJ398" s="176"/>
      <c r="AK398" s="176"/>
      <c r="AL398" s="176"/>
      <c r="AM398" s="176"/>
      <c r="AN398" s="176"/>
      <c r="AO398" s="176"/>
      <c r="AP398" s="176"/>
      <c r="AQ398" s="176"/>
      <c r="AR398" s="176"/>
      <c r="AS398" s="176"/>
      <c r="AT398" s="176"/>
      <c r="AU398" s="176"/>
      <c r="AV398" s="176"/>
      <c r="AW398" s="176"/>
      <c r="AX398" s="176"/>
      <c r="AY398" s="176"/>
      <c r="AZ398" s="176"/>
      <c r="BA398" s="176"/>
      <c r="BB398" s="176"/>
      <c r="BC398" s="176"/>
      <c r="BD398" s="176"/>
      <c r="BE398" s="176"/>
      <c r="BF398" s="176"/>
      <c r="BG398" s="176"/>
      <c r="BH398" s="176"/>
      <c r="BI398" s="176"/>
      <c r="BJ398" s="176"/>
      <c r="BK398" s="176"/>
      <c r="BL398" s="176"/>
      <c r="BM398" s="176"/>
      <c r="BN398" s="176"/>
      <c r="BO398" s="176"/>
    </row>
    <row r="399" spans="1:67" s="36" customFormat="1" ht="10.5" customHeight="1" x14ac:dyDescent="0.2">
      <c r="A399" s="1174" t="s">
        <v>479</v>
      </c>
      <c r="B399" s="1166"/>
      <c r="C399" s="1166"/>
      <c r="D399" s="1173"/>
      <c r="E399" s="2661"/>
      <c r="F399" s="2662"/>
      <c r="G399" s="1067"/>
      <c r="H399" s="1179"/>
      <c r="I399" s="1180"/>
      <c r="J399" s="1181"/>
      <c r="K399" s="1165"/>
      <c r="L399" s="1310"/>
      <c r="M399" s="1085">
        <f>(E404-E341)*D399</f>
        <v>0</v>
      </c>
      <c r="N399" s="506"/>
      <c r="O399" s="391"/>
      <c r="P399" s="392"/>
      <c r="Q399" s="135"/>
      <c r="R399" s="136"/>
      <c r="S399" s="129"/>
      <c r="T399" s="129"/>
      <c r="U399" s="129"/>
      <c r="V399" s="129"/>
      <c r="W399" s="129"/>
      <c r="X399" s="129"/>
      <c r="Y399" s="129"/>
      <c r="Z399" s="133"/>
      <c r="AA399" s="133"/>
      <c r="AB399" s="133"/>
      <c r="AC399" s="133"/>
      <c r="AD399" s="133"/>
      <c r="AE399" s="133"/>
      <c r="AF399" s="222"/>
      <c r="AG399" s="222"/>
      <c r="AH399" s="222"/>
      <c r="AI399" s="176"/>
      <c r="AJ399" s="176"/>
      <c r="AK399" s="176"/>
      <c r="AL399" s="176"/>
      <c r="AM399" s="176"/>
      <c r="AN399" s="176"/>
      <c r="AO399" s="176"/>
      <c r="AP399" s="176"/>
      <c r="AQ399" s="176"/>
      <c r="AR399" s="176"/>
      <c r="AS399" s="176"/>
      <c r="AT399" s="176"/>
      <c r="AU399" s="176"/>
      <c r="AV399" s="176"/>
      <c r="AW399" s="176"/>
      <c r="AX399" s="176"/>
      <c r="AY399" s="176"/>
      <c r="AZ399" s="176"/>
      <c r="BA399" s="176"/>
      <c r="BB399" s="176"/>
      <c r="BC399" s="176"/>
      <c r="BD399" s="176"/>
      <c r="BE399" s="176"/>
      <c r="BF399" s="176"/>
      <c r="BG399" s="176"/>
      <c r="BH399" s="176"/>
      <c r="BI399" s="176"/>
      <c r="BJ399" s="176"/>
      <c r="BK399" s="176"/>
      <c r="BL399" s="176"/>
      <c r="BM399" s="176"/>
      <c r="BN399" s="176"/>
      <c r="BO399" s="176"/>
    </row>
    <row r="400" spans="1:67" s="36" customFormat="1" ht="10.5" customHeight="1" x14ac:dyDescent="0.2">
      <c r="A400" s="1175" t="s">
        <v>480</v>
      </c>
      <c r="B400" s="2645"/>
      <c r="C400" s="2645"/>
      <c r="D400" s="2646"/>
      <c r="E400" s="2647"/>
      <c r="F400" s="2648"/>
      <c r="G400" s="1182"/>
      <c r="H400" s="1183"/>
      <c r="I400" s="1184">
        <f>IF($O400&gt;0,-PMT((#REF!),$O400,1),0)</f>
        <v>0</v>
      </c>
      <c r="J400" s="1185">
        <f>ROUND(E400*I400,-1)</f>
        <v>0</v>
      </c>
      <c r="K400" s="1341"/>
      <c r="L400" s="1315"/>
      <c r="M400" s="1327"/>
      <c r="N400" s="506"/>
      <c r="O400" s="391"/>
      <c r="P400" s="392"/>
      <c r="Q400" s="135"/>
      <c r="R400" s="136"/>
      <c r="S400" s="129"/>
      <c r="T400" s="129"/>
      <c r="U400" s="129"/>
      <c r="V400" s="129"/>
      <c r="W400" s="129"/>
      <c r="X400" s="129"/>
      <c r="Y400" s="129"/>
      <c r="Z400" s="133"/>
      <c r="AA400" s="133"/>
      <c r="AB400" s="133"/>
      <c r="AC400" s="133"/>
      <c r="AD400" s="133"/>
      <c r="AE400" s="133"/>
      <c r="AF400" s="222"/>
      <c r="AG400" s="222"/>
      <c r="AH400" s="222"/>
      <c r="AI400" s="176"/>
      <c r="AJ400" s="176"/>
      <c r="AK400" s="176"/>
      <c r="AL400" s="176"/>
      <c r="AM400" s="176"/>
      <c r="AN400" s="176"/>
      <c r="AO400" s="176"/>
      <c r="AP400" s="176"/>
      <c r="AQ400" s="176"/>
      <c r="AR400" s="176"/>
      <c r="AS400" s="176"/>
      <c r="AT400" s="176"/>
      <c r="AU400" s="176"/>
      <c r="AV400" s="176"/>
      <c r="AW400" s="176"/>
      <c r="AX400" s="176"/>
      <c r="AY400" s="176"/>
      <c r="AZ400" s="176"/>
      <c r="BA400" s="176"/>
      <c r="BB400" s="176"/>
      <c r="BC400" s="176"/>
      <c r="BD400" s="176"/>
      <c r="BE400" s="176"/>
      <c r="BF400" s="176"/>
      <c r="BG400" s="176"/>
      <c r="BH400" s="176"/>
      <c r="BI400" s="176"/>
      <c r="BJ400" s="176"/>
      <c r="BK400" s="176"/>
      <c r="BL400" s="176"/>
      <c r="BM400" s="176"/>
      <c r="BN400" s="176"/>
      <c r="BO400" s="176"/>
    </row>
    <row r="401" spans="1:68" s="36" customFormat="1" ht="10.5" customHeight="1" x14ac:dyDescent="0.2">
      <c r="A401" s="1175" t="s">
        <v>481</v>
      </c>
      <c r="B401" s="2645"/>
      <c r="C401" s="2645"/>
      <c r="D401" s="2646"/>
      <c r="E401" s="2647"/>
      <c r="F401" s="2648"/>
      <c r="G401" s="1182"/>
      <c r="H401" s="1183"/>
      <c r="I401" s="1184">
        <f>IF($O401&gt;0,-PMT((#REF!),$O401,1),0)</f>
        <v>0</v>
      </c>
      <c r="J401" s="1185">
        <f>ROUND(E401*I401,-1)</f>
        <v>0</v>
      </c>
      <c r="K401" s="1341"/>
      <c r="L401" s="1315"/>
      <c r="M401" s="1327"/>
      <c r="N401" s="506"/>
      <c r="O401" s="391"/>
      <c r="P401" s="392"/>
      <c r="Q401" s="135"/>
      <c r="R401" s="136"/>
      <c r="S401" s="129"/>
      <c r="T401" s="129"/>
      <c r="U401" s="129"/>
      <c r="V401" s="129"/>
      <c r="W401" s="129"/>
      <c r="X401" s="129"/>
      <c r="Y401" s="129"/>
      <c r="Z401" s="133"/>
      <c r="AA401" s="133"/>
      <c r="AB401" s="133"/>
      <c r="AC401" s="133"/>
      <c r="AD401" s="133"/>
      <c r="AE401" s="133"/>
      <c r="AF401" s="222"/>
      <c r="AG401" s="222"/>
      <c r="AH401" s="222"/>
      <c r="AI401" s="176"/>
      <c r="AJ401" s="176"/>
      <c r="AK401" s="176"/>
      <c r="AL401" s="176"/>
      <c r="AM401" s="176"/>
      <c r="AN401" s="176"/>
      <c r="AO401" s="176"/>
      <c r="AP401" s="176"/>
      <c r="AQ401" s="176"/>
      <c r="AR401" s="176"/>
      <c r="AS401" s="176"/>
      <c r="AT401" s="176"/>
      <c r="AU401" s="176"/>
      <c r="AV401" s="176"/>
      <c r="AW401" s="176"/>
      <c r="AX401" s="176"/>
      <c r="AY401" s="176"/>
      <c r="AZ401" s="176"/>
      <c r="BA401" s="176"/>
      <c r="BB401" s="176"/>
      <c r="BC401" s="176"/>
      <c r="BD401" s="176"/>
      <c r="BE401" s="176"/>
      <c r="BF401" s="176"/>
      <c r="BG401" s="176"/>
      <c r="BH401" s="176"/>
      <c r="BI401" s="176"/>
      <c r="BJ401" s="176"/>
      <c r="BK401" s="176"/>
      <c r="BL401" s="176"/>
      <c r="BM401" s="176"/>
      <c r="BN401" s="176"/>
      <c r="BO401" s="176"/>
    </row>
    <row r="402" spans="1:68" s="36" customFormat="1" ht="10.5" customHeight="1" x14ac:dyDescent="0.2">
      <c r="A402" s="1175" t="s">
        <v>482</v>
      </c>
      <c r="B402" s="2649"/>
      <c r="C402" s="2649"/>
      <c r="D402" s="2650"/>
      <c r="E402" s="2647"/>
      <c r="F402" s="2648"/>
      <c r="G402" s="1182"/>
      <c r="H402" s="1183"/>
      <c r="I402" s="1184">
        <f>IF($O402&gt;0,-PMT((#REF!),$O402,1),0)</f>
        <v>0</v>
      </c>
      <c r="J402" s="1185">
        <f>ROUND(E402*I402,-1)</f>
        <v>0</v>
      </c>
      <c r="K402" s="1341"/>
      <c r="L402" s="1315"/>
      <c r="M402" s="1327"/>
      <c r="N402" s="506"/>
      <c r="O402" s="391"/>
      <c r="P402" s="392"/>
      <c r="Q402" s="135"/>
      <c r="R402" s="136"/>
      <c r="S402" s="129"/>
      <c r="T402" s="129"/>
      <c r="U402" s="129"/>
      <c r="V402" s="129"/>
      <c r="W402" s="129"/>
      <c r="X402" s="129"/>
      <c r="Y402" s="129"/>
      <c r="Z402" s="133"/>
      <c r="AA402" s="133"/>
      <c r="AB402" s="133"/>
      <c r="AC402" s="133"/>
      <c r="AD402" s="133"/>
      <c r="AE402" s="133"/>
      <c r="AF402" s="222"/>
      <c r="AG402" s="222"/>
      <c r="AH402" s="222"/>
      <c r="AI402" s="176"/>
      <c r="AJ402" s="176"/>
      <c r="AK402" s="176"/>
      <c r="AL402" s="176"/>
      <c r="AM402" s="176"/>
      <c r="AN402" s="176"/>
      <c r="AO402" s="176"/>
      <c r="AP402" s="176"/>
      <c r="AQ402" s="176"/>
      <c r="AR402" s="176"/>
      <c r="AS402" s="176"/>
      <c r="AT402" s="176"/>
      <c r="AU402" s="176"/>
      <c r="AV402" s="176"/>
      <c r="AW402" s="176"/>
      <c r="AX402" s="176"/>
      <c r="AY402" s="176"/>
      <c r="AZ402" s="176"/>
      <c r="BA402" s="176"/>
      <c r="BB402" s="176"/>
      <c r="BC402" s="176"/>
      <c r="BD402" s="176"/>
      <c r="BE402" s="176"/>
      <c r="BF402" s="176"/>
      <c r="BG402" s="176"/>
      <c r="BH402" s="176"/>
      <c r="BI402" s="176"/>
      <c r="BJ402" s="176"/>
      <c r="BK402" s="176"/>
      <c r="BL402" s="176"/>
      <c r="BM402" s="176"/>
      <c r="BN402" s="176"/>
      <c r="BO402" s="176"/>
    </row>
    <row r="403" spans="1:68" s="36" customFormat="1" ht="10.5" customHeight="1" x14ac:dyDescent="0.2">
      <c r="A403" s="1176"/>
      <c r="B403" s="1177"/>
      <c r="C403" s="1177"/>
      <c r="D403" s="1178"/>
      <c r="E403" s="2601"/>
      <c r="F403" s="2602"/>
      <c r="G403" s="1088"/>
      <c r="H403" s="1089"/>
      <c r="I403" s="1083">
        <f>IF($O403&gt;0,-PMT((#REF!),$O403,1),0)</f>
        <v>0</v>
      </c>
      <c r="J403" s="997"/>
      <c r="K403" s="1087"/>
      <c r="L403" s="1307"/>
      <c r="M403" s="1317">
        <f>ROUND(E403/100*IF(ISBLANK(L403),K403,L403),-1)</f>
        <v>0</v>
      </c>
      <c r="N403" s="506"/>
      <c r="O403" s="391"/>
      <c r="P403" s="392"/>
      <c r="Q403" s="135"/>
      <c r="R403" s="136"/>
      <c r="S403" s="129"/>
      <c r="T403" s="129"/>
      <c r="U403" s="129"/>
      <c r="V403" s="129"/>
      <c r="W403" s="129"/>
      <c r="X403" s="129"/>
      <c r="Y403" s="129"/>
      <c r="Z403" s="133"/>
      <c r="AA403" s="133"/>
      <c r="AB403" s="133"/>
      <c r="AC403" s="133"/>
      <c r="AD403" s="133"/>
      <c r="AE403" s="133"/>
      <c r="AF403" s="222"/>
      <c r="AG403" s="222"/>
      <c r="AH403" s="222"/>
      <c r="AI403" s="176"/>
      <c r="AJ403" s="176"/>
      <c r="AK403" s="176"/>
      <c r="AL403" s="176"/>
      <c r="AM403" s="176"/>
      <c r="AN403" s="176"/>
      <c r="AO403" s="176"/>
      <c r="AP403" s="176"/>
      <c r="AQ403" s="176"/>
      <c r="AR403" s="176"/>
      <c r="AS403" s="176"/>
      <c r="AT403" s="176"/>
      <c r="AU403" s="176"/>
      <c r="AV403" s="176"/>
      <c r="AW403" s="176"/>
      <c r="AX403" s="176"/>
      <c r="AY403" s="176"/>
      <c r="AZ403" s="176"/>
      <c r="BA403" s="176"/>
      <c r="BB403" s="176"/>
      <c r="BC403" s="176"/>
      <c r="BD403" s="176"/>
      <c r="BE403" s="176"/>
      <c r="BF403" s="176"/>
      <c r="BG403" s="176"/>
      <c r="BH403" s="176"/>
      <c r="BI403" s="176"/>
      <c r="BJ403" s="176"/>
      <c r="BK403" s="176"/>
      <c r="BL403" s="176"/>
      <c r="BM403" s="176"/>
      <c r="BN403" s="176"/>
      <c r="BO403" s="176"/>
    </row>
    <row r="404" spans="1:68" s="36" customFormat="1" ht="15" customHeight="1" x14ac:dyDescent="0.2">
      <c r="A404" s="1186" t="s">
        <v>13</v>
      </c>
      <c r="B404" s="1187"/>
      <c r="C404" s="1187"/>
      <c r="D404" s="1188"/>
      <c r="E404" s="2651">
        <f>ROUND(SUM(E40:E355)/2,-2)</f>
        <v>0</v>
      </c>
      <c r="F404" s="2652"/>
      <c r="G404" s="2643">
        <f>IF($E$404&gt;0,SUMPRODUCT($E$40:$E$354,$O$40:$O$354)/$E$404,0)</f>
        <v>0</v>
      </c>
      <c r="H404" s="2644"/>
      <c r="I404" s="1189">
        <f>IF(E404=0,0,J404/E404)</f>
        <v>0</v>
      </c>
      <c r="J404" s="1190">
        <f>ROUND(SUM(J40:J355)/2,-1)</f>
        <v>0</v>
      </c>
      <c r="K404" s="2707"/>
      <c r="L404" s="2708"/>
      <c r="M404" s="1328">
        <f>ROUND(SUM(M40:M403)/2,-1)</f>
        <v>0</v>
      </c>
      <c r="N404" s="506"/>
      <c r="O404" s="1048"/>
      <c r="P404" s="137"/>
      <c r="Q404" s="129"/>
      <c r="R404" s="136"/>
      <c r="S404" s="138"/>
      <c r="T404" s="124"/>
      <c r="U404" s="124"/>
      <c r="V404" s="124"/>
      <c r="W404" s="124"/>
      <c r="X404" s="124"/>
      <c r="Y404" s="124"/>
      <c r="Z404" s="123"/>
      <c r="AA404" s="123"/>
      <c r="AB404" s="123"/>
      <c r="AC404" s="123"/>
      <c r="AD404" s="123"/>
      <c r="AE404" s="123"/>
      <c r="AF404" s="174"/>
      <c r="AG404" s="174"/>
      <c r="AH404" s="174"/>
      <c r="AI404" s="175"/>
      <c r="AJ404" s="175"/>
      <c r="AK404" s="176"/>
      <c r="AL404" s="176"/>
      <c r="AM404" s="176"/>
      <c r="AN404" s="176"/>
      <c r="AO404" s="176"/>
      <c r="AP404" s="176"/>
      <c r="AQ404" s="176"/>
      <c r="AR404" s="176"/>
      <c r="AS404" s="176"/>
      <c r="AT404" s="176"/>
      <c r="AU404" s="176"/>
      <c r="AV404" s="176"/>
      <c r="AW404" s="176"/>
      <c r="AX404" s="176"/>
      <c r="AY404" s="176"/>
      <c r="AZ404" s="176"/>
      <c r="BA404" s="176"/>
      <c r="BB404" s="176"/>
      <c r="BC404" s="176"/>
      <c r="BD404" s="176"/>
      <c r="BE404" s="176"/>
      <c r="BF404" s="176"/>
      <c r="BG404" s="176"/>
      <c r="BH404" s="176"/>
      <c r="BI404" s="176"/>
      <c r="BJ404" s="176"/>
      <c r="BK404" s="176"/>
      <c r="BL404" s="176"/>
      <c r="BM404" s="176"/>
      <c r="BN404" s="176"/>
      <c r="BO404" s="176"/>
    </row>
    <row r="405" spans="1:68" ht="12.75" x14ac:dyDescent="0.2">
      <c r="O405" s="506"/>
      <c r="P405" s="506"/>
      <c r="Q405" s="506"/>
      <c r="R405" s="506"/>
      <c r="S405" s="506"/>
      <c r="T405" s="506"/>
      <c r="U405" s="506"/>
      <c r="V405" s="506"/>
      <c r="W405" s="32"/>
      <c r="X405" s="32"/>
      <c r="Y405" s="506"/>
      <c r="Z405" s="506"/>
      <c r="AA405" s="506"/>
    </row>
    <row r="406" spans="1:68" ht="12.75" x14ac:dyDescent="0.2">
      <c r="O406" s="506"/>
      <c r="P406" s="506"/>
      <c r="Q406" s="506"/>
      <c r="R406" s="506"/>
      <c r="S406" s="506"/>
      <c r="T406" s="506"/>
      <c r="U406" s="506"/>
      <c r="V406" s="506"/>
      <c r="W406" s="32"/>
      <c r="X406" s="32"/>
      <c r="Y406" s="506"/>
      <c r="Z406" s="506"/>
      <c r="AA406" s="506"/>
    </row>
    <row r="407" spans="1:68" ht="12.75" x14ac:dyDescent="0.2">
      <c r="O407" s="506"/>
      <c r="P407" s="506"/>
      <c r="Q407" s="506"/>
      <c r="R407" s="506"/>
      <c r="S407" s="506"/>
      <c r="T407" s="506"/>
      <c r="U407" s="506"/>
      <c r="V407" s="506"/>
      <c r="W407" s="32"/>
      <c r="X407" s="32"/>
      <c r="Y407" s="506"/>
      <c r="Z407" s="506"/>
      <c r="AA407" s="506"/>
    </row>
    <row r="408" spans="1:68" ht="12.75" x14ac:dyDescent="0.2">
      <c r="O408" s="506"/>
      <c r="P408" s="506"/>
      <c r="Q408" s="506"/>
      <c r="R408" s="506"/>
      <c r="S408" s="506"/>
      <c r="T408" s="506"/>
      <c r="U408" s="506"/>
      <c r="V408" s="506"/>
      <c r="W408" s="32"/>
      <c r="X408" s="32"/>
      <c r="Y408" s="506"/>
      <c r="Z408" s="506"/>
      <c r="AA408" s="506"/>
    </row>
    <row r="409" spans="1:68" ht="12.75" x14ac:dyDescent="0.2">
      <c r="O409" s="506"/>
      <c r="P409" s="506"/>
      <c r="Q409" s="506"/>
      <c r="R409" s="506"/>
      <c r="S409" s="506"/>
      <c r="T409" s="506"/>
      <c r="U409" s="506"/>
      <c r="V409" s="506"/>
      <c r="W409" s="32"/>
      <c r="X409" s="32"/>
      <c r="Y409" s="506"/>
      <c r="Z409" s="506"/>
      <c r="AA409" s="506"/>
    </row>
    <row r="410" spans="1:68" ht="12.75" x14ac:dyDescent="0.2">
      <c r="O410" s="506"/>
      <c r="P410" s="506"/>
      <c r="Q410" s="506"/>
      <c r="R410" s="506"/>
      <c r="S410" s="506"/>
      <c r="T410" s="506"/>
      <c r="U410" s="506"/>
      <c r="V410" s="506"/>
      <c r="W410" s="506"/>
      <c r="X410" s="506"/>
      <c r="Y410" s="506"/>
      <c r="Z410" s="506"/>
      <c r="AA410" s="506"/>
    </row>
    <row r="411" spans="1:68" ht="12.75" x14ac:dyDescent="0.2">
      <c r="O411" s="506"/>
      <c r="P411" s="506"/>
      <c r="Q411" s="506"/>
      <c r="R411" s="506"/>
      <c r="S411" s="506"/>
      <c r="T411" s="506"/>
      <c r="U411" s="506"/>
      <c r="V411" s="506"/>
      <c r="W411" s="506"/>
      <c r="X411" s="506"/>
      <c r="Y411" s="506"/>
      <c r="Z411" s="506"/>
      <c r="AA411" s="506"/>
    </row>
    <row r="412" spans="1:68" s="123" customFormat="1" ht="12.75" x14ac:dyDescent="0.2">
      <c r="A412" s="34"/>
      <c r="B412" s="33"/>
      <c r="C412" s="33"/>
      <c r="D412" s="33"/>
      <c r="E412" s="33"/>
      <c r="F412" s="33"/>
      <c r="G412" s="32"/>
      <c r="H412" s="32"/>
      <c r="I412" s="32"/>
      <c r="J412" s="34"/>
      <c r="K412" s="34"/>
      <c r="L412" s="34"/>
      <c r="M412" s="34"/>
      <c r="N412" s="34"/>
      <c r="O412" s="506"/>
      <c r="P412" s="506"/>
      <c r="Q412" s="506"/>
      <c r="R412" s="506"/>
      <c r="S412" s="506"/>
      <c r="T412" s="506"/>
      <c r="U412" s="506"/>
      <c r="V412" s="506"/>
      <c r="W412" s="506"/>
      <c r="X412" s="506"/>
      <c r="Y412" s="506"/>
      <c r="Z412" s="506"/>
      <c r="AA412" s="506"/>
      <c r="AG412" s="174"/>
      <c r="AH412" s="174"/>
      <c r="AI412" s="174"/>
      <c r="AJ412" s="175"/>
      <c r="AK412" s="175"/>
      <c r="AL412" s="175"/>
      <c r="AM412" s="175"/>
      <c r="AN412" s="175"/>
      <c r="AO412" s="175"/>
      <c r="AP412" s="175"/>
      <c r="AQ412" s="175"/>
      <c r="AR412" s="175"/>
      <c r="AS412" s="175"/>
      <c r="AT412" s="175"/>
      <c r="AU412" s="175"/>
      <c r="AV412" s="175"/>
      <c r="AW412" s="175"/>
      <c r="AX412" s="175"/>
      <c r="AY412" s="175"/>
      <c r="AZ412" s="175"/>
      <c r="BA412" s="175"/>
      <c r="BB412" s="175"/>
      <c r="BC412" s="175"/>
      <c r="BD412" s="175"/>
      <c r="BE412" s="175"/>
      <c r="BF412" s="175"/>
      <c r="BG412" s="175"/>
      <c r="BH412" s="175"/>
      <c r="BI412" s="175"/>
      <c r="BJ412" s="175"/>
      <c r="BK412" s="175"/>
      <c r="BL412" s="175"/>
      <c r="BM412" s="175"/>
      <c r="BN412" s="175"/>
      <c r="BO412" s="175"/>
      <c r="BP412" s="175"/>
    </row>
    <row r="413" spans="1:68" s="123" customFormat="1" ht="12.75" x14ac:dyDescent="0.2">
      <c r="A413" s="34"/>
      <c r="B413" s="33"/>
      <c r="C413" s="33"/>
      <c r="D413" s="33"/>
      <c r="E413" s="33"/>
      <c r="F413" s="33"/>
      <c r="G413" s="32"/>
      <c r="H413" s="32"/>
      <c r="I413" s="32"/>
      <c r="J413" s="34"/>
      <c r="K413" s="34"/>
      <c r="L413" s="34"/>
      <c r="M413" s="34"/>
      <c r="N413" s="34"/>
      <c r="O413" s="506"/>
      <c r="P413" s="506"/>
      <c r="Q413" s="506"/>
      <c r="R413" s="506"/>
      <c r="S413" s="506"/>
      <c r="T413" s="506"/>
      <c r="U413" s="506"/>
      <c r="V413" s="506"/>
      <c r="W413" s="506"/>
      <c r="X413" s="506"/>
      <c r="Y413" s="506"/>
      <c r="Z413" s="506"/>
      <c r="AA413" s="506"/>
      <c r="AG413" s="174"/>
      <c r="AH413" s="174"/>
      <c r="AI413" s="174"/>
      <c r="AJ413" s="175"/>
      <c r="AK413" s="175"/>
      <c r="AL413" s="175"/>
      <c r="AM413" s="175"/>
      <c r="AN413" s="175"/>
      <c r="AO413" s="175"/>
      <c r="AP413" s="175"/>
      <c r="AQ413" s="175"/>
      <c r="AR413" s="175"/>
      <c r="AS413" s="175"/>
      <c r="AT413" s="175"/>
      <c r="AU413" s="175"/>
      <c r="AV413" s="175"/>
      <c r="AW413" s="175"/>
      <c r="AX413" s="175"/>
      <c r="AY413" s="175"/>
      <c r="AZ413" s="175"/>
      <c r="BA413" s="175"/>
      <c r="BB413" s="175"/>
      <c r="BC413" s="175"/>
      <c r="BD413" s="175"/>
      <c r="BE413" s="175"/>
      <c r="BF413" s="175"/>
      <c r="BG413" s="175"/>
      <c r="BH413" s="175"/>
      <c r="BI413" s="175"/>
      <c r="BJ413" s="175"/>
      <c r="BK413" s="175"/>
      <c r="BL413" s="175"/>
      <c r="BM413" s="175"/>
      <c r="BN413" s="175"/>
      <c r="BO413" s="175"/>
      <c r="BP413" s="175"/>
    </row>
    <row r="414" spans="1:68" s="123" customFormat="1" ht="12.75" x14ac:dyDescent="0.2">
      <c r="A414" s="34"/>
      <c r="B414" s="33"/>
      <c r="C414" s="33"/>
      <c r="D414" s="33"/>
      <c r="E414" s="33"/>
      <c r="F414" s="33"/>
      <c r="G414" s="32"/>
      <c r="H414" s="32"/>
      <c r="I414" s="32"/>
      <c r="J414" s="34"/>
      <c r="K414" s="34"/>
      <c r="L414" s="34"/>
      <c r="M414" s="34"/>
      <c r="N414" s="34"/>
      <c r="O414" s="506"/>
      <c r="P414" s="506"/>
      <c r="Q414" s="506"/>
      <c r="R414" s="506"/>
      <c r="S414" s="506"/>
      <c r="T414" s="506"/>
      <c r="U414" s="506"/>
      <c r="V414" s="506"/>
      <c r="W414" s="506"/>
      <c r="X414" s="506"/>
      <c r="Y414" s="506"/>
      <c r="Z414" s="506"/>
      <c r="AA414" s="506"/>
      <c r="AG414" s="174"/>
      <c r="AH414" s="174"/>
      <c r="AI414" s="174"/>
      <c r="AJ414" s="175"/>
      <c r="AK414" s="175"/>
      <c r="AL414" s="175"/>
      <c r="AM414" s="175"/>
      <c r="AN414" s="175"/>
      <c r="AO414" s="175"/>
      <c r="AP414" s="175"/>
      <c r="AQ414" s="175"/>
      <c r="AR414" s="175"/>
      <c r="AS414" s="175"/>
      <c r="AT414" s="175"/>
      <c r="AU414" s="175"/>
      <c r="AV414" s="175"/>
      <c r="AW414" s="175"/>
      <c r="AX414" s="175"/>
      <c r="AY414" s="175"/>
      <c r="AZ414" s="175"/>
      <c r="BA414" s="175"/>
      <c r="BB414" s="175"/>
      <c r="BC414" s="175"/>
      <c r="BD414" s="175"/>
      <c r="BE414" s="175"/>
      <c r="BF414" s="175"/>
      <c r="BG414" s="175"/>
      <c r="BH414" s="175"/>
      <c r="BI414" s="175"/>
      <c r="BJ414" s="175"/>
      <c r="BK414" s="175"/>
      <c r="BL414" s="175"/>
      <c r="BM414" s="175"/>
      <c r="BN414" s="175"/>
      <c r="BO414" s="175"/>
      <c r="BP414" s="175"/>
    </row>
    <row r="415" spans="1:68" s="123" customFormat="1" ht="12.75" x14ac:dyDescent="0.2">
      <c r="A415" s="34"/>
      <c r="B415" s="33"/>
      <c r="C415" s="33"/>
      <c r="D415" s="33"/>
      <c r="E415" s="33"/>
      <c r="F415" s="33"/>
      <c r="G415" s="32"/>
      <c r="H415" s="32"/>
      <c r="I415" s="32"/>
      <c r="J415" s="34"/>
      <c r="K415" s="34"/>
      <c r="L415" s="34"/>
      <c r="M415" s="34"/>
      <c r="N415" s="34"/>
      <c r="O415" s="506"/>
      <c r="P415" s="506"/>
      <c r="Q415" s="506"/>
      <c r="R415" s="506"/>
      <c r="S415" s="506"/>
      <c r="T415" s="506"/>
      <c r="U415" s="506"/>
      <c r="V415" s="506"/>
      <c r="W415" s="506"/>
      <c r="X415" s="506"/>
      <c r="Y415" s="506"/>
      <c r="Z415" s="506"/>
      <c r="AA415" s="506"/>
      <c r="AG415" s="174"/>
      <c r="AH415" s="174"/>
      <c r="AI415" s="174"/>
      <c r="AJ415" s="175"/>
      <c r="AK415" s="175"/>
      <c r="AL415" s="175"/>
      <c r="AM415" s="175"/>
      <c r="AN415" s="175"/>
      <c r="AO415" s="175"/>
      <c r="AP415" s="175"/>
      <c r="AQ415" s="175"/>
      <c r="AR415" s="175"/>
      <c r="AS415" s="175"/>
      <c r="AT415" s="175"/>
      <c r="AU415" s="175"/>
      <c r="AV415" s="175"/>
      <c r="AW415" s="175"/>
      <c r="AX415" s="175"/>
      <c r="AY415" s="175"/>
      <c r="AZ415" s="175"/>
      <c r="BA415" s="175"/>
      <c r="BB415" s="175"/>
      <c r="BC415" s="175"/>
      <c r="BD415" s="175"/>
      <c r="BE415" s="175"/>
      <c r="BF415" s="175"/>
      <c r="BG415" s="175"/>
      <c r="BH415" s="175"/>
      <c r="BI415" s="175"/>
      <c r="BJ415" s="175"/>
      <c r="BK415" s="175"/>
      <c r="BL415" s="175"/>
      <c r="BM415" s="175"/>
      <c r="BN415" s="175"/>
      <c r="BO415" s="175"/>
      <c r="BP415" s="175"/>
    </row>
    <row r="416" spans="1:68" s="123" customFormat="1" ht="12.75" x14ac:dyDescent="0.2">
      <c r="A416" s="34"/>
      <c r="B416" s="33"/>
      <c r="C416" s="33"/>
      <c r="D416" s="33"/>
      <c r="E416" s="33"/>
      <c r="F416" s="33"/>
      <c r="G416" s="32"/>
      <c r="H416" s="32"/>
      <c r="I416" s="32"/>
      <c r="J416" s="34"/>
      <c r="K416" s="34"/>
      <c r="L416" s="34"/>
      <c r="M416" s="34"/>
      <c r="N416" s="34"/>
      <c r="O416" s="506"/>
      <c r="P416" s="506"/>
      <c r="Q416" s="506"/>
      <c r="R416" s="506"/>
      <c r="S416" s="506"/>
      <c r="T416" s="506"/>
      <c r="U416" s="506"/>
      <c r="V416" s="506"/>
      <c r="W416" s="506"/>
      <c r="X416" s="506"/>
      <c r="Y416" s="506"/>
      <c r="Z416" s="506"/>
      <c r="AA416" s="506"/>
      <c r="AG416" s="174"/>
      <c r="AH416" s="174"/>
      <c r="AI416" s="174"/>
      <c r="AJ416" s="175"/>
      <c r="AK416" s="175"/>
      <c r="AL416" s="175"/>
      <c r="AM416" s="175"/>
      <c r="AN416" s="175"/>
      <c r="AO416" s="175"/>
      <c r="AP416" s="175"/>
      <c r="AQ416" s="175"/>
      <c r="AR416" s="175"/>
      <c r="AS416" s="175"/>
      <c r="AT416" s="175"/>
      <c r="AU416" s="175"/>
      <c r="AV416" s="175"/>
      <c r="AW416" s="175"/>
      <c r="AX416" s="175"/>
      <c r="AY416" s="175"/>
      <c r="AZ416" s="175"/>
      <c r="BA416" s="175"/>
      <c r="BB416" s="175"/>
      <c r="BC416" s="175"/>
      <c r="BD416" s="175"/>
      <c r="BE416" s="175"/>
      <c r="BF416" s="175"/>
      <c r="BG416" s="175"/>
      <c r="BH416" s="175"/>
      <c r="BI416" s="175"/>
      <c r="BJ416" s="175"/>
      <c r="BK416" s="175"/>
      <c r="BL416" s="175"/>
      <c r="BM416" s="175"/>
      <c r="BN416" s="175"/>
      <c r="BO416" s="175"/>
      <c r="BP416" s="175"/>
    </row>
    <row r="417" spans="1:68" s="123" customFormat="1" ht="12.75" x14ac:dyDescent="0.2">
      <c r="A417" s="34"/>
      <c r="B417" s="33"/>
      <c r="C417" s="33"/>
      <c r="D417" s="33"/>
      <c r="E417" s="33"/>
      <c r="F417" s="33"/>
      <c r="G417" s="32"/>
      <c r="H417" s="32"/>
      <c r="I417" s="32"/>
      <c r="J417" s="34"/>
      <c r="K417" s="34"/>
      <c r="L417" s="34"/>
      <c r="M417" s="34"/>
      <c r="N417" s="34"/>
      <c r="O417" s="506"/>
      <c r="P417" s="506"/>
      <c r="Q417" s="506"/>
      <c r="R417" s="506"/>
      <c r="S417" s="506"/>
      <c r="T417" s="506"/>
      <c r="U417" s="506"/>
      <c r="V417" s="506"/>
      <c r="W417" s="506"/>
      <c r="X417" s="506"/>
      <c r="Y417" s="506"/>
      <c r="Z417" s="506"/>
      <c r="AA417" s="506"/>
      <c r="AG417" s="174"/>
      <c r="AH417" s="174"/>
      <c r="AI417" s="174"/>
      <c r="AJ417" s="175"/>
      <c r="AK417" s="175"/>
      <c r="AL417" s="175"/>
      <c r="AM417" s="175"/>
      <c r="AN417" s="175"/>
      <c r="AO417" s="175"/>
      <c r="AP417" s="175"/>
      <c r="AQ417" s="175"/>
      <c r="AR417" s="175"/>
      <c r="AS417" s="175"/>
      <c r="AT417" s="175"/>
      <c r="AU417" s="175"/>
      <c r="AV417" s="175"/>
      <c r="AW417" s="175"/>
      <c r="AX417" s="175"/>
      <c r="AY417" s="175"/>
      <c r="AZ417" s="175"/>
      <c r="BA417" s="175"/>
      <c r="BB417" s="175"/>
      <c r="BC417" s="175"/>
      <c r="BD417" s="175"/>
      <c r="BE417" s="175"/>
      <c r="BF417" s="175"/>
      <c r="BG417" s="175"/>
      <c r="BH417" s="175"/>
      <c r="BI417" s="175"/>
      <c r="BJ417" s="175"/>
      <c r="BK417" s="175"/>
      <c r="BL417" s="175"/>
      <c r="BM417" s="175"/>
      <c r="BN417" s="175"/>
      <c r="BO417" s="175"/>
      <c r="BP417" s="175"/>
    </row>
    <row r="418" spans="1:68" s="123" customFormat="1" ht="12.75" x14ac:dyDescent="0.2">
      <c r="A418" s="34"/>
      <c r="B418" s="33"/>
      <c r="C418" s="33"/>
      <c r="D418" s="33"/>
      <c r="E418" s="33"/>
      <c r="F418" s="33"/>
      <c r="G418" s="32"/>
      <c r="H418" s="32"/>
      <c r="I418" s="32"/>
      <c r="J418" s="34"/>
      <c r="K418" s="34"/>
      <c r="L418" s="34"/>
      <c r="M418" s="34"/>
      <c r="N418" s="34"/>
      <c r="O418" s="506"/>
      <c r="P418" s="506"/>
      <c r="Q418" s="506"/>
      <c r="R418" s="506"/>
      <c r="S418" s="506"/>
      <c r="T418" s="506"/>
      <c r="U418" s="506"/>
      <c r="V418" s="506"/>
      <c r="AG418" s="174"/>
      <c r="AH418" s="174"/>
      <c r="AI418" s="174"/>
      <c r="AJ418" s="175"/>
      <c r="AK418" s="175"/>
      <c r="AL418" s="175"/>
      <c r="AM418" s="175"/>
      <c r="AN418" s="175"/>
      <c r="AO418" s="175"/>
      <c r="AP418" s="175"/>
      <c r="AQ418" s="175"/>
      <c r="AR418" s="175"/>
      <c r="AS418" s="175"/>
      <c r="AT418" s="175"/>
      <c r="AU418" s="175"/>
      <c r="AV418" s="175"/>
      <c r="AW418" s="175"/>
      <c r="AX418" s="175"/>
      <c r="AY418" s="175"/>
      <c r="AZ418" s="175"/>
      <c r="BA418" s="175"/>
      <c r="BB418" s="175"/>
      <c r="BC418" s="175"/>
      <c r="BD418" s="175"/>
      <c r="BE418" s="175"/>
      <c r="BF418" s="175"/>
      <c r="BG418" s="175"/>
      <c r="BH418" s="175"/>
      <c r="BI418" s="175"/>
      <c r="BJ418" s="175"/>
      <c r="BK418" s="175"/>
      <c r="BL418" s="175"/>
      <c r="BM418" s="175"/>
      <c r="BN418" s="175"/>
      <c r="BO418" s="175"/>
      <c r="BP418" s="175"/>
    </row>
    <row r="419" spans="1:68" s="123" customFormat="1" ht="12.75" x14ac:dyDescent="0.2">
      <c r="A419" s="34"/>
      <c r="B419" s="33"/>
      <c r="C419" s="33"/>
      <c r="D419" s="33"/>
      <c r="E419" s="33"/>
      <c r="F419" s="33"/>
      <c r="G419" s="32"/>
      <c r="H419" s="32"/>
      <c r="I419" s="32"/>
      <c r="J419" s="34"/>
      <c r="K419" s="34"/>
      <c r="L419" s="34"/>
      <c r="M419" s="34"/>
      <c r="N419" s="34"/>
      <c r="O419" s="506"/>
      <c r="P419" s="506"/>
      <c r="Q419" s="506"/>
      <c r="R419" s="506"/>
      <c r="S419" s="506"/>
      <c r="T419" s="506"/>
      <c r="U419" s="506"/>
      <c r="V419" s="506"/>
      <c r="AG419" s="174"/>
      <c r="AH419" s="174"/>
      <c r="AI419" s="174"/>
      <c r="AJ419" s="175"/>
      <c r="AK419" s="175"/>
      <c r="AL419" s="175"/>
      <c r="AM419" s="175"/>
      <c r="AN419" s="175"/>
      <c r="AO419" s="175"/>
      <c r="AP419" s="175"/>
      <c r="AQ419" s="175"/>
      <c r="AR419" s="175"/>
      <c r="AS419" s="175"/>
      <c r="AT419" s="175"/>
      <c r="AU419" s="175"/>
      <c r="AV419" s="175"/>
      <c r="AW419" s="175"/>
      <c r="AX419" s="175"/>
      <c r="AY419" s="175"/>
      <c r="AZ419" s="175"/>
      <c r="BA419" s="175"/>
      <c r="BB419" s="175"/>
      <c r="BC419" s="175"/>
      <c r="BD419" s="175"/>
      <c r="BE419" s="175"/>
      <c r="BF419" s="175"/>
      <c r="BG419" s="175"/>
      <c r="BH419" s="175"/>
      <c r="BI419" s="175"/>
      <c r="BJ419" s="175"/>
      <c r="BK419" s="175"/>
      <c r="BL419" s="175"/>
      <c r="BM419" s="175"/>
      <c r="BN419" s="175"/>
      <c r="BO419" s="175"/>
      <c r="BP419" s="175"/>
    </row>
    <row r="420" spans="1:68" s="123" customFormat="1" ht="12.75" x14ac:dyDescent="0.2">
      <c r="A420" s="34"/>
      <c r="B420" s="33"/>
      <c r="C420" s="33"/>
      <c r="D420" s="33"/>
      <c r="E420" s="33"/>
      <c r="F420" s="33"/>
      <c r="G420" s="32"/>
      <c r="H420" s="32"/>
      <c r="I420" s="32"/>
      <c r="J420" s="34"/>
      <c r="K420" s="34"/>
      <c r="L420" s="34"/>
      <c r="M420" s="34"/>
      <c r="N420" s="34"/>
      <c r="O420" s="506"/>
      <c r="P420" s="506"/>
      <c r="Q420" s="506"/>
      <c r="R420" s="506"/>
      <c r="S420" s="506"/>
      <c r="T420" s="506"/>
      <c r="U420" s="506"/>
      <c r="V420" s="506"/>
      <c r="AG420" s="174"/>
      <c r="AH420" s="174"/>
      <c r="AI420" s="174"/>
      <c r="AJ420" s="175"/>
      <c r="AK420" s="175"/>
      <c r="AL420" s="175"/>
      <c r="AM420" s="175"/>
      <c r="AN420" s="175"/>
      <c r="AO420" s="175"/>
      <c r="AP420" s="175"/>
      <c r="AQ420" s="175"/>
      <c r="AR420" s="175"/>
      <c r="AS420" s="175"/>
      <c r="AT420" s="175"/>
      <c r="AU420" s="175"/>
      <c r="AV420" s="175"/>
      <c r="AW420" s="175"/>
      <c r="AX420" s="175"/>
      <c r="AY420" s="175"/>
      <c r="AZ420" s="175"/>
      <c r="BA420" s="175"/>
      <c r="BB420" s="175"/>
      <c r="BC420" s="175"/>
      <c r="BD420" s="175"/>
      <c r="BE420" s="175"/>
      <c r="BF420" s="175"/>
      <c r="BG420" s="175"/>
      <c r="BH420" s="175"/>
      <c r="BI420" s="175"/>
      <c r="BJ420" s="175"/>
      <c r="BK420" s="175"/>
      <c r="BL420" s="175"/>
      <c r="BM420" s="175"/>
      <c r="BN420" s="175"/>
      <c r="BO420" s="175"/>
      <c r="BP420" s="175"/>
    </row>
    <row r="421" spans="1:68" s="123" customFormat="1" ht="12.95" customHeight="1" x14ac:dyDescent="0.2">
      <c r="A421" s="34"/>
      <c r="B421" s="33"/>
      <c r="C421" s="33"/>
      <c r="D421" s="33"/>
      <c r="E421" s="33"/>
      <c r="F421" s="33"/>
      <c r="G421" s="32"/>
      <c r="H421" s="32"/>
      <c r="I421" s="32"/>
      <c r="J421" s="34"/>
      <c r="K421" s="34"/>
      <c r="L421" s="34"/>
      <c r="M421" s="34"/>
      <c r="N421" s="34"/>
      <c r="O421" s="506"/>
      <c r="P421" s="506"/>
      <c r="Q421" s="506"/>
      <c r="R421" s="506"/>
      <c r="S421" s="506"/>
      <c r="T421" s="506"/>
      <c r="U421" s="506"/>
      <c r="V421" s="506"/>
      <c r="AG421" s="174"/>
      <c r="AH421" s="174"/>
      <c r="AI421" s="174"/>
      <c r="AJ421" s="175"/>
      <c r="AK421" s="175"/>
      <c r="AL421" s="175"/>
      <c r="AM421" s="175"/>
      <c r="AN421" s="175"/>
      <c r="AO421" s="175"/>
      <c r="AP421" s="175"/>
      <c r="AQ421" s="175"/>
      <c r="AR421" s="175"/>
      <c r="AS421" s="175"/>
      <c r="AT421" s="175"/>
      <c r="AU421" s="175"/>
      <c r="AV421" s="175"/>
      <c r="AW421" s="175"/>
      <c r="AX421" s="175"/>
      <c r="AY421" s="175"/>
      <c r="AZ421" s="175"/>
      <c r="BA421" s="175"/>
      <c r="BB421" s="175"/>
      <c r="BC421" s="175"/>
      <c r="BD421" s="175"/>
      <c r="BE421" s="175"/>
      <c r="BF421" s="175"/>
      <c r="BG421" s="175"/>
      <c r="BH421" s="175"/>
      <c r="BI421" s="175"/>
      <c r="BJ421" s="175"/>
      <c r="BK421" s="175"/>
      <c r="BL421" s="175"/>
      <c r="BM421" s="175"/>
      <c r="BN421" s="175"/>
      <c r="BO421" s="175"/>
      <c r="BP421" s="175"/>
    </row>
  </sheetData>
  <sheetProtection algorithmName="SHA-512" hashValue="/cMPETAyn6eNTLqpet4Cs0cHb3gdueNuPhCw78eXUiRh1sSi5riZ4JCawf1Qs8UF3wPw1FzsHCbZeTsuulVQpw==" saltValue="TP3d9LEvIXFdc8V0B/ReTw==" spinCount="100000" sheet="1" objects="1" scenarios="1" selectLockedCells="1"/>
  <mergeCells count="1071">
    <mergeCell ref="K398:L398"/>
    <mergeCell ref="E20:F20"/>
    <mergeCell ref="E30:F30"/>
    <mergeCell ref="E31:F31"/>
    <mergeCell ref="E21:F21"/>
    <mergeCell ref="E343:F343"/>
    <mergeCell ref="E368:F368"/>
    <mergeCell ref="E370:F370"/>
    <mergeCell ref="E341:F341"/>
    <mergeCell ref="G282:H282"/>
    <mergeCell ref="K282:L282"/>
    <mergeCell ref="G252:H252"/>
    <mergeCell ref="K252:L252"/>
    <mergeCell ref="G145:H145"/>
    <mergeCell ref="K145:L145"/>
    <mergeCell ref="G100:H100"/>
    <mergeCell ref="K100:L100"/>
    <mergeCell ref="G67:H67"/>
    <mergeCell ref="K67:L67"/>
    <mergeCell ref="G68:H68"/>
    <mergeCell ref="E39:F39"/>
    <mergeCell ref="G341:H341"/>
    <mergeCell ref="K21:L21"/>
    <mergeCell ref="K25:L25"/>
    <mergeCell ref="E26:F26"/>
    <mergeCell ref="K26:L26"/>
    <mergeCell ref="E27:F27"/>
    <mergeCell ref="K27:L27"/>
    <mergeCell ref="E22:F22"/>
    <mergeCell ref="K22:L22"/>
    <mergeCell ref="E312:F312"/>
    <mergeCell ref="G312:H312"/>
    <mergeCell ref="K11:M12"/>
    <mergeCell ref="E23:F23"/>
    <mergeCell ref="K23:L23"/>
    <mergeCell ref="E24:F24"/>
    <mergeCell ref="B16:D16"/>
    <mergeCell ref="B17:D17"/>
    <mergeCell ref="B18:D18"/>
    <mergeCell ref="B19:D19"/>
    <mergeCell ref="B20:D20"/>
    <mergeCell ref="L5:M5"/>
    <mergeCell ref="K404:L404"/>
    <mergeCell ref="E11:F12"/>
    <mergeCell ref="G11:H12"/>
    <mergeCell ref="I11:I13"/>
    <mergeCell ref="J11:J12"/>
    <mergeCell ref="E37:F37"/>
    <mergeCell ref="K31:L31"/>
    <mergeCell ref="E32:F32"/>
    <mergeCell ref="K32:L32"/>
    <mergeCell ref="E33:F33"/>
    <mergeCell ref="K33:L33"/>
    <mergeCell ref="E28:F28"/>
    <mergeCell ref="K28:L28"/>
    <mergeCell ref="E25:F25"/>
    <mergeCell ref="B342:D342"/>
    <mergeCell ref="E342:F342"/>
    <mergeCell ref="B343:D343"/>
    <mergeCell ref="E352:F352"/>
    <mergeCell ref="B347:D347"/>
    <mergeCell ref="E347:F347"/>
    <mergeCell ref="B348:D348"/>
    <mergeCell ref="E348:F348"/>
    <mergeCell ref="B349:D349"/>
    <mergeCell ref="E349:F349"/>
    <mergeCell ref="B333:D333"/>
    <mergeCell ref="E333:F333"/>
    <mergeCell ref="E334:F334"/>
    <mergeCell ref="E328:F328"/>
    <mergeCell ref="B329:D329"/>
    <mergeCell ref="B32:D32"/>
    <mergeCell ref="B33:D33"/>
    <mergeCell ref="B34:D34"/>
    <mergeCell ref="B35:D35"/>
    <mergeCell ref="B36:D36"/>
    <mergeCell ref="B341:D341"/>
    <mergeCell ref="B327:D327"/>
    <mergeCell ref="E327:F327"/>
    <mergeCell ref="B314:D314"/>
    <mergeCell ref="E314:F314"/>
    <mergeCell ref="B315:D315"/>
    <mergeCell ref="E315:F315"/>
    <mergeCell ref="E38:F38"/>
    <mergeCell ref="E34:F34"/>
    <mergeCell ref="E35:F35"/>
    <mergeCell ref="E36:F36"/>
    <mergeCell ref="B39:D39"/>
    <mergeCell ref="B344:D344"/>
    <mergeCell ref="E344:F344"/>
    <mergeCell ref="B345:D345"/>
    <mergeCell ref="E345:F345"/>
    <mergeCell ref="B346:D346"/>
    <mergeCell ref="E346:F346"/>
    <mergeCell ref="E316:F316"/>
    <mergeCell ref="B312:D312"/>
    <mergeCell ref="G404:H404"/>
    <mergeCell ref="B401:D401"/>
    <mergeCell ref="E401:F401"/>
    <mergeCell ref="B402:D402"/>
    <mergeCell ref="E402:F402"/>
    <mergeCell ref="E403:F403"/>
    <mergeCell ref="E404:F404"/>
    <mergeCell ref="B398:D398"/>
    <mergeCell ref="E398:F398"/>
    <mergeCell ref="G398:H398"/>
    <mergeCell ref="E389:F389"/>
    <mergeCell ref="B391:D391"/>
    <mergeCell ref="E391:F391"/>
    <mergeCell ref="B392:D392"/>
    <mergeCell ref="E392:F392"/>
    <mergeCell ref="B386:D386"/>
    <mergeCell ref="E386:F386"/>
    <mergeCell ref="B393:D393"/>
    <mergeCell ref="E393:F393"/>
    <mergeCell ref="B394:D394"/>
    <mergeCell ref="E394:F394"/>
    <mergeCell ref="B400:D400"/>
    <mergeCell ref="B397:D397"/>
    <mergeCell ref="E399:F399"/>
    <mergeCell ref="E400:F400"/>
    <mergeCell ref="B395:D395"/>
    <mergeCell ref="E395:F395"/>
    <mergeCell ref="E396:F396"/>
    <mergeCell ref="E397:F397"/>
    <mergeCell ref="B374:C374"/>
    <mergeCell ref="G374:H374"/>
    <mergeCell ref="B353:D353"/>
    <mergeCell ref="E353:F353"/>
    <mergeCell ref="B354:D354"/>
    <mergeCell ref="E354:F354"/>
    <mergeCell ref="E358:F358"/>
    <mergeCell ref="B362:C362"/>
    <mergeCell ref="B387:D387"/>
    <mergeCell ref="E387:F387"/>
    <mergeCell ref="B388:D388"/>
    <mergeCell ref="E388:F388"/>
    <mergeCell ref="B375:C375"/>
    <mergeCell ref="G375:H375"/>
    <mergeCell ref="E380:F380"/>
    <mergeCell ref="B384:D384"/>
    <mergeCell ref="E384:F384"/>
    <mergeCell ref="B385:D385"/>
    <mergeCell ref="E385:F385"/>
    <mergeCell ref="B381:D381"/>
    <mergeCell ref="E381:F381"/>
    <mergeCell ref="G353:H353"/>
    <mergeCell ref="G354:H354"/>
    <mergeCell ref="B355:D355"/>
    <mergeCell ref="E355:F355"/>
    <mergeCell ref="G362:H362"/>
    <mergeCell ref="B363:C363"/>
    <mergeCell ref="G363:H363"/>
    <mergeCell ref="B351:D351"/>
    <mergeCell ref="E351:F351"/>
    <mergeCell ref="B352:D352"/>
    <mergeCell ref="K24:L24"/>
    <mergeCell ref="K341:L341"/>
    <mergeCell ref="B326:D326"/>
    <mergeCell ref="E326:F326"/>
    <mergeCell ref="B350:D350"/>
    <mergeCell ref="E350:F350"/>
    <mergeCell ref="B21:D21"/>
    <mergeCell ref="B22:D22"/>
    <mergeCell ref="B23:D23"/>
    <mergeCell ref="B24:D24"/>
    <mergeCell ref="B25:D25"/>
    <mergeCell ref="B323:D323"/>
    <mergeCell ref="E323:F323"/>
    <mergeCell ref="B324:D324"/>
    <mergeCell ref="E324:F324"/>
    <mergeCell ref="B325:D325"/>
    <mergeCell ref="E325:F325"/>
    <mergeCell ref="G324:H324"/>
    <mergeCell ref="K324:L324"/>
    <mergeCell ref="G325:H325"/>
    <mergeCell ref="K325:L325"/>
    <mergeCell ref="B332:D332"/>
    <mergeCell ref="E332:F332"/>
    <mergeCell ref="E329:F329"/>
    <mergeCell ref="B330:D330"/>
    <mergeCell ref="E330:F330"/>
    <mergeCell ref="B331:D331"/>
    <mergeCell ref="E331:F331"/>
    <mergeCell ref="B316:D316"/>
    <mergeCell ref="B320:D320"/>
    <mergeCell ref="E320:F320"/>
    <mergeCell ref="B321:D321"/>
    <mergeCell ref="E321:F321"/>
    <mergeCell ref="B322:D322"/>
    <mergeCell ref="E322:F322"/>
    <mergeCell ref="B317:D317"/>
    <mergeCell ref="E317:F317"/>
    <mergeCell ref="B318:D318"/>
    <mergeCell ref="E318:F318"/>
    <mergeCell ref="B319:D319"/>
    <mergeCell ref="E319:F319"/>
    <mergeCell ref="B306:D306"/>
    <mergeCell ref="E306:F306"/>
    <mergeCell ref="B307:D307"/>
    <mergeCell ref="E307:F307"/>
    <mergeCell ref="B308:D308"/>
    <mergeCell ref="E308:F308"/>
    <mergeCell ref="B303:D303"/>
    <mergeCell ref="E303:F303"/>
    <mergeCell ref="B304:D304"/>
    <mergeCell ref="E304:F304"/>
    <mergeCell ref="B305:D305"/>
    <mergeCell ref="E305:F305"/>
    <mergeCell ref="K312:L312"/>
    <mergeCell ref="B313:D313"/>
    <mergeCell ref="E313:F313"/>
    <mergeCell ref="B309:D309"/>
    <mergeCell ref="E309:F309"/>
    <mergeCell ref="B310:D310"/>
    <mergeCell ref="E310:F310"/>
    <mergeCell ref="B311:D311"/>
    <mergeCell ref="E311:F311"/>
    <mergeCell ref="G303:H303"/>
    <mergeCell ref="K303:L303"/>
    <mergeCell ref="G304:H304"/>
    <mergeCell ref="K304:L304"/>
    <mergeCell ref="G305:H305"/>
    <mergeCell ref="K305:L305"/>
    <mergeCell ref="G306:H306"/>
    <mergeCell ref="K306:L306"/>
    <mergeCell ref="G307:H307"/>
    <mergeCell ref="K307:L307"/>
    <mergeCell ref="B295:D295"/>
    <mergeCell ref="E295:F295"/>
    <mergeCell ref="B296:D296"/>
    <mergeCell ref="E296:F296"/>
    <mergeCell ref="B297:D297"/>
    <mergeCell ref="E297:F297"/>
    <mergeCell ref="B292:D292"/>
    <mergeCell ref="E292:F292"/>
    <mergeCell ref="B293:D293"/>
    <mergeCell ref="E293:F293"/>
    <mergeCell ref="B294:D294"/>
    <mergeCell ref="E294:F294"/>
    <mergeCell ref="B300:D300"/>
    <mergeCell ref="E300:F300"/>
    <mergeCell ref="B301:D301"/>
    <mergeCell ref="E301:F301"/>
    <mergeCell ref="B302:D302"/>
    <mergeCell ref="E302:F302"/>
    <mergeCell ref="B298:D298"/>
    <mergeCell ref="E298:F298"/>
    <mergeCell ref="B299:D299"/>
    <mergeCell ref="E299:F299"/>
    <mergeCell ref="B283:D283"/>
    <mergeCell ref="E283:F283"/>
    <mergeCell ref="B284:D284"/>
    <mergeCell ref="E284:F284"/>
    <mergeCell ref="B285:D285"/>
    <mergeCell ref="E285:F285"/>
    <mergeCell ref="B281:D281"/>
    <mergeCell ref="E281:F281"/>
    <mergeCell ref="B282:D282"/>
    <mergeCell ref="E282:F282"/>
    <mergeCell ref="B289:D289"/>
    <mergeCell ref="E289:F289"/>
    <mergeCell ref="B290:D290"/>
    <mergeCell ref="E290:F290"/>
    <mergeCell ref="B291:D291"/>
    <mergeCell ref="E291:F291"/>
    <mergeCell ref="B286:D286"/>
    <mergeCell ref="E286:F286"/>
    <mergeCell ref="B287:D287"/>
    <mergeCell ref="E287:F287"/>
    <mergeCell ref="B288:D288"/>
    <mergeCell ref="E288:F288"/>
    <mergeCell ref="B278:D278"/>
    <mergeCell ref="E278:F278"/>
    <mergeCell ref="B279:D279"/>
    <mergeCell ref="E279:F279"/>
    <mergeCell ref="B280:D280"/>
    <mergeCell ref="E280:F280"/>
    <mergeCell ref="B275:D275"/>
    <mergeCell ref="E275:F275"/>
    <mergeCell ref="B276:D276"/>
    <mergeCell ref="E276:F276"/>
    <mergeCell ref="B277:D277"/>
    <mergeCell ref="E277:F277"/>
    <mergeCell ref="G279:H279"/>
    <mergeCell ref="K279:L279"/>
    <mergeCell ref="G280:H280"/>
    <mergeCell ref="K280:L280"/>
    <mergeCell ref="G277:H277"/>
    <mergeCell ref="K277:L277"/>
    <mergeCell ref="G278:H278"/>
    <mergeCell ref="K278:L278"/>
    <mergeCell ref="B267:D267"/>
    <mergeCell ref="E267:F267"/>
    <mergeCell ref="G267:H267"/>
    <mergeCell ref="K267:L267"/>
    <mergeCell ref="B268:D268"/>
    <mergeCell ref="E268:F268"/>
    <mergeCell ref="B264:D264"/>
    <mergeCell ref="E264:F264"/>
    <mergeCell ref="B265:D265"/>
    <mergeCell ref="E265:F265"/>
    <mergeCell ref="B266:D266"/>
    <mergeCell ref="E266:F266"/>
    <mergeCell ref="B272:D272"/>
    <mergeCell ref="E272:F272"/>
    <mergeCell ref="B273:D273"/>
    <mergeCell ref="E273:F273"/>
    <mergeCell ref="B274:D274"/>
    <mergeCell ref="E274:F274"/>
    <mergeCell ref="B269:D269"/>
    <mergeCell ref="E269:F269"/>
    <mergeCell ref="B270:D270"/>
    <mergeCell ref="E270:F270"/>
    <mergeCell ref="B271:D271"/>
    <mergeCell ref="E271:F271"/>
    <mergeCell ref="G264:H264"/>
    <mergeCell ref="K264:L264"/>
    <mergeCell ref="G265:H265"/>
    <mergeCell ref="K265:L265"/>
    <mergeCell ref="G257:H257"/>
    <mergeCell ref="K257:L257"/>
    <mergeCell ref="B261:D261"/>
    <mergeCell ref="E261:F261"/>
    <mergeCell ref="B262:D262"/>
    <mergeCell ref="E262:F262"/>
    <mergeCell ref="B263:D263"/>
    <mergeCell ref="E263:F263"/>
    <mergeCell ref="B258:D258"/>
    <mergeCell ref="E258:F258"/>
    <mergeCell ref="B259:D259"/>
    <mergeCell ref="E259:F259"/>
    <mergeCell ref="B260:D260"/>
    <mergeCell ref="E260:F260"/>
    <mergeCell ref="G263:H263"/>
    <mergeCell ref="K263:L263"/>
    <mergeCell ref="G258:H258"/>
    <mergeCell ref="K258:L258"/>
    <mergeCell ref="G259:H259"/>
    <mergeCell ref="K259:L259"/>
    <mergeCell ref="G260:H260"/>
    <mergeCell ref="K260:L260"/>
    <mergeCell ref="G261:H261"/>
    <mergeCell ref="K261:L261"/>
    <mergeCell ref="G262:H262"/>
    <mergeCell ref="K262:L262"/>
    <mergeCell ref="B250:D250"/>
    <mergeCell ref="E250:F250"/>
    <mergeCell ref="B251:D251"/>
    <mergeCell ref="E251:F251"/>
    <mergeCell ref="B252:D252"/>
    <mergeCell ref="E252:F252"/>
    <mergeCell ref="B247:D247"/>
    <mergeCell ref="E247:F247"/>
    <mergeCell ref="B248:D248"/>
    <mergeCell ref="E248:F248"/>
    <mergeCell ref="B249:D249"/>
    <mergeCell ref="E249:F249"/>
    <mergeCell ref="B255:D255"/>
    <mergeCell ref="E255:F255"/>
    <mergeCell ref="B256:D256"/>
    <mergeCell ref="E256:F256"/>
    <mergeCell ref="B257:D257"/>
    <mergeCell ref="E257:F257"/>
    <mergeCell ref="B253:D253"/>
    <mergeCell ref="E253:F253"/>
    <mergeCell ref="B254:D254"/>
    <mergeCell ref="E254:F254"/>
    <mergeCell ref="B238:D238"/>
    <mergeCell ref="E238:F238"/>
    <mergeCell ref="B239:D239"/>
    <mergeCell ref="E239:F239"/>
    <mergeCell ref="B240:D240"/>
    <mergeCell ref="E240:F240"/>
    <mergeCell ref="B236:D236"/>
    <mergeCell ref="E236:F236"/>
    <mergeCell ref="B237:D237"/>
    <mergeCell ref="E237:F237"/>
    <mergeCell ref="B244:D244"/>
    <mergeCell ref="E244:F244"/>
    <mergeCell ref="B245:D245"/>
    <mergeCell ref="E245:F245"/>
    <mergeCell ref="B246:D246"/>
    <mergeCell ref="E246:F246"/>
    <mergeCell ref="B241:D241"/>
    <mergeCell ref="E241:F241"/>
    <mergeCell ref="B242:D242"/>
    <mergeCell ref="E242:F242"/>
    <mergeCell ref="B243:D243"/>
    <mergeCell ref="E243:F243"/>
    <mergeCell ref="B227:D227"/>
    <mergeCell ref="E227:F227"/>
    <mergeCell ref="B228:D228"/>
    <mergeCell ref="E228:F228"/>
    <mergeCell ref="B229:D229"/>
    <mergeCell ref="E229:F229"/>
    <mergeCell ref="B224:D224"/>
    <mergeCell ref="E224:F224"/>
    <mergeCell ref="B225:D225"/>
    <mergeCell ref="E225:F225"/>
    <mergeCell ref="B226:D226"/>
    <mergeCell ref="E226:F226"/>
    <mergeCell ref="G237:H237"/>
    <mergeCell ref="K237:L237"/>
    <mergeCell ref="B233:D233"/>
    <mergeCell ref="E233:F233"/>
    <mergeCell ref="B234:D234"/>
    <mergeCell ref="E234:F234"/>
    <mergeCell ref="B235:D235"/>
    <mergeCell ref="E235:F235"/>
    <mergeCell ref="B230:D230"/>
    <mergeCell ref="E230:F230"/>
    <mergeCell ref="B231:D231"/>
    <mergeCell ref="E231:F231"/>
    <mergeCell ref="B232:D232"/>
    <mergeCell ref="E232:F232"/>
    <mergeCell ref="G232:H232"/>
    <mergeCell ref="K232:L232"/>
    <mergeCell ref="G233:H233"/>
    <mergeCell ref="K233:L233"/>
    <mergeCell ref="G234:H234"/>
    <mergeCell ref="K234:L234"/>
    <mergeCell ref="B216:D216"/>
    <mergeCell ref="E216:F216"/>
    <mergeCell ref="B217:D217"/>
    <mergeCell ref="E217:F217"/>
    <mergeCell ref="B218:D218"/>
    <mergeCell ref="E218:F218"/>
    <mergeCell ref="B213:D213"/>
    <mergeCell ref="E213:F213"/>
    <mergeCell ref="B214:D214"/>
    <mergeCell ref="E214:F214"/>
    <mergeCell ref="B215:D215"/>
    <mergeCell ref="E215:F215"/>
    <mergeCell ref="B222:D222"/>
    <mergeCell ref="E222:F222"/>
    <mergeCell ref="G222:H222"/>
    <mergeCell ref="K222:L222"/>
    <mergeCell ref="B223:D223"/>
    <mergeCell ref="E223:F223"/>
    <mergeCell ref="B219:D219"/>
    <mergeCell ref="E219:F219"/>
    <mergeCell ref="B220:D220"/>
    <mergeCell ref="E220:F220"/>
    <mergeCell ref="B221:D221"/>
    <mergeCell ref="E221:F221"/>
    <mergeCell ref="G220:H220"/>
    <mergeCell ref="K220:L220"/>
    <mergeCell ref="G215:H215"/>
    <mergeCell ref="K215:L215"/>
    <mergeCell ref="G216:H216"/>
    <mergeCell ref="K216:L216"/>
    <mergeCell ref="G217:H217"/>
    <mergeCell ref="K217:L217"/>
    <mergeCell ref="B205:D205"/>
    <mergeCell ref="E205:F205"/>
    <mergeCell ref="B206:D206"/>
    <mergeCell ref="E206:F206"/>
    <mergeCell ref="B207:D207"/>
    <mergeCell ref="E207:F207"/>
    <mergeCell ref="B202:D202"/>
    <mergeCell ref="E202:F202"/>
    <mergeCell ref="B203:D203"/>
    <mergeCell ref="E203:F203"/>
    <mergeCell ref="B204:D204"/>
    <mergeCell ref="E204:F204"/>
    <mergeCell ref="B210:D210"/>
    <mergeCell ref="E210:F210"/>
    <mergeCell ref="B211:D211"/>
    <mergeCell ref="E211:F211"/>
    <mergeCell ref="B212:D212"/>
    <mergeCell ref="E212:F212"/>
    <mergeCell ref="B208:D208"/>
    <mergeCell ref="E208:F208"/>
    <mergeCell ref="B209:D209"/>
    <mergeCell ref="E209:F209"/>
    <mergeCell ref="B193:D193"/>
    <mergeCell ref="E193:F193"/>
    <mergeCell ref="B194:D194"/>
    <mergeCell ref="E194:F194"/>
    <mergeCell ref="B195:D195"/>
    <mergeCell ref="E195:F195"/>
    <mergeCell ref="B191:D191"/>
    <mergeCell ref="E191:F191"/>
    <mergeCell ref="B192:D192"/>
    <mergeCell ref="E192:F192"/>
    <mergeCell ref="B199:D199"/>
    <mergeCell ref="E199:F199"/>
    <mergeCell ref="B200:D200"/>
    <mergeCell ref="E200:F200"/>
    <mergeCell ref="B201:D201"/>
    <mergeCell ref="E201:F201"/>
    <mergeCell ref="B196:D196"/>
    <mergeCell ref="E196:F196"/>
    <mergeCell ref="B197:D197"/>
    <mergeCell ref="E197:F197"/>
    <mergeCell ref="B198:D198"/>
    <mergeCell ref="E198:F198"/>
    <mergeCell ref="B182:D182"/>
    <mergeCell ref="E182:F182"/>
    <mergeCell ref="B183:D183"/>
    <mergeCell ref="E183:F183"/>
    <mergeCell ref="B184:D184"/>
    <mergeCell ref="E184:F184"/>
    <mergeCell ref="B179:D179"/>
    <mergeCell ref="E179:F179"/>
    <mergeCell ref="B180:D180"/>
    <mergeCell ref="E180:F180"/>
    <mergeCell ref="B181:D181"/>
    <mergeCell ref="E181:F181"/>
    <mergeCell ref="G192:H192"/>
    <mergeCell ref="K192:L192"/>
    <mergeCell ref="B188:D188"/>
    <mergeCell ref="E188:F188"/>
    <mergeCell ref="B189:D189"/>
    <mergeCell ref="E189:F189"/>
    <mergeCell ref="B190:D190"/>
    <mergeCell ref="E190:F190"/>
    <mergeCell ref="B185:D185"/>
    <mergeCell ref="E185:F185"/>
    <mergeCell ref="B186:D186"/>
    <mergeCell ref="E186:F186"/>
    <mergeCell ref="B187:D187"/>
    <mergeCell ref="E187:F187"/>
    <mergeCell ref="G185:H185"/>
    <mergeCell ref="K185:L185"/>
    <mergeCell ref="G186:H186"/>
    <mergeCell ref="K186:L186"/>
    <mergeCell ref="G187:H187"/>
    <mergeCell ref="K187:L187"/>
    <mergeCell ref="B171:D171"/>
    <mergeCell ref="E171:F171"/>
    <mergeCell ref="B172:D172"/>
    <mergeCell ref="E172:F172"/>
    <mergeCell ref="B173:D173"/>
    <mergeCell ref="E173:F173"/>
    <mergeCell ref="B168:D168"/>
    <mergeCell ref="E168:F168"/>
    <mergeCell ref="B169:D169"/>
    <mergeCell ref="E169:F169"/>
    <mergeCell ref="B170:D170"/>
    <mergeCell ref="E170:F170"/>
    <mergeCell ref="B177:D177"/>
    <mergeCell ref="E177:F177"/>
    <mergeCell ref="G177:H177"/>
    <mergeCell ref="K177:L177"/>
    <mergeCell ref="B178:D178"/>
    <mergeCell ref="E178:F178"/>
    <mergeCell ref="B174:D174"/>
    <mergeCell ref="E174:F174"/>
    <mergeCell ref="B175:D175"/>
    <mergeCell ref="E175:F175"/>
    <mergeCell ref="B176:D176"/>
    <mergeCell ref="E176:F176"/>
    <mergeCell ref="B160:D160"/>
    <mergeCell ref="E160:F160"/>
    <mergeCell ref="B161:D161"/>
    <mergeCell ref="E161:F161"/>
    <mergeCell ref="B162:D162"/>
    <mergeCell ref="E162:F162"/>
    <mergeCell ref="B157:D157"/>
    <mergeCell ref="E157:F157"/>
    <mergeCell ref="B158:D158"/>
    <mergeCell ref="E158:F158"/>
    <mergeCell ref="B159:D159"/>
    <mergeCell ref="E159:F159"/>
    <mergeCell ref="B165:D165"/>
    <mergeCell ref="E165:F165"/>
    <mergeCell ref="B166:D166"/>
    <mergeCell ref="E166:F166"/>
    <mergeCell ref="B167:D167"/>
    <mergeCell ref="E167:F167"/>
    <mergeCell ref="B163:D163"/>
    <mergeCell ref="E163:F163"/>
    <mergeCell ref="B164:D164"/>
    <mergeCell ref="E164:F164"/>
    <mergeCell ref="B148:D148"/>
    <mergeCell ref="E148:F148"/>
    <mergeCell ref="B149:D149"/>
    <mergeCell ref="E149:F149"/>
    <mergeCell ref="B150:D150"/>
    <mergeCell ref="E150:F150"/>
    <mergeCell ref="B146:D146"/>
    <mergeCell ref="E146:F146"/>
    <mergeCell ref="B147:D147"/>
    <mergeCell ref="E147:F147"/>
    <mergeCell ref="B154:D154"/>
    <mergeCell ref="E154:F154"/>
    <mergeCell ref="B155:D155"/>
    <mergeCell ref="E155:F155"/>
    <mergeCell ref="B156:D156"/>
    <mergeCell ref="E156:F156"/>
    <mergeCell ref="B151:D151"/>
    <mergeCell ref="E151:F151"/>
    <mergeCell ref="B152:D152"/>
    <mergeCell ref="E152:F152"/>
    <mergeCell ref="B153:D153"/>
    <mergeCell ref="E153:F153"/>
    <mergeCell ref="B137:D137"/>
    <mergeCell ref="E137:F137"/>
    <mergeCell ref="B138:D138"/>
    <mergeCell ref="E138:F138"/>
    <mergeCell ref="B139:D139"/>
    <mergeCell ref="E139:F139"/>
    <mergeCell ref="B134:D134"/>
    <mergeCell ref="E134:F134"/>
    <mergeCell ref="B135:D135"/>
    <mergeCell ref="E135:F135"/>
    <mergeCell ref="B136:D136"/>
    <mergeCell ref="E136:F136"/>
    <mergeCell ref="G147:H147"/>
    <mergeCell ref="K147:L147"/>
    <mergeCell ref="B143:D143"/>
    <mergeCell ref="E143:F143"/>
    <mergeCell ref="B144:D144"/>
    <mergeCell ref="E144:F144"/>
    <mergeCell ref="B145:D145"/>
    <mergeCell ref="E145:F145"/>
    <mergeCell ref="B140:D140"/>
    <mergeCell ref="E140:F140"/>
    <mergeCell ref="B141:D141"/>
    <mergeCell ref="E141:F141"/>
    <mergeCell ref="B142:D142"/>
    <mergeCell ref="E142:F142"/>
    <mergeCell ref="G142:H142"/>
    <mergeCell ref="K142:L142"/>
    <mergeCell ref="G143:H143"/>
    <mergeCell ref="K143:L143"/>
    <mergeCell ref="G144:H144"/>
    <mergeCell ref="K144:L144"/>
    <mergeCell ref="B126:D126"/>
    <mergeCell ref="E126:F126"/>
    <mergeCell ref="B127:D127"/>
    <mergeCell ref="E127:F127"/>
    <mergeCell ref="B128:D128"/>
    <mergeCell ref="E128:F128"/>
    <mergeCell ref="B123:D123"/>
    <mergeCell ref="E123:F123"/>
    <mergeCell ref="B124:D124"/>
    <mergeCell ref="E124:F124"/>
    <mergeCell ref="B125:D125"/>
    <mergeCell ref="E125:F125"/>
    <mergeCell ref="B132:D132"/>
    <mergeCell ref="E132:F132"/>
    <mergeCell ref="G132:H132"/>
    <mergeCell ref="K132:L132"/>
    <mergeCell ref="B133:D133"/>
    <mergeCell ref="E133:F133"/>
    <mergeCell ref="B129:D129"/>
    <mergeCell ref="E129:F129"/>
    <mergeCell ref="B130:D130"/>
    <mergeCell ref="E130:F130"/>
    <mergeCell ref="B131:D131"/>
    <mergeCell ref="E131:F131"/>
    <mergeCell ref="G129:H129"/>
    <mergeCell ref="K129:L129"/>
    <mergeCell ref="G130:H130"/>
    <mergeCell ref="K130:L130"/>
    <mergeCell ref="G128:H128"/>
    <mergeCell ref="K128:L128"/>
    <mergeCell ref="B115:D115"/>
    <mergeCell ref="E115:F115"/>
    <mergeCell ref="B116:D116"/>
    <mergeCell ref="E116:F116"/>
    <mergeCell ref="B117:D117"/>
    <mergeCell ref="E117:F117"/>
    <mergeCell ref="B112:D112"/>
    <mergeCell ref="E112:F112"/>
    <mergeCell ref="B113:D113"/>
    <mergeCell ref="E113:F113"/>
    <mergeCell ref="B114:D114"/>
    <mergeCell ref="E114:F114"/>
    <mergeCell ref="B120:D120"/>
    <mergeCell ref="E120:F120"/>
    <mergeCell ref="B121:D121"/>
    <mergeCell ref="E121:F121"/>
    <mergeCell ref="B122:D122"/>
    <mergeCell ref="E122:F122"/>
    <mergeCell ref="B118:D118"/>
    <mergeCell ref="E118:F118"/>
    <mergeCell ref="B119:D119"/>
    <mergeCell ref="E119:F119"/>
    <mergeCell ref="B103:D103"/>
    <mergeCell ref="E103:F103"/>
    <mergeCell ref="B104:D104"/>
    <mergeCell ref="E104:F104"/>
    <mergeCell ref="B105:D105"/>
    <mergeCell ref="E105:F105"/>
    <mergeCell ref="B101:D101"/>
    <mergeCell ref="E101:F101"/>
    <mergeCell ref="B102:D102"/>
    <mergeCell ref="E102:F102"/>
    <mergeCell ref="B109:D109"/>
    <mergeCell ref="E109:F109"/>
    <mergeCell ref="B110:D110"/>
    <mergeCell ref="E110:F110"/>
    <mergeCell ref="B111:D111"/>
    <mergeCell ref="E111:F111"/>
    <mergeCell ref="B106:D106"/>
    <mergeCell ref="E106:F106"/>
    <mergeCell ref="B107:D107"/>
    <mergeCell ref="E107:F107"/>
    <mergeCell ref="B108:D108"/>
    <mergeCell ref="E108:F108"/>
    <mergeCell ref="B90:D90"/>
    <mergeCell ref="E90:F90"/>
    <mergeCell ref="B91:D91"/>
    <mergeCell ref="E91:F91"/>
    <mergeCell ref="B92:D92"/>
    <mergeCell ref="E92:F92"/>
    <mergeCell ref="B87:D87"/>
    <mergeCell ref="E87:F87"/>
    <mergeCell ref="B88:D88"/>
    <mergeCell ref="E88:F88"/>
    <mergeCell ref="B89:D89"/>
    <mergeCell ref="E89:F89"/>
    <mergeCell ref="G102:H102"/>
    <mergeCell ref="K102:L102"/>
    <mergeCell ref="B98:D98"/>
    <mergeCell ref="E98:F98"/>
    <mergeCell ref="B99:D99"/>
    <mergeCell ref="E99:F99"/>
    <mergeCell ref="B100:D100"/>
    <mergeCell ref="E100:F100"/>
    <mergeCell ref="B93:D93"/>
    <mergeCell ref="E93:F93"/>
    <mergeCell ref="B94:D94"/>
    <mergeCell ref="E94:F94"/>
    <mergeCell ref="B97:D97"/>
    <mergeCell ref="E97:F97"/>
    <mergeCell ref="B95:D95"/>
    <mergeCell ref="E95:F95"/>
    <mergeCell ref="B96:D96"/>
    <mergeCell ref="E96:F96"/>
    <mergeCell ref="G99:H99"/>
    <mergeCell ref="K99:L99"/>
    <mergeCell ref="B79:D79"/>
    <mergeCell ref="E79:F79"/>
    <mergeCell ref="B80:D80"/>
    <mergeCell ref="E80:F80"/>
    <mergeCell ref="B81:D81"/>
    <mergeCell ref="E81:F81"/>
    <mergeCell ref="B76:D76"/>
    <mergeCell ref="E76:F76"/>
    <mergeCell ref="B77:D77"/>
    <mergeCell ref="E77:F77"/>
    <mergeCell ref="B78:D78"/>
    <mergeCell ref="E78:F78"/>
    <mergeCell ref="B85:D85"/>
    <mergeCell ref="E85:F85"/>
    <mergeCell ref="G85:H85"/>
    <mergeCell ref="K85:L85"/>
    <mergeCell ref="B86:D86"/>
    <mergeCell ref="E86:F86"/>
    <mergeCell ref="B82:D82"/>
    <mergeCell ref="E82:F82"/>
    <mergeCell ref="B83:D83"/>
    <mergeCell ref="E83:F83"/>
    <mergeCell ref="B84:D84"/>
    <mergeCell ref="E84:F84"/>
    <mergeCell ref="G81:H81"/>
    <mergeCell ref="K81:L81"/>
    <mergeCell ref="G82:H82"/>
    <mergeCell ref="K82:L82"/>
    <mergeCell ref="G83:H83"/>
    <mergeCell ref="K83:L83"/>
    <mergeCell ref="B68:D68"/>
    <mergeCell ref="E68:F68"/>
    <mergeCell ref="B69:D69"/>
    <mergeCell ref="E69:F69"/>
    <mergeCell ref="B70:D70"/>
    <mergeCell ref="E70:F70"/>
    <mergeCell ref="B65:D65"/>
    <mergeCell ref="E65:F65"/>
    <mergeCell ref="B66:D66"/>
    <mergeCell ref="E66:F66"/>
    <mergeCell ref="B67:D67"/>
    <mergeCell ref="E67:F67"/>
    <mergeCell ref="B73:D73"/>
    <mergeCell ref="E73:F73"/>
    <mergeCell ref="B74:D74"/>
    <mergeCell ref="E74:F74"/>
    <mergeCell ref="B75:D75"/>
    <mergeCell ref="E75:F75"/>
    <mergeCell ref="B71:D71"/>
    <mergeCell ref="E71:F71"/>
    <mergeCell ref="B72:D72"/>
    <mergeCell ref="E72:F72"/>
    <mergeCell ref="B56:D56"/>
    <mergeCell ref="E56:F56"/>
    <mergeCell ref="B57:D57"/>
    <mergeCell ref="E57:F57"/>
    <mergeCell ref="B58:D58"/>
    <mergeCell ref="E58:F58"/>
    <mergeCell ref="B54:D54"/>
    <mergeCell ref="E54:F54"/>
    <mergeCell ref="B55:D55"/>
    <mergeCell ref="E55:F55"/>
    <mergeCell ref="B62:D62"/>
    <mergeCell ref="E62:F62"/>
    <mergeCell ref="B63:D63"/>
    <mergeCell ref="E63:F63"/>
    <mergeCell ref="B64:D64"/>
    <mergeCell ref="E64:F64"/>
    <mergeCell ref="B59:D59"/>
    <mergeCell ref="E59:F59"/>
    <mergeCell ref="B60:D60"/>
    <mergeCell ref="E60:F60"/>
    <mergeCell ref="B61:D61"/>
    <mergeCell ref="E61:F61"/>
    <mergeCell ref="G55:H55"/>
    <mergeCell ref="K55:L55"/>
    <mergeCell ref="B51:D51"/>
    <mergeCell ref="E51:F51"/>
    <mergeCell ref="B52:D52"/>
    <mergeCell ref="E52:F52"/>
    <mergeCell ref="B53:D53"/>
    <mergeCell ref="E53:F53"/>
    <mergeCell ref="B48:D48"/>
    <mergeCell ref="E48:F48"/>
    <mergeCell ref="B49:D49"/>
    <mergeCell ref="E49:F49"/>
    <mergeCell ref="B50:D50"/>
    <mergeCell ref="E50:F50"/>
    <mergeCell ref="G51:H51"/>
    <mergeCell ref="K51:L51"/>
    <mergeCell ref="G52:H52"/>
    <mergeCell ref="K52:L52"/>
    <mergeCell ref="G53:H53"/>
    <mergeCell ref="K53:L53"/>
    <mergeCell ref="E13:F13"/>
    <mergeCell ref="G13:H13"/>
    <mergeCell ref="K13:L13"/>
    <mergeCell ref="E16:F16"/>
    <mergeCell ref="K16:L16"/>
    <mergeCell ref="E17:F17"/>
    <mergeCell ref="K17:L17"/>
    <mergeCell ref="E18:F18"/>
    <mergeCell ref="K18:L18"/>
    <mergeCell ref="E19:F19"/>
    <mergeCell ref="B45:D45"/>
    <mergeCell ref="E45:F45"/>
    <mergeCell ref="B46:D46"/>
    <mergeCell ref="E46:F46"/>
    <mergeCell ref="B47:D47"/>
    <mergeCell ref="E47:F47"/>
    <mergeCell ref="B42:D42"/>
    <mergeCell ref="E42:F42"/>
    <mergeCell ref="B43:D43"/>
    <mergeCell ref="E43:F43"/>
    <mergeCell ref="B44:D44"/>
    <mergeCell ref="E44:F44"/>
    <mergeCell ref="K19:L19"/>
    <mergeCell ref="B26:D26"/>
    <mergeCell ref="B27:D27"/>
    <mergeCell ref="B28:D28"/>
    <mergeCell ref="B29:D29"/>
    <mergeCell ref="B30:D30"/>
    <mergeCell ref="B31:D31"/>
    <mergeCell ref="E29:F29"/>
    <mergeCell ref="K37:L37"/>
    <mergeCell ref="K38:L38"/>
    <mergeCell ref="A15:M15"/>
    <mergeCell ref="B37:D37"/>
    <mergeCell ref="G48:H48"/>
    <mergeCell ref="K48:L48"/>
    <mergeCell ref="G49:H49"/>
    <mergeCell ref="K49:L49"/>
    <mergeCell ref="G50:H50"/>
    <mergeCell ref="K50:L50"/>
    <mergeCell ref="B40:D40"/>
    <mergeCell ref="E40:F40"/>
    <mergeCell ref="G40:H40"/>
    <mergeCell ref="K40:L40"/>
    <mergeCell ref="B41:D41"/>
    <mergeCell ref="E41:F41"/>
    <mergeCell ref="K34:L34"/>
    <mergeCell ref="K35:L35"/>
    <mergeCell ref="K36:L36"/>
    <mergeCell ref="K20:L20"/>
    <mergeCell ref="K29:L29"/>
    <mergeCell ref="K30:L30"/>
    <mergeCell ref="K68:L68"/>
    <mergeCell ref="G78:H78"/>
    <mergeCell ref="K78:L78"/>
    <mergeCell ref="G79:H79"/>
    <mergeCell ref="K79:L79"/>
    <mergeCell ref="G80:H80"/>
    <mergeCell ref="K80:L80"/>
    <mergeCell ref="G70:H70"/>
    <mergeCell ref="K70:L70"/>
    <mergeCell ref="G112:H112"/>
    <mergeCell ref="K112:L112"/>
    <mergeCell ref="G113:H113"/>
    <mergeCell ref="K113:L113"/>
    <mergeCell ref="G114:H114"/>
    <mergeCell ref="K114:L114"/>
    <mergeCell ref="G115:H115"/>
    <mergeCell ref="K115:L115"/>
    <mergeCell ref="G107:H107"/>
    <mergeCell ref="K107:L107"/>
    <mergeCell ref="G108:H108"/>
    <mergeCell ref="K108:L108"/>
    <mergeCell ref="G109:H109"/>
    <mergeCell ref="K109:L109"/>
    <mergeCell ref="G110:H110"/>
    <mergeCell ref="K110:L110"/>
    <mergeCell ref="G111:H111"/>
    <mergeCell ref="K111:L111"/>
    <mergeCell ref="G117:H117"/>
    <mergeCell ref="K117:L117"/>
    <mergeCell ref="G157:H157"/>
    <mergeCell ref="K157:L157"/>
    <mergeCell ref="G158:H158"/>
    <mergeCell ref="K158:L158"/>
    <mergeCell ref="G159:H159"/>
    <mergeCell ref="K159:L159"/>
    <mergeCell ref="G160:H160"/>
    <mergeCell ref="K160:L160"/>
    <mergeCell ref="G172:H172"/>
    <mergeCell ref="K172:L172"/>
    <mergeCell ref="G152:H152"/>
    <mergeCell ref="K152:L152"/>
    <mergeCell ref="G153:H153"/>
    <mergeCell ref="K153:L153"/>
    <mergeCell ref="G154:H154"/>
    <mergeCell ref="K154:L154"/>
    <mergeCell ref="G155:H155"/>
    <mergeCell ref="K155:L155"/>
    <mergeCell ref="G156:H156"/>
    <mergeCell ref="K156:L156"/>
    <mergeCell ref="G162:H162"/>
    <mergeCell ref="K162:L162"/>
    <mergeCell ref="G190:H190"/>
    <mergeCell ref="K190:L190"/>
    <mergeCell ref="G199:H199"/>
    <mergeCell ref="K199:L199"/>
    <mergeCell ref="G200:H200"/>
    <mergeCell ref="K200:L200"/>
    <mergeCell ref="G201:H201"/>
    <mergeCell ref="K201:L201"/>
    <mergeCell ref="G202:H202"/>
    <mergeCell ref="K202:L202"/>
    <mergeCell ref="G173:H173"/>
    <mergeCell ref="K173:L173"/>
    <mergeCell ref="G174:H174"/>
    <mergeCell ref="K174:L174"/>
    <mergeCell ref="G175:H175"/>
    <mergeCell ref="K175:L175"/>
    <mergeCell ref="G183:H183"/>
    <mergeCell ref="K183:L183"/>
    <mergeCell ref="G184:H184"/>
    <mergeCell ref="K184:L184"/>
    <mergeCell ref="G188:H188"/>
    <mergeCell ref="K188:L188"/>
    <mergeCell ref="G189:H189"/>
    <mergeCell ref="K189:L189"/>
    <mergeCell ref="G218:H218"/>
    <mergeCell ref="K218:L218"/>
    <mergeCell ref="G219:H219"/>
    <mergeCell ref="K219:L219"/>
    <mergeCell ref="G203:H203"/>
    <mergeCell ref="K203:L203"/>
    <mergeCell ref="G204:H204"/>
    <mergeCell ref="K204:L204"/>
    <mergeCell ref="G205:H205"/>
    <mergeCell ref="K205:L205"/>
    <mergeCell ref="G213:H213"/>
    <mergeCell ref="K213:L213"/>
    <mergeCell ref="G214:H214"/>
    <mergeCell ref="K214:L214"/>
    <mergeCell ref="G207:H207"/>
    <mergeCell ref="K207:L207"/>
    <mergeCell ref="G246:H246"/>
    <mergeCell ref="K246:L246"/>
    <mergeCell ref="G247:H247"/>
    <mergeCell ref="K247:L247"/>
    <mergeCell ref="G248:H248"/>
    <mergeCell ref="K248:L248"/>
    <mergeCell ref="G249:H249"/>
    <mergeCell ref="K249:L249"/>
    <mergeCell ref="G250:H250"/>
    <mergeCell ref="K250:L250"/>
    <mergeCell ref="G227:H227"/>
    <mergeCell ref="K227:L227"/>
    <mergeCell ref="G228:H228"/>
    <mergeCell ref="K228:L228"/>
    <mergeCell ref="G229:H229"/>
    <mergeCell ref="K229:L229"/>
    <mergeCell ref="G230:H230"/>
    <mergeCell ref="K230:L230"/>
    <mergeCell ref="G231:H231"/>
    <mergeCell ref="K231:L231"/>
    <mergeCell ref="G235:H235"/>
    <mergeCell ref="K235:L235"/>
    <mergeCell ref="G291:H291"/>
    <mergeCell ref="K291:L291"/>
    <mergeCell ref="G292:H292"/>
    <mergeCell ref="K292:L292"/>
    <mergeCell ref="G293:H293"/>
    <mergeCell ref="K293:L293"/>
    <mergeCell ref="G294:H294"/>
    <mergeCell ref="K294:L294"/>
    <mergeCell ref="G295:H295"/>
    <mergeCell ref="K295:L295"/>
    <mergeCell ref="G297:H297"/>
    <mergeCell ref="K297:L297"/>
    <mergeCell ref="G298:H298"/>
    <mergeCell ref="K298:L298"/>
    <mergeCell ref="G299:H299"/>
    <mergeCell ref="K299:L299"/>
    <mergeCell ref="G300:H300"/>
    <mergeCell ref="K300:L300"/>
    <mergeCell ref="G301:H301"/>
    <mergeCell ref="K301:L301"/>
    <mergeCell ref="G302:H302"/>
    <mergeCell ref="K302:L302"/>
    <mergeCell ref="G339:H339"/>
    <mergeCell ref="G319:H319"/>
    <mergeCell ref="K319:L319"/>
    <mergeCell ref="G320:H320"/>
    <mergeCell ref="K320:L320"/>
    <mergeCell ref="G321:H321"/>
    <mergeCell ref="K321:L321"/>
    <mergeCell ref="G322:H322"/>
    <mergeCell ref="K322:L322"/>
    <mergeCell ref="G323:H323"/>
    <mergeCell ref="K323:L323"/>
    <mergeCell ref="G308:H308"/>
    <mergeCell ref="K308:L308"/>
    <mergeCell ref="G309:H309"/>
    <mergeCell ref="K309:L309"/>
    <mergeCell ref="G310:H310"/>
    <mergeCell ref="K310:L310"/>
    <mergeCell ref="G317:H317"/>
    <mergeCell ref="K317:L317"/>
    <mergeCell ref="G318:H318"/>
    <mergeCell ref="K318:L318"/>
    <mergeCell ref="K339:L339"/>
    <mergeCell ref="G327:H327"/>
    <mergeCell ref="K327:L327"/>
    <mergeCell ref="B340:D340"/>
    <mergeCell ref="G329:H329"/>
    <mergeCell ref="K329:L329"/>
    <mergeCell ref="G330:H330"/>
    <mergeCell ref="K330:L330"/>
    <mergeCell ref="G331:H331"/>
    <mergeCell ref="K331:L331"/>
    <mergeCell ref="G332:H332"/>
    <mergeCell ref="K332:L332"/>
    <mergeCell ref="G333:H333"/>
    <mergeCell ref="K333:L333"/>
    <mergeCell ref="G335:H335"/>
    <mergeCell ref="K335:L335"/>
    <mergeCell ref="G336:H336"/>
    <mergeCell ref="K336:L336"/>
    <mergeCell ref="G337:H337"/>
    <mergeCell ref="K337:L337"/>
    <mergeCell ref="G338:H338"/>
    <mergeCell ref="K338:L338"/>
    <mergeCell ref="B338:D338"/>
    <mergeCell ref="E338:F338"/>
    <mergeCell ref="B339:D339"/>
    <mergeCell ref="E339:F339"/>
    <mergeCell ref="E340:F340"/>
    <mergeCell ref="B335:D335"/>
    <mergeCell ref="E335:F335"/>
    <mergeCell ref="B336:D336"/>
    <mergeCell ref="E336:F336"/>
    <mergeCell ref="B337:D337"/>
    <mergeCell ref="E337:F337"/>
  </mergeCells>
  <conditionalFormatting sqref="M41:M47">
    <cfRule type="expression" dxfId="538" priority="452">
      <formula>IF(ISBLANK(L41),FALSE,TRUE)</formula>
    </cfRule>
  </conditionalFormatting>
  <conditionalFormatting sqref="I41:I47">
    <cfRule type="expression" dxfId="537" priority="451">
      <formula>IF(ISBLANK(H41),FALSE,TRUE)</formula>
    </cfRule>
  </conditionalFormatting>
  <conditionalFormatting sqref="G134:G141">
    <cfRule type="expression" dxfId="536" priority="161">
      <formula>H134&lt;&gt;""</formula>
    </cfRule>
  </conditionalFormatting>
  <conditionalFormatting sqref="I148">
    <cfRule type="expression" dxfId="535" priority="158">
      <formula>IF(ISBLANK(H148),FALSE,TRUE)</formula>
    </cfRule>
  </conditionalFormatting>
  <conditionalFormatting sqref="I148">
    <cfRule type="expression" dxfId="534" priority="156">
      <formula>IF(ISBLANK(H148),FALSE,TRUE)</formula>
    </cfRule>
  </conditionalFormatting>
  <conditionalFormatting sqref="G148">
    <cfRule type="expression" dxfId="533" priority="155">
      <formula>H148&lt;&gt;""</formula>
    </cfRule>
  </conditionalFormatting>
  <conditionalFormatting sqref="M41:M47">
    <cfRule type="expression" dxfId="532" priority="355">
      <formula>IF(ISBLANK(L41),FALSE,TRUE)</formula>
    </cfRule>
  </conditionalFormatting>
  <conditionalFormatting sqref="I41:I47">
    <cfRule type="expression" dxfId="531" priority="354">
      <formula>IF(ISBLANK(H41),FALSE,TRUE)</formula>
    </cfRule>
  </conditionalFormatting>
  <conditionalFormatting sqref="M133">
    <cfRule type="expression" dxfId="530" priority="171">
      <formula>IF(ISBLANK(L133),FALSE,TRUE)</formula>
    </cfRule>
  </conditionalFormatting>
  <conditionalFormatting sqref="I133">
    <cfRule type="expression" dxfId="529" priority="170">
      <formula>IF(ISBLANK(H133),FALSE,TRUE)</formula>
    </cfRule>
  </conditionalFormatting>
  <conditionalFormatting sqref="M148">
    <cfRule type="expression" dxfId="528" priority="157">
      <formula>IF(ISBLANK(L148),FALSE,TRUE)</formula>
    </cfRule>
  </conditionalFormatting>
  <conditionalFormatting sqref="M118">
    <cfRule type="expression" dxfId="527" priority="183">
      <formula>IF(ISBLANK(L118),FALSE,TRUE)</formula>
    </cfRule>
  </conditionalFormatting>
  <conditionalFormatting sqref="I118">
    <cfRule type="expression" dxfId="526" priority="182">
      <formula>IF(ISBLANK(H118),FALSE,TRUE)</formula>
    </cfRule>
  </conditionalFormatting>
  <conditionalFormatting sqref="M103">
    <cfRule type="expression" dxfId="525" priority="193">
      <formula>IF(ISBLANK(L103),FALSE,TRUE)</formula>
    </cfRule>
  </conditionalFormatting>
  <conditionalFormatting sqref="I103">
    <cfRule type="expression" dxfId="524" priority="192">
      <formula>IF(ISBLANK(H103),FALSE,TRUE)</formula>
    </cfRule>
  </conditionalFormatting>
  <conditionalFormatting sqref="M87:M98">
    <cfRule type="expression" dxfId="523" priority="201">
      <formula>IF(ISBLANK(L87),FALSE,TRUE)</formula>
    </cfRule>
  </conditionalFormatting>
  <conditionalFormatting sqref="I87:I98">
    <cfRule type="expression" dxfId="522" priority="200">
      <formula>IF(ISBLANK(H87),FALSE,TRUE)</formula>
    </cfRule>
  </conditionalFormatting>
  <conditionalFormatting sqref="I72:I77">
    <cfRule type="expression" dxfId="521" priority="210">
      <formula>IF(ISBLANK(H72),FALSE,TRUE)</formula>
    </cfRule>
  </conditionalFormatting>
  <conditionalFormatting sqref="M71">
    <cfRule type="expression" dxfId="520" priority="219">
      <formula>IF(ISBLANK(L71),FALSE,TRUE)</formula>
    </cfRule>
  </conditionalFormatting>
  <conditionalFormatting sqref="I71">
    <cfRule type="expression" dxfId="519" priority="218">
      <formula>IF(ISBLANK(H71),FALSE,TRUE)</formula>
    </cfRule>
  </conditionalFormatting>
  <conditionalFormatting sqref="I56">
    <cfRule type="expression" dxfId="518" priority="228">
      <formula>IF(ISBLANK(H56),FALSE,TRUE)</formula>
    </cfRule>
  </conditionalFormatting>
  <conditionalFormatting sqref="M149:M151">
    <cfRule type="expression" dxfId="517" priority="153">
      <formula>IF(ISBLANK(L149),FALSE,TRUE)</formula>
    </cfRule>
  </conditionalFormatting>
  <conditionalFormatting sqref="I149:I151">
    <cfRule type="expression" dxfId="516" priority="152">
      <formula>IF(ISBLANK(H149),FALSE,TRUE)</formula>
    </cfRule>
  </conditionalFormatting>
  <conditionalFormatting sqref="M134:M141">
    <cfRule type="expression" dxfId="515" priority="163">
      <formula>IF(ISBLANK(L134),FALSE,TRUE)</formula>
    </cfRule>
  </conditionalFormatting>
  <conditionalFormatting sqref="I134:I141">
    <cfRule type="expression" dxfId="514" priority="162">
      <formula>IF(ISBLANK(H134),FALSE,TRUE)</formula>
    </cfRule>
  </conditionalFormatting>
  <conditionalFormatting sqref="M72:M77">
    <cfRule type="expression" dxfId="513" priority="213">
      <formula>IF(ISBLANK(L72),FALSE,TRUE)</formula>
    </cfRule>
  </conditionalFormatting>
  <conditionalFormatting sqref="I72:I77">
    <cfRule type="expression" dxfId="512" priority="212">
      <formula>IF(ISBLANK(H72),FALSE,TRUE)</formula>
    </cfRule>
  </conditionalFormatting>
  <conditionalFormatting sqref="M57:M66">
    <cfRule type="expression" dxfId="511" priority="223">
      <formula>IF(ISBLANK(L57),FALSE,TRUE)</formula>
    </cfRule>
  </conditionalFormatting>
  <conditionalFormatting sqref="I57:I66">
    <cfRule type="expression" dxfId="510" priority="222">
      <formula>IF(ISBLANK(H57),FALSE,TRUE)</formula>
    </cfRule>
  </conditionalFormatting>
  <conditionalFormatting sqref="G41:G47">
    <cfRule type="expression" dxfId="509" priority="267">
      <formula>H41&lt;&gt;""</formula>
    </cfRule>
  </conditionalFormatting>
  <conditionalFormatting sqref="K41:K47">
    <cfRule type="expression" dxfId="508" priority="266">
      <formula>L41&lt;&gt;""</formula>
    </cfRule>
  </conditionalFormatting>
  <conditionalFormatting sqref="G239:G245">
    <cfRule type="expression" dxfId="507" priority="77">
      <formula>H239&lt;&gt;""</formula>
    </cfRule>
  </conditionalFormatting>
  <conditionalFormatting sqref="K239:K245">
    <cfRule type="expression" dxfId="506" priority="76">
      <formula>L239&lt;&gt;""</formula>
    </cfRule>
  </conditionalFormatting>
  <conditionalFormatting sqref="M238">
    <cfRule type="expression" dxfId="505" priority="87">
      <formula>IF(ISBLANK(L238),FALSE,TRUE)</formula>
    </cfRule>
  </conditionalFormatting>
  <conditionalFormatting sqref="I238">
    <cfRule type="expression" dxfId="504" priority="86">
      <formula>IF(ISBLANK(H238),FALSE,TRUE)</formula>
    </cfRule>
  </conditionalFormatting>
  <conditionalFormatting sqref="G86">
    <cfRule type="expression" dxfId="503" priority="203">
      <formula>H86&lt;&gt;""</formula>
    </cfRule>
  </conditionalFormatting>
  <conditionalFormatting sqref="G253">
    <cfRule type="expression" dxfId="502" priority="71">
      <formula>H253&lt;&gt;""</formula>
    </cfRule>
  </conditionalFormatting>
  <conditionalFormatting sqref="K253">
    <cfRule type="expression" dxfId="501" priority="70">
      <formula>L253&lt;&gt;""</formula>
    </cfRule>
  </conditionalFormatting>
  <conditionalFormatting sqref="G179:G182">
    <cfRule type="expression" dxfId="500" priority="125">
      <formula>H179&lt;&gt;""</formula>
    </cfRule>
  </conditionalFormatting>
  <conditionalFormatting sqref="K179:K182">
    <cfRule type="expression" dxfId="499" priority="124">
      <formula>L179&lt;&gt;""</formula>
    </cfRule>
  </conditionalFormatting>
  <conditionalFormatting sqref="K86">
    <cfRule type="expression" dxfId="498" priority="202">
      <formula>L86&lt;&gt;""</formula>
    </cfRule>
  </conditionalFormatting>
  <conditionalFormatting sqref="M56">
    <cfRule type="expression" dxfId="497" priority="231">
      <formula>IF(ISBLANK(L56),FALSE,TRUE)</formula>
    </cfRule>
  </conditionalFormatting>
  <conditionalFormatting sqref="I56">
    <cfRule type="expression" dxfId="496" priority="230">
      <formula>IF(ISBLANK(H56),FALSE,TRUE)</formula>
    </cfRule>
  </conditionalFormatting>
  <conditionalFormatting sqref="M56">
    <cfRule type="expression" dxfId="495" priority="229">
      <formula>IF(ISBLANK(L56),FALSE,TRUE)</formula>
    </cfRule>
  </conditionalFormatting>
  <conditionalFormatting sqref="G56">
    <cfRule type="expression" dxfId="494" priority="227">
      <formula>H56&lt;&gt;""</formula>
    </cfRule>
  </conditionalFormatting>
  <conditionalFormatting sqref="K56">
    <cfRule type="expression" dxfId="493" priority="226">
      <formula>L56&lt;&gt;""</formula>
    </cfRule>
  </conditionalFormatting>
  <conditionalFormatting sqref="M57:M66">
    <cfRule type="expression" dxfId="492" priority="225">
      <formula>IF(ISBLANK(L57),FALSE,TRUE)</formula>
    </cfRule>
  </conditionalFormatting>
  <conditionalFormatting sqref="I57:I66">
    <cfRule type="expression" dxfId="491" priority="224">
      <formula>IF(ISBLANK(H57),FALSE,TRUE)</formula>
    </cfRule>
  </conditionalFormatting>
  <conditionalFormatting sqref="G57:G66">
    <cfRule type="expression" dxfId="490" priority="221">
      <formula>H57&lt;&gt;""</formula>
    </cfRule>
  </conditionalFormatting>
  <conditionalFormatting sqref="K57:K66">
    <cfRule type="expression" dxfId="489" priority="220">
      <formula>L57&lt;&gt;""</formula>
    </cfRule>
  </conditionalFormatting>
  <conditionalFormatting sqref="M71">
    <cfRule type="expression" dxfId="488" priority="217">
      <formula>IF(ISBLANK(L71),FALSE,TRUE)</formula>
    </cfRule>
  </conditionalFormatting>
  <conditionalFormatting sqref="I71">
    <cfRule type="expression" dxfId="487" priority="216">
      <formula>IF(ISBLANK(H71),FALSE,TRUE)</formula>
    </cfRule>
  </conditionalFormatting>
  <conditionalFormatting sqref="G71">
    <cfRule type="expression" dxfId="486" priority="215">
      <formula>H71&lt;&gt;""</formula>
    </cfRule>
  </conditionalFormatting>
  <conditionalFormatting sqref="K71">
    <cfRule type="expression" dxfId="485" priority="214">
      <formula>L71&lt;&gt;""</formula>
    </cfRule>
  </conditionalFormatting>
  <conditionalFormatting sqref="M72:M77">
    <cfRule type="expression" dxfId="484" priority="211">
      <formula>IF(ISBLANK(L72),FALSE,TRUE)</formula>
    </cfRule>
  </conditionalFormatting>
  <conditionalFormatting sqref="G72:G77">
    <cfRule type="expression" dxfId="483" priority="209">
      <formula>H72&lt;&gt;""</formula>
    </cfRule>
  </conditionalFormatting>
  <conditionalFormatting sqref="K72:K77">
    <cfRule type="expression" dxfId="482" priority="208">
      <formula>L72&lt;&gt;""</formula>
    </cfRule>
  </conditionalFormatting>
  <conditionalFormatting sqref="M86">
    <cfRule type="expression" dxfId="481" priority="207">
      <formula>IF(ISBLANK(L86),FALSE,TRUE)</formula>
    </cfRule>
  </conditionalFormatting>
  <conditionalFormatting sqref="I86">
    <cfRule type="expression" dxfId="480" priority="206">
      <formula>IF(ISBLANK(H86),FALSE,TRUE)</formula>
    </cfRule>
  </conditionalFormatting>
  <conditionalFormatting sqref="M86">
    <cfRule type="expression" dxfId="479" priority="205">
      <formula>IF(ISBLANK(L86),FALSE,TRUE)</formula>
    </cfRule>
  </conditionalFormatting>
  <conditionalFormatting sqref="I86">
    <cfRule type="expression" dxfId="478" priority="204">
      <formula>IF(ISBLANK(H86),FALSE,TRUE)</formula>
    </cfRule>
  </conditionalFormatting>
  <conditionalFormatting sqref="M87:M98">
    <cfRule type="expression" dxfId="477" priority="199">
      <formula>IF(ISBLANK(L87),FALSE,TRUE)</formula>
    </cfRule>
  </conditionalFormatting>
  <conditionalFormatting sqref="I87:I98">
    <cfRule type="expression" dxfId="476" priority="198">
      <formula>IF(ISBLANK(H87),FALSE,TRUE)</formula>
    </cfRule>
  </conditionalFormatting>
  <conditionalFormatting sqref="G87:G98">
    <cfRule type="expression" dxfId="475" priority="197">
      <formula>H87&lt;&gt;""</formula>
    </cfRule>
  </conditionalFormatting>
  <conditionalFormatting sqref="K87:K98">
    <cfRule type="expression" dxfId="474" priority="196">
      <formula>L87&lt;&gt;""</formula>
    </cfRule>
  </conditionalFormatting>
  <conditionalFormatting sqref="M103">
    <cfRule type="expression" dxfId="473" priority="195">
      <formula>IF(ISBLANK(L103),FALSE,TRUE)</formula>
    </cfRule>
  </conditionalFormatting>
  <conditionalFormatting sqref="I103">
    <cfRule type="expression" dxfId="472" priority="194">
      <formula>IF(ISBLANK(H103),FALSE,TRUE)</formula>
    </cfRule>
  </conditionalFormatting>
  <conditionalFormatting sqref="G103">
    <cfRule type="expression" dxfId="471" priority="191">
      <formula>H103&lt;&gt;""</formula>
    </cfRule>
  </conditionalFormatting>
  <conditionalFormatting sqref="K103">
    <cfRule type="expression" dxfId="470" priority="190">
      <formula>L103&lt;&gt;""</formula>
    </cfRule>
  </conditionalFormatting>
  <conditionalFormatting sqref="M104:M106">
    <cfRule type="expression" dxfId="469" priority="189">
      <formula>IF(ISBLANK(L104),FALSE,TRUE)</formula>
    </cfRule>
  </conditionalFormatting>
  <conditionalFormatting sqref="I104:I106">
    <cfRule type="expression" dxfId="468" priority="188">
      <formula>IF(ISBLANK(H104),FALSE,TRUE)</formula>
    </cfRule>
  </conditionalFormatting>
  <conditionalFormatting sqref="M104:M106">
    <cfRule type="expression" dxfId="467" priority="187">
      <formula>IF(ISBLANK(L104),FALSE,TRUE)</formula>
    </cfRule>
  </conditionalFormatting>
  <conditionalFormatting sqref="I104:I106">
    <cfRule type="expression" dxfId="466" priority="186">
      <formula>IF(ISBLANK(H104),FALSE,TRUE)</formula>
    </cfRule>
  </conditionalFormatting>
  <conditionalFormatting sqref="G104:G106">
    <cfRule type="expression" dxfId="465" priority="185">
      <formula>H104&lt;&gt;""</formula>
    </cfRule>
  </conditionalFormatting>
  <conditionalFormatting sqref="K104:K106">
    <cfRule type="expression" dxfId="464" priority="184">
      <formula>L104&lt;&gt;""</formula>
    </cfRule>
  </conditionalFormatting>
  <conditionalFormatting sqref="M118">
    <cfRule type="expression" dxfId="463" priority="181">
      <formula>IF(ISBLANK(L118),FALSE,TRUE)</formula>
    </cfRule>
  </conditionalFormatting>
  <conditionalFormatting sqref="I118">
    <cfRule type="expression" dxfId="462" priority="180">
      <formula>IF(ISBLANK(H118),FALSE,TRUE)</formula>
    </cfRule>
  </conditionalFormatting>
  <conditionalFormatting sqref="G118">
    <cfRule type="expression" dxfId="461" priority="179">
      <formula>H118&lt;&gt;""</formula>
    </cfRule>
  </conditionalFormatting>
  <conditionalFormatting sqref="K118">
    <cfRule type="expression" dxfId="460" priority="178">
      <formula>L118&lt;&gt;""</formula>
    </cfRule>
  </conditionalFormatting>
  <conditionalFormatting sqref="M119:M127">
    <cfRule type="expression" dxfId="459" priority="177">
      <formula>IF(ISBLANK(L119),FALSE,TRUE)</formula>
    </cfRule>
  </conditionalFormatting>
  <conditionalFormatting sqref="I119:I127">
    <cfRule type="expression" dxfId="458" priority="176">
      <formula>IF(ISBLANK(H119),FALSE,TRUE)</formula>
    </cfRule>
  </conditionalFormatting>
  <conditionalFormatting sqref="M119:M127">
    <cfRule type="expression" dxfId="457" priority="175">
      <formula>IF(ISBLANK(L119),FALSE,TRUE)</formula>
    </cfRule>
  </conditionalFormatting>
  <conditionalFormatting sqref="I119:I127">
    <cfRule type="expression" dxfId="456" priority="174">
      <formula>IF(ISBLANK(H119),FALSE,TRUE)</formula>
    </cfRule>
  </conditionalFormatting>
  <conditionalFormatting sqref="G119:G127">
    <cfRule type="expression" dxfId="455" priority="173">
      <formula>H119&lt;&gt;""</formula>
    </cfRule>
  </conditionalFormatting>
  <conditionalFormatting sqref="K119:K127">
    <cfRule type="expression" dxfId="454" priority="172">
      <formula>L119&lt;&gt;""</formula>
    </cfRule>
  </conditionalFormatting>
  <conditionalFormatting sqref="M133">
    <cfRule type="expression" dxfId="453" priority="169">
      <formula>IF(ISBLANK(L133),FALSE,TRUE)</formula>
    </cfRule>
  </conditionalFormatting>
  <conditionalFormatting sqref="I133">
    <cfRule type="expression" dxfId="452" priority="168">
      <formula>IF(ISBLANK(H133),FALSE,TRUE)</formula>
    </cfRule>
  </conditionalFormatting>
  <conditionalFormatting sqref="G133">
    <cfRule type="expression" dxfId="451" priority="167">
      <formula>H133&lt;&gt;""</formula>
    </cfRule>
  </conditionalFormatting>
  <conditionalFormatting sqref="K133">
    <cfRule type="expression" dxfId="450" priority="166">
      <formula>L133&lt;&gt;""</formula>
    </cfRule>
  </conditionalFormatting>
  <conditionalFormatting sqref="M134:M141">
    <cfRule type="expression" dxfId="449" priority="165">
      <formula>IF(ISBLANK(L134),FALSE,TRUE)</formula>
    </cfRule>
  </conditionalFormatting>
  <conditionalFormatting sqref="I134:I141">
    <cfRule type="expression" dxfId="448" priority="164">
      <formula>IF(ISBLANK(H134),FALSE,TRUE)</formula>
    </cfRule>
  </conditionalFormatting>
  <conditionalFormatting sqref="K134:K141">
    <cfRule type="expression" dxfId="447" priority="160">
      <formula>L134&lt;&gt;""</formula>
    </cfRule>
  </conditionalFormatting>
  <conditionalFormatting sqref="M148">
    <cfRule type="expression" dxfId="446" priority="159">
      <formula>IF(ISBLANK(L148),FALSE,TRUE)</formula>
    </cfRule>
  </conditionalFormatting>
  <conditionalFormatting sqref="K148">
    <cfRule type="expression" dxfId="445" priority="154">
      <formula>L148&lt;&gt;""</formula>
    </cfRule>
  </conditionalFormatting>
  <conditionalFormatting sqref="M149:M151">
    <cfRule type="expression" dxfId="444" priority="151">
      <formula>IF(ISBLANK(L149),FALSE,TRUE)</formula>
    </cfRule>
  </conditionalFormatting>
  <conditionalFormatting sqref="I149:I151">
    <cfRule type="expression" dxfId="443" priority="150">
      <formula>IF(ISBLANK(H149),FALSE,TRUE)</formula>
    </cfRule>
  </conditionalFormatting>
  <conditionalFormatting sqref="G149:G151">
    <cfRule type="expression" dxfId="442" priority="149">
      <formula>H149&lt;&gt;""</formula>
    </cfRule>
  </conditionalFormatting>
  <conditionalFormatting sqref="K149:K151">
    <cfRule type="expression" dxfId="441" priority="148">
      <formula>L149&lt;&gt;""</formula>
    </cfRule>
  </conditionalFormatting>
  <conditionalFormatting sqref="M163">
    <cfRule type="expression" dxfId="440" priority="147">
      <formula>IF(ISBLANK(L163),FALSE,TRUE)</formula>
    </cfRule>
  </conditionalFormatting>
  <conditionalFormatting sqref="I163">
    <cfRule type="expression" dxfId="439" priority="146">
      <formula>IF(ISBLANK(H163),FALSE,TRUE)</formula>
    </cfRule>
  </conditionalFormatting>
  <conditionalFormatting sqref="M163">
    <cfRule type="expression" dxfId="438" priority="145">
      <formula>IF(ISBLANK(L163),FALSE,TRUE)</formula>
    </cfRule>
  </conditionalFormatting>
  <conditionalFormatting sqref="I163">
    <cfRule type="expression" dxfId="437" priority="144">
      <formula>IF(ISBLANK(H163),FALSE,TRUE)</formula>
    </cfRule>
  </conditionalFormatting>
  <conditionalFormatting sqref="G163">
    <cfRule type="expression" dxfId="436" priority="143">
      <formula>H163&lt;&gt;""</formula>
    </cfRule>
  </conditionalFormatting>
  <conditionalFormatting sqref="K163">
    <cfRule type="expression" dxfId="435" priority="142">
      <formula>L163&lt;&gt;""</formula>
    </cfRule>
  </conditionalFormatting>
  <conditionalFormatting sqref="M164:M171">
    <cfRule type="expression" dxfId="434" priority="141">
      <formula>IF(ISBLANK(L164),FALSE,TRUE)</formula>
    </cfRule>
  </conditionalFormatting>
  <conditionalFormatting sqref="I164:I171">
    <cfRule type="expression" dxfId="433" priority="140">
      <formula>IF(ISBLANK(H164),FALSE,TRUE)</formula>
    </cfRule>
  </conditionalFormatting>
  <conditionalFormatting sqref="M164:M171">
    <cfRule type="expression" dxfId="432" priority="139">
      <formula>IF(ISBLANK(L164),FALSE,TRUE)</formula>
    </cfRule>
  </conditionalFormatting>
  <conditionalFormatting sqref="I164:I171">
    <cfRule type="expression" dxfId="431" priority="138">
      <formula>IF(ISBLANK(H164),FALSE,TRUE)</formula>
    </cfRule>
  </conditionalFormatting>
  <conditionalFormatting sqref="G164:G171">
    <cfRule type="expression" dxfId="430" priority="137">
      <formula>H164&lt;&gt;""</formula>
    </cfRule>
  </conditionalFormatting>
  <conditionalFormatting sqref="K164:K171">
    <cfRule type="expression" dxfId="429" priority="136">
      <formula>L164&lt;&gt;""</formula>
    </cfRule>
  </conditionalFormatting>
  <conditionalFormatting sqref="M178">
    <cfRule type="expression" dxfId="428" priority="135">
      <formula>IF(ISBLANK(L178),FALSE,TRUE)</formula>
    </cfRule>
  </conditionalFormatting>
  <conditionalFormatting sqref="I178">
    <cfRule type="expression" dxfId="427" priority="134">
      <formula>IF(ISBLANK(H178),FALSE,TRUE)</formula>
    </cfRule>
  </conditionalFormatting>
  <conditionalFormatting sqref="M178">
    <cfRule type="expression" dxfId="426" priority="133">
      <formula>IF(ISBLANK(L178),FALSE,TRUE)</formula>
    </cfRule>
  </conditionalFormatting>
  <conditionalFormatting sqref="I178">
    <cfRule type="expression" dxfId="425" priority="132">
      <formula>IF(ISBLANK(H178),FALSE,TRUE)</formula>
    </cfRule>
  </conditionalFormatting>
  <conditionalFormatting sqref="G178">
    <cfRule type="expression" dxfId="424" priority="131">
      <formula>H178&lt;&gt;""</formula>
    </cfRule>
  </conditionalFormatting>
  <conditionalFormatting sqref="K178">
    <cfRule type="expression" dxfId="423" priority="130">
      <formula>L178&lt;&gt;""</formula>
    </cfRule>
  </conditionalFormatting>
  <conditionalFormatting sqref="M179:M182">
    <cfRule type="expression" dxfId="422" priority="129">
      <formula>IF(ISBLANK(L179),FALSE,TRUE)</formula>
    </cfRule>
  </conditionalFormatting>
  <conditionalFormatting sqref="I179:I182">
    <cfRule type="expression" dxfId="421" priority="128">
      <formula>IF(ISBLANK(H179),FALSE,TRUE)</formula>
    </cfRule>
  </conditionalFormatting>
  <conditionalFormatting sqref="M179:M182">
    <cfRule type="expression" dxfId="420" priority="127">
      <formula>IF(ISBLANK(L179),FALSE,TRUE)</formula>
    </cfRule>
  </conditionalFormatting>
  <conditionalFormatting sqref="I179:I182">
    <cfRule type="expression" dxfId="419" priority="126">
      <formula>IF(ISBLANK(H179),FALSE,TRUE)</formula>
    </cfRule>
  </conditionalFormatting>
  <conditionalFormatting sqref="M193">
    <cfRule type="expression" dxfId="418" priority="123">
      <formula>IF(ISBLANK(L193),FALSE,TRUE)</formula>
    </cfRule>
  </conditionalFormatting>
  <conditionalFormatting sqref="I193">
    <cfRule type="expression" dxfId="417" priority="122">
      <formula>IF(ISBLANK(H193),FALSE,TRUE)</formula>
    </cfRule>
  </conditionalFormatting>
  <conditionalFormatting sqref="M193">
    <cfRule type="expression" dxfId="416" priority="121">
      <formula>IF(ISBLANK(L193),FALSE,TRUE)</formula>
    </cfRule>
  </conditionalFormatting>
  <conditionalFormatting sqref="I193">
    <cfRule type="expression" dxfId="415" priority="120">
      <formula>IF(ISBLANK(H193),FALSE,TRUE)</formula>
    </cfRule>
  </conditionalFormatting>
  <conditionalFormatting sqref="G193">
    <cfRule type="expression" dxfId="414" priority="119">
      <formula>H193&lt;&gt;""</formula>
    </cfRule>
  </conditionalFormatting>
  <conditionalFormatting sqref="K193">
    <cfRule type="expression" dxfId="413" priority="118">
      <formula>L193&lt;&gt;""</formula>
    </cfRule>
  </conditionalFormatting>
  <conditionalFormatting sqref="M194:M198">
    <cfRule type="expression" dxfId="412" priority="117">
      <formula>IF(ISBLANK(L194),FALSE,TRUE)</formula>
    </cfRule>
  </conditionalFormatting>
  <conditionalFormatting sqref="I194:I198">
    <cfRule type="expression" dxfId="411" priority="116">
      <formula>IF(ISBLANK(H194),FALSE,TRUE)</formula>
    </cfRule>
  </conditionalFormatting>
  <conditionalFormatting sqref="M194:M198">
    <cfRule type="expression" dxfId="410" priority="115">
      <formula>IF(ISBLANK(L194),FALSE,TRUE)</formula>
    </cfRule>
  </conditionalFormatting>
  <conditionalFormatting sqref="I194:I198">
    <cfRule type="expression" dxfId="409" priority="114">
      <formula>IF(ISBLANK(H194),FALSE,TRUE)</formula>
    </cfRule>
  </conditionalFormatting>
  <conditionalFormatting sqref="G194:G198">
    <cfRule type="expression" dxfId="408" priority="113">
      <formula>H194&lt;&gt;""</formula>
    </cfRule>
  </conditionalFormatting>
  <conditionalFormatting sqref="K194:K198">
    <cfRule type="expression" dxfId="407" priority="112">
      <formula>L194&lt;&gt;""</formula>
    </cfRule>
  </conditionalFormatting>
  <conditionalFormatting sqref="M208">
    <cfRule type="expression" dxfId="406" priority="111">
      <formula>IF(ISBLANK(L208),FALSE,TRUE)</formula>
    </cfRule>
  </conditionalFormatting>
  <conditionalFormatting sqref="I208">
    <cfRule type="expression" dxfId="405" priority="110">
      <formula>IF(ISBLANK(H208),FALSE,TRUE)</formula>
    </cfRule>
  </conditionalFormatting>
  <conditionalFormatting sqref="M208">
    <cfRule type="expression" dxfId="404" priority="109">
      <formula>IF(ISBLANK(L208),FALSE,TRUE)</formula>
    </cfRule>
  </conditionalFormatting>
  <conditionalFormatting sqref="I208">
    <cfRule type="expression" dxfId="403" priority="108">
      <formula>IF(ISBLANK(H208),FALSE,TRUE)</formula>
    </cfRule>
  </conditionalFormatting>
  <conditionalFormatting sqref="G208">
    <cfRule type="expression" dxfId="402" priority="107">
      <formula>H208&lt;&gt;""</formula>
    </cfRule>
  </conditionalFormatting>
  <conditionalFormatting sqref="K208">
    <cfRule type="expression" dxfId="401" priority="106">
      <formula>L208&lt;&gt;""</formula>
    </cfRule>
  </conditionalFormatting>
  <conditionalFormatting sqref="M209:M212">
    <cfRule type="expression" dxfId="400" priority="105">
      <formula>IF(ISBLANK(L209),FALSE,TRUE)</formula>
    </cfRule>
  </conditionalFormatting>
  <conditionalFormatting sqref="I209:I212">
    <cfRule type="expression" dxfId="399" priority="104">
      <formula>IF(ISBLANK(H209),FALSE,TRUE)</formula>
    </cfRule>
  </conditionalFormatting>
  <conditionalFormatting sqref="M209:M212">
    <cfRule type="expression" dxfId="398" priority="103">
      <formula>IF(ISBLANK(L209),FALSE,TRUE)</formula>
    </cfRule>
  </conditionalFormatting>
  <conditionalFormatting sqref="I209:I212">
    <cfRule type="expression" dxfId="397" priority="102">
      <formula>IF(ISBLANK(H209),FALSE,TRUE)</formula>
    </cfRule>
  </conditionalFormatting>
  <conditionalFormatting sqref="G209:G212">
    <cfRule type="expression" dxfId="396" priority="101">
      <formula>H209&lt;&gt;""</formula>
    </cfRule>
  </conditionalFormatting>
  <conditionalFormatting sqref="K209:K212">
    <cfRule type="expression" dxfId="395" priority="100">
      <formula>L209&lt;&gt;""</formula>
    </cfRule>
  </conditionalFormatting>
  <conditionalFormatting sqref="M223">
    <cfRule type="expression" dxfId="394" priority="99">
      <formula>IF(ISBLANK(L223),FALSE,TRUE)</formula>
    </cfRule>
  </conditionalFormatting>
  <conditionalFormatting sqref="I223">
    <cfRule type="expression" dxfId="393" priority="98">
      <formula>IF(ISBLANK(H223),FALSE,TRUE)</formula>
    </cfRule>
  </conditionalFormatting>
  <conditionalFormatting sqref="M223">
    <cfRule type="expression" dxfId="392" priority="97">
      <formula>IF(ISBLANK(L223),FALSE,TRUE)</formula>
    </cfRule>
  </conditionalFormatting>
  <conditionalFormatting sqref="I223">
    <cfRule type="expression" dxfId="391" priority="96">
      <formula>IF(ISBLANK(H223),FALSE,TRUE)</formula>
    </cfRule>
  </conditionalFormatting>
  <conditionalFormatting sqref="G223">
    <cfRule type="expression" dxfId="390" priority="95">
      <formula>H223&lt;&gt;""</formula>
    </cfRule>
  </conditionalFormatting>
  <conditionalFormatting sqref="K223">
    <cfRule type="expression" dxfId="389" priority="94">
      <formula>L223&lt;&gt;""</formula>
    </cfRule>
  </conditionalFormatting>
  <conditionalFormatting sqref="M224:M226">
    <cfRule type="expression" dxfId="388" priority="93">
      <formula>IF(ISBLANK(L224),FALSE,TRUE)</formula>
    </cfRule>
  </conditionalFormatting>
  <conditionalFormatting sqref="I224:I226">
    <cfRule type="expression" dxfId="387" priority="92">
      <formula>IF(ISBLANK(H224),FALSE,TRUE)</formula>
    </cfRule>
  </conditionalFormatting>
  <conditionalFormatting sqref="M224:M226">
    <cfRule type="expression" dxfId="386" priority="91">
      <formula>IF(ISBLANK(L224),FALSE,TRUE)</formula>
    </cfRule>
  </conditionalFormatting>
  <conditionalFormatting sqref="I224:I226">
    <cfRule type="expression" dxfId="385" priority="90">
      <formula>IF(ISBLANK(H224),FALSE,TRUE)</formula>
    </cfRule>
  </conditionalFormatting>
  <conditionalFormatting sqref="G224:G226">
    <cfRule type="expression" dxfId="384" priority="89">
      <formula>H224&lt;&gt;""</formula>
    </cfRule>
  </conditionalFormatting>
  <conditionalFormatting sqref="K224:K226">
    <cfRule type="expression" dxfId="383" priority="88">
      <formula>L224&lt;&gt;""</formula>
    </cfRule>
  </conditionalFormatting>
  <conditionalFormatting sqref="M238">
    <cfRule type="expression" dxfId="382" priority="85">
      <formula>IF(ISBLANK(L238),FALSE,TRUE)</formula>
    </cfRule>
  </conditionalFormatting>
  <conditionalFormatting sqref="I238">
    <cfRule type="expression" dxfId="381" priority="84">
      <formula>IF(ISBLANK(H238),FALSE,TRUE)</formula>
    </cfRule>
  </conditionalFormatting>
  <conditionalFormatting sqref="G238">
    <cfRule type="expression" dxfId="380" priority="83">
      <formula>H238&lt;&gt;""</formula>
    </cfRule>
  </conditionalFormatting>
  <conditionalFormatting sqref="K238">
    <cfRule type="expression" dxfId="379" priority="82">
      <formula>L238&lt;&gt;""</formula>
    </cfRule>
  </conditionalFormatting>
  <conditionalFormatting sqref="M239:M245">
    <cfRule type="expression" dxfId="378" priority="81">
      <formula>IF(ISBLANK(L239),FALSE,TRUE)</formula>
    </cfRule>
  </conditionalFormatting>
  <conditionalFormatting sqref="I239:I245">
    <cfRule type="expression" dxfId="377" priority="80">
      <formula>IF(ISBLANK(H239),FALSE,TRUE)</formula>
    </cfRule>
  </conditionalFormatting>
  <conditionalFormatting sqref="M239:M245">
    <cfRule type="expression" dxfId="376" priority="79">
      <formula>IF(ISBLANK(L239),FALSE,TRUE)</formula>
    </cfRule>
  </conditionalFormatting>
  <conditionalFormatting sqref="I239:I245">
    <cfRule type="expression" dxfId="375" priority="78">
      <formula>IF(ISBLANK(H239),FALSE,TRUE)</formula>
    </cfRule>
  </conditionalFormatting>
  <conditionalFormatting sqref="M253">
    <cfRule type="expression" dxfId="374" priority="75">
      <formula>IF(ISBLANK(L253),FALSE,TRUE)</formula>
    </cfRule>
  </conditionalFormatting>
  <conditionalFormatting sqref="I253">
    <cfRule type="expression" dxfId="373" priority="74">
      <formula>IF(ISBLANK(H253),FALSE,TRUE)</formula>
    </cfRule>
  </conditionalFormatting>
  <conditionalFormatting sqref="M253">
    <cfRule type="expression" dxfId="372" priority="73">
      <formula>IF(ISBLANK(L253),FALSE,TRUE)</formula>
    </cfRule>
  </conditionalFormatting>
  <conditionalFormatting sqref="I253">
    <cfRule type="expression" dxfId="371" priority="72">
      <formula>IF(ISBLANK(H253),FALSE,TRUE)</formula>
    </cfRule>
  </conditionalFormatting>
  <conditionalFormatting sqref="M254:M256">
    <cfRule type="expression" dxfId="370" priority="69">
      <formula>IF(ISBLANK(L254),FALSE,TRUE)</formula>
    </cfRule>
  </conditionalFormatting>
  <conditionalFormatting sqref="I254:I256">
    <cfRule type="expression" dxfId="369" priority="68">
      <formula>IF(ISBLANK(H254),FALSE,TRUE)</formula>
    </cfRule>
  </conditionalFormatting>
  <conditionalFormatting sqref="M254:M256">
    <cfRule type="expression" dxfId="368" priority="67">
      <formula>IF(ISBLANK(L254),FALSE,TRUE)</formula>
    </cfRule>
  </conditionalFormatting>
  <conditionalFormatting sqref="I254:I256">
    <cfRule type="expression" dxfId="367" priority="66">
      <formula>IF(ISBLANK(H254),FALSE,TRUE)</formula>
    </cfRule>
  </conditionalFormatting>
  <conditionalFormatting sqref="G254:G256">
    <cfRule type="expression" dxfId="366" priority="65">
      <formula>H254&lt;&gt;""</formula>
    </cfRule>
  </conditionalFormatting>
  <conditionalFormatting sqref="K254:K256">
    <cfRule type="expression" dxfId="365" priority="64">
      <formula>L254&lt;&gt;""</formula>
    </cfRule>
  </conditionalFormatting>
  <conditionalFormatting sqref="M268">
    <cfRule type="expression" dxfId="364" priority="63">
      <formula>IF(ISBLANK(L268),FALSE,TRUE)</formula>
    </cfRule>
  </conditionalFormatting>
  <conditionalFormatting sqref="I268">
    <cfRule type="expression" dxfId="363" priority="62">
      <formula>IF(ISBLANK(H268),FALSE,TRUE)</formula>
    </cfRule>
  </conditionalFormatting>
  <conditionalFormatting sqref="M268">
    <cfRule type="expression" dxfId="362" priority="61">
      <formula>IF(ISBLANK(L268),FALSE,TRUE)</formula>
    </cfRule>
  </conditionalFormatting>
  <conditionalFormatting sqref="I268">
    <cfRule type="expression" dxfId="361" priority="60">
      <formula>IF(ISBLANK(H268),FALSE,TRUE)</formula>
    </cfRule>
  </conditionalFormatting>
  <conditionalFormatting sqref="G268">
    <cfRule type="expression" dxfId="360" priority="59">
      <formula>H268&lt;&gt;""</formula>
    </cfRule>
  </conditionalFormatting>
  <conditionalFormatting sqref="K268">
    <cfRule type="expression" dxfId="359" priority="58">
      <formula>L268&lt;&gt;""</formula>
    </cfRule>
  </conditionalFormatting>
  <conditionalFormatting sqref="M269:M276">
    <cfRule type="expression" dxfId="358" priority="57">
      <formula>IF(ISBLANK(L269),FALSE,TRUE)</formula>
    </cfRule>
  </conditionalFormatting>
  <conditionalFormatting sqref="I269:I276">
    <cfRule type="expression" dxfId="357" priority="56">
      <formula>IF(ISBLANK(H269),FALSE,TRUE)</formula>
    </cfRule>
  </conditionalFormatting>
  <conditionalFormatting sqref="M269:M276">
    <cfRule type="expression" dxfId="356" priority="55">
      <formula>IF(ISBLANK(L269),FALSE,TRUE)</formula>
    </cfRule>
  </conditionalFormatting>
  <conditionalFormatting sqref="I269:I276">
    <cfRule type="expression" dxfId="355" priority="54">
      <formula>IF(ISBLANK(H269),FALSE,TRUE)</formula>
    </cfRule>
  </conditionalFormatting>
  <conditionalFormatting sqref="G269:G276">
    <cfRule type="expression" dxfId="354" priority="53">
      <formula>H269&lt;&gt;""</formula>
    </cfRule>
  </conditionalFormatting>
  <conditionalFormatting sqref="K269:K276">
    <cfRule type="expression" dxfId="353" priority="52">
      <formula>L269&lt;&gt;""</formula>
    </cfRule>
  </conditionalFormatting>
  <conditionalFormatting sqref="M283">
    <cfRule type="expression" dxfId="352" priority="51">
      <formula>IF(ISBLANK(L283),FALSE,TRUE)</formula>
    </cfRule>
  </conditionalFormatting>
  <conditionalFormatting sqref="I283">
    <cfRule type="expression" dxfId="351" priority="50">
      <formula>IF(ISBLANK(H283),FALSE,TRUE)</formula>
    </cfRule>
  </conditionalFormatting>
  <conditionalFormatting sqref="M283">
    <cfRule type="expression" dxfId="350" priority="49">
      <formula>IF(ISBLANK(L283),FALSE,TRUE)</formula>
    </cfRule>
  </conditionalFormatting>
  <conditionalFormatting sqref="I283">
    <cfRule type="expression" dxfId="349" priority="48">
      <formula>IF(ISBLANK(H283),FALSE,TRUE)</formula>
    </cfRule>
  </conditionalFormatting>
  <conditionalFormatting sqref="G283">
    <cfRule type="expression" dxfId="348" priority="47">
      <formula>H283&lt;&gt;""</formula>
    </cfRule>
  </conditionalFormatting>
  <conditionalFormatting sqref="K283">
    <cfRule type="expression" dxfId="347" priority="46">
      <formula>L283&lt;&gt;""</formula>
    </cfRule>
  </conditionalFormatting>
  <conditionalFormatting sqref="M284:M290">
    <cfRule type="expression" dxfId="346" priority="45">
      <formula>IF(ISBLANK(L284),FALSE,TRUE)</formula>
    </cfRule>
  </conditionalFormatting>
  <conditionalFormatting sqref="I284:I290">
    <cfRule type="expression" dxfId="345" priority="44">
      <formula>IF(ISBLANK(H284),FALSE,TRUE)</formula>
    </cfRule>
  </conditionalFormatting>
  <conditionalFormatting sqref="M284:M290">
    <cfRule type="expression" dxfId="344" priority="43">
      <formula>IF(ISBLANK(L284),FALSE,TRUE)</formula>
    </cfRule>
  </conditionalFormatting>
  <conditionalFormatting sqref="I284:I290">
    <cfRule type="expression" dxfId="343" priority="42">
      <formula>IF(ISBLANK(H284),FALSE,TRUE)</formula>
    </cfRule>
  </conditionalFormatting>
  <conditionalFormatting sqref="G284:G290">
    <cfRule type="expression" dxfId="342" priority="41">
      <formula>H284&lt;&gt;""</formula>
    </cfRule>
  </conditionalFormatting>
  <conditionalFormatting sqref="K284:K290">
    <cfRule type="expression" dxfId="341" priority="40">
      <formula>L284&lt;&gt;""</formula>
    </cfRule>
  </conditionalFormatting>
  <conditionalFormatting sqref="K314:K316">
    <cfRule type="expression" dxfId="340" priority="28">
      <formula>L314&lt;&gt;""</formula>
    </cfRule>
  </conditionalFormatting>
  <conditionalFormatting sqref="M313">
    <cfRule type="expression" dxfId="339" priority="39">
      <formula>IF(ISBLANK(L313),FALSE,TRUE)</formula>
    </cfRule>
  </conditionalFormatting>
  <conditionalFormatting sqref="I313">
    <cfRule type="expression" dxfId="338" priority="38">
      <formula>IF(ISBLANK(H313),FALSE,TRUE)</formula>
    </cfRule>
  </conditionalFormatting>
  <conditionalFormatting sqref="M313">
    <cfRule type="expression" dxfId="337" priority="37">
      <formula>IF(ISBLANK(L313),FALSE,TRUE)</formula>
    </cfRule>
  </conditionalFormatting>
  <conditionalFormatting sqref="I313">
    <cfRule type="expression" dxfId="336" priority="36">
      <formula>IF(ISBLANK(H313),FALSE,TRUE)</formula>
    </cfRule>
  </conditionalFormatting>
  <conditionalFormatting sqref="G313">
    <cfRule type="expression" dxfId="335" priority="35">
      <formula>H313&lt;&gt;""</formula>
    </cfRule>
  </conditionalFormatting>
  <conditionalFormatting sqref="K313">
    <cfRule type="expression" dxfId="334" priority="34">
      <formula>L313&lt;&gt;""</formula>
    </cfRule>
  </conditionalFormatting>
  <conditionalFormatting sqref="M314:M316">
    <cfRule type="expression" dxfId="333" priority="33">
      <formula>IF(ISBLANK(L314),FALSE,TRUE)</formula>
    </cfRule>
  </conditionalFormatting>
  <conditionalFormatting sqref="I314:I316">
    <cfRule type="expression" dxfId="332" priority="32">
      <formula>IF(ISBLANK(H314),FALSE,TRUE)</formula>
    </cfRule>
  </conditionalFormatting>
  <conditionalFormatting sqref="M314:M316">
    <cfRule type="expression" dxfId="331" priority="31">
      <formula>IF(ISBLANK(L314),FALSE,TRUE)</formula>
    </cfRule>
  </conditionalFormatting>
  <conditionalFormatting sqref="I314:I316">
    <cfRule type="expression" dxfId="330" priority="30">
      <formula>IF(ISBLANK(H314),FALSE,TRUE)</formula>
    </cfRule>
  </conditionalFormatting>
  <conditionalFormatting sqref="G314:G316">
    <cfRule type="expression" dxfId="329" priority="29">
      <formula>H314&lt;&gt;""</formula>
    </cfRule>
  </conditionalFormatting>
  <conditionalFormatting sqref="M328">
    <cfRule type="expression" dxfId="328" priority="27">
      <formula>IF(ISBLANK(L328),FALSE,TRUE)</formula>
    </cfRule>
  </conditionalFormatting>
  <conditionalFormatting sqref="I328">
    <cfRule type="expression" dxfId="327" priority="26">
      <formula>IF(ISBLANK(H328),FALSE,TRUE)</formula>
    </cfRule>
  </conditionalFormatting>
  <conditionalFormatting sqref="M328">
    <cfRule type="expression" dxfId="326" priority="25">
      <formula>IF(ISBLANK(L328),FALSE,TRUE)</formula>
    </cfRule>
  </conditionalFormatting>
  <conditionalFormatting sqref="I328">
    <cfRule type="expression" dxfId="325" priority="24">
      <formula>IF(ISBLANK(H328),FALSE,TRUE)</formula>
    </cfRule>
  </conditionalFormatting>
  <conditionalFormatting sqref="G328">
    <cfRule type="expression" dxfId="324" priority="23">
      <formula>H328&lt;&gt;""</formula>
    </cfRule>
  </conditionalFormatting>
  <conditionalFormatting sqref="K328">
    <cfRule type="expression" dxfId="323" priority="22">
      <formula>L328&lt;&gt;""</formula>
    </cfRule>
  </conditionalFormatting>
  <conditionalFormatting sqref="M334">
    <cfRule type="expression" dxfId="322" priority="21">
      <formula>IF(ISBLANK(L334),FALSE,TRUE)</formula>
    </cfRule>
  </conditionalFormatting>
  <conditionalFormatting sqref="I334">
    <cfRule type="expression" dxfId="321" priority="20">
      <formula>IF(ISBLANK(H334),FALSE,TRUE)</formula>
    </cfRule>
  </conditionalFormatting>
  <conditionalFormatting sqref="M334">
    <cfRule type="expression" dxfId="320" priority="19">
      <formula>IF(ISBLANK(L334),FALSE,TRUE)</formula>
    </cfRule>
  </conditionalFormatting>
  <conditionalFormatting sqref="I334">
    <cfRule type="expression" dxfId="319" priority="18">
      <formula>IF(ISBLANK(H334),FALSE,TRUE)</formula>
    </cfRule>
  </conditionalFormatting>
  <conditionalFormatting sqref="G334">
    <cfRule type="expression" dxfId="318" priority="17">
      <formula>H334&lt;&gt;""</formula>
    </cfRule>
  </conditionalFormatting>
  <conditionalFormatting sqref="K334">
    <cfRule type="expression" dxfId="317" priority="16">
      <formula>L334&lt;&gt;""</formula>
    </cfRule>
  </conditionalFormatting>
  <conditionalFormatting sqref="I343">
    <cfRule type="expression" dxfId="316" priority="6">
      <formula>IF(ISBLANK(H343),FALSE,TRUE)</formula>
    </cfRule>
  </conditionalFormatting>
  <conditionalFormatting sqref="I343">
    <cfRule type="expression" dxfId="315" priority="5">
      <formula>IF(ISBLANK(H343),FALSE,TRUE)</formula>
    </cfRule>
  </conditionalFormatting>
  <conditionalFormatting sqref="G343">
    <cfRule type="expression" dxfId="314" priority="4">
      <formula>H343&lt;&gt;""</formula>
    </cfRule>
  </conditionalFormatting>
  <conditionalFormatting sqref="I344:I352">
    <cfRule type="expression" dxfId="313" priority="3">
      <formula>IF(ISBLANK(H344),FALSE,TRUE)</formula>
    </cfRule>
  </conditionalFormatting>
  <conditionalFormatting sqref="I344:I352">
    <cfRule type="expression" dxfId="312" priority="2">
      <formula>IF(ISBLANK(H344),FALSE,TRUE)</formula>
    </cfRule>
  </conditionalFormatting>
  <conditionalFormatting sqref="G344:G352">
    <cfRule type="expression" dxfId="311" priority="1">
      <formula>H344&lt;&gt;""</formula>
    </cfRule>
  </conditionalFormatting>
  <conditionalFormatting sqref="I342">
    <cfRule type="expression" dxfId="310" priority="9">
      <formula>IF(ISBLANK(H342),FALSE,TRUE)</formula>
    </cfRule>
  </conditionalFormatting>
  <conditionalFormatting sqref="I342">
    <cfRule type="expression" dxfId="309" priority="8">
      <formula>IF(ISBLANK(H342),FALSE,TRUE)</formula>
    </cfRule>
  </conditionalFormatting>
  <conditionalFormatting sqref="G342">
    <cfRule type="expression" dxfId="308" priority="7">
      <formula>H342&lt;&gt;""</formula>
    </cfRule>
  </conditionalFormatting>
  <hyperlinks>
    <hyperlink ref="F2" location="Neu_in_Version" display="i" xr:uid="{00000000-0004-0000-0D00-000000000000}"/>
  </hyperlinks>
  <printOptions horizontalCentered="1"/>
  <pageMargins left="0.48" right="0.42" top="0.39370078740157483" bottom="0.62992125984251968" header="0.39370078740157483" footer="0.31496062992125984"/>
  <pageSetup paperSize="9" scale="89" firstPageNumber="3" fitToHeight="0" orientation="portrait" r:id="rId1"/>
  <headerFooter scaleWithDoc="0">
    <oddFooter>&amp;L&amp;8Druckdatum  &amp;D&amp;C&amp;8&amp;F/&amp;A&amp;R&amp;8Seite &amp;P / &amp;N</oddFooter>
  </headerFooter>
  <ignoredErrors>
    <ignoredError sqref="I341" formula="1"/>
  </ignoredError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theme="9" tint="0.39997558519241921"/>
    <outlinePr summaryBelow="0"/>
  </sheetPr>
  <dimension ref="A1:BV167"/>
  <sheetViews>
    <sheetView showGridLines="0" showZeros="0" zoomScaleNormal="100" zoomScaleSheetLayoutView="100" workbookViewId="0">
      <selection activeCell="B11" sqref="B11:D11"/>
    </sheetView>
  </sheetViews>
  <sheetFormatPr baseColWidth="10" defaultColWidth="11.42578125" defaultRowHeight="12.95" customHeight="1" x14ac:dyDescent="0.2"/>
  <cols>
    <col min="1" max="1" width="15.42578125" style="34" customWidth="1"/>
    <col min="2" max="2" width="13.7109375" style="34" customWidth="1"/>
    <col min="3" max="3" width="9.42578125" style="33" customWidth="1"/>
    <col min="4" max="5" width="6.5703125" style="33" customWidth="1"/>
    <col min="6" max="6" width="6.28515625" style="33" customWidth="1"/>
    <col min="7" max="7" width="8.5703125" style="33" customWidth="1"/>
    <col min="8" max="9" width="4.42578125" style="32" customWidth="1"/>
    <col min="10" max="10" width="10.7109375" style="32" customWidth="1"/>
    <col min="11" max="11" width="4.85546875" style="34" customWidth="1"/>
    <col min="12" max="13" width="4.28515625" style="34" customWidth="1"/>
    <col min="14" max="14" width="9.7109375" style="34" customWidth="1"/>
    <col min="15" max="15" width="4.28515625" style="34" customWidth="1"/>
    <col min="16" max="16" width="15.7109375" style="34" customWidth="1"/>
    <col min="17" max="19" width="8.7109375" style="123" customWidth="1"/>
    <col min="20" max="20" width="8.7109375" style="127" customWidth="1"/>
    <col min="21" max="33" width="8.7109375" style="123" customWidth="1"/>
    <col min="34" max="36" width="8.7109375" style="174" customWidth="1"/>
    <col min="37" max="69" width="8.7109375" style="175" customWidth="1"/>
    <col min="70" max="70" width="5" style="32" customWidth="1"/>
    <col min="71" max="16384" width="11.42578125" style="32"/>
  </cols>
  <sheetData>
    <row r="1" spans="1:69" s="1571" customFormat="1" ht="54" customHeight="1" x14ac:dyDescent="0.2">
      <c r="D1" s="1556"/>
      <c r="E1" s="1556"/>
      <c r="F1" s="1556"/>
      <c r="G1" s="1556"/>
      <c r="H1" s="67"/>
      <c r="I1" s="67"/>
      <c r="J1" s="67"/>
    </row>
    <row r="2" spans="1:69" s="1571" customFormat="1" ht="15" customHeight="1" x14ac:dyDescent="0.25">
      <c r="A2" s="1565" t="str">
        <f>CONCATENATE("Variantenvergleich Energiesysteme - Version ",Versionsinfo!$B$4)</f>
        <v>Variantenvergleich Energiesysteme - Version 3.0</v>
      </c>
      <c r="B2" s="716"/>
      <c r="C2" s="716"/>
      <c r="D2" s="717"/>
      <c r="E2" s="717"/>
      <c r="F2" s="651"/>
      <c r="G2" s="652" t="s">
        <v>586</v>
      </c>
      <c r="J2" s="67"/>
      <c r="M2" s="1376"/>
    </row>
    <row r="3" spans="1:69" s="425" customFormat="1" ht="12.75" customHeight="1" x14ac:dyDescent="0.2">
      <c r="A3" s="1557" t="s">
        <v>781</v>
      </c>
      <c r="D3" s="427"/>
      <c r="E3" s="427"/>
      <c r="F3" s="427"/>
      <c r="G3" s="427"/>
      <c r="I3" s="903">
        <f>Projektdaten!$C$8</f>
        <v>0</v>
      </c>
      <c r="J3" s="903"/>
      <c r="K3" s="903"/>
      <c r="L3" s="903"/>
      <c r="M3" s="903"/>
      <c r="N3" s="903"/>
      <c r="O3" s="428"/>
    </row>
    <row r="4" spans="1:69" s="425" customFormat="1" ht="16.5" customHeight="1" x14ac:dyDescent="0.2">
      <c r="A4" s="430"/>
      <c r="I4" s="903">
        <f>Projektdaten!$J$8</f>
        <v>0</v>
      </c>
      <c r="J4" s="903"/>
      <c r="K4" s="904"/>
      <c r="L4" s="905"/>
      <c r="M4" s="905"/>
      <c r="N4" s="905"/>
    </row>
    <row r="5" spans="1:69" s="50" customFormat="1" ht="16.5" customHeight="1" x14ac:dyDescent="0.25">
      <c r="A5" s="1581" t="s">
        <v>715</v>
      </c>
      <c r="B5" s="601"/>
      <c r="I5" s="1435" t="str">
        <f>CONCATENATE("Version: ",Projektdaten!$F$13)</f>
        <v>Version: 1</v>
      </c>
      <c r="J5" s="1435"/>
      <c r="K5" s="1435"/>
      <c r="L5" s="1435"/>
      <c r="M5" s="2199">
        <f ca="1">Projektdaten!$F$15</f>
        <v>45372</v>
      </c>
      <c r="N5" s="2199"/>
      <c r="O5" s="901"/>
      <c r="P5" s="145"/>
      <c r="Q5" s="123"/>
      <c r="R5" s="126"/>
      <c r="S5" s="1376"/>
      <c r="T5" s="127"/>
      <c r="U5" s="123"/>
      <c r="V5" s="123"/>
      <c r="W5" s="123"/>
      <c r="X5" s="123"/>
      <c r="Y5" s="123"/>
      <c r="Z5" s="123"/>
      <c r="AA5" s="123"/>
      <c r="AB5" s="123"/>
      <c r="AC5" s="123"/>
      <c r="AD5" s="123"/>
      <c r="AE5" s="123"/>
      <c r="AF5" s="123"/>
      <c r="AG5" s="123"/>
      <c r="AH5" s="174"/>
      <c r="AI5" s="174"/>
      <c r="AJ5" s="174"/>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c r="BN5" s="175"/>
      <c r="BO5" s="175"/>
      <c r="BP5" s="175"/>
      <c r="BQ5" s="175"/>
    </row>
    <row r="6" spans="1:69" ht="13.5" customHeight="1" x14ac:dyDescent="0.2"/>
    <row r="7" spans="1:69" s="48" customFormat="1" ht="15" customHeight="1" x14ac:dyDescent="0.25">
      <c r="A7" s="280" t="s">
        <v>19</v>
      </c>
      <c r="B7" s="78">
        <f>EV_Var4!$C$7</f>
        <v>0</v>
      </c>
      <c r="C7" s="696"/>
      <c r="D7" s="167"/>
      <c r="E7" s="167"/>
      <c r="F7" s="1582">
        <f>EV_Var4!$J$7</f>
        <v>0</v>
      </c>
      <c r="G7" s="1582"/>
      <c r="H7" s="517"/>
      <c r="I7" s="517"/>
      <c r="J7" s="518"/>
      <c r="K7" s="518"/>
      <c r="L7" s="518"/>
      <c r="M7" s="518"/>
      <c r="N7" s="518"/>
      <c r="P7" s="146"/>
      <c r="Q7" s="144"/>
      <c r="R7" s="128"/>
      <c r="S7" s="216"/>
      <c r="T7" s="125"/>
      <c r="U7" s="217"/>
      <c r="V7" s="183"/>
      <c r="W7" s="217"/>
      <c r="X7" s="217"/>
      <c r="Y7" s="217"/>
      <c r="Z7" s="217"/>
      <c r="AA7" s="217"/>
      <c r="AB7" s="218"/>
      <c r="AC7" s="218"/>
      <c r="AD7" s="218"/>
      <c r="AE7" s="218"/>
      <c r="AF7" s="218"/>
      <c r="AG7" s="218"/>
      <c r="AH7" s="219"/>
      <c r="AI7" s="219"/>
      <c r="AJ7" s="219"/>
      <c r="AK7" s="220"/>
      <c r="AL7" s="220"/>
      <c r="AM7" s="221"/>
      <c r="AN7" s="221"/>
      <c r="AO7" s="221"/>
      <c r="AP7" s="221"/>
      <c r="AQ7" s="221"/>
      <c r="AR7" s="221"/>
      <c r="AS7" s="221"/>
      <c r="AT7" s="221"/>
      <c r="AU7" s="221"/>
      <c r="AV7" s="221"/>
      <c r="AW7" s="221"/>
      <c r="AX7" s="221"/>
      <c r="AY7" s="221"/>
      <c r="AZ7" s="221"/>
      <c r="BA7" s="221"/>
      <c r="BB7" s="221"/>
      <c r="BC7" s="221"/>
      <c r="BD7" s="221"/>
      <c r="BE7" s="221"/>
      <c r="BF7" s="221"/>
      <c r="BG7" s="221"/>
      <c r="BH7" s="221"/>
      <c r="BI7" s="221"/>
      <c r="BJ7" s="221"/>
      <c r="BK7" s="221"/>
      <c r="BL7" s="221"/>
      <c r="BM7" s="221"/>
      <c r="BN7" s="221"/>
      <c r="BO7" s="221"/>
      <c r="BP7" s="221"/>
      <c r="BQ7" s="221"/>
    </row>
    <row r="8" spans="1:69" s="46" customFormat="1" ht="6" customHeight="1" x14ac:dyDescent="0.25">
      <c r="A8" s="47"/>
      <c r="B8" s="47"/>
      <c r="H8" s="23" t="s">
        <v>11</v>
      </c>
      <c r="I8" s="23"/>
      <c r="J8" s="33"/>
      <c r="K8" s="33"/>
      <c r="L8" s="33"/>
      <c r="M8" s="33"/>
      <c r="N8" s="33"/>
      <c r="O8" s="33"/>
      <c r="P8" s="33"/>
      <c r="Q8" s="123"/>
      <c r="R8" s="129" t="s">
        <v>11</v>
      </c>
      <c r="S8" s="130" t="s">
        <v>11</v>
      </c>
      <c r="T8" s="125"/>
      <c r="U8" s="124"/>
      <c r="V8" s="124"/>
      <c r="W8" s="124"/>
      <c r="X8" s="124"/>
      <c r="Y8" s="124"/>
      <c r="Z8" s="124"/>
      <c r="AA8" s="124"/>
      <c r="AB8" s="123"/>
      <c r="AC8" s="123"/>
      <c r="AD8" s="123"/>
      <c r="AE8" s="123"/>
      <c r="AF8" s="123"/>
      <c r="AG8" s="123"/>
      <c r="AH8" s="174"/>
      <c r="AI8" s="174"/>
      <c r="AJ8" s="174"/>
      <c r="AK8" s="175"/>
      <c r="AL8" s="175"/>
      <c r="AM8" s="175"/>
      <c r="AN8" s="175"/>
      <c r="AO8" s="175"/>
      <c r="AP8" s="175"/>
      <c r="AQ8" s="175"/>
      <c r="AR8" s="175"/>
      <c r="AS8" s="175"/>
      <c r="AT8" s="175"/>
      <c r="AU8" s="175"/>
      <c r="AV8" s="175"/>
      <c r="AW8" s="175"/>
      <c r="AX8" s="175"/>
      <c r="AY8" s="175"/>
      <c r="AZ8" s="175"/>
      <c r="BA8" s="175"/>
      <c r="BB8" s="175"/>
      <c r="BC8" s="175"/>
      <c r="BD8" s="175"/>
      <c r="BE8" s="175"/>
      <c r="BF8" s="175"/>
      <c r="BG8" s="175"/>
      <c r="BH8" s="175"/>
      <c r="BI8" s="175"/>
      <c r="BJ8" s="175"/>
      <c r="BK8" s="175"/>
      <c r="BL8" s="175"/>
      <c r="BM8" s="175"/>
      <c r="BN8" s="175"/>
      <c r="BO8" s="175"/>
      <c r="BP8" s="175"/>
      <c r="BQ8" s="175"/>
    </row>
    <row r="9" spans="1:69" ht="17.25" customHeight="1" x14ac:dyDescent="0.25">
      <c r="A9" s="504" t="s">
        <v>629</v>
      </c>
      <c r="B9" s="504"/>
      <c r="I9" s="148" t="s">
        <v>651</v>
      </c>
      <c r="J9" s="149">
        <f>IF(ISBLANK(Grunddaten!$O$8),Grunddaten!$N$8,Grunddaten!$O$8)</f>
        <v>2.2499999999999999E-2</v>
      </c>
      <c r="K9" s="510" t="s">
        <v>494</v>
      </c>
      <c r="L9" s="45"/>
      <c r="M9" s="45"/>
      <c r="N9" s="45"/>
      <c r="O9" s="45"/>
      <c r="P9" s="2525" t="s">
        <v>489</v>
      </c>
      <c r="Q9" s="2525"/>
      <c r="R9" s="2525"/>
      <c r="S9" s="2525"/>
      <c r="T9" s="125"/>
      <c r="U9" s="124"/>
      <c r="V9" s="124"/>
      <c r="W9" s="124"/>
      <c r="X9" s="124"/>
      <c r="Y9" s="124"/>
      <c r="Z9" s="124"/>
      <c r="AA9" s="124"/>
    </row>
    <row r="10" spans="1:69" ht="2.25" customHeight="1" x14ac:dyDescent="0.2">
      <c r="O10" s="505"/>
      <c r="P10" s="509"/>
      <c r="Q10" s="511"/>
      <c r="R10" s="511"/>
      <c r="S10" s="511"/>
      <c r="T10" s="125"/>
      <c r="U10" s="124"/>
      <c r="V10" s="124"/>
      <c r="W10" s="124"/>
      <c r="X10" s="124"/>
      <c r="Y10" s="124"/>
      <c r="Z10" s="124"/>
      <c r="AA10" s="124"/>
    </row>
    <row r="11" spans="1:69" s="176" customFormat="1" ht="11.25" customHeight="1" x14ac:dyDescent="0.2">
      <c r="A11" s="1049" t="s">
        <v>258</v>
      </c>
      <c r="B11" s="2367" t="s">
        <v>504</v>
      </c>
      <c r="C11" s="2368"/>
      <c r="D11" s="2369"/>
      <c r="E11" s="2378" t="s">
        <v>563</v>
      </c>
      <c r="F11" s="2379"/>
      <c r="G11" s="2376" t="s">
        <v>565</v>
      </c>
      <c r="H11" s="2378" t="s">
        <v>578</v>
      </c>
      <c r="I11" s="2379"/>
      <c r="J11" s="2376" t="s">
        <v>630</v>
      </c>
      <c r="K11" s="2378" t="s">
        <v>631</v>
      </c>
      <c r="L11" s="2405"/>
      <c r="M11" s="2405"/>
      <c r="N11" s="2379"/>
      <c r="O11" s="505"/>
      <c r="P11" s="512" t="s">
        <v>490</v>
      </c>
      <c r="Q11" s="2533" t="s">
        <v>497</v>
      </c>
      <c r="R11" s="2533"/>
      <c r="S11" s="2533"/>
      <c r="T11" s="129"/>
      <c r="U11" s="587" t="s">
        <v>509</v>
      </c>
      <c r="V11" s="588"/>
      <c r="W11" s="589"/>
      <c r="X11" s="593" t="b">
        <f>(U11=B11)</f>
        <v>0</v>
      </c>
      <c r="Y11" s="124"/>
      <c r="Z11" s="124"/>
      <c r="AA11" s="123"/>
      <c r="AB11" s="123"/>
      <c r="AC11" s="123"/>
      <c r="AD11" s="123"/>
      <c r="AE11" s="123"/>
      <c r="AF11" s="123"/>
      <c r="AG11" s="174"/>
      <c r="AH11" s="174"/>
      <c r="AI11" s="174"/>
      <c r="AJ11" s="175"/>
      <c r="AK11" s="175"/>
    </row>
    <row r="12" spans="1:69" s="176" customFormat="1" ht="11.25" customHeight="1" x14ac:dyDescent="0.2">
      <c r="A12" s="1050"/>
      <c r="B12" s="1196"/>
      <c r="C12" s="1197"/>
      <c r="D12" s="1197"/>
      <c r="E12" s="2380"/>
      <c r="F12" s="2381"/>
      <c r="G12" s="2377"/>
      <c r="H12" s="2380"/>
      <c r="I12" s="2381"/>
      <c r="J12" s="2377"/>
      <c r="K12" s="2380"/>
      <c r="L12" s="2406"/>
      <c r="M12" s="2406"/>
      <c r="N12" s="2381"/>
      <c r="O12" s="505"/>
      <c r="P12" s="513"/>
      <c r="Q12" s="2533"/>
      <c r="R12" s="2533"/>
      <c r="S12" s="2533"/>
      <c r="T12" s="129"/>
      <c r="U12" s="590" t="s">
        <v>504</v>
      </c>
      <c r="V12" s="591"/>
      <c r="W12" s="592"/>
      <c r="X12" s="594" t="b">
        <f>(U12=B11)</f>
        <v>1</v>
      </c>
      <c r="Y12" s="124"/>
      <c r="Z12" s="124"/>
      <c r="AA12" s="123"/>
      <c r="AB12" s="123"/>
      <c r="AC12" s="123"/>
      <c r="AD12" s="123"/>
      <c r="AE12" s="123"/>
      <c r="AF12" s="123"/>
      <c r="AG12" s="174"/>
      <c r="AH12" s="174"/>
      <c r="AI12" s="174"/>
      <c r="AJ12" s="175"/>
      <c r="AK12" s="175"/>
    </row>
    <row r="13" spans="1:69" s="176" customFormat="1" ht="11.25" customHeight="1" x14ac:dyDescent="0.2">
      <c r="A13" s="1050"/>
      <c r="B13" s="1196"/>
      <c r="C13" s="1197"/>
      <c r="D13" s="1197"/>
      <c r="E13" s="2382" t="s">
        <v>564</v>
      </c>
      <c r="F13" s="2383"/>
      <c r="G13" s="1198" t="s">
        <v>20</v>
      </c>
      <c r="H13" s="2512" t="s">
        <v>555</v>
      </c>
      <c r="I13" s="2430"/>
      <c r="J13" s="1198" t="s">
        <v>567</v>
      </c>
      <c r="K13" s="1261" t="s">
        <v>580</v>
      </c>
      <c r="L13" s="2554" t="s">
        <v>579</v>
      </c>
      <c r="M13" s="2554"/>
      <c r="N13" s="1262" t="s">
        <v>567</v>
      </c>
      <c r="O13" s="505"/>
      <c r="P13" s="513"/>
      <c r="Q13" s="2533"/>
      <c r="R13" s="2533"/>
      <c r="S13" s="2533"/>
      <c r="T13" s="129"/>
      <c r="U13" s="124"/>
      <c r="V13" s="124"/>
      <c r="W13" s="124"/>
      <c r="X13" s="124"/>
      <c r="Y13" s="124"/>
      <c r="Z13" s="124"/>
      <c r="AA13" s="123"/>
      <c r="AB13" s="123"/>
      <c r="AC13" s="123"/>
      <c r="AD13" s="123"/>
      <c r="AE13" s="123"/>
      <c r="AF13" s="123"/>
      <c r="AG13" s="174"/>
      <c r="AH13" s="174"/>
      <c r="AI13" s="174"/>
      <c r="AJ13" s="175"/>
      <c r="AK13" s="175"/>
    </row>
    <row r="14" spans="1:69" s="36" customFormat="1" ht="12" customHeight="1" x14ac:dyDescent="0.2">
      <c r="A14" s="2370" t="s">
        <v>499</v>
      </c>
      <c r="B14" s="2371"/>
      <c r="C14" s="2371"/>
      <c r="D14" s="2722"/>
      <c r="E14" s="2384">
        <f>DK_Var4!E404</f>
        <v>0</v>
      </c>
      <c r="F14" s="2385"/>
      <c r="G14" s="974">
        <f>DK_Var4!G404</f>
        <v>0</v>
      </c>
      <c r="H14" s="2372">
        <f>DK_Var4!I404</f>
        <v>0</v>
      </c>
      <c r="I14" s="2373"/>
      <c r="J14" s="975">
        <f>DK_Var4!J404</f>
        <v>0</v>
      </c>
      <c r="K14" s="976">
        <f>IF(E14=0,0,N14/E14*100)</f>
        <v>0</v>
      </c>
      <c r="L14" s="2548"/>
      <c r="M14" s="2548"/>
      <c r="N14" s="977">
        <f>DK_Var4!M404</f>
        <v>0</v>
      </c>
      <c r="O14" s="505"/>
      <c r="P14" s="2534" t="s">
        <v>495</v>
      </c>
      <c r="Q14" s="2534"/>
      <c r="R14" s="2534"/>
      <c r="S14" s="2534"/>
      <c r="T14" s="129"/>
      <c r="U14" s="129"/>
      <c r="V14" s="129"/>
      <c r="W14" s="129"/>
      <c r="X14" s="129"/>
      <c r="Y14" s="129"/>
      <c r="Z14" s="129"/>
      <c r="AA14" s="133"/>
      <c r="AB14" s="133"/>
      <c r="AC14" s="133"/>
      <c r="AD14" s="133"/>
      <c r="AE14" s="133"/>
      <c r="AF14" s="133"/>
      <c r="AG14" s="222"/>
      <c r="AH14" s="222"/>
      <c r="AI14" s="222"/>
      <c r="AJ14" s="176"/>
      <c r="AK14" s="176"/>
      <c r="AL14" s="176"/>
      <c r="AM14" s="176"/>
      <c r="AN14" s="176"/>
      <c r="AO14" s="176"/>
      <c r="AP14" s="176"/>
      <c r="AQ14" s="176"/>
      <c r="AR14" s="176"/>
      <c r="AS14" s="176"/>
      <c r="AT14" s="176"/>
      <c r="AU14" s="176"/>
      <c r="AV14" s="176"/>
      <c r="AW14" s="176"/>
      <c r="AX14" s="176"/>
      <c r="AY14" s="176"/>
      <c r="AZ14" s="176"/>
      <c r="BA14" s="176"/>
      <c r="BB14" s="176"/>
      <c r="BC14" s="176"/>
      <c r="BD14" s="176"/>
      <c r="BE14" s="176"/>
      <c r="BF14" s="176"/>
      <c r="BG14" s="176"/>
      <c r="BH14" s="176"/>
      <c r="BI14" s="176"/>
      <c r="BJ14" s="176"/>
      <c r="BK14" s="176"/>
      <c r="BL14" s="176"/>
      <c r="BM14" s="176"/>
      <c r="BN14" s="176"/>
      <c r="BO14" s="176"/>
      <c r="BP14" s="176"/>
    </row>
    <row r="15" spans="1:69" s="36" customFormat="1" ht="11.25" customHeight="1" x14ac:dyDescent="0.2">
      <c r="A15" s="1597"/>
      <c r="B15" s="1598"/>
      <c r="C15" s="1599"/>
      <c r="D15" s="1599"/>
      <c r="E15" s="2723"/>
      <c r="F15" s="2724"/>
      <c r="G15" s="1600"/>
      <c r="H15" s="2781">
        <f t="shared" ref="H15:H38" si="0">IF($G15&gt;0,-PMT(($J$9),$G15,1),0)</f>
        <v>0</v>
      </c>
      <c r="I15" s="2782"/>
      <c r="J15" s="1329">
        <f t="shared" ref="J15:J38" si="1">ROUND(E15*H15,-1)</f>
        <v>0</v>
      </c>
      <c r="K15" s="1280"/>
      <c r="L15" s="2783"/>
      <c r="M15" s="2783"/>
      <c r="N15" s="1332">
        <f>IF(L15,L15,ROUND(E15/100*K15,-1))</f>
        <v>0</v>
      </c>
      <c r="O15" s="506"/>
      <c r="P15" s="513"/>
      <c r="Q15" s="514"/>
      <c r="R15" s="515"/>
      <c r="S15" s="516"/>
      <c r="T15" s="129"/>
      <c r="U15" s="129"/>
      <c r="V15" s="129"/>
      <c r="W15" s="129"/>
      <c r="X15" s="129"/>
      <c r="Y15" s="129"/>
      <c r="Z15" s="129"/>
      <c r="AA15" s="133"/>
      <c r="AB15" s="133"/>
      <c r="AC15" s="133"/>
      <c r="AD15" s="133"/>
      <c r="AE15" s="133"/>
      <c r="AF15" s="133"/>
      <c r="AG15" s="222"/>
      <c r="AH15" s="222"/>
      <c r="AI15" s="222"/>
      <c r="AJ15" s="176"/>
      <c r="AK15" s="176"/>
      <c r="AL15" s="176"/>
      <c r="AM15" s="176"/>
      <c r="AN15" s="176"/>
      <c r="AO15" s="176"/>
      <c r="AP15" s="176"/>
      <c r="AQ15" s="176"/>
      <c r="AR15" s="176"/>
      <c r="AS15" s="176"/>
      <c r="AT15" s="176"/>
      <c r="AU15" s="176"/>
      <c r="AV15" s="176"/>
      <c r="AW15" s="176"/>
      <c r="AX15" s="176"/>
      <c r="AY15" s="176"/>
      <c r="AZ15" s="176"/>
      <c r="BA15" s="176"/>
      <c r="BB15" s="176"/>
      <c r="BC15" s="176"/>
      <c r="BD15" s="176"/>
      <c r="BE15" s="176"/>
      <c r="BF15" s="176"/>
      <c r="BG15" s="176"/>
      <c r="BH15" s="176"/>
      <c r="BI15" s="176"/>
      <c r="BJ15" s="176"/>
      <c r="BK15" s="176"/>
      <c r="BL15" s="176"/>
      <c r="BM15" s="176"/>
      <c r="BN15" s="176"/>
      <c r="BO15" s="176"/>
      <c r="BP15" s="176"/>
    </row>
    <row r="16" spans="1:69" s="36" customFormat="1" ht="11.25" customHeight="1" x14ac:dyDescent="0.2">
      <c r="A16" s="1597"/>
      <c r="B16" s="705"/>
      <c r="C16" s="706"/>
      <c r="D16" s="706"/>
      <c r="E16" s="2725"/>
      <c r="F16" s="2726"/>
      <c r="G16" s="1601"/>
      <c r="H16" s="2764">
        <f t="shared" si="0"/>
        <v>0</v>
      </c>
      <c r="I16" s="2765"/>
      <c r="J16" s="1330">
        <f t="shared" si="1"/>
        <v>0</v>
      </c>
      <c r="K16" s="1281"/>
      <c r="L16" s="2762"/>
      <c r="M16" s="2763"/>
      <c r="N16" s="1333">
        <f t="shared" ref="N16:N38" si="2">IF(L16,L16,ROUND(E16/100*K16,-1))</f>
        <v>0</v>
      </c>
      <c r="O16" s="506"/>
      <c r="P16" s="512"/>
      <c r="Q16" s="514"/>
      <c r="R16" s="515"/>
      <c r="S16" s="516"/>
      <c r="T16" s="129"/>
      <c r="U16" s="129"/>
      <c r="V16" s="129"/>
      <c r="W16" s="129"/>
      <c r="X16" s="129"/>
      <c r="Y16" s="129"/>
      <c r="Z16" s="129"/>
      <c r="AA16" s="133"/>
      <c r="AB16" s="133"/>
      <c r="AC16" s="133"/>
      <c r="AD16" s="133"/>
      <c r="AE16" s="133"/>
      <c r="AF16" s="133"/>
      <c r="AG16" s="222"/>
      <c r="AH16" s="222"/>
      <c r="AI16" s="222"/>
      <c r="AJ16" s="176"/>
      <c r="AK16" s="176"/>
      <c r="AL16" s="176"/>
      <c r="AM16" s="176"/>
      <c r="AN16" s="176"/>
      <c r="AO16" s="176"/>
      <c r="AP16" s="176"/>
      <c r="AQ16" s="176"/>
      <c r="AR16" s="176"/>
      <c r="AS16" s="176"/>
      <c r="AT16" s="176"/>
      <c r="AU16" s="176"/>
      <c r="AV16" s="176"/>
      <c r="AW16" s="176"/>
      <c r="AX16" s="176"/>
      <c r="AY16" s="176"/>
      <c r="AZ16" s="176"/>
      <c r="BA16" s="176"/>
      <c r="BB16" s="176"/>
      <c r="BC16" s="176"/>
      <c r="BD16" s="176"/>
      <c r="BE16" s="176"/>
      <c r="BF16" s="176"/>
      <c r="BG16" s="176"/>
      <c r="BH16" s="176"/>
      <c r="BI16" s="176"/>
      <c r="BJ16" s="176"/>
      <c r="BK16" s="176"/>
      <c r="BL16" s="176"/>
      <c r="BM16" s="176"/>
      <c r="BN16" s="176"/>
      <c r="BO16" s="176"/>
      <c r="BP16" s="176"/>
    </row>
    <row r="17" spans="1:68" s="36" customFormat="1" ht="11.25" customHeight="1" x14ac:dyDescent="0.2">
      <c r="A17" s="1597"/>
      <c r="B17" s="705"/>
      <c r="C17" s="706"/>
      <c r="D17" s="706"/>
      <c r="E17" s="2725"/>
      <c r="F17" s="2726"/>
      <c r="G17" s="1601"/>
      <c r="H17" s="2764">
        <f t="shared" si="0"/>
        <v>0</v>
      </c>
      <c r="I17" s="2765"/>
      <c r="J17" s="1330">
        <f t="shared" si="1"/>
        <v>0</v>
      </c>
      <c r="K17" s="1281"/>
      <c r="L17" s="2762"/>
      <c r="M17" s="2763"/>
      <c r="N17" s="1333">
        <f t="shared" si="2"/>
        <v>0</v>
      </c>
      <c r="O17" s="506"/>
      <c r="P17" s="513"/>
      <c r="Q17" s="514"/>
      <c r="R17" s="515"/>
      <c r="S17" s="516"/>
      <c r="T17" s="129"/>
      <c r="U17" s="129"/>
      <c r="V17" s="129"/>
      <c r="W17" s="129"/>
      <c r="X17" s="129"/>
      <c r="Y17" s="129"/>
      <c r="Z17" s="129"/>
      <c r="AA17" s="133"/>
      <c r="AB17" s="133"/>
      <c r="AC17" s="133"/>
      <c r="AD17" s="133"/>
      <c r="AE17" s="133"/>
      <c r="AF17" s="133"/>
      <c r="AG17" s="222"/>
      <c r="AH17" s="222"/>
      <c r="AI17" s="222"/>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c r="BP17" s="176"/>
    </row>
    <row r="18" spans="1:68" s="36" customFormat="1" ht="11.25" customHeight="1" x14ac:dyDescent="0.2">
      <c r="A18" s="985"/>
      <c r="B18" s="986"/>
      <c r="C18" s="987"/>
      <c r="D18" s="987"/>
      <c r="E18" s="2395"/>
      <c r="F18" s="2396"/>
      <c r="G18" s="988"/>
      <c r="H18" s="2764">
        <f t="shared" si="0"/>
        <v>0</v>
      </c>
      <c r="I18" s="2765"/>
      <c r="J18" s="1330">
        <f t="shared" si="1"/>
        <v>0</v>
      </c>
      <c r="K18" s="1281"/>
      <c r="L18" s="2762"/>
      <c r="M18" s="2763"/>
      <c r="N18" s="1333">
        <f t="shared" si="2"/>
        <v>0</v>
      </c>
      <c r="O18" s="506"/>
      <c r="P18" s="513"/>
      <c r="Q18" s="514"/>
      <c r="R18" s="515"/>
      <c r="S18" s="516"/>
      <c r="T18" s="129"/>
      <c r="U18" s="129"/>
      <c r="V18" s="129"/>
      <c r="W18" s="129"/>
      <c r="X18" s="129"/>
      <c r="Y18" s="129"/>
      <c r="Z18" s="129"/>
      <c r="AA18" s="133"/>
      <c r="AB18" s="133"/>
      <c r="AC18" s="133"/>
      <c r="AD18" s="133"/>
      <c r="AE18" s="133"/>
      <c r="AF18" s="133"/>
      <c r="AG18" s="222"/>
      <c r="AH18" s="222"/>
      <c r="AI18" s="222"/>
      <c r="AJ18" s="176"/>
      <c r="AK18" s="176"/>
      <c r="AL18" s="176"/>
      <c r="AM18" s="176"/>
      <c r="AN18" s="176"/>
      <c r="AO18" s="176"/>
      <c r="AP18" s="176"/>
      <c r="AQ18" s="176"/>
      <c r="AR18" s="176"/>
      <c r="AS18" s="176"/>
      <c r="AT18" s="176"/>
      <c r="AU18" s="176"/>
      <c r="AV18" s="176"/>
      <c r="AW18" s="176"/>
      <c r="AX18" s="176"/>
      <c r="AY18" s="176"/>
      <c r="AZ18" s="176"/>
      <c r="BA18" s="176"/>
      <c r="BB18" s="176"/>
      <c r="BC18" s="176"/>
      <c r="BD18" s="176"/>
      <c r="BE18" s="176"/>
      <c r="BF18" s="176"/>
      <c r="BG18" s="176"/>
      <c r="BH18" s="176"/>
      <c r="BI18" s="176"/>
      <c r="BJ18" s="176"/>
      <c r="BK18" s="176"/>
      <c r="BL18" s="176"/>
      <c r="BM18" s="176"/>
      <c r="BN18" s="176"/>
      <c r="BO18" s="176"/>
      <c r="BP18" s="176"/>
    </row>
    <row r="19" spans="1:68" s="36" customFormat="1" ht="11.25" customHeight="1" x14ac:dyDescent="0.2">
      <c r="A19" s="1264"/>
      <c r="B19" s="705"/>
      <c r="C19" s="708"/>
      <c r="D19" s="1337"/>
      <c r="E19" s="2768"/>
      <c r="F19" s="2769"/>
      <c r="G19" s="1271"/>
      <c r="H19" s="2764">
        <f t="shared" si="0"/>
        <v>0</v>
      </c>
      <c r="I19" s="2765"/>
      <c r="J19" s="1330">
        <f t="shared" si="1"/>
        <v>0</v>
      </c>
      <c r="K19" s="1273"/>
      <c r="L19" s="2762"/>
      <c r="M19" s="2763"/>
      <c r="N19" s="1333">
        <f t="shared" si="2"/>
        <v>0</v>
      </c>
      <c r="O19" s="506"/>
      <c r="P19" s="513"/>
      <c r="Q19" s="514"/>
      <c r="R19" s="515"/>
      <c r="S19" s="516"/>
      <c r="T19" s="129"/>
      <c r="U19" s="129"/>
      <c r="V19" s="129"/>
      <c r="W19" s="129"/>
      <c r="X19" s="129"/>
      <c r="Y19" s="129"/>
      <c r="Z19" s="129"/>
      <c r="AA19" s="133"/>
      <c r="AB19" s="133"/>
      <c r="AC19" s="133"/>
      <c r="AD19" s="133"/>
      <c r="AE19" s="133"/>
      <c r="AF19" s="133"/>
      <c r="AG19" s="222"/>
      <c r="AH19" s="222"/>
      <c r="AI19" s="222"/>
      <c r="AJ19" s="176"/>
      <c r="AK19" s="176"/>
      <c r="AL19" s="176"/>
      <c r="AM19" s="176"/>
      <c r="AN19" s="176"/>
      <c r="AO19" s="176"/>
      <c r="AP19" s="176"/>
      <c r="AQ19" s="176"/>
      <c r="AR19" s="176"/>
      <c r="AS19" s="176"/>
      <c r="AT19" s="176"/>
      <c r="AU19" s="176"/>
      <c r="AV19" s="176"/>
      <c r="AW19" s="176"/>
      <c r="AX19" s="176"/>
      <c r="AY19" s="176"/>
      <c r="AZ19" s="176"/>
      <c r="BA19" s="176"/>
      <c r="BB19" s="176"/>
      <c r="BC19" s="176"/>
      <c r="BD19" s="176"/>
      <c r="BE19" s="176"/>
      <c r="BF19" s="176"/>
      <c r="BG19" s="176"/>
      <c r="BH19" s="176"/>
      <c r="BI19" s="176"/>
      <c r="BJ19" s="176"/>
      <c r="BK19" s="176"/>
      <c r="BL19" s="176"/>
      <c r="BM19" s="176"/>
      <c r="BN19" s="176"/>
      <c r="BO19" s="176"/>
      <c r="BP19" s="176"/>
    </row>
    <row r="20" spans="1:68" s="36" customFormat="1" ht="11.25" customHeight="1" x14ac:dyDescent="0.2">
      <c r="A20" s="1597"/>
      <c r="B20" s="705"/>
      <c r="C20" s="706"/>
      <c r="D20" s="706"/>
      <c r="E20" s="2725"/>
      <c r="F20" s="2726"/>
      <c r="G20" s="1601"/>
      <c r="H20" s="2764">
        <f t="shared" si="0"/>
        <v>0</v>
      </c>
      <c r="I20" s="2765"/>
      <c r="J20" s="1330">
        <f t="shared" si="1"/>
        <v>0</v>
      </c>
      <c r="K20" s="1273"/>
      <c r="L20" s="2762"/>
      <c r="M20" s="2763"/>
      <c r="N20" s="1333">
        <f t="shared" si="2"/>
        <v>0</v>
      </c>
      <c r="O20" s="506"/>
      <c r="P20" s="513"/>
      <c r="Q20" s="514"/>
      <c r="R20" s="515"/>
      <c r="S20" s="516"/>
      <c r="T20" s="129"/>
      <c r="U20" s="129"/>
      <c r="V20" s="129"/>
      <c r="W20" s="129"/>
      <c r="X20" s="129"/>
      <c r="Y20" s="129"/>
      <c r="Z20" s="129"/>
      <c r="AA20" s="133"/>
      <c r="AB20" s="133"/>
      <c r="AC20" s="133"/>
      <c r="AD20" s="133"/>
      <c r="AE20" s="133"/>
      <c r="AF20" s="133"/>
      <c r="AG20" s="222"/>
      <c r="AH20" s="222"/>
      <c r="AI20" s="222"/>
      <c r="AJ20" s="176"/>
      <c r="AK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BG20" s="176"/>
      <c r="BH20" s="176"/>
      <c r="BI20" s="176"/>
      <c r="BJ20" s="176"/>
      <c r="BK20" s="176"/>
      <c r="BL20" s="176"/>
      <c r="BM20" s="176"/>
      <c r="BN20" s="176"/>
      <c r="BO20" s="176"/>
      <c r="BP20" s="176"/>
    </row>
    <row r="21" spans="1:68" s="36" customFormat="1" ht="11.25" customHeight="1" x14ac:dyDescent="0.2">
      <c r="A21" s="1597"/>
      <c r="B21" s="705"/>
      <c r="C21" s="706"/>
      <c r="D21" s="706"/>
      <c r="E21" s="2725"/>
      <c r="F21" s="2726"/>
      <c r="G21" s="1601"/>
      <c r="H21" s="2764">
        <f t="shared" si="0"/>
        <v>0</v>
      </c>
      <c r="I21" s="2765"/>
      <c r="J21" s="1330">
        <f t="shared" si="1"/>
        <v>0</v>
      </c>
      <c r="K21" s="1273"/>
      <c r="L21" s="2762"/>
      <c r="M21" s="2763"/>
      <c r="N21" s="1333">
        <f t="shared" si="2"/>
        <v>0</v>
      </c>
      <c r="O21" s="506"/>
      <c r="P21" s="513"/>
      <c r="Q21" s="514"/>
      <c r="R21" s="515"/>
      <c r="S21" s="516"/>
      <c r="T21" s="129"/>
      <c r="U21" s="129"/>
      <c r="V21" s="129"/>
      <c r="W21" s="129"/>
      <c r="X21" s="129"/>
      <c r="Y21" s="129"/>
      <c r="Z21" s="129"/>
      <c r="AA21" s="133"/>
      <c r="AB21" s="133"/>
      <c r="AC21" s="133"/>
      <c r="AD21" s="133"/>
      <c r="AE21" s="133"/>
      <c r="AF21" s="133"/>
      <c r="AG21" s="222"/>
      <c r="AH21" s="222"/>
      <c r="AI21" s="222"/>
      <c r="AJ21" s="176"/>
      <c r="AK21" s="176"/>
      <c r="AL21" s="176"/>
      <c r="AM21" s="176"/>
      <c r="AN21" s="176"/>
      <c r="AO21" s="176"/>
      <c r="AP21" s="176"/>
      <c r="AQ21" s="176"/>
      <c r="AR21" s="176"/>
      <c r="AS21" s="176"/>
      <c r="AT21" s="176"/>
      <c r="AU21" s="176"/>
      <c r="AV21" s="176"/>
      <c r="AW21" s="176"/>
      <c r="AX21" s="176"/>
      <c r="AY21" s="176"/>
      <c r="AZ21" s="176"/>
      <c r="BA21" s="176"/>
      <c r="BB21" s="176"/>
      <c r="BC21" s="176"/>
      <c r="BD21" s="176"/>
      <c r="BE21" s="176"/>
      <c r="BF21" s="176"/>
      <c r="BG21" s="176"/>
      <c r="BH21" s="176"/>
      <c r="BI21" s="176"/>
      <c r="BJ21" s="176"/>
      <c r="BK21" s="176"/>
      <c r="BL21" s="176"/>
      <c r="BM21" s="176"/>
      <c r="BN21" s="176"/>
      <c r="BO21" s="176"/>
      <c r="BP21" s="176"/>
    </row>
    <row r="22" spans="1:68" s="36" customFormat="1" ht="11.25" customHeight="1" x14ac:dyDescent="0.2">
      <c r="A22" s="1264"/>
      <c r="B22" s="705"/>
      <c r="C22" s="708"/>
      <c r="D22" s="1337"/>
      <c r="E22" s="2768"/>
      <c r="F22" s="2769"/>
      <c r="G22" s="1271"/>
      <c r="H22" s="2764">
        <f t="shared" si="0"/>
        <v>0</v>
      </c>
      <c r="I22" s="2765"/>
      <c r="J22" s="1330">
        <f t="shared" si="1"/>
        <v>0</v>
      </c>
      <c r="K22" s="1273"/>
      <c r="L22" s="2762"/>
      <c r="M22" s="2763"/>
      <c r="N22" s="1333">
        <f t="shared" si="2"/>
        <v>0</v>
      </c>
      <c r="O22" s="506"/>
      <c r="P22" s="513"/>
      <c r="Q22" s="514"/>
      <c r="R22" s="515"/>
      <c r="S22" s="516"/>
      <c r="T22" s="129"/>
      <c r="U22" s="129"/>
      <c r="V22" s="129"/>
      <c r="W22" s="129"/>
      <c r="X22" s="129"/>
      <c r="Y22" s="129"/>
      <c r="Z22" s="129"/>
      <c r="AA22" s="133"/>
      <c r="AB22" s="133"/>
      <c r="AC22" s="133"/>
      <c r="AD22" s="133"/>
      <c r="AE22" s="133"/>
      <c r="AF22" s="133"/>
      <c r="AG22" s="222"/>
      <c r="AH22" s="222"/>
      <c r="AI22" s="222"/>
      <c r="AJ22" s="176"/>
      <c r="AK22" s="176"/>
      <c r="AL22" s="176"/>
      <c r="AM22" s="176"/>
      <c r="AN22" s="176"/>
      <c r="AO22" s="176"/>
      <c r="AP22" s="176"/>
      <c r="AQ22" s="176"/>
      <c r="AR22" s="176"/>
      <c r="AS22" s="176"/>
      <c r="AT22" s="176"/>
      <c r="AU22" s="176"/>
      <c r="AV22" s="176"/>
      <c r="AW22" s="176"/>
      <c r="AX22" s="176"/>
      <c r="AY22" s="176"/>
      <c r="AZ22" s="176"/>
      <c r="BA22" s="176"/>
      <c r="BB22" s="176"/>
      <c r="BC22" s="176"/>
      <c r="BD22" s="176"/>
      <c r="BE22" s="176"/>
      <c r="BF22" s="176"/>
      <c r="BG22" s="176"/>
      <c r="BH22" s="176"/>
      <c r="BI22" s="176"/>
      <c r="BJ22" s="176"/>
      <c r="BK22" s="176"/>
      <c r="BL22" s="176"/>
      <c r="BM22" s="176"/>
      <c r="BN22" s="176"/>
      <c r="BO22" s="176"/>
      <c r="BP22" s="176"/>
    </row>
    <row r="23" spans="1:68" s="36" customFormat="1" ht="11.25" customHeight="1" x14ac:dyDescent="0.2">
      <c r="A23" s="1266"/>
      <c r="B23" s="707"/>
      <c r="C23" s="707"/>
      <c r="D23" s="1267"/>
      <c r="E23" s="2768"/>
      <c r="F23" s="2769"/>
      <c r="G23" s="1271"/>
      <c r="H23" s="2764">
        <f t="shared" si="0"/>
        <v>0</v>
      </c>
      <c r="I23" s="2765"/>
      <c r="J23" s="1330">
        <f t="shared" si="1"/>
        <v>0</v>
      </c>
      <c r="K23" s="1273"/>
      <c r="L23" s="2762"/>
      <c r="M23" s="2763"/>
      <c r="N23" s="1333">
        <f t="shared" si="2"/>
        <v>0</v>
      </c>
      <c r="O23" s="506"/>
      <c r="P23" s="513"/>
      <c r="Q23" s="514"/>
      <c r="R23" s="515"/>
      <c r="S23" s="516"/>
      <c r="T23" s="129"/>
      <c r="U23" s="129"/>
      <c r="V23" s="129"/>
      <c r="W23" s="129"/>
      <c r="X23" s="129"/>
      <c r="Y23" s="129"/>
      <c r="Z23" s="129"/>
      <c r="AA23" s="133"/>
      <c r="AB23" s="133"/>
      <c r="AC23" s="133"/>
      <c r="AD23" s="133"/>
      <c r="AE23" s="133"/>
      <c r="AF23" s="133"/>
      <c r="AG23" s="222"/>
      <c r="AH23" s="222"/>
      <c r="AI23" s="222"/>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row>
    <row r="24" spans="1:68" s="36" customFormat="1" ht="11.25" customHeight="1" x14ac:dyDescent="0.2">
      <c r="A24" s="1266"/>
      <c r="B24" s="707"/>
      <c r="C24" s="707"/>
      <c r="D24" s="1267"/>
      <c r="E24" s="2768"/>
      <c r="F24" s="2769"/>
      <c r="G24" s="1271"/>
      <c r="H24" s="2764">
        <f t="shared" si="0"/>
        <v>0</v>
      </c>
      <c r="I24" s="2765"/>
      <c r="J24" s="1330">
        <f t="shared" si="1"/>
        <v>0</v>
      </c>
      <c r="K24" s="1273"/>
      <c r="L24" s="2762"/>
      <c r="M24" s="2763"/>
      <c r="N24" s="1333">
        <f t="shared" si="2"/>
        <v>0</v>
      </c>
      <c r="O24" s="506"/>
      <c r="P24" s="513"/>
      <c r="Q24" s="514"/>
      <c r="R24" s="515"/>
      <c r="S24" s="516"/>
      <c r="T24" s="129"/>
      <c r="U24" s="129"/>
      <c r="V24" s="129"/>
      <c r="W24" s="129"/>
      <c r="X24" s="129"/>
      <c r="Y24" s="129"/>
      <c r="Z24" s="129"/>
      <c r="AA24" s="133"/>
      <c r="AB24" s="133"/>
      <c r="AC24" s="133"/>
      <c r="AD24" s="133"/>
      <c r="AE24" s="133"/>
      <c r="AF24" s="133"/>
      <c r="AG24" s="222"/>
      <c r="AH24" s="222"/>
      <c r="AI24" s="222"/>
      <c r="AJ24" s="176"/>
      <c r="AK24" s="176"/>
      <c r="AL24" s="176"/>
      <c r="AM24" s="176"/>
      <c r="AN24" s="176"/>
      <c r="AO24" s="176"/>
      <c r="AP24" s="176"/>
      <c r="AQ24" s="176"/>
      <c r="AR24" s="176"/>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c r="BP24" s="176"/>
    </row>
    <row r="25" spans="1:68" s="36" customFormat="1" ht="11.25" customHeight="1" x14ac:dyDescent="0.2">
      <c r="A25" s="1266"/>
      <c r="B25" s="707"/>
      <c r="C25" s="707"/>
      <c r="D25" s="1267"/>
      <c r="E25" s="2768"/>
      <c r="F25" s="2769"/>
      <c r="G25" s="1271"/>
      <c r="H25" s="2764">
        <f t="shared" si="0"/>
        <v>0</v>
      </c>
      <c r="I25" s="2765"/>
      <c r="J25" s="1330">
        <f t="shared" si="1"/>
        <v>0</v>
      </c>
      <c r="K25" s="1273"/>
      <c r="L25" s="2762"/>
      <c r="M25" s="2763"/>
      <c r="N25" s="1333">
        <f t="shared" si="2"/>
        <v>0</v>
      </c>
      <c r="O25" s="506"/>
      <c r="P25" s="513"/>
      <c r="Q25" s="514"/>
      <c r="R25" s="515"/>
      <c r="S25" s="516"/>
      <c r="T25" s="129"/>
      <c r="U25" s="129"/>
      <c r="V25" s="129"/>
      <c r="W25" s="129"/>
      <c r="X25" s="129"/>
      <c r="Y25" s="129"/>
      <c r="Z25" s="129"/>
      <c r="AA25" s="133"/>
      <c r="AB25" s="133"/>
      <c r="AC25" s="133"/>
      <c r="AD25" s="133"/>
      <c r="AE25" s="133"/>
      <c r="AF25" s="133"/>
      <c r="AG25" s="222"/>
      <c r="AH25" s="222"/>
      <c r="AI25" s="222"/>
      <c r="AJ25" s="176"/>
      <c r="AK25" s="176"/>
      <c r="AL25" s="176"/>
      <c r="AM25" s="176"/>
      <c r="AN25" s="176"/>
      <c r="AO25" s="176"/>
      <c r="AP25" s="176"/>
      <c r="AQ25" s="176"/>
      <c r="AR25" s="176"/>
      <c r="AS25" s="176"/>
      <c r="AT25" s="176"/>
      <c r="AU25" s="176"/>
      <c r="AV25" s="176"/>
      <c r="AW25" s="176"/>
      <c r="AX25" s="176"/>
      <c r="AY25" s="176"/>
      <c r="AZ25" s="176"/>
      <c r="BA25" s="176"/>
      <c r="BB25" s="176"/>
      <c r="BC25" s="176"/>
      <c r="BD25" s="176"/>
      <c r="BE25" s="176"/>
      <c r="BF25" s="176"/>
      <c r="BG25" s="176"/>
      <c r="BH25" s="176"/>
      <c r="BI25" s="176"/>
      <c r="BJ25" s="176"/>
      <c r="BK25" s="176"/>
      <c r="BL25" s="176"/>
      <c r="BM25" s="176"/>
      <c r="BN25" s="176"/>
      <c r="BO25" s="176"/>
      <c r="BP25" s="176"/>
    </row>
    <row r="26" spans="1:68" s="36" customFormat="1" ht="11.25" customHeight="1" x14ac:dyDescent="0.2">
      <c r="A26" s="1266"/>
      <c r="B26" s="707"/>
      <c r="C26" s="707"/>
      <c r="D26" s="1267"/>
      <c r="E26" s="2768"/>
      <c r="F26" s="2769"/>
      <c r="G26" s="1271"/>
      <c r="H26" s="2764">
        <f t="shared" si="0"/>
        <v>0</v>
      </c>
      <c r="I26" s="2765"/>
      <c r="J26" s="1330">
        <f t="shared" si="1"/>
        <v>0</v>
      </c>
      <c r="K26" s="1273"/>
      <c r="L26" s="2762"/>
      <c r="M26" s="2763"/>
      <c r="N26" s="1333">
        <f t="shared" si="2"/>
        <v>0</v>
      </c>
      <c r="O26" s="506"/>
      <c r="P26" s="2535" t="s">
        <v>492</v>
      </c>
      <c r="Q26" s="2536" t="s">
        <v>493</v>
      </c>
      <c r="R26" s="2536"/>
      <c r="S26" s="2536"/>
      <c r="T26" s="129"/>
      <c r="U26" s="129"/>
      <c r="V26" s="129"/>
      <c r="W26" s="129"/>
      <c r="X26" s="129"/>
      <c r="Y26" s="129"/>
      <c r="Z26" s="129"/>
      <c r="AA26" s="133"/>
      <c r="AB26" s="133"/>
      <c r="AC26" s="133"/>
      <c r="AD26" s="133"/>
      <c r="AE26" s="133"/>
      <c r="AF26" s="133"/>
      <c r="AG26" s="222"/>
      <c r="AH26" s="222"/>
      <c r="AI26" s="222"/>
      <c r="AJ26" s="176"/>
      <c r="AK26" s="176"/>
      <c r="AL26" s="176"/>
      <c r="AM26" s="176"/>
      <c r="AN26" s="176"/>
      <c r="AO26" s="176"/>
      <c r="AP26" s="176"/>
      <c r="AQ26" s="176"/>
      <c r="AR26" s="176"/>
      <c r="AS26" s="176"/>
      <c r="AT26" s="176"/>
      <c r="AU26" s="176"/>
      <c r="AV26" s="176"/>
      <c r="AW26" s="176"/>
      <c r="AX26" s="176"/>
      <c r="AY26" s="176"/>
      <c r="AZ26" s="176"/>
      <c r="BA26" s="176"/>
      <c r="BB26" s="176"/>
      <c r="BC26" s="176"/>
      <c r="BD26" s="176"/>
      <c r="BE26" s="176"/>
      <c r="BF26" s="176"/>
      <c r="BG26" s="176"/>
      <c r="BH26" s="176"/>
      <c r="BI26" s="176"/>
      <c r="BJ26" s="176"/>
      <c r="BK26" s="176"/>
      <c r="BL26" s="176"/>
      <c r="BM26" s="176"/>
      <c r="BN26" s="176"/>
      <c r="BO26" s="176"/>
      <c r="BP26" s="176"/>
    </row>
    <row r="27" spans="1:68" s="36" customFormat="1" ht="11.25" customHeight="1" x14ac:dyDescent="0.2">
      <c r="A27" s="1266"/>
      <c r="B27" s="707"/>
      <c r="C27" s="707"/>
      <c r="D27" s="1267"/>
      <c r="E27" s="2768"/>
      <c r="F27" s="2769"/>
      <c r="G27" s="1271"/>
      <c r="H27" s="2764">
        <f t="shared" si="0"/>
        <v>0</v>
      </c>
      <c r="I27" s="2765"/>
      <c r="J27" s="1330">
        <f t="shared" si="1"/>
        <v>0</v>
      </c>
      <c r="K27" s="1273"/>
      <c r="L27" s="2762"/>
      <c r="M27" s="2763"/>
      <c r="N27" s="1333">
        <f t="shared" si="2"/>
        <v>0</v>
      </c>
      <c r="O27" s="506"/>
      <c r="P27" s="2535"/>
      <c r="Q27" s="2536"/>
      <c r="R27" s="2536"/>
      <c r="S27" s="2536"/>
      <c r="T27" s="129"/>
      <c r="U27" s="129"/>
      <c r="V27" s="129"/>
      <c r="W27" s="129"/>
      <c r="X27" s="129"/>
      <c r="Y27" s="129"/>
      <c r="Z27" s="129"/>
      <c r="AA27" s="133"/>
      <c r="AB27" s="133"/>
      <c r="AC27" s="133"/>
      <c r="AD27" s="133"/>
      <c r="AE27" s="133"/>
      <c r="AF27" s="133"/>
      <c r="AG27" s="222"/>
      <c r="AH27" s="222"/>
      <c r="AI27" s="222"/>
      <c r="AJ27" s="176"/>
      <c r="AK27" s="176"/>
      <c r="AL27" s="176"/>
      <c r="AM27" s="176"/>
      <c r="AN27" s="176"/>
      <c r="AO27" s="176"/>
      <c r="AP27" s="176"/>
      <c r="AQ27" s="176"/>
      <c r="AR27" s="176"/>
      <c r="AS27" s="176"/>
      <c r="AT27" s="176"/>
      <c r="AU27" s="176"/>
      <c r="AV27" s="176"/>
      <c r="AW27" s="176"/>
      <c r="AX27" s="176"/>
      <c r="AY27" s="176"/>
      <c r="AZ27" s="176"/>
      <c r="BA27" s="176"/>
      <c r="BB27" s="176"/>
      <c r="BC27" s="176"/>
      <c r="BD27" s="176"/>
      <c r="BE27" s="176"/>
      <c r="BF27" s="176"/>
      <c r="BG27" s="176"/>
      <c r="BH27" s="176"/>
      <c r="BI27" s="176"/>
      <c r="BJ27" s="176"/>
      <c r="BK27" s="176"/>
      <c r="BL27" s="176"/>
      <c r="BM27" s="176"/>
      <c r="BN27" s="176"/>
      <c r="BO27" s="176"/>
      <c r="BP27" s="176"/>
    </row>
    <row r="28" spans="1:68" s="36" customFormat="1" ht="11.25" customHeight="1" x14ac:dyDescent="0.2">
      <c r="A28" s="1266"/>
      <c r="B28" s="707"/>
      <c r="C28" s="707"/>
      <c r="D28" s="1267"/>
      <c r="E28" s="2768"/>
      <c r="F28" s="2769"/>
      <c r="G28" s="1271"/>
      <c r="H28" s="2764">
        <f t="shared" si="0"/>
        <v>0</v>
      </c>
      <c r="I28" s="2765"/>
      <c r="J28" s="1330">
        <f t="shared" si="1"/>
        <v>0</v>
      </c>
      <c r="K28" s="1273"/>
      <c r="L28" s="2762"/>
      <c r="M28" s="2763"/>
      <c r="N28" s="1333">
        <f t="shared" si="2"/>
        <v>0</v>
      </c>
      <c r="O28" s="506"/>
      <c r="P28" s="513"/>
      <c r="Q28" s="514"/>
      <c r="R28" s="515"/>
      <c r="S28" s="516"/>
      <c r="T28" s="129"/>
      <c r="U28" s="129"/>
      <c r="V28" s="129"/>
      <c r="W28" s="129"/>
      <c r="X28" s="129"/>
      <c r="Y28" s="129"/>
      <c r="Z28" s="129"/>
      <c r="AA28" s="133"/>
      <c r="AB28" s="133"/>
      <c r="AC28" s="133"/>
      <c r="AD28" s="133"/>
      <c r="AE28" s="133"/>
      <c r="AF28" s="133"/>
      <c r="AG28" s="222"/>
      <c r="AH28" s="222"/>
      <c r="AI28" s="222"/>
      <c r="AJ28" s="176"/>
      <c r="AK28" s="176"/>
      <c r="AL28" s="176"/>
      <c r="AM28" s="176"/>
      <c r="AN28" s="176"/>
      <c r="AO28" s="176"/>
      <c r="AP28" s="176"/>
      <c r="AQ28" s="176"/>
      <c r="AR28" s="176"/>
      <c r="AS28" s="176"/>
      <c r="AT28" s="176"/>
      <c r="AU28" s="176"/>
      <c r="AV28" s="176"/>
      <c r="AW28" s="176"/>
      <c r="AX28" s="176"/>
      <c r="AY28" s="176"/>
      <c r="AZ28" s="176"/>
      <c r="BA28" s="176"/>
      <c r="BB28" s="176"/>
      <c r="BC28" s="176"/>
      <c r="BD28" s="176"/>
      <c r="BE28" s="176"/>
      <c r="BF28" s="176"/>
      <c r="BG28" s="176"/>
      <c r="BH28" s="176"/>
      <c r="BI28" s="176"/>
      <c r="BJ28" s="176"/>
      <c r="BK28" s="176"/>
      <c r="BL28" s="176"/>
      <c r="BM28" s="176"/>
      <c r="BN28" s="176"/>
      <c r="BO28" s="176"/>
      <c r="BP28" s="176"/>
    </row>
    <row r="29" spans="1:68" s="36" customFormat="1" ht="11.25" customHeight="1" x14ac:dyDescent="0.2">
      <c r="A29" s="1266"/>
      <c r="B29" s="707"/>
      <c r="C29" s="707"/>
      <c r="D29" s="1267"/>
      <c r="E29" s="2768"/>
      <c r="F29" s="2769"/>
      <c r="G29" s="1271"/>
      <c r="H29" s="2764">
        <f t="shared" si="0"/>
        <v>0</v>
      </c>
      <c r="I29" s="2765"/>
      <c r="J29" s="1330">
        <f t="shared" si="1"/>
        <v>0</v>
      </c>
      <c r="K29" s="1273"/>
      <c r="L29" s="2762"/>
      <c r="M29" s="2763"/>
      <c r="N29" s="1333">
        <f t="shared" si="2"/>
        <v>0</v>
      </c>
      <c r="O29" s="506"/>
      <c r="P29" s="513"/>
      <c r="Q29" s="514"/>
      <c r="R29" s="515"/>
      <c r="S29" s="516"/>
      <c r="T29" s="129"/>
      <c r="U29" s="129"/>
      <c r="V29" s="129"/>
      <c r="W29" s="129"/>
      <c r="X29" s="129"/>
      <c r="Y29" s="129"/>
      <c r="Z29" s="129"/>
      <c r="AA29" s="133"/>
      <c r="AB29" s="133"/>
      <c r="AC29" s="133"/>
      <c r="AD29" s="133"/>
      <c r="AE29" s="133"/>
      <c r="AF29" s="133"/>
      <c r="AG29" s="222"/>
      <c r="AH29" s="222"/>
      <c r="AI29" s="222"/>
      <c r="AJ29" s="176"/>
      <c r="AK29" s="176"/>
      <c r="AL29" s="176"/>
      <c r="AM29" s="176"/>
      <c r="AN29" s="176"/>
      <c r="AO29" s="176"/>
      <c r="AP29" s="176"/>
      <c r="AQ29" s="176"/>
      <c r="AR29" s="176"/>
      <c r="AS29" s="176"/>
      <c r="AT29" s="176"/>
      <c r="AU29" s="176"/>
      <c r="AV29" s="176"/>
      <c r="AW29" s="176"/>
      <c r="AX29" s="176"/>
      <c r="AY29" s="176"/>
      <c r="AZ29" s="176"/>
      <c r="BA29" s="176"/>
      <c r="BB29" s="176"/>
      <c r="BC29" s="176"/>
      <c r="BD29" s="176"/>
      <c r="BE29" s="176"/>
      <c r="BF29" s="176"/>
      <c r="BG29" s="176"/>
      <c r="BH29" s="176"/>
      <c r="BI29" s="176"/>
      <c r="BJ29" s="176"/>
      <c r="BK29" s="176"/>
      <c r="BL29" s="176"/>
      <c r="BM29" s="176"/>
      <c r="BN29" s="176"/>
      <c r="BO29" s="176"/>
      <c r="BP29" s="176"/>
    </row>
    <row r="30" spans="1:68" s="36" customFormat="1" ht="11.25" customHeight="1" x14ac:dyDescent="0.2">
      <c r="A30" s="1266"/>
      <c r="B30" s="707"/>
      <c r="C30" s="707"/>
      <c r="D30" s="1267"/>
      <c r="E30" s="2768"/>
      <c r="F30" s="2769"/>
      <c r="G30" s="1271"/>
      <c r="H30" s="2764">
        <f t="shared" si="0"/>
        <v>0</v>
      </c>
      <c r="I30" s="2765"/>
      <c r="J30" s="1330">
        <f t="shared" si="1"/>
        <v>0</v>
      </c>
      <c r="K30" s="1273"/>
      <c r="L30" s="2762"/>
      <c r="M30" s="2763"/>
      <c r="N30" s="1333">
        <f t="shared" si="2"/>
        <v>0</v>
      </c>
      <c r="O30" s="506"/>
      <c r="P30" s="513"/>
      <c r="Q30" s="514"/>
      <c r="R30" s="515"/>
      <c r="S30" s="516"/>
      <c r="T30" s="129"/>
      <c r="U30" s="129"/>
      <c r="V30" s="129"/>
      <c r="W30" s="129"/>
      <c r="X30" s="129"/>
      <c r="Y30" s="129"/>
      <c r="Z30" s="129"/>
      <c r="AA30" s="133"/>
      <c r="AB30" s="133"/>
      <c r="AC30" s="133"/>
      <c r="AD30" s="133"/>
      <c r="AE30" s="133"/>
      <c r="AF30" s="133"/>
      <c r="AG30" s="222"/>
      <c r="AH30" s="222"/>
      <c r="AI30" s="222"/>
      <c r="AJ30" s="176"/>
      <c r="AK30" s="176"/>
      <c r="AL30" s="176"/>
      <c r="AM30" s="176"/>
      <c r="AN30" s="176"/>
      <c r="AO30" s="176"/>
      <c r="AP30" s="176"/>
      <c r="AQ30" s="176"/>
      <c r="AR30" s="176"/>
      <c r="AS30" s="176"/>
      <c r="AT30" s="176"/>
      <c r="AU30" s="176"/>
      <c r="AV30" s="176"/>
      <c r="AW30" s="176"/>
      <c r="AX30" s="176"/>
      <c r="AY30" s="176"/>
      <c r="AZ30" s="176"/>
      <c r="BA30" s="176"/>
      <c r="BB30" s="176"/>
      <c r="BC30" s="176"/>
      <c r="BD30" s="176"/>
      <c r="BE30" s="176"/>
      <c r="BF30" s="176"/>
      <c r="BG30" s="176"/>
      <c r="BH30" s="176"/>
      <c r="BI30" s="176"/>
      <c r="BJ30" s="176"/>
      <c r="BK30" s="176"/>
      <c r="BL30" s="176"/>
      <c r="BM30" s="176"/>
      <c r="BN30" s="176"/>
      <c r="BO30" s="176"/>
      <c r="BP30" s="176"/>
    </row>
    <row r="31" spans="1:68" s="36" customFormat="1" ht="11.25" customHeight="1" x14ac:dyDescent="0.2">
      <c r="A31" s="1266"/>
      <c r="B31" s="707"/>
      <c r="C31" s="707"/>
      <c r="D31" s="1267"/>
      <c r="E31" s="2768"/>
      <c r="F31" s="2769"/>
      <c r="G31" s="1271"/>
      <c r="H31" s="2764">
        <f t="shared" si="0"/>
        <v>0</v>
      </c>
      <c r="I31" s="2765"/>
      <c r="J31" s="1330">
        <f t="shared" si="1"/>
        <v>0</v>
      </c>
      <c r="K31" s="1273"/>
      <c r="L31" s="2762"/>
      <c r="M31" s="2763"/>
      <c r="N31" s="1333">
        <f t="shared" si="2"/>
        <v>0</v>
      </c>
      <c r="O31" s="506"/>
      <c r="P31" s="513"/>
      <c r="Q31" s="514"/>
      <c r="R31" s="515"/>
      <c r="S31" s="516"/>
      <c r="T31" s="129"/>
      <c r="U31" s="129"/>
      <c r="V31" s="129"/>
      <c r="W31" s="129"/>
      <c r="X31" s="129"/>
      <c r="Y31" s="129"/>
      <c r="Z31" s="129"/>
      <c r="AA31" s="133"/>
      <c r="AB31" s="133"/>
      <c r="AC31" s="133"/>
      <c r="AD31" s="133"/>
      <c r="AE31" s="133"/>
      <c r="AF31" s="133"/>
      <c r="AG31" s="222"/>
      <c r="AH31" s="222"/>
      <c r="AI31" s="222"/>
      <c r="AJ31" s="176"/>
      <c r="AK31" s="176"/>
      <c r="AL31" s="176"/>
      <c r="AM31" s="176"/>
      <c r="AN31" s="176"/>
      <c r="AO31" s="176"/>
      <c r="AP31" s="176"/>
      <c r="AQ31" s="176"/>
      <c r="AR31" s="176"/>
      <c r="AS31" s="176"/>
      <c r="AT31" s="176"/>
      <c r="AU31" s="176"/>
      <c r="AV31" s="176"/>
      <c r="AW31" s="176"/>
      <c r="AX31" s="176"/>
      <c r="AY31" s="176"/>
      <c r="AZ31" s="176"/>
      <c r="BA31" s="176"/>
      <c r="BB31" s="176"/>
      <c r="BC31" s="176"/>
      <c r="BD31" s="176"/>
      <c r="BE31" s="176"/>
      <c r="BF31" s="176"/>
      <c r="BG31" s="176"/>
      <c r="BH31" s="176"/>
      <c r="BI31" s="176"/>
      <c r="BJ31" s="176"/>
      <c r="BK31" s="176"/>
      <c r="BL31" s="176"/>
      <c r="BM31" s="176"/>
      <c r="BN31" s="176"/>
      <c r="BO31" s="176"/>
      <c r="BP31" s="176"/>
    </row>
    <row r="32" spans="1:68" s="36" customFormat="1" ht="11.25" customHeight="1" x14ac:dyDescent="0.2">
      <c r="A32" s="1266"/>
      <c r="B32" s="707"/>
      <c r="C32" s="707"/>
      <c r="D32" s="1267"/>
      <c r="E32" s="2768"/>
      <c r="F32" s="2769"/>
      <c r="G32" s="1271"/>
      <c r="H32" s="2764">
        <f t="shared" si="0"/>
        <v>0</v>
      </c>
      <c r="I32" s="2765"/>
      <c r="J32" s="1330">
        <f t="shared" si="1"/>
        <v>0</v>
      </c>
      <c r="K32" s="1273"/>
      <c r="L32" s="2762"/>
      <c r="M32" s="2763"/>
      <c r="N32" s="1333">
        <f t="shared" si="2"/>
        <v>0</v>
      </c>
      <c r="O32" s="506"/>
      <c r="P32" s="513"/>
      <c r="Q32" s="514"/>
      <c r="R32" s="515"/>
      <c r="S32" s="516"/>
      <c r="T32" s="129"/>
      <c r="U32" s="129"/>
      <c r="V32" s="129"/>
      <c r="W32" s="129"/>
      <c r="X32" s="129"/>
      <c r="Y32" s="129"/>
      <c r="Z32" s="129"/>
      <c r="AA32" s="133"/>
      <c r="AB32" s="133"/>
      <c r="AC32" s="133"/>
      <c r="AD32" s="133"/>
      <c r="AE32" s="133"/>
      <c r="AF32" s="133"/>
      <c r="AG32" s="222"/>
      <c r="AH32" s="222"/>
      <c r="AI32" s="222"/>
      <c r="AJ32" s="176"/>
      <c r="AK32" s="176"/>
      <c r="AL32" s="176"/>
      <c r="AM32" s="176"/>
      <c r="AN32" s="176"/>
      <c r="AO32" s="176"/>
      <c r="AP32" s="176"/>
      <c r="AQ32" s="176"/>
      <c r="AR32" s="176"/>
      <c r="AS32" s="176"/>
      <c r="AT32" s="176"/>
      <c r="AU32" s="176"/>
      <c r="AV32" s="176"/>
      <c r="AW32" s="176"/>
      <c r="AX32" s="176"/>
      <c r="AY32" s="176"/>
      <c r="AZ32" s="176"/>
      <c r="BA32" s="176"/>
      <c r="BB32" s="176"/>
      <c r="BC32" s="176"/>
      <c r="BD32" s="176"/>
      <c r="BE32" s="176"/>
      <c r="BF32" s="176"/>
      <c r="BG32" s="176"/>
      <c r="BH32" s="176"/>
      <c r="BI32" s="176"/>
      <c r="BJ32" s="176"/>
      <c r="BK32" s="176"/>
      <c r="BL32" s="176"/>
      <c r="BM32" s="176"/>
      <c r="BN32" s="176"/>
      <c r="BO32" s="176"/>
      <c r="BP32" s="176"/>
    </row>
    <row r="33" spans="1:69" s="36" customFormat="1" ht="11.25" customHeight="1" x14ac:dyDescent="0.2">
      <c r="A33" s="1266"/>
      <c r="B33" s="707"/>
      <c r="C33" s="707"/>
      <c r="D33" s="1267"/>
      <c r="E33" s="2768"/>
      <c r="F33" s="2769"/>
      <c r="G33" s="1271"/>
      <c r="H33" s="2764">
        <f t="shared" si="0"/>
        <v>0</v>
      </c>
      <c r="I33" s="2765"/>
      <c r="J33" s="1330">
        <f t="shared" si="1"/>
        <v>0</v>
      </c>
      <c r="K33" s="1273"/>
      <c r="L33" s="2762"/>
      <c r="M33" s="2763"/>
      <c r="N33" s="1333">
        <f t="shared" si="2"/>
        <v>0</v>
      </c>
      <c r="O33" s="506"/>
      <c r="P33" s="513"/>
      <c r="Q33" s="514"/>
      <c r="R33" s="515"/>
      <c r="S33" s="516"/>
      <c r="T33" s="129"/>
      <c r="U33" s="129"/>
      <c r="V33" s="129"/>
      <c r="W33" s="129"/>
      <c r="X33" s="129"/>
      <c r="Y33" s="129"/>
      <c r="Z33" s="129"/>
      <c r="AA33" s="133"/>
      <c r="AB33" s="133"/>
      <c r="AC33" s="133"/>
      <c r="AD33" s="133"/>
      <c r="AE33" s="133"/>
      <c r="AF33" s="133"/>
      <c r="AG33" s="222"/>
      <c r="AH33" s="222"/>
      <c r="AI33" s="222"/>
      <c r="AJ33" s="176"/>
      <c r="AK33" s="176"/>
      <c r="AL33" s="176"/>
      <c r="AM33" s="176"/>
      <c r="AN33" s="176"/>
      <c r="AO33" s="176"/>
      <c r="AP33" s="176"/>
      <c r="AQ33" s="176"/>
      <c r="AR33" s="176"/>
      <c r="AS33" s="176"/>
      <c r="AT33" s="176"/>
      <c r="AU33" s="176"/>
      <c r="AV33" s="176"/>
      <c r="AW33" s="176"/>
      <c r="AX33" s="176"/>
      <c r="AY33" s="176"/>
      <c r="AZ33" s="176"/>
      <c r="BA33" s="176"/>
      <c r="BB33" s="176"/>
      <c r="BC33" s="176"/>
      <c r="BD33" s="176"/>
      <c r="BE33" s="176"/>
      <c r="BF33" s="176"/>
      <c r="BG33" s="176"/>
      <c r="BH33" s="176"/>
      <c r="BI33" s="176"/>
      <c r="BJ33" s="176"/>
      <c r="BK33" s="176"/>
      <c r="BL33" s="176"/>
      <c r="BM33" s="176"/>
      <c r="BN33" s="176"/>
      <c r="BO33" s="176"/>
      <c r="BP33" s="176"/>
    </row>
    <row r="34" spans="1:69" s="36" customFormat="1" ht="11.25" customHeight="1" x14ac:dyDescent="0.2">
      <c r="A34" s="1266"/>
      <c r="B34" s="707"/>
      <c r="C34" s="707"/>
      <c r="D34" s="1267"/>
      <c r="E34" s="2768"/>
      <c r="F34" s="2769"/>
      <c r="G34" s="1271"/>
      <c r="H34" s="2764">
        <f t="shared" si="0"/>
        <v>0</v>
      </c>
      <c r="I34" s="2765"/>
      <c r="J34" s="1330">
        <f t="shared" si="1"/>
        <v>0</v>
      </c>
      <c r="K34" s="1273"/>
      <c r="L34" s="2762"/>
      <c r="M34" s="2763"/>
      <c r="N34" s="1333">
        <f t="shared" si="2"/>
        <v>0</v>
      </c>
      <c r="O34" s="506"/>
      <c r="P34" s="513"/>
      <c r="Q34" s="514"/>
      <c r="R34" s="515"/>
      <c r="S34" s="516"/>
      <c r="T34" s="129"/>
      <c r="U34" s="129"/>
      <c r="V34" s="129"/>
      <c r="W34" s="129"/>
      <c r="X34" s="129"/>
      <c r="Y34" s="129"/>
      <c r="Z34" s="129"/>
      <c r="AA34" s="133"/>
      <c r="AB34" s="133"/>
      <c r="AC34" s="133"/>
      <c r="AD34" s="133"/>
      <c r="AE34" s="133"/>
      <c r="AF34" s="133"/>
      <c r="AG34" s="222"/>
      <c r="AH34" s="222"/>
      <c r="AI34" s="222"/>
      <c r="AJ34" s="176"/>
      <c r="AK34" s="176"/>
      <c r="AL34" s="176"/>
      <c r="AM34" s="176"/>
      <c r="AN34" s="176"/>
      <c r="AO34" s="176"/>
      <c r="AP34" s="176"/>
      <c r="AQ34" s="176"/>
      <c r="AR34" s="176"/>
      <c r="AS34" s="176"/>
      <c r="AT34" s="176"/>
      <c r="AU34" s="176"/>
      <c r="AV34" s="176"/>
      <c r="AW34" s="176"/>
      <c r="AX34" s="176"/>
      <c r="AY34" s="176"/>
      <c r="AZ34" s="176"/>
      <c r="BA34" s="176"/>
      <c r="BB34" s="176"/>
      <c r="BC34" s="176"/>
      <c r="BD34" s="176"/>
      <c r="BE34" s="176"/>
      <c r="BF34" s="176"/>
      <c r="BG34" s="176"/>
      <c r="BH34" s="176"/>
      <c r="BI34" s="176"/>
      <c r="BJ34" s="176"/>
      <c r="BK34" s="176"/>
      <c r="BL34" s="176"/>
      <c r="BM34" s="176"/>
      <c r="BN34" s="176"/>
      <c r="BO34" s="176"/>
      <c r="BP34" s="176"/>
    </row>
    <row r="35" spans="1:69" s="36" customFormat="1" ht="11.25" customHeight="1" x14ac:dyDescent="0.2">
      <c r="A35" s="1266"/>
      <c r="B35" s="707"/>
      <c r="C35" s="707"/>
      <c r="D35" s="1267"/>
      <c r="E35" s="2768"/>
      <c r="F35" s="2769"/>
      <c r="G35" s="1271"/>
      <c r="H35" s="2764">
        <f t="shared" si="0"/>
        <v>0</v>
      </c>
      <c r="I35" s="2765"/>
      <c r="J35" s="1330">
        <f t="shared" si="1"/>
        <v>0</v>
      </c>
      <c r="K35" s="1273"/>
      <c r="L35" s="2762"/>
      <c r="M35" s="2763"/>
      <c r="N35" s="1333">
        <f t="shared" si="2"/>
        <v>0</v>
      </c>
      <c r="O35" s="506"/>
      <c r="P35" s="513"/>
      <c r="Q35" s="514"/>
      <c r="R35" s="515"/>
      <c r="S35" s="516"/>
      <c r="T35" s="129"/>
      <c r="U35" s="129"/>
      <c r="V35" s="129"/>
      <c r="W35" s="129"/>
      <c r="X35" s="129"/>
      <c r="Y35" s="129"/>
      <c r="Z35" s="129"/>
      <c r="AA35" s="133"/>
      <c r="AB35" s="133"/>
      <c r="AC35" s="133"/>
      <c r="AD35" s="133"/>
      <c r="AE35" s="133"/>
      <c r="AF35" s="133"/>
      <c r="AG35" s="222"/>
      <c r="AH35" s="222"/>
      <c r="AI35" s="222"/>
      <c r="AJ35" s="176"/>
      <c r="AK35" s="176"/>
      <c r="AL35" s="176"/>
      <c r="AM35" s="176"/>
      <c r="AN35" s="176"/>
      <c r="AO35" s="176"/>
      <c r="AP35" s="176"/>
      <c r="AQ35" s="176"/>
      <c r="AR35" s="176"/>
      <c r="AS35" s="176"/>
      <c r="AT35" s="176"/>
      <c r="AU35" s="176"/>
      <c r="AV35" s="176"/>
      <c r="AW35" s="176"/>
      <c r="AX35" s="176"/>
      <c r="AY35" s="176"/>
      <c r="AZ35" s="176"/>
      <c r="BA35" s="176"/>
      <c r="BB35" s="176"/>
      <c r="BC35" s="176"/>
      <c r="BD35" s="176"/>
      <c r="BE35" s="176"/>
      <c r="BF35" s="176"/>
      <c r="BG35" s="176"/>
      <c r="BH35" s="176"/>
      <c r="BI35" s="176"/>
      <c r="BJ35" s="176"/>
      <c r="BK35" s="176"/>
      <c r="BL35" s="176"/>
      <c r="BM35" s="176"/>
      <c r="BN35" s="176"/>
      <c r="BO35" s="176"/>
      <c r="BP35" s="176"/>
    </row>
    <row r="36" spans="1:69" s="36" customFormat="1" ht="11.25" customHeight="1" x14ac:dyDescent="0.2">
      <c r="A36" s="1266"/>
      <c r="B36" s="707"/>
      <c r="C36" s="707"/>
      <c r="D36" s="1267"/>
      <c r="E36" s="2768"/>
      <c r="F36" s="2769"/>
      <c r="G36" s="1271"/>
      <c r="H36" s="2764">
        <f t="shared" si="0"/>
        <v>0</v>
      </c>
      <c r="I36" s="2765"/>
      <c r="J36" s="1330">
        <f t="shared" si="1"/>
        <v>0</v>
      </c>
      <c r="K36" s="1273"/>
      <c r="L36" s="2762"/>
      <c r="M36" s="2763"/>
      <c r="N36" s="1333">
        <f t="shared" si="2"/>
        <v>0</v>
      </c>
      <c r="O36" s="506"/>
      <c r="P36" s="513"/>
      <c r="Q36" s="514"/>
      <c r="R36" s="515"/>
      <c r="S36" s="516"/>
      <c r="T36" s="129"/>
      <c r="U36" s="129"/>
      <c r="V36" s="129"/>
      <c r="W36" s="129"/>
      <c r="X36" s="129"/>
      <c r="Y36" s="129"/>
      <c r="Z36" s="129"/>
      <c r="AA36" s="133"/>
      <c r="AB36" s="133"/>
      <c r="AC36" s="133"/>
      <c r="AD36" s="133"/>
      <c r="AE36" s="133"/>
      <c r="AF36" s="133"/>
      <c r="AG36" s="222"/>
      <c r="AH36" s="222"/>
      <c r="AI36" s="222"/>
      <c r="AJ36" s="176"/>
      <c r="AK36" s="176"/>
      <c r="AL36" s="176"/>
      <c r="AM36" s="176"/>
      <c r="AN36" s="176"/>
      <c r="AO36" s="176"/>
      <c r="AP36" s="176"/>
      <c r="AQ36" s="176"/>
      <c r="AR36" s="176"/>
      <c r="AS36" s="176"/>
      <c r="AT36" s="176"/>
      <c r="AU36" s="176"/>
      <c r="AV36" s="176"/>
      <c r="AW36" s="176"/>
      <c r="AX36" s="176"/>
      <c r="AY36" s="176"/>
      <c r="AZ36" s="176"/>
      <c r="BA36" s="176"/>
      <c r="BB36" s="176"/>
      <c r="BC36" s="176"/>
      <c r="BD36" s="176"/>
      <c r="BE36" s="176"/>
      <c r="BF36" s="176"/>
      <c r="BG36" s="176"/>
      <c r="BH36" s="176"/>
      <c r="BI36" s="176"/>
      <c r="BJ36" s="176"/>
      <c r="BK36" s="176"/>
      <c r="BL36" s="176"/>
      <c r="BM36" s="176"/>
      <c r="BN36" s="176"/>
      <c r="BO36" s="176"/>
      <c r="BP36" s="176"/>
    </row>
    <row r="37" spans="1:69" s="36" customFormat="1" ht="11.25" customHeight="1" x14ac:dyDescent="0.2">
      <c r="A37" s="1266"/>
      <c r="B37" s="707"/>
      <c r="C37" s="707"/>
      <c r="D37" s="1267"/>
      <c r="E37" s="2768"/>
      <c r="F37" s="2769"/>
      <c r="G37" s="1271"/>
      <c r="H37" s="2764">
        <f t="shared" si="0"/>
        <v>0</v>
      </c>
      <c r="I37" s="2765"/>
      <c r="J37" s="1330">
        <f t="shared" si="1"/>
        <v>0</v>
      </c>
      <c r="K37" s="1273"/>
      <c r="L37" s="2762"/>
      <c r="M37" s="2763"/>
      <c r="N37" s="1333">
        <f t="shared" si="2"/>
        <v>0</v>
      </c>
      <c r="O37" s="506"/>
      <c r="P37" s="513"/>
      <c r="Q37" s="514"/>
      <c r="R37" s="515"/>
      <c r="S37" s="516"/>
      <c r="T37" s="129"/>
      <c r="U37" s="129"/>
      <c r="V37" s="129"/>
      <c r="W37" s="129"/>
      <c r="X37" s="129"/>
      <c r="Y37" s="129"/>
      <c r="Z37" s="129"/>
      <c r="AA37" s="133"/>
      <c r="AB37" s="133"/>
      <c r="AC37" s="133"/>
      <c r="AD37" s="133"/>
      <c r="AE37" s="133"/>
      <c r="AF37" s="133"/>
      <c r="AG37" s="222"/>
      <c r="AH37" s="222"/>
      <c r="AI37" s="222"/>
      <c r="AJ37" s="176"/>
      <c r="AK37" s="176"/>
      <c r="AL37" s="176"/>
      <c r="AM37" s="176"/>
      <c r="AN37" s="176"/>
      <c r="AO37" s="176"/>
      <c r="AP37" s="176"/>
      <c r="AQ37" s="176"/>
      <c r="AR37" s="176"/>
      <c r="AS37" s="176"/>
      <c r="AT37" s="176"/>
      <c r="AU37" s="176"/>
      <c r="AV37" s="176"/>
      <c r="AW37" s="176"/>
      <c r="AX37" s="176"/>
      <c r="AY37" s="176"/>
      <c r="AZ37" s="176"/>
      <c r="BA37" s="176"/>
      <c r="BB37" s="176"/>
      <c r="BC37" s="176"/>
      <c r="BD37" s="176"/>
      <c r="BE37" s="176"/>
      <c r="BF37" s="176"/>
      <c r="BG37" s="176"/>
      <c r="BH37" s="176"/>
      <c r="BI37" s="176"/>
      <c r="BJ37" s="176"/>
      <c r="BK37" s="176"/>
      <c r="BL37" s="176"/>
      <c r="BM37" s="176"/>
      <c r="BN37" s="176"/>
      <c r="BO37" s="176"/>
      <c r="BP37" s="176"/>
    </row>
    <row r="38" spans="1:69" s="36" customFormat="1" ht="11.25" customHeight="1" x14ac:dyDescent="0.2">
      <c r="A38" s="1268"/>
      <c r="B38" s="1338"/>
      <c r="C38" s="1338"/>
      <c r="D38" s="1339"/>
      <c r="E38" s="2770"/>
      <c r="F38" s="2771"/>
      <c r="G38" s="1272"/>
      <c r="H38" s="2784">
        <f t="shared" si="0"/>
        <v>0</v>
      </c>
      <c r="I38" s="2785"/>
      <c r="J38" s="1331">
        <f t="shared" si="1"/>
        <v>0</v>
      </c>
      <c r="K38" s="1274"/>
      <c r="L38" s="2786"/>
      <c r="M38" s="2787"/>
      <c r="N38" s="1334">
        <f t="shared" si="2"/>
        <v>0</v>
      </c>
      <c r="O38" s="506"/>
      <c r="P38" s="513"/>
      <c r="Q38" s="514"/>
      <c r="R38" s="515"/>
      <c r="S38" s="516"/>
      <c r="T38" s="129"/>
      <c r="U38" s="129"/>
      <c r="V38" s="129"/>
      <c r="W38" s="129"/>
      <c r="X38" s="129"/>
      <c r="Y38" s="129"/>
      <c r="Z38" s="129"/>
      <c r="AA38" s="133"/>
      <c r="AB38" s="133"/>
      <c r="AC38" s="133"/>
      <c r="AD38" s="133"/>
      <c r="AE38" s="133"/>
      <c r="AF38" s="133"/>
      <c r="AG38" s="222"/>
      <c r="AH38" s="222"/>
      <c r="AI38" s="222"/>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row>
    <row r="39" spans="1:69" s="36" customFormat="1" ht="14.1" customHeight="1" x14ac:dyDescent="0.2">
      <c r="A39" s="1051" t="s">
        <v>13</v>
      </c>
      <c r="B39" s="1201"/>
      <c r="C39" s="1202"/>
      <c r="D39" s="1286"/>
      <c r="E39" s="2539">
        <f>IF($X$11,E14,ROUND(SUM(E15:E38),-2))</f>
        <v>0</v>
      </c>
      <c r="F39" s="2540"/>
      <c r="G39" s="1203">
        <f>IF($X$11,G14,IF($E$39&gt;0,SUMPRODUCT($E$15:$E$38,$G$15:$G$38)/$E$39,0))</f>
        <v>0</v>
      </c>
      <c r="H39" s="2357">
        <f>IF(E39=0,0,J39/E39)</f>
        <v>0</v>
      </c>
      <c r="I39" s="2358"/>
      <c r="J39" s="1052">
        <f>IF($X$11,J14,ROUND(SUM(J15:J38),0))</f>
        <v>0</v>
      </c>
      <c r="K39" s="1204">
        <f>IF(E39=0,0,N39/E39*100)</f>
        <v>0</v>
      </c>
      <c r="L39" s="2537"/>
      <c r="M39" s="2537"/>
      <c r="N39" s="1205">
        <f>IF($X$11,N14,ROUND(SUM(N15:N38),-1))</f>
        <v>0</v>
      </c>
      <c r="O39" s="122"/>
      <c r="P39" s="150"/>
      <c r="Q39" s="137"/>
      <c r="R39" s="129"/>
      <c r="S39" s="136"/>
      <c r="T39" s="138"/>
      <c r="U39" s="124"/>
      <c r="V39" s="124"/>
      <c r="W39" s="124"/>
      <c r="X39" s="124"/>
      <c r="Y39" s="124"/>
      <c r="Z39" s="124"/>
      <c r="AA39" s="123"/>
      <c r="AB39" s="123"/>
      <c r="AC39" s="123"/>
      <c r="AD39" s="123"/>
      <c r="AE39" s="123"/>
      <c r="AF39" s="123"/>
      <c r="AG39" s="174"/>
      <c r="AH39" s="174"/>
      <c r="AI39" s="174"/>
      <c r="AJ39" s="175"/>
      <c r="AK39" s="175"/>
      <c r="AL39" s="176"/>
      <c r="AM39" s="176"/>
      <c r="AN39" s="176"/>
      <c r="AO39" s="176"/>
      <c r="AP39" s="176"/>
      <c r="AQ39" s="176"/>
      <c r="AR39" s="176"/>
      <c r="AS39" s="176"/>
      <c r="AT39" s="176"/>
      <c r="AU39" s="176"/>
      <c r="AV39" s="176"/>
      <c r="AW39" s="176"/>
      <c r="AX39" s="176"/>
      <c r="AY39" s="176"/>
      <c r="AZ39" s="176"/>
      <c r="BA39" s="176"/>
      <c r="BB39" s="176"/>
      <c r="BC39" s="176"/>
      <c r="BD39" s="176"/>
      <c r="BE39" s="176"/>
      <c r="BF39" s="176"/>
      <c r="BG39" s="176"/>
      <c r="BH39" s="176"/>
      <c r="BI39" s="176"/>
      <c r="BJ39" s="176"/>
      <c r="BK39" s="176"/>
      <c r="BL39" s="176"/>
      <c r="BM39" s="176"/>
      <c r="BN39" s="176"/>
      <c r="BO39" s="176"/>
      <c r="BP39" s="176"/>
    </row>
    <row r="40" spans="1:69" ht="6" customHeight="1" x14ac:dyDescent="0.2">
      <c r="A40" s="34" t="s">
        <v>11</v>
      </c>
      <c r="C40" s="43"/>
      <c r="D40" s="43"/>
      <c r="E40" s="43"/>
      <c r="F40" s="43"/>
      <c r="G40" s="43"/>
      <c r="P40" s="123"/>
      <c r="Q40" s="301"/>
      <c r="R40" s="301"/>
      <c r="S40" s="125"/>
      <c r="T40" s="124"/>
      <c r="U40" s="124"/>
      <c r="V40" s="124"/>
      <c r="W40" s="124"/>
      <c r="X40" s="124"/>
      <c r="Y40" s="124"/>
      <c r="Z40" s="124"/>
      <c r="AG40" s="174"/>
      <c r="AJ40" s="175"/>
      <c r="BQ40" s="32"/>
    </row>
    <row r="41" spans="1:69" ht="17.25" customHeight="1" x14ac:dyDescent="0.25">
      <c r="A41" s="49" t="s">
        <v>91</v>
      </c>
      <c r="B41" s="49"/>
      <c r="F41" s="44"/>
      <c r="G41" s="44"/>
      <c r="H41" s="639"/>
      <c r="I41" s="639"/>
      <c r="J41" s="639"/>
      <c r="K41" s="639"/>
      <c r="L41" s="639"/>
      <c r="M41" s="43"/>
      <c r="N41" s="43"/>
      <c r="O41" s="43"/>
      <c r="P41" s="122"/>
      <c r="Q41" s="122"/>
      <c r="R41" s="300"/>
      <c r="S41" s="300"/>
      <c r="T41" s="300"/>
      <c r="V41" s="124"/>
      <c r="W41" s="124"/>
      <c r="AD41" s="174"/>
      <c r="AE41" s="174"/>
      <c r="AF41" s="174"/>
      <c r="AG41" s="175"/>
      <c r="AH41" s="175"/>
      <c r="AI41" s="175"/>
      <c r="AJ41" s="175"/>
      <c r="BQ41" s="32"/>
    </row>
    <row r="42" spans="1:69" ht="2.25" customHeight="1" x14ac:dyDescent="0.2">
      <c r="C42" s="43"/>
      <c r="D42" s="43"/>
      <c r="E42" s="43"/>
      <c r="F42" s="43"/>
      <c r="G42" s="43"/>
      <c r="H42" s="639"/>
      <c r="I42" s="639"/>
      <c r="J42" s="639"/>
      <c r="K42" s="639"/>
      <c r="L42" s="639"/>
      <c r="P42" s="122"/>
      <c r="Q42" s="122"/>
      <c r="R42" s="301"/>
      <c r="S42" s="124"/>
      <c r="T42" s="124"/>
      <c r="U42" s="124"/>
      <c r="V42" s="124"/>
      <c r="W42" s="124"/>
      <c r="AD42" s="174"/>
      <c r="AE42" s="174"/>
      <c r="AF42" s="174"/>
      <c r="AG42" s="175"/>
      <c r="AH42" s="175"/>
      <c r="AI42" s="175"/>
      <c r="AJ42" s="175"/>
      <c r="BQ42" s="32"/>
    </row>
    <row r="43" spans="1:69" s="176" customFormat="1" ht="12" customHeight="1" x14ac:dyDescent="0.2">
      <c r="A43" s="1051" t="s">
        <v>471</v>
      </c>
      <c r="B43" s="2566" t="s">
        <v>472</v>
      </c>
      <c r="C43" s="2567"/>
      <c r="D43" s="2568"/>
      <c r="E43" s="2564" t="s">
        <v>568</v>
      </c>
      <c r="F43" s="2565"/>
      <c r="G43" s="1206" t="s">
        <v>259</v>
      </c>
      <c r="H43" s="1207"/>
      <c r="I43" s="1207"/>
      <c r="J43" s="1207"/>
      <c r="K43" s="1207"/>
      <c r="L43" s="1207"/>
      <c r="M43" s="1207"/>
      <c r="N43" s="1208"/>
      <c r="O43" s="122"/>
      <c r="P43" s="122"/>
      <c r="Q43" s="122"/>
      <c r="R43" s="134"/>
      <c r="S43" s="134"/>
      <c r="T43" s="129"/>
      <c r="U43" s="124"/>
      <c r="V43" s="124"/>
      <c r="W43" s="124"/>
      <c r="X43" s="124"/>
      <c r="Y43" s="124"/>
      <c r="Z43" s="124"/>
      <c r="AA43" s="123"/>
      <c r="AB43" s="123"/>
      <c r="AC43" s="123"/>
      <c r="AD43" s="123"/>
      <c r="AE43" s="123"/>
      <c r="AF43" s="123"/>
      <c r="AG43" s="174"/>
      <c r="AH43" s="174"/>
      <c r="AI43" s="174"/>
      <c r="AJ43" s="175"/>
      <c r="AK43" s="175"/>
    </row>
    <row r="44" spans="1:69" s="176" customFormat="1" ht="11.25" customHeight="1" x14ac:dyDescent="0.2">
      <c r="A44" s="1000" t="s">
        <v>718</v>
      </c>
      <c r="B44" s="2577"/>
      <c r="C44" s="2578"/>
      <c r="D44" s="2579"/>
      <c r="E44" s="2586"/>
      <c r="F44" s="2587"/>
      <c r="G44" s="2569"/>
      <c r="H44" s="2569"/>
      <c r="I44" s="2569"/>
      <c r="J44" s="2569"/>
      <c r="K44" s="2569"/>
      <c r="L44" s="2569"/>
      <c r="M44" s="2569"/>
      <c r="N44" s="2570"/>
      <c r="O44" s="122"/>
      <c r="P44" s="122"/>
      <c r="Q44" s="122"/>
      <c r="T44" s="129"/>
      <c r="U44" s="124"/>
      <c r="V44" s="124"/>
      <c r="W44" s="124"/>
      <c r="X44" s="124"/>
      <c r="Y44" s="124"/>
      <c r="Z44" s="124"/>
      <c r="AA44" s="123"/>
      <c r="AB44" s="123"/>
      <c r="AC44" s="123"/>
      <c r="AD44" s="123"/>
      <c r="AE44" s="123"/>
      <c r="AF44" s="123"/>
      <c r="AG44" s="174"/>
      <c r="AH44" s="174"/>
      <c r="AI44" s="174"/>
      <c r="AJ44" s="175"/>
      <c r="AK44" s="175"/>
    </row>
    <row r="45" spans="1:69" s="176" customFormat="1" ht="11.25" customHeight="1" x14ac:dyDescent="0.2">
      <c r="A45" s="1001" t="s">
        <v>473</v>
      </c>
      <c r="B45" s="2580"/>
      <c r="C45" s="2581"/>
      <c r="D45" s="2582"/>
      <c r="E45" s="2558"/>
      <c r="F45" s="2559"/>
      <c r="G45" s="2571"/>
      <c r="H45" s="2571"/>
      <c r="I45" s="2571"/>
      <c r="J45" s="2571"/>
      <c r="K45" s="2571"/>
      <c r="L45" s="2571"/>
      <c r="M45" s="2571"/>
      <c r="N45" s="2572"/>
      <c r="O45" s="122"/>
      <c r="T45" s="129"/>
      <c r="U45" s="124"/>
      <c r="V45" s="124"/>
      <c r="W45" s="124"/>
      <c r="X45" s="124"/>
      <c r="Y45" s="124"/>
      <c r="Z45" s="124"/>
      <c r="AA45" s="123"/>
      <c r="AB45" s="123"/>
      <c r="AC45" s="123"/>
      <c r="AD45" s="123"/>
      <c r="AE45" s="123"/>
      <c r="AF45" s="123"/>
      <c r="AG45" s="174"/>
      <c r="AH45" s="174"/>
      <c r="AI45" s="174"/>
      <c r="AJ45" s="175"/>
      <c r="AK45" s="175"/>
    </row>
    <row r="46" spans="1:69" s="176" customFormat="1" ht="11.25" customHeight="1" x14ac:dyDescent="0.2">
      <c r="A46" s="1002" t="s">
        <v>474</v>
      </c>
      <c r="B46" s="2583"/>
      <c r="C46" s="2584"/>
      <c r="D46" s="2585"/>
      <c r="E46" s="2560"/>
      <c r="F46" s="2561"/>
      <c r="G46" s="2573"/>
      <c r="H46" s="2573"/>
      <c r="I46" s="2573"/>
      <c r="J46" s="2573"/>
      <c r="K46" s="2573"/>
      <c r="L46" s="2573"/>
      <c r="M46" s="2573"/>
      <c r="N46" s="2574"/>
      <c r="O46" s="122"/>
      <c r="T46" s="129"/>
      <c r="U46" s="124"/>
      <c r="V46" s="124"/>
      <c r="W46" s="124"/>
      <c r="X46" s="124"/>
      <c r="Y46" s="124"/>
      <c r="Z46" s="124"/>
      <c r="AA46" s="123"/>
      <c r="AB46" s="123"/>
      <c r="AC46" s="123"/>
      <c r="AD46" s="123"/>
      <c r="AE46" s="123"/>
      <c r="AF46" s="123"/>
      <c r="AG46" s="174"/>
      <c r="AH46" s="174"/>
      <c r="AI46" s="174"/>
      <c r="AJ46" s="175"/>
      <c r="AK46" s="175"/>
    </row>
    <row r="47" spans="1:69" s="176" customFormat="1" ht="13.5" customHeight="1" x14ac:dyDescent="0.2">
      <c r="A47" s="1053" t="s">
        <v>13</v>
      </c>
      <c r="B47" s="1054"/>
      <c r="C47" s="1054"/>
      <c r="D47" s="1054"/>
      <c r="E47" s="2562">
        <f>SUM(E44:F46)</f>
        <v>0</v>
      </c>
      <c r="F47" s="2563"/>
      <c r="G47" s="1209"/>
      <c r="H47" s="1209"/>
      <c r="I47" s="1209"/>
      <c r="J47" s="1209"/>
      <c r="K47" s="1209"/>
      <c r="L47" s="1209"/>
      <c r="M47" s="1209"/>
      <c r="N47" s="1210"/>
      <c r="O47" s="122"/>
      <c r="R47" s="134"/>
      <c r="S47" s="134"/>
      <c r="T47" s="129"/>
      <c r="U47" s="124"/>
      <c r="V47" s="124"/>
      <c r="W47" s="124"/>
      <c r="X47" s="124"/>
      <c r="Y47" s="124"/>
      <c r="Z47" s="124"/>
      <c r="AA47" s="123"/>
      <c r="AB47" s="123"/>
      <c r="AC47" s="123"/>
      <c r="AD47" s="123"/>
      <c r="AE47" s="123"/>
      <c r="AF47" s="123"/>
      <c r="AG47" s="174"/>
      <c r="AH47" s="174"/>
      <c r="AI47" s="174"/>
      <c r="AJ47" s="175"/>
      <c r="AK47" s="175"/>
    </row>
    <row r="48" spans="1:69" ht="6" customHeight="1" x14ac:dyDescent="0.2">
      <c r="A48" s="34" t="s">
        <v>11</v>
      </c>
      <c r="C48" s="43"/>
      <c r="D48" s="43"/>
      <c r="E48" s="43"/>
      <c r="F48" s="43"/>
      <c r="G48" s="43"/>
      <c r="P48" s="122"/>
      <c r="Q48" s="122"/>
      <c r="R48" s="301"/>
      <c r="S48" s="125"/>
      <c r="T48" s="124"/>
      <c r="U48" s="124"/>
      <c r="V48" s="124"/>
      <c r="W48" s="124"/>
      <c r="X48" s="124"/>
      <c r="Y48" s="124"/>
      <c r="Z48" s="124"/>
      <c r="AG48" s="174"/>
      <c r="AJ48" s="175"/>
      <c r="BQ48" s="32"/>
    </row>
    <row r="49" spans="1:69" ht="17.25" customHeight="1" x14ac:dyDescent="0.25">
      <c r="A49" s="504" t="s">
        <v>632</v>
      </c>
      <c r="B49" s="504"/>
      <c r="F49" s="44"/>
      <c r="G49" s="44"/>
      <c r="H49" s="145"/>
      <c r="I49" s="145"/>
      <c r="J49" s="145"/>
      <c r="K49" s="145"/>
      <c r="L49" s="145"/>
      <c r="M49" s="43"/>
      <c r="N49" s="43"/>
      <c r="O49" s="43"/>
      <c r="P49" s="122"/>
      <c r="Q49" s="122"/>
      <c r="R49" s="122"/>
      <c r="S49" s="122"/>
      <c r="T49" s="300"/>
      <c r="V49" s="124"/>
      <c r="W49" s="124"/>
      <c r="AD49" s="174"/>
      <c r="AE49" s="174"/>
      <c r="AF49" s="174"/>
      <c r="AG49" s="175"/>
      <c r="AH49" s="175"/>
      <c r="AI49" s="175"/>
      <c r="AJ49" s="175"/>
      <c r="BQ49" s="32"/>
    </row>
    <row r="50" spans="1:69" ht="2.25" customHeight="1" x14ac:dyDescent="0.2">
      <c r="C50" s="43"/>
      <c r="D50" s="43"/>
      <c r="E50" s="43"/>
      <c r="F50" s="43"/>
      <c r="G50" s="43"/>
      <c r="H50" s="145"/>
      <c r="I50" s="145"/>
      <c r="J50" s="145"/>
      <c r="K50" s="145"/>
      <c r="L50" s="145"/>
      <c r="P50" s="122"/>
      <c r="Q50" s="122"/>
      <c r="R50" s="122"/>
      <c r="S50" s="122"/>
      <c r="T50" s="124"/>
      <c r="U50" s="124"/>
      <c r="V50" s="124"/>
      <c r="W50" s="124"/>
      <c r="AD50" s="174"/>
      <c r="AE50" s="174"/>
      <c r="AF50" s="174"/>
      <c r="AG50" s="175"/>
      <c r="AH50" s="175"/>
      <c r="AI50" s="175"/>
      <c r="AJ50" s="175"/>
      <c r="BQ50" s="32"/>
    </row>
    <row r="51" spans="1:69" s="176" customFormat="1" ht="11.25" customHeight="1" x14ac:dyDescent="0.2">
      <c r="A51" s="1049" t="s">
        <v>258</v>
      </c>
      <c r="B51" s="1211"/>
      <c r="C51" s="1100"/>
      <c r="D51" s="1100"/>
      <c r="E51" s="2378" t="s">
        <v>563</v>
      </c>
      <c r="F51" s="2379"/>
      <c r="G51" s="2376" t="s">
        <v>565</v>
      </c>
      <c r="H51" s="2378" t="s">
        <v>578</v>
      </c>
      <c r="I51" s="2379"/>
      <c r="J51" s="2376" t="s">
        <v>630</v>
      </c>
      <c r="K51" s="2405" t="s">
        <v>631</v>
      </c>
      <c r="L51" s="2405"/>
      <c r="M51" s="2405"/>
      <c r="N51" s="2379"/>
      <c r="O51" s="122"/>
      <c r="P51" s="122"/>
      <c r="Q51" s="122"/>
      <c r="R51" s="122"/>
      <c r="S51" s="122"/>
      <c r="T51" s="129"/>
      <c r="U51" s="124"/>
      <c r="V51" s="124"/>
      <c r="W51" s="124"/>
      <c r="X51" s="124"/>
      <c r="Y51" s="124"/>
      <c r="Z51" s="124"/>
      <c r="AA51" s="123"/>
      <c r="AB51" s="123"/>
      <c r="AC51" s="123"/>
      <c r="AD51" s="123"/>
      <c r="AE51" s="123"/>
      <c r="AF51" s="123"/>
      <c r="AG51" s="174"/>
      <c r="AH51" s="174"/>
      <c r="AI51" s="174"/>
      <c r="AJ51" s="175"/>
      <c r="AK51" s="175"/>
    </row>
    <row r="52" spans="1:69" s="176" customFormat="1" ht="11.25" customHeight="1" x14ac:dyDescent="0.2">
      <c r="A52" s="1050"/>
      <c r="B52" s="1196"/>
      <c r="C52" s="1101"/>
      <c r="D52" s="1101"/>
      <c r="E52" s="2380"/>
      <c r="F52" s="2381"/>
      <c r="G52" s="2377"/>
      <c r="H52" s="2380"/>
      <c r="I52" s="2381"/>
      <c r="J52" s="2377"/>
      <c r="K52" s="2406"/>
      <c r="L52" s="2406"/>
      <c r="M52" s="2406"/>
      <c r="N52" s="2381"/>
      <c r="O52" s="122"/>
      <c r="P52" s="122"/>
      <c r="Q52" s="122"/>
      <c r="R52" s="122"/>
      <c r="S52" s="122"/>
      <c r="T52" s="129"/>
      <c r="U52" s="124"/>
      <c r="V52" s="124"/>
      <c r="W52" s="124"/>
      <c r="X52" s="124"/>
      <c r="Y52" s="124"/>
      <c r="Z52" s="124"/>
      <c r="AA52" s="123"/>
      <c r="AB52" s="123"/>
      <c r="AC52" s="123"/>
      <c r="AD52" s="123"/>
      <c r="AE52" s="123"/>
      <c r="AF52" s="123"/>
      <c r="AG52" s="174"/>
      <c r="AH52" s="174"/>
      <c r="AI52" s="174"/>
      <c r="AJ52" s="175"/>
      <c r="AK52" s="175"/>
    </row>
    <row r="53" spans="1:69" s="176" customFormat="1" ht="11.25" customHeight="1" x14ac:dyDescent="0.2">
      <c r="A53" s="1050"/>
      <c r="B53" s="1196"/>
      <c r="C53" s="1212"/>
      <c r="D53" s="1212"/>
      <c r="E53" s="2382" t="s">
        <v>564</v>
      </c>
      <c r="F53" s="2383"/>
      <c r="G53" s="1198" t="s">
        <v>20</v>
      </c>
      <c r="H53" s="2512" t="s">
        <v>555</v>
      </c>
      <c r="I53" s="2430"/>
      <c r="J53" s="1198" t="s">
        <v>567</v>
      </c>
      <c r="K53" s="1261" t="s">
        <v>580</v>
      </c>
      <c r="L53" s="2554" t="s">
        <v>579</v>
      </c>
      <c r="M53" s="2554"/>
      <c r="N53" s="1262" t="s">
        <v>567</v>
      </c>
      <c r="O53" s="122"/>
      <c r="P53" s="122"/>
      <c r="Q53" s="122"/>
      <c r="R53" s="122"/>
      <c r="S53" s="122"/>
      <c r="T53" s="129"/>
      <c r="U53" s="124"/>
      <c r="V53" s="124"/>
      <c r="W53" s="124"/>
      <c r="X53" s="124"/>
      <c r="Y53" s="124"/>
      <c r="Z53" s="124"/>
      <c r="AA53" s="123"/>
      <c r="AB53" s="123"/>
      <c r="AC53" s="123"/>
      <c r="AD53" s="123"/>
      <c r="AE53" s="123"/>
      <c r="AF53" s="123"/>
      <c r="AG53" s="174"/>
      <c r="AH53" s="174"/>
      <c r="AI53" s="174"/>
      <c r="AJ53" s="175"/>
      <c r="AK53" s="175"/>
    </row>
    <row r="54" spans="1:69" s="36" customFormat="1" ht="14.1" customHeight="1" x14ac:dyDescent="0.2">
      <c r="A54" s="1051" t="s">
        <v>13</v>
      </c>
      <c r="B54" s="1201"/>
      <c r="C54" s="1202"/>
      <c r="D54" s="1202"/>
      <c r="E54" s="2539">
        <f>E39-E47</f>
        <v>0</v>
      </c>
      <c r="F54" s="2540"/>
      <c r="G54" s="1203">
        <f>G39</f>
        <v>0</v>
      </c>
      <c r="H54" s="2357">
        <f>H39</f>
        <v>0</v>
      </c>
      <c r="I54" s="2358"/>
      <c r="J54" s="1052">
        <f>ROUND(E54*H54,-1)</f>
        <v>0</v>
      </c>
      <c r="K54" s="1263">
        <f>IF(E54=0,0,N54/E54*100)</f>
        <v>0</v>
      </c>
      <c r="L54" s="2555"/>
      <c r="M54" s="2555"/>
      <c r="N54" s="1107">
        <f>N39</f>
        <v>0</v>
      </c>
      <c r="O54" s="122"/>
      <c r="P54" s="150"/>
      <c r="Q54" s="137"/>
      <c r="R54" s="129"/>
      <c r="S54" s="136"/>
      <c r="T54" s="138"/>
      <c r="U54" s="124"/>
      <c r="V54" s="124"/>
      <c r="W54" s="124"/>
      <c r="X54" s="124"/>
      <c r="Y54" s="124"/>
      <c r="Z54" s="124"/>
      <c r="AA54" s="123"/>
      <c r="AB54" s="123"/>
      <c r="AC54" s="123"/>
      <c r="AD54" s="123"/>
      <c r="AE54" s="123"/>
      <c r="AF54" s="123"/>
      <c r="AG54" s="174"/>
      <c r="AH54" s="174"/>
      <c r="AI54" s="174"/>
      <c r="AJ54" s="175"/>
      <c r="AK54" s="175"/>
      <c r="AL54" s="176"/>
      <c r="AM54" s="176"/>
      <c r="AN54" s="176"/>
      <c r="AO54" s="176"/>
      <c r="AP54" s="176"/>
      <c r="AQ54" s="176"/>
      <c r="AR54" s="176"/>
      <c r="AS54" s="176"/>
      <c r="AT54" s="176"/>
      <c r="AU54" s="176"/>
      <c r="AV54" s="176"/>
      <c r="AW54" s="176"/>
      <c r="AX54" s="176"/>
      <c r="AY54" s="176"/>
      <c r="AZ54" s="176"/>
      <c r="BA54" s="176"/>
      <c r="BB54" s="176"/>
      <c r="BC54" s="176"/>
      <c r="BD54" s="176"/>
      <c r="BE54" s="176"/>
      <c r="BF54" s="176"/>
      <c r="BG54" s="176"/>
      <c r="BH54" s="176"/>
      <c r="BI54" s="176"/>
      <c r="BJ54" s="176"/>
      <c r="BK54" s="176"/>
      <c r="BL54" s="176"/>
      <c r="BM54" s="176"/>
      <c r="BN54" s="176"/>
      <c r="BO54" s="176"/>
      <c r="BP54" s="176"/>
    </row>
    <row r="55" spans="1:69" s="390" customFormat="1" ht="6" customHeight="1" x14ac:dyDescent="0.2">
      <c r="A55" s="485"/>
      <c r="B55" s="485"/>
      <c r="C55" s="2766"/>
      <c r="D55" s="2766"/>
      <c r="E55" s="2766"/>
      <c r="F55" s="2767"/>
      <c r="G55" s="2767"/>
      <c r="H55" s="418"/>
      <c r="I55" s="418"/>
      <c r="J55" s="418"/>
      <c r="K55" s="418"/>
      <c r="L55" s="418"/>
      <c r="M55" s="418"/>
      <c r="N55" s="418"/>
      <c r="O55" s="418"/>
      <c r="P55" s="391">
        <f>IF(ISBLANK(I55),H55,I55)</f>
        <v>0</v>
      </c>
      <c r="Q55" s="392"/>
      <c r="R55" s="135"/>
      <c r="S55" s="393"/>
      <c r="T55" s="140"/>
      <c r="U55" s="140"/>
      <c r="V55" s="140"/>
      <c r="W55" s="140"/>
      <c r="X55" s="140"/>
      <c r="Y55" s="140"/>
      <c r="Z55" s="140"/>
      <c r="AA55" s="394"/>
      <c r="AB55" s="394"/>
      <c r="AC55" s="394"/>
      <c r="AD55" s="394"/>
      <c r="AE55" s="394"/>
      <c r="AF55" s="394"/>
      <c r="AG55" s="395"/>
      <c r="AH55" s="395"/>
      <c r="AI55" s="395"/>
      <c r="AJ55" s="298"/>
      <c r="AK55" s="298"/>
      <c r="AL55" s="298"/>
      <c r="AM55" s="298"/>
      <c r="AN55" s="298"/>
      <c r="AO55" s="298"/>
      <c r="AP55" s="298"/>
      <c r="AQ55" s="298"/>
      <c r="AR55" s="298"/>
      <c r="AS55" s="298"/>
      <c r="AT55" s="298"/>
      <c r="AU55" s="298"/>
      <c r="AV55" s="298"/>
      <c r="AW55" s="298"/>
      <c r="AX55" s="298"/>
      <c r="AY55" s="298"/>
      <c r="AZ55" s="298"/>
      <c r="BA55" s="298"/>
      <c r="BB55" s="298"/>
      <c r="BC55" s="298"/>
      <c r="BD55" s="298"/>
      <c r="BE55" s="298"/>
      <c r="BF55" s="298"/>
      <c r="BG55" s="298"/>
      <c r="BH55" s="298"/>
      <c r="BI55" s="298"/>
      <c r="BJ55" s="298"/>
      <c r="BK55" s="298"/>
      <c r="BL55" s="298"/>
      <c r="BM55" s="298"/>
      <c r="BN55" s="298"/>
      <c r="BO55" s="298"/>
      <c r="BP55" s="298"/>
    </row>
    <row r="56" spans="1:69" ht="17.25" customHeight="1" x14ac:dyDescent="0.25">
      <c r="A56" s="49" t="s">
        <v>21</v>
      </c>
      <c r="B56" s="49"/>
      <c r="C56" s="2538" t="str">
        <f>IF(R109=TRUE,"(inkl. externe Kosten)","(ohne externe Kosten)")</f>
        <v>(ohne externe Kosten)</v>
      </c>
      <c r="D56" s="2538"/>
      <c r="F56" s="44"/>
      <c r="G56" s="44"/>
      <c r="K56" s="43"/>
      <c r="L56" s="43"/>
      <c r="M56" s="43"/>
      <c r="N56" s="43"/>
      <c r="O56" s="43"/>
      <c r="P56" s="123"/>
      <c r="Q56" s="302"/>
      <c r="R56" s="300"/>
      <c r="S56" s="300"/>
      <c r="T56" s="300"/>
      <c r="V56" s="124"/>
      <c r="W56" s="124"/>
      <c r="AD56" s="174"/>
      <c r="AE56" s="174"/>
      <c r="AF56" s="174"/>
      <c r="AG56" s="175"/>
      <c r="AH56" s="175"/>
      <c r="AI56" s="175"/>
      <c r="AJ56" s="175"/>
      <c r="BQ56" s="32"/>
    </row>
    <row r="57" spans="1:69" ht="2.25" customHeight="1" x14ac:dyDescent="0.2">
      <c r="C57" s="43"/>
      <c r="D57" s="43"/>
      <c r="E57" s="43"/>
      <c r="F57" s="43"/>
      <c r="G57" s="43"/>
      <c r="H57" s="34"/>
      <c r="I57" s="34"/>
      <c r="J57" s="34"/>
      <c r="P57" s="125"/>
      <c r="Q57" s="301"/>
      <c r="R57" s="301"/>
      <c r="S57" s="124"/>
      <c r="T57" s="124"/>
      <c r="U57" s="124"/>
      <c r="V57" s="124"/>
      <c r="W57" s="124"/>
      <c r="AD57" s="174"/>
      <c r="AE57" s="174"/>
      <c r="AF57" s="174"/>
      <c r="AG57" s="175"/>
      <c r="AH57" s="175"/>
      <c r="AI57" s="175"/>
      <c r="AJ57" s="175"/>
      <c r="BQ57" s="32"/>
    </row>
    <row r="58" spans="1:69" s="36" customFormat="1" ht="11.25" customHeight="1" x14ac:dyDescent="0.2">
      <c r="A58" s="1049" t="s">
        <v>12</v>
      </c>
      <c r="B58" s="1211"/>
      <c r="C58" s="1211"/>
      <c r="D58" s="1213"/>
      <c r="E58" s="2378" t="s">
        <v>547</v>
      </c>
      <c r="F58" s="2379"/>
      <c r="G58" s="2378" t="s">
        <v>22</v>
      </c>
      <c r="H58" s="2405"/>
      <c r="I58" s="2379"/>
      <c r="J58" s="2378" t="s">
        <v>238</v>
      </c>
      <c r="K58" s="2379"/>
      <c r="L58" s="2378" t="s">
        <v>570</v>
      </c>
      <c r="M58" s="2405"/>
      <c r="N58" s="2379"/>
      <c r="S58" s="215" t="s">
        <v>409</v>
      </c>
      <c r="T58" s="134"/>
      <c r="U58" s="129"/>
      <c r="V58" s="124"/>
      <c r="W58" s="124"/>
      <c r="X58" s="124"/>
      <c r="Y58" s="124"/>
      <c r="Z58" s="124"/>
      <c r="AA58" s="123"/>
      <c r="AB58" s="123"/>
      <c r="AC58" s="123"/>
      <c r="AD58" s="123"/>
      <c r="AE58" s="123"/>
      <c r="AF58" s="123"/>
      <c r="AG58" s="174"/>
      <c r="AH58" s="174"/>
      <c r="AI58" s="174"/>
      <c r="AJ58" s="175"/>
      <c r="AK58" s="175"/>
      <c r="AL58" s="176"/>
      <c r="AM58" s="176"/>
      <c r="AN58" s="176"/>
      <c r="AO58" s="176"/>
      <c r="AP58" s="176"/>
      <c r="AQ58" s="176"/>
      <c r="AR58" s="176"/>
      <c r="AS58" s="176"/>
      <c r="AT58" s="176"/>
      <c r="AU58" s="176"/>
      <c r="AV58" s="176"/>
      <c r="AW58" s="176"/>
      <c r="AX58" s="176"/>
      <c r="AY58" s="176"/>
      <c r="AZ58" s="176"/>
      <c r="BA58" s="176"/>
      <c r="BB58" s="176"/>
      <c r="BC58" s="176"/>
      <c r="BD58" s="176"/>
      <c r="BE58" s="176"/>
      <c r="BF58" s="176"/>
      <c r="BG58" s="176"/>
      <c r="BH58" s="176"/>
      <c r="BI58" s="176"/>
      <c r="BJ58" s="176"/>
      <c r="BK58" s="176"/>
      <c r="BL58" s="176"/>
      <c r="BM58" s="176"/>
      <c r="BN58" s="176"/>
      <c r="BO58" s="176"/>
      <c r="BP58" s="176"/>
      <c r="BQ58" s="176"/>
    </row>
    <row r="59" spans="1:69" s="36" customFormat="1" ht="11.25" customHeight="1" x14ac:dyDescent="0.2">
      <c r="A59" s="1050"/>
      <c r="B59" s="1196"/>
      <c r="C59" s="1196"/>
      <c r="D59" s="1214"/>
      <c r="E59" s="2380"/>
      <c r="F59" s="2381"/>
      <c r="G59" s="2380"/>
      <c r="H59" s="2406"/>
      <c r="I59" s="2381"/>
      <c r="J59" s="2380"/>
      <c r="K59" s="2381"/>
      <c r="L59" s="2380"/>
      <c r="M59" s="2406"/>
      <c r="N59" s="2381"/>
      <c r="S59" s="210">
        <f ca="1">Grunddaten!$AS$16</f>
        <v>2024</v>
      </c>
      <c r="T59" s="200">
        <f ca="1">S59+1</f>
        <v>2025</v>
      </c>
      <c r="U59" s="200">
        <f t="shared" ref="U59:BP59" ca="1" si="3">T59+1</f>
        <v>2026</v>
      </c>
      <c r="V59" s="200">
        <f t="shared" ca="1" si="3"/>
        <v>2027</v>
      </c>
      <c r="W59" s="200">
        <f t="shared" ca="1" si="3"/>
        <v>2028</v>
      </c>
      <c r="X59" s="200">
        <f t="shared" ca="1" si="3"/>
        <v>2029</v>
      </c>
      <c r="Y59" s="200">
        <f t="shared" ca="1" si="3"/>
        <v>2030</v>
      </c>
      <c r="Z59" s="200">
        <f t="shared" ca="1" si="3"/>
        <v>2031</v>
      </c>
      <c r="AA59" s="200">
        <f t="shared" ca="1" si="3"/>
        <v>2032</v>
      </c>
      <c r="AB59" s="200">
        <f t="shared" ca="1" si="3"/>
        <v>2033</v>
      </c>
      <c r="AC59" s="200">
        <f t="shared" ca="1" si="3"/>
        <v>2034</v>
      </c>
      <c r="AD59" s="200">
        <f t="shared" ca="1" si="3"/>
        <v>2035</v>
      </c>
      <c r="AE59" s="200">
        <f t="shared" ca="1" si="3"/>
        <v>2036</v>
      </c>
      <c r="AF59" s="200">
        <f t="shared" ca="1" si="3"/>
        <v>2037</v>
      </c>
      <c r="AG59" s="200">
        <f t="shared" ca="1" si="3"/>
        <v>2038</v>
      </c>
      <c r="AH59" s="200">
        <f t="shared" ca="1" si="3"/>
        <v>2039</v>
      </c>
      <c r="AI59" s="200">
        <f t="shared" ca="1" si="3"/>
        <v>2040</v>
      </c>
      <c r="AJ59" s="200">
        <f t="shared" ca="1" si="3"/>
        <v>2041</v>
      </c>
      <c r="AK59" s="200">
        <f t="shared" ca="1" si="3"/>
        <v>2042</v>
      </c>
      <c r="AL59" s="200">
        <f t="shared" ca="1" si="3"/>
        <v>2043</v>
      </c>
      <c r="AM59" s="200">
        <f t="shared" ca="1" si="3"/>
        <v>2044</v>
      </c>
      <c r="AN59" s="200">
        <f t="shared" ca="1" si="3"/>
        <v>2045</v>
      </c>
      <c r="AO59" s="200">
        <f t="shared" ca="1" si="3"/>
        <v>2046</v>
      </c>
      <c r="AP59" s="200">
        <f t="shared" ca="1" si="3"/>
        <v>2047</v>
      </c>
      <c r="AQ59" s="200">
        <f t="shared" ca="1" si="3"/>
        <v>2048</v>
      </c>
      <c r="AR59" s="200">
        <f t="shared" ca="1" si="3"/>
        <v>2049</v>
      </c>
      <c r="AS59" s="200">
        <f t="shared" ca="1" si="3"/>
        <v>2050</v>
      </c>
      <c r="AT59" s="200">
        <f t="shared" ca="1" si="3"/>
        <v>2051</v>
      </c>
      <c r="AU59" s="200">
        <f t="shared" ca="1" si="3"/>
        <v>2052</v>
      </c>
      <c r="AV59" s="200">
        <f t="shared" ca="1" si="3"/>
        <v>2053</v>
      </c>
      <c r="AW59" s="200">
        <f t="shared" ca="1" si="3"/>
        <v>2054</v>
      </c>
      <c r="AX59" s="200">
        <f t="shared" ca="1" si="3"/>
        <v>2055</v>
      </c>
      <c r="AY59" s="200">
        <f t="shared" ca="1" si="3"/>
        <v>2056</v>
      </c>
      <c r="AZ59" s="200">
        <f t="shared" ca="1" si="3"/>
        <v>2057</v>
      </c>
      <c r="BA59" s="200">
        <f t="shared" ca="1" si="3"/>
        <v>2058</v>
      </c>
      <c r="BB59" s="200">
        <f t="shared" ca="1" si="3"/>
        <v>2059</v>
      </c>
      <c r="BC59" s="200">
        <f t="shared" ca="1" si="3"/>
        <v>2060</v>
      </c>
      <c r="BD59" s="200">
        <f t="shared" ca="1" si="3"/>
        <v>2061</v>
      </c>
      <c r="BE59" s="200">
        <f t="shared" ca="1" si="3"/>
        <v>2062</v>
      </c>
      <c r="BF59" s="200">
        <f t="shared" ca="1" si="3"/>
        <v>2063</v>
      </c>
      <c r="BG59" s="200">
        <f t="shared" ca="1" si="3"/>
        <v>2064</v>
      </c>
      <c r="BH59" s="200">
        <f t="shared" ca="1" si="3"/>
        <v>2065</v>
      </c>
      <c r="BI59" s="200">
        <f t="shared" ca="1" si="3"/>
        <v>2066</v>
      </c>
      <c r="BJ59" s="200">
        <f t="shared" ca="1" si="3"/>
        <v>2067</v>
      </c>
      <c r="BK59" s="200">
        <f t="shared" ca="1" si="3"/>
        <v>2068</v>
      </c>
      <c r="BL59" s="200">
        <f t="shared" ca="1" si="3"/>
        <v>2069</v>
      </c>
      <c r="BM59" s="200">
        <f t="shared" ca="1" si="3"/>
        <v>2070</v>
      </c>
      <c r="BN59" s="200">
        <f t="shared" ca="1" si="3"/>
        <v>2071</v>
      </c>
      <c r="BO59" s="200">
        <f t="shared" ca="1" si="3"/>
        <v>2072</v>
      </c>
      <c r="BP59" s="200">
        <f t="shared" ca="1" si="3"/>
        <v>2073</v>
      </c>
      <c r="BQ59" s="205">
        <f ca="1">BP59+1</f>
        <v>2074</v>
      </c>
    </row>
    <row r="60" spans="1:69" s="36" customFormat="1" ht="11.25" customHeight="1" x14ac:dyDescent="0.2">
      <c r="A60" s="1053"/>
      <c r="B60" s="1215"/>
      <c r="C60" s="1215"/>
      <c r="D60" s="1216"/>
      <c r="E60" s="2551" t="s">
        <v>567</v>
      </c>
      <c r="F60" s="2552"/>
      <c r="G60" s="2551" t="s">
        <v>23</v>
      </c>
      <c r="H60" s="2553"/>
      <c r="I60" s="2552"/>
      <c r="J60" s="2551" t="s">
        <v>569</v>
      </c>
      <c r="K60" s="2552"/>
      <c r="L60" s="2551" t="s">
        <v>567</v>
      </c>
      <c r="M60" s="2553"/>
      <c r="N60" s="2552"/>
      <c r="S60" s="640"/>
      <c r="T60" s="300"/>
      <c r="U60" s="300"/>
      <c r="V60" s="300"/>
      <c r="W60" s="300"/>
      <c r="X60" s="300"/>
      <c r="Y60" s="300"/>
      <c r="Z60" s="300"/>
      <c r="AA60" s="300"/>
      <c r="AB60" s="300"/>
      <c r="AC60" s="300"/>
      <c r="AD60" s="300"/>
      <c r="AE60" s="300"/>
      <c r="AF60" s="300"/>
      <c r="AG60" s="300"/>
      <c r="AH60" s="300"/>
      <c r="AI60" s="300"/>
      <c r="AJ60" s="300"/>
      <c r="AK60" s="300"/>
      <c r="AL60" s="300"/>
      <c r="AM60" s="300"/>
      <c r="AN60" s="300"/>
      <c r="AO60" s="300"/>
      <c r="AP60" s="300"/>
      <c r="AQ60" s="300"/>
      <c r="AR60" s="300"/>
      <c r="AS60" s="300"/>
      <c r="AT60" s="300"/>
      <c r="AU60" s="300"/>
      <c r="AV60" s="300"/>
      <c r="AW60" s="300"/>
      <c r="AX60" s="300"/>
      <c r="AY60" s="300"/>
      <c r="AZ60" s="300"/>
      <c r="BA60" s="300"/>
      <c r="BB60" s="300"/>
      <c r="BC60" s="300"/>
      <c r="BD60" s="300"/>
      <c r="BE60" s="300"/>
      <c r="BF60" s="300"/>
      <c r="BG60" s="300"/>
      <c r="BH60" s="300"/>
      <c r="BI60" s="300"/>
      <c r="BJ60" s="300"/>
      <c r="BK60" s="300"/>
      <c r="BL60" s="300"/>
      <c r="BM60" s="300"/>
      <c r="BN60" s="300"/>
      <c r="BO60" s="300"/>
      <c r="BP60" s="300"/>
      <c r="BQ60" s="641"/>
    </row>
    <row r="61" spans="1:69" s="36" customFormat="1" ht="11.25" customHeight="1" x14ac:dyDescent="0.2">
      <c r="A61" s="1005" t="s">
        <v>24</v>
      </c>
      <c r="B61" s="1006" t="str">
        <f>Projektdaten!H20</f>
        <v>Stadt Zürich - Verwaltungsmix</v>
      </c>
      <c r="C61" s="1006"/>
      <c r="D61" s="1006"/>
      <c r="E61" s="2397">
        <f xml:space="preserve"> VLOOKUP(Projektdaten!H20,Grunddaten!C17:AI44,33,FALSE) * EV_Var4!I68</f>
        <v>0</v>
      </c>
      <c r="F61" s="2398"/>
      <c r="G61" s="2402" t="s">
        <v>25</v>
      </c>
      <c r="H61" s="2403"/>
      <c r="I61" s="2404"/>
      <c r="J61" s="2402" t="s">
        <v>26</v>
      </c>
      <c r="K61" s="2404"/>
      <c r="L61" s="2402" t="s">
        <v>26</v>
      </c>
      <c r="M61" s="2403"/>
      <c r="N61" s="2404"/>
      <c r="S61" s="201"/>
      <c r="T61" s="202"/>
      <c r="U61" s="202"/>
      <c r="V61" s="202"/>
      <c r="W61" s="202"/>
      <c r="X61" s="202"/>
      <c r="Y61" s="202"/>
      <c r="Z61" s="202"/>
      <c r="AA61" s="202"/>
      <c r="AB61" s="202"/>
      <c r="AC61" s="202"/>
      <c r="AD61" s="202"/>
      <c r="AE61" s="202"/>
      <c r="AF61" s="202"/>
      <c r="AG61" s="202"/>
      <c r="AH61" s="202"/>
      <c r="AI61" s="202"/>
      <c r="AJ61" s="202"/>
      <c r="AK61" s="202"/>
      <c r="AL61" s="202"/>
      <c r="AM61" s="202"/>
      <c r="AN61" s="202"/>
      <c r="AO61" s="202"/>
      <c r="AP61" s="202"/>
      <c r="AQ61" s="202"/>
      <c r="AR61" s="202"/>
      <c r="AS61" s="202"/>
      <c r="AT61" s="202"/>
      <c r="AU61" s="202"/>
      <c r="AV61" s="202"/>
      <c r="AW61" s="202"/>
      <c r="AX61" s="202"/>
      <c r="AY61" s="202"/>
      <c r="AZ61" s="202"/>
      <c r="BA61" s="202"/>
      <c r="BB61" s="202"/>
      <c r="BC61" s="202"/>
      <c r="BD61" s="202"/>
      <c r="BE61" s="202"/>
      <c r="BF61" s="202"/>
      <c r="BG61" s="202"/>
      <c r="BH61" s="202"/>
      <c r="BI61" s="202"/>
      <c r="BJ61" s="202"/>
      <c r="BK61" s="202"/>
      <c r="BL61" s="202"/>
      <c r="BM61" s="202"/>
      <c r="BN61" s="202"/>
      <c r="BO61" s="202"/>
      <c r="BP61" s="202"/>
      <c r="BQ61" s="203"/>
    </row>
    <row r="62" spans="1:69" s="36" customFormat="1" ht="11.25" customHeight="1" x14ac:dyDescent="0.2">
      <c r="A62" s="1007" t="s">
        <v>41</v>
      </c>
      <c r="B62" s="1004"/>
      <c r="C62" s="2423">
        <v>0.7</v>
      </c>
      <c r="D62" s="2423"/>
      <c r="E62" s="2400">
        <f>IF(G62,E$61*G62/SUM(G$62:G$65),0)</f>
        <v>0</v>
      </c>
      <c r="F62" s="2401"/>
      <c r="G62" s="2544">
        <f>IF(EV_Var4!$E$68&gt;0,IF(EV_Var4!$E$68&gt;=(EV_Var4!$E$34 + EV_Var4!$E$38),EV_Var4!$E$68-(EV_Var4!$E$34 + EV_Var4!$E$38),0),EV_Var4!$E$68)*C62</f>
        <v>0</v>
      </c>
      <c r="H62" s="2545"/>
      <c r="I62" s="2546"/>
      <c r="J62" s="2388">
        <f ca="1">OFFSET(Grunddaten!$AJ$17,El_Produkt,0)-(1-$R$109)*OFFSET(Grunddaten!$Q$17,El_Produkt,0)</f>
        <v>26.638089320000002</v>
      </c>
      <c r="K62" s="2389"/>
      <c r="L62" s="2319">
        <f t="shared" ref="L62:L76" ca="1" si="4">ROUND(E62+G62*J62/100,-1)</f>
        <v>0</v>
      </c>
      <c r="M62" s="2320"/>
      <c r="N62" s="2321"/>
      <c r="S62" s="206">
        <f ca="1">IF($G62=0,0,ROUND(OFFSET(Grunddaten!AS17,El_Produkt,0)*((OFFSET(Grunddaten!$AJ$17,El_Produkt,0)-OFFSET(Grunddaten!$Q$17,El_Produkt,0))/100*$G62+$E62),-1))</f>
        <v>0</v>
      </c>
      <c r="T62" s="207">
        <f ca="1">IF($G62=0,0,ROUND(OFFSET(Grunddaten!AT17,El_Produkt,0)*((OFFSET(Grunddaten!$AJ$17,El_Produkt,0)-OFFSET(Grunddaten!$Q$17,El_Produkt,0))/100*$G62+$E62),-1))</f>
        <v>0</v>
      </c>
      <c r="U62" s="207">
        <f ca="1">IF($G62=0,0,ROUND(OFFSET(Grunddaten!AU17,El_Produkt,0)*((OFFSET(Grunddaten!$AJ$17,El_Produkt,0)-OFFSET(Grunddaten!$Q$17,El_Produkt,0))/100*$G62+$E62),-1))</f>
        <v>0</v>
      </c>
      <c r="V62" s="207">
        <f ca="1">IF($G62=0,0,ROUND(OFFSET(Grunddaten!AV17,El_Produkt,0)*((OFFSET(Grunddaten!$AJ$17,El_Produkt,0)-OFFSET(Grunddaten!$Q$17,El_Produkt,0))/100*$G62+$E62),-1))</f>
        <v>0</v>
      </c>
      <c r="W62" s="207">
        <f ca="1">IF($G62=0,0,ROUND(OFFSET(Grunddaten!AW17,El_Produkt,0)*((OFFSET(Grunddaten!$AJ$17,El_Produkt,0)-OFFSET(Grunddaten!$Q$17,El_Produkt,0))/100*$G62+$E62),-1))</f>
        <v>0</v>
      </c>
      <c r="X62" s="207">
        <f ca="1">IF($G62=0,0,ROUND(OFFSET(Grunddaten!AX17,El_Produkt,0)*((OFFSET(Grunddaten!$AJ$17,El_Produkt,0)-OFFSET(Grunddaten!$Q$17,El_Produkt,0))/100*$G62+$E62),-1))</f>
        <v>0</v>
      </c>
      <c r="Y62" s="207">
        <f ca="1">IF($G62=0,0,ROUND(OFFSET(Grunddaten!AY17,El_Produkt,0)*((OFFSET(Grunddaten!$AJ$17,El_Produkt,0)-OFFSET(Grunddaten!$Q$17,El_Produkt,0))/100*$G62+$E62),-1))</f>
        <v>0</v>
      </c>
      <c r="Z62" s="207">
        <f ca="1">IF($G62=0,0,ROUND(OFFSET(Grunddaten!AZ17,El_Produkt,0)*((OFFSET(Grunddaten!$AJ$17,El_Produkt,0)-OFFSET(Grunddaten!$Q$17,El_Produkt,0))/100*$G62+$E62),-1))</f>
        <v>0</v>
      </c>
      <c r="AA62" s="207">
        <f ca="1">IF($G62=0,0,ROUND(OFFSET(Grunddaten!BA17,El_Produkt,0)*((OFFSET(Grunddaten!$AJ$17,El_Produkt,0)-OFFSET(Grunddaten!$Q$17,El_Produkt,0))/100*$G62+$E62),-1))</f>
        <v>0</v>
      </c>
      <c r="AB62" s="246">
        <f ca="1">IF($G62=0,0,ROUND(OFFSET(Grunddaten!BB17,El_Produkt,0)*((OFFSET(Grunddaten!$AJ$17,El_Produkt,0)-OFFSET(Grunddaten!$Q$17,El_Produkt,0))/100*$G62+$E62),-1))</f>
        <v>0</v>
      </c>
      <c r="AC62" s="246">
        <f ca="1">IF($G62=0,0,ROUND(OFFSET(Grunddaten!BC17,El_Produkt,0)*((OFFSET(Grunddaten!$AJ$17,El_Produkt,0)-OFFSET(Grunddaten!$Q$17,El_Produkt,0))/100*$G62+$E62),-1))</f>
        <v>0</v>
      </c>
      <c r="AD62" s="246">
        <f ca="1">IF($G62=0,0,ROUND(OFFSET(Grunddaten!BD17,El_Produkt,0)*((OFFSET(Grunddaten!$AJ$17,El_Produkt,0)-OFFSET(Grunddaten!$Q$17,El_Produkt,0))/100*$G62+$E62),-1))</f>
        <v>0</v>
      </c>
      <c r="AE62" s="246">
        <f ca="1">IF($G62=0,0,ROUND(OFFSET(Grunddaten!BE17,El_Produkt,0)*((OFFSET(Grunddaten!$AJ$17,El_Produkt,0)-OFFSET(Grunddaten!$Q$17,El_Produkt,0))/100*$G62+$E62),-1))</f>
        <v>0</v>
      </c>
      <c r="AF62" s="246">
        <f ca="1">IF($G62=0,0,ROUND(OFFSET(Grunddaten!BF17,El_Produkt,0)*((OFFSET(Grunddaten!$AJ$17,El_Produkt,0)-OFFSET(Grunddaten!$Q$17,El_Produkt,0))/100*$G62+$E62),-1))</f>
        <v>0</v>
      </c>
      <c r="AG62" s="246">
        <f ca="1">IF($G62=0,0,ROUND(OFFSET(Grunddaten!BG17,El_Produkt,0)*((OFFSET(Grunddaten!$AJ$17,El_Produkt,0)-OFFSET(Grunddaten!$Q$17,El_Produkt,0))/100*$G62+$E62),-1))</f>
        <v>0</v>
      </c>
      <c r="AH62" s="247">
        <f ca="1">IF($G62=0,0,ROUND(OFFSET(Grunddaten!BH17,El_Produkt,0)*((OFFSET(Grunddaten!$AJ$17,El_Produkt,0)-OFFSET(Grunddaten!$Q$17,El_Produkt,0))/100*$G62+$E62),-1))</f>
        <v>0</v>
      </c>
      <c r="AI62" s="247">
        <f ca="1">IF($G62=0,0,ROUND(OFFSET(Grunddaten!BI17,El_Produkt,0)*((OFFSET(Grunddaten!$AJ$17,El_Produkt,0)-OFFSET(Grunddaten!$Q$17,El_Produkt,0))/100*$G62+$E62),-1))</f>
        <v>0</v>
      </c>
      <c r="AJ62" s="247">
        <f ca="1">IF($G62=0,0,ROUND(OFFSET(Grunddaten!BJ17,El_Produkt,0)*((OFFSET(Grunddaten!$AJ$17,El_Produkt,0)-OFFSET(Grunddaten!$Q$17,El_Produkt,0))/100*$G62+$E62),-1))</f>
        <v>0</v>
      </c>
      <c r="AK62" s="247">
        <f ca="1">IF($G62=0,0,ROUND(OFFSET(Grunddaten!BK17,El_Produkt,0)*((OFFSET(Grunddaten!$AJ$17,El_Produkt,0)-OFFSET(Grunddaten!$Q$17,El_Produkt,0))/100*$G62+$E62),-1))</f>
        <v>0</v>
      </c>
      <c r="AL62" s="247">
        <f ca="1">IF($G62=0,0,ROUND(OFFSET(Grunddaten!BL17,El_Produkt,0)*((OFFSET(Grunddaten!$AJ$17,El_Produkt,0)-OFFSET(Grunddaten!$Q$17,El_Produkt,0))/100*$G62+$E62),-1))</f>
        <v>0</v>
      </c>
      <c r="AM62" s="247">
        <f ca="1">IF($G62=0,0,ROUND(OFFSET(Grunddaten!BM17,El_Produkt,0)*((OFFSET(Grunddaten!$AJ$17,El_Produkt,0)-OFFSET(Grunddaten!$Q$17,El_Produkt,0))/100*$G62+$E62),-1))</f>
        <v>0</v>
      </c>
      <c r="AN62" s="247">
        <f ca="1">IF($G62=0,0,ROUND(OFFSET(Grunddaten!BN17,El_Produkt,0)*((OFFSET(Grunddaten!$AJ$17,El_Produkt,0)-OFFSET(Grunddaten!$Q$17,El_Produkt,0))/100*$G62+$E62),-1))</f>
        <v>0</v>
      </c>
      <c r="AO62" s="247">
        <f ca="1">IF($G62=0,0,ROUND(OFFSET(Grunddaten!BO17,El_Produkt,0)*((OFFSET(Grunddaten!$AJ$17,El_Produkt,0)-OFFSET(Grunddaten!$Q$17,El_Produkt,0))/100*$G62+$E62),-1))</f>
        <v>0</v>
      </c>
      <c r="AP62" s="247">
        <f ca="1">IF($G62=0,0,ROUND(OFFSET(Grunddaten!BP17,El_Produkt,0)*((OFFSET(Grunddaten!$AJ$17,El_Produkt,0)-OFFSET(Grunddaten!$Q$17,El_Produkt,0))/100*$G62+$E62),-1))</f>
        <v>0</v>
      </c>
      <c r="AQ62" s="247">
        <f ca="1">IF($G62=0,0,ROUND(OFFSET(Grunddaten!BQ17,El_Produkt,0)*((OFFSET(Grunddaten!$AJ$17,El_Produkt,0)-OFFSET(Grunddaten!$Q$17,El_Produkt,0))/100*$G62+$E62),-1))</f>
        <v>0</v>
      </c>
      <c r="AR62" s="247">
        <f ca="1">IF($G62=0,0,ROUND(OFFSET(Grunddaten!BR17,El_Produkt,0)*((OFFSET(Grunddaten!$AJ$17,El_Produkt,0)-OFFSET(Grunddaten!$Q$17,El_Produkt,0))/100*$G62+$E62),-1))</f>
        <v>0</v>
      </c>
      <c r="AS62" s="247">
        <f ca="1">IF($G62=0,0,ROUND(OFFSET(Grunddaten!BS17,El_Produkt,0)*((OFFSET(Grunddaten!$AJ$17,El_Produkt,0)-OFFSET(Grunddaten!$Q$17,El_Produkt,0))/100*$G62+$E62),-1))</f>
        <v>0</v>
      </c>
      <c r="AT62" s="247">
        <f ca="1">IF($G62=0,0,ROUND(OFFSET(Grunddaten!BT17,El_Produkt,0)*((OFFSET(Grunddaten!$AJ$17,El_Produkt,0)-OFFSET(Grunddaten!$Q$17,El_Produkt,0))/100*$G62+$E62),-1))</f>
        <v>0</v>
      </c>
      <c r="AU62" s="247">
        <f ca="1">IF($G62=0,0,ROUND(OFFSET(Grunddaten!BU17,El_Produkt,0)*((OFFSET(Grunddaten!$AJ$17,El_Produkt,0)-OFFSET(Grunddaten!$Q$17,El_Produkt,0))/100*$G62+$E62),-1))</f>
        <v>0</v>
      </c>
      <c r="AV62" s="247">
        <f ca="1">IF($G62=0,0,ROUND(OFFSET(Grunddaten!BV17,El_Produkt,0)*((OFFSET(Grunddaten!$AJ$17,El_Produkt,0)-OFFSET(Grunddaten!$Q$17,El_Produkt,0))/100*$G62+$E62),-1))</f>
        <v>0</v>
      </c>
      <c r="AW62" s="247">
        <f ca="1">IF($G62=0,0,ROUND(OFFSET(Grunddaten!BW17,El_Produkt,0)*((OFFSET(Grunddaten!$AJ$17,El_Produkt,0)-OFFSET(Grunddaten!$Q$17,El_Produkt,0))/100*$G62+$E62),-1))</f>
        <v>0</v>
      </c>
      <c r="AX62" s="247">
        <f ca="1">IF($G62=0,0,ROUND(OFFSET(Grunddaten!BX17,El_Produkt,0)*((OFFSET(Grunddaten!$AJ$17,El_Produkt,0)-OFFSET(Grunddaten!$Q$17,El_Produkt,0))/100*$G62+$E62),-1))</f>
        <v>0</v>
      </c>
      <c r="AY62" s="247">
        <f ca="1">IF($G62=0,0,ROUND(OFFSET(Grunddaten!BY17,El_Produkt,0)*((OFFSET(Grunddaten!$AJ$17,El_Produkt,0)-OFFSET(Grunddaten!$Q$17,El_Produkt,0))/100*$G62+$E62),-1))</f>
        <v>0</v>
      </c>
      <c r="AZ62" s="247">
        <f ca="1">IF($G62=0,0,ROUND(OFFSET(Grunddaten!BZ17,El_Produkt,0)*((OFFSET(Grunddaten!$AJ$17,El_Produkt,0)-OFFSET(Grunddaten!$Q$17,El_Produkt,0))/100*$G62+$E62),-1))</f>
        <v>0</v>
      </c>
      <c r="BA62" s="247">
        <f ca="1">IF($G62=0,0,ROUND(OFFSET(Grunddaten!CA17,El_Produkt,0)*((OFFSET(Grunddaten!$AJ$17,El_Produkt,0)-OFFSET(Grunddaten!$Q$17,El_Produkt,0))/100*$G62+$E62),-1))</f>
        <v>0</v>
      </c>
      <c r="BB62" s="247">
        <f ca="1">IF($G62=0,0,ROUND(OFFSET(Grunddaten!CB17,El_Produkt,0)*((OFFSET(Grunddaten!$AJ$17,El_Produkt,0)-OFFSET(Grunddaten!$Q$17,El_Produkt,0))/100*$G62+$E62),-1))</f>
        <v>0</v>
      </c>
      <c r="BC62" s="247">
        <f ca="1">IF($G62=0,0,ROUND(OFFSET(Grunddaten!CC17,El_Produkt,0)*((OFFSET(Grunddaten!$AJ$17,El_Produkt,0)-OFFSET(Grunddaten!$Q$17,El_Produkt,0))/100*$G62+$E62),-1))</f>
        <v>0</v>
      </c>
      <c r="BD62" s="247">
        <f ca="1">IF($G62=0,0,ROUND(OFFSET(Grunddaten!CD17,El_Produkt,0)*((OFFSET(Grunddaten!$AJ$17,El_Produkt,0)-OFFSET(Grunddaten!$Q$17,El_Produkt,0))/100*$G62+$E62),-1))</f>
        <v>0</v>
      </c>
      <c r="BE62" s="247">
        <f ca="1">IF($G62=0,0,ROUND(OFFSET(Grunddaten!CE17,El_Produkt,0)*((OFFSET(Grunddaten!$AJ$17,El_Produkt,0)-OFFSET(Grunddaten!$Q$17,El_Produkt,0))/100*$G62+$E62),-1))</f>
        <v>0</v>
      </c>
      <c r="BF62" s="247">
        <f ca="1">IF($G62=0,0,ROUND(OFFSET(Grunddaten!CF17,El_Produkt,0)*((OFFSET(Grunddaten!$AJ$17,El_Produkt,0)-OFFSET(Grunddaten!$Q$17,El_Produkt,0))/100*$G62+$E62),-1))</f>
        <v>0</v>
      </c>
      <c r="BG62" s="247">
        <f ca="1">IF($G62=0,0,ROUND(OFFSET(Grunddaten!CG17,El_Produkt,0)*((OFFSET(Grunddaten!$AJ$17,El_Produkt,0)-OFFSET(Grunddaten!$Q$17,El_Produkt,0))/100*$G62+$E62),-1))</f>
        <v>0</v>
      </c>
      <c r="BH62" s="247">
        <f ca="1">IF($G62=0,0,ROUND(OFFSET(Grunddaten!CH17,El_Produkt,0)*((OFFSET(Grunddaten!$AJ$17,El_Produkt,0)-OFFSET(Grunddaten!$Q$17,El_Produkt,0))/100*$G62+$E62),-1))</f>
        <v>0</v>
      </c>
      <c r="BI62" s="247">
        <f ca="1">IF($G62=0,0,ROUND(OFFSET(Grunddaten!CI17,El_Produkt,0)*((OFFSET(Grunddaten!$AJ$17,El_Produkt,0)-OFFSET(Grunddaten!$Q$17,El_Produkt,0))/100*$G62+$E62),-1))</f>
        <v>0</v>
      </c>
      <c r="BJ62" s="247">
        <f ca="1">IF($G62=0,0,ROUND(OFFSET(Grunddaten!CJ17,El_Produkt,0)*((OFFSET(Grunddaten!$AJ$17,El_Produkt,0)-OFFSET(Grunddaten!$Q$17,El_Produkt,0))/100*$G62+$E62),-1))</f>
        <v>0</v>
      </c>
      <c r="BK62" s="247">
        <f ca="1">IF($G62=0,0,ROUND(OFFSET(Grunddaten!CK17,El_Produkt,0)*((OFFSET(Grunddaten!$AJ$17,El_Produkt,0)-OFFSET(Grunddaten!$Q$17,El_Produkt,0))/100*$G62+$E62),-1))</f>
        <v>0</v>
      </c>
      <c r="BL62" s="247">
        <f ca="1">IF($G62=0,0,ROUND(OFFSET(Grunddaten!CL17,El_Produkt,0)*((OFFSET(Grunddaten!$AJ$17,El_Produkt,0)-OFFSET(Grunddaten!$Q$17,El_Produkt,0))/100*$G62+$E62),-1))</f>
        <v>0</v>
      </c>
      <c r="BM62" s="247">
        <f ca="1">IF($G62=0,0,ROUND(OFFSET(Grunddaten!CM17,El_Produkt,0)*((OFFSET(Grunddaten!$AJ$17,El_Produkt,0)-OFFSET(Grunddaten!$Q$17,El_Produkt,0))/100*$G62+$E62),-1))</f>
        <v>0</v>
      </c>
      <c r="BN62" s="247">
        <f ca="1">IF($G62=0,0,ROUND(OFFSET(Grunddaten!CN17,El_Produkt,0)*((OFFSET(Grunddaten!$AJ$17,El_Produkt,0)-OFFSET(Grunddaten!$Q$17,El_Produkt,0))/100*$G62+$E62),-1))</f>
        <v>0</v>
      </c>
      <c r="BO62" s="247">
        <f ca="1">IF($G62=0,0,ROUND(OFFSET(Grunddaten!CO17,El_Produkt,0)*((OFFSET(Grunddaten!$AJ$17,El_Produkt,0)-OFFSET(Grunddaten!$Q$17,El_Produkt,0))/100*$G62+$E62),-1))</f>
        <v>0</v>
      </c>
      <c r="BP62" s="247">
        <f ca="1">IF($G62=0,0,ROUND(OFFSET(Grunddaten!CP17,El_Produkt,0)*((OFFSET(Grunddaten!$AJ$17,El_Produkt,0)-OFFSET(Grunddaten!$Q$17,El_Produkt,0))/100*$G62+$E62),-1))</f>
        <v>0</v>
      </c>
      <c r="BQ62" s="248">
        <f ca="1">IF($G62=0,0,ROUND(OFFSET(Grunddaten!CQ17,El_Produkt,0)*((OFFSET(Grunddaten!$AJ$17,El_Produkt,0)-OFFSET(Grunddaten!$Q$17,El_Produkt,0))/100*$G62+$E62),-1))</f>
        <v>0</v>
      </c>
    </row>
    <row r="63" spans="1:69" s="36" customFormat="1" ht="11.25" customHeight="1" x14ac:dyDescent="0.2">
      <c r="A63" s="1008" t="s">
        <v>42</v>
      </c>
      <c r="B63" s="1009"/>
      <c r="C63" s="2524">
        <f>1-C62</f>
        <v>0.30000000000000004</v>
      </c>
      <c r="D63" s="2524"/>
      <c r="E63" s="2397">
        <f>IF(G63,E$61*G63/SUM(G$62:G$65),0)</f>
        <v>0</v>
      </c>
      <c r="F63" s="2398"/>
      <c r="G63" s="2392">
        <f>IF(EV_Var4!$E$68&gt;0,IF(EV_Var4!$E$68&gt;=(EV_Var4!$E$34 + EV_Var4!$E$38),EV_Var4!$E$68-(EV_Var4!$E$34 + EV_Var4!$E$38),0),EV_Var4!$E$68)*C63</f>
        <v>0</v>
      </c>
      <c r="H63" s="2393"/>
      <c r="I63" s="2394"/>
      <c r="J63" s="2390">
        <f ca="1">OFFSET(Grunddaten!$AK17,El_Produkt,0)-(1-$R$109)*OFFSET(Grunddaten!$Q$17,El_Produkt,0)</f>
        <v>17.706284570000001</v>
      </c>
      <c r="K63" s="2391"/>
      <c r="L63" s="2424">
        <f t="shared" ca="1" si="4"/>
        <v>0</v>
      </c>
      <c r="M63" s="2425"/>
      <c r="N63" s="2426"/>
      <c r="S63" s="208">
        <f ca="1">IF($G63=0,0,ROUND(OFFSET(Grunddaten!AS17,El_Produkt,0)*((OFFSET(Grunddaten!$AK$17,El_Produkt,0)-OFFSET(Grunddaten!$Q$17,El_Produkt,0))/100*$G63+$E63),-1))</f>
        <v>0</v>
      </c>
      <c r="T63" s="209">
        <f ca="1">IF($G63=0,0,ROUND(OFFSET(Grunddaten!AT17,El_Produkt,0)*((OFFSET(Grunddaten!$AK$17,El_Produkt,0)-OFFSET(Grunddaten!$Q$17,El_Produkt,0))/100*$G63+$E63),-1))</f>
        <v>0</v>
      </c>
      <c r="U63" s="209">
        <f ca="1">IF($G63=0,0,ROUND(OFFSET(Grunddaten!AU17,El_Produkt,0)*((OFFSET(Grunddaten!$AK$17,El_Produkt,0)-OFFSET(Grunddaten!$Q$17,El_Produkt,0))/100*$G63+$E63),-1))</f>
        <v>0</v>
      </c>
      <c r="V63" s="209">
        <f ca="1">IF($G63=0,0,ROUND(OFFSET(Grunddaten!AV17,El_Produkt,0)*((OFFSET(Grunddaten!$AK$17,El_Produkt,0)-OFFSET(Grunddaten!$Q$17,El_Produkt,0))/100*$G63+$E63),-1))</f>
        <v>0</v>
      </c>
      <c r="W63" s="209">
        <f ca="1">IF($G63=0,0,ROUND(OFFSET(Grunddaten!AW17,El_Produkt,0)*((OFFSET(Grunddaten!$AK$17,El_Produkt,0)-OFFSET(Grunddaten!$Q$17,El_Produkt,0))/100*$G63+$E63),-1))</f>
        <v>0</v>
      </c>
      <c r="X63" s="209">
        <f ca="1">IF($G63=0,0,ROUND(OFFSET(Grunddaten!AX17,El_Produkt,0)*((OFFSET(Grunddaten!$AK$17,El_Produkt,0)-OFFSET(Grunddaten!$Q$17,El_Produkt,0))/100*$G63+$E63),-1))</f>
        <v>0</v>
      </c>
      <c r="Y63" s="209">
        <f ca="1">IF($G63=0,0,ROUND(OFFSET(Grunddaten!AY17,El_Produkt,0)*((OFFSET(Grunddaten!$AK$17,El_Produkt,0)-OFFSET(Grunddaten!$Q$17,El_Produkt,0))/100*$G63+$E63),-1))</f>
        <v>0</v>
      </c>
      <c r="Z63" s="209">
        <f ca="1">IF($G63=0,0,ROUND(OFFSET(Grunddaten!AZ17,El_Produkt,0)*((OFFSET(Grunddaten!$AK$17,El_Produkt,0)-OFFSET(Grunddaten!$Q$17,El_Produkt,0))/100*$G63+$E63),-1))</f>
        <v>0</v>
      </c>
      <c r="AA63" s="209">
        <f ca="1">IF($G63=0,0,ROUND(OFFSET(Grunddaten!BA17,El_Produkt,0)*((OFFSET(Grunddaten!$AK$17,El_Produkt,0)-OFFSET(Grunddaten!$Q$17,El_Produkt,0))/100*$G63+$E63),-1))</f>
        <v>0</v>
      </c>
      <c r="AB63" s="249">
        <f ca="1">IF($G63=0,0,ROUND(OFFSET(Grunddaten!BB17,El_Produkt,0)*((OFFSET(Grunddaten!$AK$17,El_Produkt,0)-OFFSET(Grunddaten!$Q$17,El_Produkt,0))/100*$G63+$E63),-1))</f>
        <v>0</v>
      </c>
      <c r="AC63" s="249">
        <f ca="1">IF($G63=0,0,ROUND(OFFSET(Grunddaten!BC17,El_Produkt,0)*((OFFSET(Grunddaten!$AK$17,El_Produkt,0)-OFFSET(Grunddaten!$Q$17,El_Produkt,0))/100*$G63+$E63),-1))</f>
        <v>0</v>
      </c>
      <c r="AD63" s="249">
        <f ca="1">IF($G63=0,0,ROUND(OFFSET(Grunddaten!BD17,El_Produkt,0)*((OFFSET(Grunddaten!$AK$17,El_Produkt,0)-OFFSET(Grunddaten!$Q$17,El_Produkt,0))/100*$G63+$E63),-1))</f>
        <v>0</v>
      </c>
      <c r="AE63" s="249">
        <f ca="1">IF($G63=0,0,ROUND(OFFSET(Grunddaten!BE17,El_Produkt,0)*((OFFSET(Grunddaten!$AK$17,El_Produkt,0)-OFFSET(Grunddaten!$Q$17,El_Produkt,0))/100*$G63+$E63),-1))</f>
        <v>0</v>
      </c>
      <c r="AF63" s="249">
        <f ca="1">IF($G63=0,0,ROUND(OFFSET(Grunddaten!BF17,El_Produkt,0)*((OFFSET(Grunddaten!$AK$17,El_Produkt,0)-OFFSET(Grunddaten!$Q$17,El_Produkt,0))/100*$G63+$E63),-1))</f>
        <v>0</v>
      </c>
      <c r="AG63" s="249">
        <f ca="1">IF($G63=0,0,ROUND(OFFSET(Grunddaten!BG17,El_Produkt,0)*((OFFSET(Grunddaten!$AK$17,El_Produkt,0)-OFFSET(Grunddaten!$Q$17,El_Produkt,0))/100*$G63+$E63),-1))</f>
        <v>0</v>
      </c>
      <c r="AH63" s="250">
        <f ca="1">IF($G63=0,0,ROUND(OFFSET(Grunddaten!BH17,El_Produkt,0)*((OFFSET(Grunddaten!$AK$17,El_Produkt,0)-OFFSET(Grunddaten!$Q$17,El_Produkt,0))/100*$G63+$E63),-1))</f>
        <v>0</v>
      </c>
      <c r="AI63" s="250">
        <f ca="1">IF($G63=0,0,ROUND(OFFSET(Grunddaten!BI17,El_Produkt,0)*((OFFSET(Grunddaten!$AK$17,El_Produkt,0)-OFFSET(Grunddaten!$Q$17,El_Produkt,0))/100*$G63+$E63),-1))</f>
        <v>0</v>
      </c>
      <c r="AJ63" s="250">
        <f ca="1">IF($G63=0,0,ROUND(OFFSET(Grunddaten!BJ17,El_Produkt,0)*((OFFSET(Grunddaten!$AK$17,El_Produkt,0)-OFFSET(Grunddaten!$Q$17,El_Produkt,0))/100*$G63+$E63),-1))</f>
        <v>0</v>
      </c>
      <c r="AK63" s="250">
        <f ca="1">IF($G63=0,0,ROUND(OFFSET(Grunddaten!BK17,El_Produkt,0)*((OFFSET(Grunddaten!$AK$17,El_Produkt,0)-OFFSET(Grunddaten!$Q$17,El_Produkt,0))/100*$G63+$E63),-1))</f>
        <v>0</v>
      </c>
      <c r="AL63" s="250">
        <f ca="1">IF($G63=0,0,ROUND(OFFSET(Grunddaten!BL17,El_Produkt,0)*((OFFSET(Grunddaten!$AK$17,El_Produkt,0)-OFFSET(Grunddaten!$Q$17,El_Produkt,0))/100*$G63+$E63),-1))</f>
        <v>0</v>
      </c>
      <c r="AM63" s="250">
        <f ca="1">IF($G63=0,0,ROUND(OFFSET(Grunddaten!BM17,El_Produkt,0)*((OFFSET(Grunddaten!$AK$17,El_Produkt,0)-OFFSET(Grunddaten!$Q$17,El_Produkt,0))/100*$G63+$E63),-1))</f>
        <v>0</v>
      </c>
      <c r="AN63" s="250">
        <f ca="1">IF($G63=0,0,ROUND(OFFSET(Grunddaten!BN17,El_Produkt,0)*((OFFSET(Grunddaten!$AK$17,El_Produkt,0)-OFFSET(Grunddaten!$Q$17,El_Produkt,0))/100*$G63+$E63),-1))</f>
        <v>0</v>
      </c>
      <c r="AO63" s="250">
        <f ca="1">IF($G63=0,0,ROUND(OFFSET(Grunddaten!BO17,El_Produkt,0)*((OFFSET(Grunddaten!$AK$17,El_Produkt,0)-OFFSET(Grunddaten!$Q$17,El_Produkt,0))/100*$G63+$E63),-1))</f>
        <v>0</v>
      </c>
      <c r="AP63" s="250">
        <f ca="1">IF($G63=0,0,ROUND(OFFSET(Grunddaten!BP17,El_Produkt,0)*((OFFSET(Grunddaten!$AK$17,El_Produkt,0)-OFFSET(Grunddaten!$Q$17,El_Produkt,0))/100*$G63+$E63),-1))</f>
        <v>0</v>
      </c>
      <c r="AQ63" s="250">
        <f ca="1">IF($G63=0,0,ROUND(OFFSET(Grunddaten!BQ17,El_Produkt,0)*((OFFSET(Grunddaten!$AK$17,El_Produkt,0)-OFFSET(Grunddaten!$Q$17,El_Produkt,0))/100*$G63+$E63),-1))</f>
        <v>0</v>
      </c>
      <c r="AR63" s="250">
        <f ca="1">IF($G63=0,0,ROUND(OFFSET(Grunddaten!BR17,El_Produkt,0)*((OFFSET(Grunddaten!$AK$17,El_Produkt,0)-OFFSET(Grunddaten!$Q$17,El_Produkt,0))/100*$G63+$E63),-1))</f>
        <v>0</v>
      </c>
      <c r="AS63" s="250">
        <f ca="1">IF($G63=0,0,ROUND(OFFSET(Grunddaten!BS17,El_Produkt,0)*((OFFSET(Grunddaten!$AK$17,El_Produkt,0)-OFFSET(Grunddaten!$Q$17,El_Produkt,0))/100*$G63+$E63),-1))</f>
        <v>0</v>
      </c>
      <c r="AT63" s="250">
        <f ca="1">IF($G63=0,0,ROUND(OFFSET(Grunddaten!BT17,El_Produkt,0)*((OFFSET(Grunddaten!$AK$17,El_Produkt,0)-OFFSET(Grunddaten!$Q$17,El_Produkt,0))/100*$G63+$E63),-1))</f>
        <v>0</v>
      </c>
      <c r="AU63" s="250">
        <f ca="1">IF($G63=0,0,ROUND(OFFSET(Grunddaten!BU17,El_Produkt,0)*((OFFSET(Grunddaten!$AK$17,El_Produkt,0)-OFFSET(Grunddaten!$Q$17,El_Produkt,0))/100*$G63+$E63),-1))</f>
        <v>0</v>
      </c>
      <c r="AV63" s="250">
        <f ca="1">IF($G63=0,0,ROUND(OFFSET(Grunddaten!BV17,El_Produkt,0)*((OFFSET(Grunddaten!$AK$17,El_Produkt,0)-OFFSET(Grunddaten!$Q$17,El_Produkt,0))/100*$G63+$E63),-1))</f>
        <v>0</v>
      </c>
      <c r="AW63" s="250">
        <f ca="1">IF($G63=0,0,ROUND(OFFSET(Grunddaten!BW17,El_Produkt,0)*((OFFSET(Grunddaten!$AK$17,El_Produkt,0)-OFFSET(Grunddaten!$Q$17,El_Produkt,0))/100*$G63+$E63),-1))</f>
        <v>0</v>
      </c>
      <c r="AX63" s="250">
        <f ca="1">IF($G63=0,0,ROUND(OFFSET(Grunddaten!BX17,El_Produkt,0)*((OFFSET(Grunddaten!$AK$17,El_Produkt,0)-OFFSET(Grunddaten!$Q$17,El_Produkt,0))/100*$G63+$E63),-1))</f>
        <v>0</v>
      </c>
      <c r="AY63" s="250">
        <f ca="1">IF($G63=0,0,ROUND(OFFSET(Grunddaten!BY17,El_Produkt,0)*((OFFSET(Grunddaten!$AK$17,El_Produkt,0)-OFFSET(Grunddaten!$Q$17,El_Produkt,0))/100*$G63+$E63),-1))</f>
        <v>0</v>
      </c>
      <c r="AZ63" s="250">
        <f ca="1">IF($G63=0,0,ROUND(OFFSET(Grunddaten!BZ17,El_Produkt,0)*((OFFSET(Grunddaten!$AK$17,El_Produkt,0)-OFFSET(Grunddaten!$Q$17,El_Produkt,0))/100*$G63+$E63),-1))</f>
        <v>0</v>
      </c>
      <c r="BA63" s="250">
        <f ca="1">IF($G63=0,0,ROUND(OFFSET(Grunddaten!CA17,El_Produkt,0)*((OFFSET(Grunddaten!$AK$17,El_Produkt,0)-OFFSET(Grunddaten!$Q$17,El_Produkt,0))/100*$G63+$E63),-1))</f>
        <v>0</v>
      </c>
      <c r="BB63" s="250">
        <f ca="1">IF($G63=0,0,ROUND(OFFSET(Grunddaten!CB17,El_Produkt,0)*((OFFSET(Grunddaten!$AK$17,El_Produkt,0)-OFFSET(Grunddaten!$Q$17,El_Produkt,0))/100*$G63+$E63),-1))</f>
        <v>0</v>
      </c>
      <c r="BC63" s="250">
        <f ca="1">IF($G63=0,0,ROUND(OFFSET(Grunddaten!CC17,El_Produkt,0)*((OFFSET(Grunddaten!$AK$17,El_Produkt,0)-OFFSET(Grunddaten!$Q$17,El_Produkt,0))/100*$G63+$E63),-1))</f>
        <v>0</v>
      </c>
      <c r="BD63" s="250">
        <f ca="1">IF($G63=0,0,ROUND(OFFSET(Grunddaten!CD17,El_Produkt,0)*((OFFSET(Grunddaten!$AK$17,El_Produkt,0)-OFFSET(Grunddaten!$Q$17,El_Produkt,0))/100*$G63+$E63),-1))</f>
        <v>0</v>
      </c>
      <c r="BE63" s="250">
        <f ca="1">IF($G63=0,0,ROUND(OFFSET(Grunddaten!CE17,El_Produkt,0)*((OFFSET(Grunddaten!$AK$17,El_Produkt,0)-OFFSET(Grunddaten!$Q$17,El_Produkt,0))/100*$G63+$E63),-1))</f>
        <v>0</v>
      </c>
      <c r="BF63" s="250">
        <f ca="1">IF($G63=0,0,ROUND(OFFSET(Grunddaten!CF17,El_Produkt,0)*((OFFSET(Grunddaten!$AK$17,El_Produkt,0)-OFFSET(Grunddaten!$Q$17,El_Produkt,0))/100*$G63+$E63),-1))</f>
        <v>0</v>
      </c>
      <c r="BG63" s="250">
        <f ca="1">IF($G63=0,0,ROUND(OFFSET(Grunddaten!CG17,El_Produkt,0)*((OFFSET(Grunddaten!$AK$17,El_Produkt,0)-OFFSET(Grunddaten!$Q$17,El_Produkt,0))/100*$G63+$E63),-1))</f>
        <v>0</v>
      </c>
      <c r="BH63" s="250">
        <f ca="1">IF($G63=0,0,ROUND(OFFSET(Grunddaten!CH17,El_Produkt,0)*((OFFSET(Grunddaten!$AK$17,El_Produkt,0)-OFFSET(Grunddaten!$Q$17,El_Produkt,0))/100*$G63+$E63),-1))</f>
        <v>0</v>
      </c>
      <c r="BI63" s="250">
        <f ca="1">IF($G63=0,0,ROUND(OFFSET(Grunddaten!CI17,El_Produkt,0)*((OFFSET(Grunddaten!$AK$17,El_Produkt,0)-OFFSET(Grunddaten!$Q$17,El_Produkt,0))/100*$G63+$E63),-1))</f>
        <v>0</v>
      </c>
      <c r="BJ63" s="250">
        <f ca="1">IF($G63=0,0,ROUND(OFFSET(Grunddaten!CJ17,El_Produkt,0)*((OFFSET(Grunddaten!$AK$17,El_Produkt,0)-OFFSET(Grunddaten!$Q$17,El_Produkt,0))/100*$G63+$E63),-1))</f>
        <v>0</v>
      </c>
      <c r="BK63" s="250">
        <f ca="1">IF($G63=0,0,ROUND(OFFSET(Grunddaten!CK17,El_Produkt,0)*((OFFSET(Grunddaten!$AK$17,El_Produkt,0)-OFFSET(Grunddaten!$Q$17,El_Produkt,0))/100*$G63+$E63),-1))</f>
        <v>0</v>
      </c>
      <c r="BL63" s="250">
        <f ca="1">IF($G63=0,0,ROUND(OFFSET(Grunddaten!CL17,El_Produkt,0)*((OFFSET(Grunddaten!$AK$17,El_Produkt,0)-OFFSET(Grunddaten!$Q$17,El_Produkt,0))/100*$G63+$E63),-1))</f>
        <v>0</v>
      </c>
      <c r="BM63" s="250">
        <f ca="1">IF($G63=0,0,ROUND(OFFSET(Grunddaten!CM17,El_Produkt,0)*((OFFSET(Grunddaten!$AK$17,El_Produkt,0)-OFFSET(Grunddaten!$Q$17,El_Produkt,0))/100*$G63+$E63),-1))</f>
        <v>0</v>
      </c>
      <c r="BN63" s="250">
        <f ca="1">IF($G63=0,0,ROUND(OFFSET(Grunddaten!CN17,El_Produkt,0)*((OFFSET(Grunddaten!$AK$17,El_Produkt,0)-OFFSET(Grunddaten!$Q$17,El_Produkt,0))/100*$G63+$E63),-1))</f>
        <v>0</v>
      </c>
      <c r="BO63" s="250">
        <f ca="1">IF($G63=0,0,ROUND(OFFSET(Grunddaten!CO17,El_Produkt,0)*((OFFSET(Grunddaten!$AK$17,El_Produkt,0)-OFFSET(Grunddaten!$Q$17,El_Produkt,0))/100*$G63+$E63),-1))</f>
        <v>0</v>
      </c>
      <c r="BP63" s="250">
        <f ca="1">IF($G63=0,0,ROUND(OFFSET(Grunddaten!CP17,El_Produkt,0)*((OFFSET(Grunddaten!$AK$17,El_Produkt,0)-OFFSET(Grunddaten!$Q$17,El_Produkt,0))/100*$G63+$E63),-1))</f>
        <v>0</v>
      </c>
      <c r="BQ63" s="251">
        <f ca="1">IF($G63=0,0,ROUND(OFFSET(Grunddaten!CQ17,El_Produkt,0)*((OFFSET(Grunddaten!$AK$17,El_Produkt,0)-OFFSET(Grunddaten!$Q$17,El_Produkt,0))/100*$G63+$E63),-1))</f>
        <v>0</v>
      </c>
    </row>
    <row r="64" spans="1:69" s="36" customFormat="1" ht="11.25" customHeight="1" x14ac:dyDescent="0.2">
      <c r="A64" s="1010" t="s">
        <v>392</v>
      </c>
      <c r="B64" s="1003"/>
      <c r="C64" s="2423">
        <v>0.7</v>
      </c>
      <c r="D64" s="2423"/>
      <c r="E64" s="2400">
        <f>IF(G64,E$61*G64/SUM(G$62:G$65),0)</f>
        <v>0</v>
      </c>
      <c r="F64" s="2401"/>
      <c r="G64" s="2544">
        <f>IF(EV_Var4!$E$68&gt;=0,IF(EV_Var4!$E$68&gt;=(EV_Var4!$E$34 + EV_Var4!$E$38),(EV_Var4!$E$34 + EV_Var4!$E$38),EV_Var4!$E$68),0)*C64</f>
        <v>0</v>
      </c>
      <c r="H64" s="2545"/>
      <c r="I64" s="2546"/>
      <c r="J64" s="2388">
        <f ca="1">OFFSET(Grunddaten!$AL$17,El_Produkt,0)-(1-$R$109)*OFFSET(Grunddaten!$Q$17,El_Produkt,0)</f>
        <v>26.638089320000002</v>
      </c>
      <c r="K64" s="2389"/>
      <c r="L64" s="2319">
        <f t="shared" ca="1" si="4"/>
        <v>0</v>
      </c>
      <c r="M64" s="2320"/>
      <c r="N64" s="2321"/>
      <c r="S64" s="206">
        <f ca="1">IF($G64=0,0,ROUND(OFFSET(Grunddaten!AS17,El_Produkt,0)*((OFFSET(Grunddaten!$AL$17,El_Produkt,0)-OFFSET(Grunddaten!$Q$17,El_Produkt,0))/100*$G64+$E64),-1))</f>
        <v>0</v>
      </c>
      <c r="T64" s="207">
        <f ca="1">IF($G64=0,0,ROUND(OFFSET(Grunddaten!AT17,El_Produkt,0)*((OFFSET(Grunddaten!$AL$17,El_Produkt,0)-OFFSET(Grunddaten!$Q$17,El_Produkt,0))/100*$G64+$E64),-1))</f>
        <v>0</v>
      </c>
      <c r="U64" s="207">
        <f ca="1">IF($G64=0,0,ROUND(OFFSET(Grunddaten!AU17,El_Produkt,0)*((OFFSET(Grunddaten!$AL$17,El_Produkt,0)-OFFSET(Grunddaten!$Q$17,El_Produkt,0))/100*$G64+$E64),-1))</f>
        <v>0</v>
      </c>
      <c r="V64" s="207">
        <f ca="1">IF($G64=0,0,ROUND(OFFSET(Grunddaten!AV17,El_Produkt,0)*((OFFSET(Grunddaten!$AL$17,El_Produkt,0)-OFFSET(Grunddaten!$Q$17,El_Produkt,0))/100*$G64+$E64),-1))</f>
        <v>0</v>
      </c>
      <c r="W64" s="207">
        <f ca="1">IF($G64=0,0,ROUND(OFFSET(Grunddaten!AW17,El_Produkt,0)*((OFFSET(Grunddaten!$AL$17,El_Produkt,0)-OFFSET(Grunddaten!$Q$17,El_Produkt,0))/100*$G64+$E64),-1))</f>
        <v>0</v>
      </c>
      <c r="X64" s="207">
        <f ca="1">IF($G64=0,0,ROUND(OFFSET(Grunddaten!AX17,El_Produkt,0)*((OFFSET(Grunddaten!$AL$17,El_Produkt,0)-OFFSET(Grunddaten!$Q$17,El_Produkt,0))/100*$G64+$E64),-1))</f>
        <v>0</v>
      </c>
      <c r="Y64" s="207">
        <f ca="1">IF($G64=0,0,ROUND(OFFSET(Grunddaten!AY17,El_Produkt,0)*((OFFSET(Grunddaten!$AL$17,El_Produkt,0)-OFFSET(Grunddaten!$Q$17,El_Produkt,0))/100*$G64+$E64),-1))</f>
        <v>0</v>
      </c>
      <c r="Z64" s="207">
        <f ca="1">IF($G64=0,0,ROUND(OFFSET(Grunddaten!AZ17,El_Produkt,0)*((OFFSET(Grunddaten!$AL$17,El_Produkt,0)-OFFSET(Grunddaten!$Q$17,El_Produkt,0))/100*$G64+$E64),-1))</f>
        <v>0</v>
      </c>
      <c r="AA64" s="207">
        <f ca="1">IF($G64=0,0,ROUND(OFFSET(Grunddaten!BA17,El_Produkt,0)*((OFFSET(Grunddaten!$AL$17,El_Produkt,0)-OFFSET(Grunddaten!$Q$17,El_Produkt,0))/100*$G64+$E64),-1))</f>
        <v>0</v>
      </c>
      <c r="AB64" s="246">
        <f ca="1">IF($G64=0,0,ROUND(OFFSET(Grunddaten!BB17,El_Produkt,0)*((OFFSET(Grunddaten!$AL$17,El_Produkt,0)-OFFSET(Grunddaten!$Q$17,El_Produkt,0))/100*$G64+$E64),-1))</f>
        <v>0</v>
      </c>
      <c r="AC64" s="246">
        <f ca="1">IF($G64=0,0,ROUND(OFFSET(Grunddaten!BC17,El_Produkt,0)*((OFFSET(Grunddaten!$AL$17,El_Produkt,0)-OFFSET(Grunddaten!$Q$17,El_Produkt,0))/100*$G64+$E64),-1))</f>
        <v>0</v>
      </c>
      <c r="AD64" s="246">
        <f ca="1">IF($G64=0,0,ROUND(OFFSET(Grunddaten!BD17,El_Produkt,0)*((OFFSET(Grunddaten!$AL$17,El_Produkt,0)-OFFSET(Grunddaten!$Q$17,El_Produkt,0))/100*$G64+$E64),-1))</f>
        <v>0</v>
      </c>
      <c r="AE64" s="246">
        <f ca="1">IF($G64=0,0,ROUND(OFFSET(Grunddaten!BE17,El_Produkt,0)*((OFFSET(Grunddaten!$AL$17,El_Produkt,0)-OFFSET(Grunddaten!$Q$17,El_Produkt,0))/100*$G64+$E64),-1))</f>
        <v>0</v>
      </c>
      <c r="AF64" s="246">
        <f ca="1">IF($G64=0,0,ROUND(OFFSET(Grunddaten!BF17,El_Produkt,0)*((OFFSET(Grunddaten!$AL$17,El_Produkt,0)-OFFSET(Grunddaten!$Q$17,El_Produkt,0))/100*$G64+$E64),-1))</f>
        <v>0</v>
      </c>
      <c r="AG64" s="246">
        <f ca="1">IF($G64=0,0,ROUND(OFFSET(Grunddaten!BG17,El_Produkt,0)*((OFFSET(Grunddaten!$AL$17,El_Produkt,0)-OFFSET(Grunddaten!$Q$17,El_Produkt,0))/100*$G64+$E64),-1))</f>
        <v>0</v>
      </c>
      <c r="AH64" s="247">
        <f ca="1">IF($G64=0,0,ROUND(OFFSET(Grunddaten!BH17,El_Produkt,0)*((OFFSET(Grunddaten!$AL$17,El_Produkt,0)-OFFSET(Grunddaten!$Q$17,El_Produkt,0))/100*$G64+$E64),-1))</f>
        <v>0</v>
      </c>
      <c r="AI64" s="247">
        <f ca="1">IF($G64=0,0,ROUND(OFFSET(Grunddaten!BI17,El_Produkt,0)*((OFFSET(Grunddaten!$AL$17,El_Produkt,0)-OFFSET(Grunddaten!$Q$17,El_Produkt,0))/100*$G64+$E64),-1))</f>
        <v>0</v>
      </c>
      <c r="AJ64" s="247">
        <f ca="1">IF($G64=0,0,ROUND(OFFSET(Grunddaten!BJ17,El_Produkt,0)*((OFFSET(Grunddaten!$AL$17,El_Produkt,0)-OFFSET(Grunddaten!$Q$17,El_Produkt,0))/100*$G64+$E64),-1))</f>
        <v>0</v>
      </c>
      <c r="AK64" s="247">
        <f ca="1">IF($G64=0,0,ROUND(OFFSET(Grunddaten!BK17,El_Produkt,0)*((OFFSET(Grunddaten!$AL$17,El_Produkt,0)-OFFSET(Grunddaten!$Q$17,El_Produkt,0))/100*$G64+$E64),-1))</f>
        <v>0</v>
      </c>
      <c r="AL64" s="247">
        <f ca="1">IF($G64=0,0,ROUND(OFFSET(Grunddaten!BL17,El_Produkt,0)*((OFFSET(Grunddaten!$AL$17,El_Produkt,0)-OFFSET(Grunddaten!$Q$17,El_Produkt,0))/100*$G64+$E64),-1))</f>
        <v>0</v>
      </c>
      <c r="AM64" s="247">
        <f ca="1">IF($G64=0,0,ROUND(OFFSET(Grunddaten!BM17,El_Produkt,0)*((OFFSET(Grunddaten!$AL$17,El_Produkt,0)-OFFSET(Grunddaten!$Q$17,El_Produkt,0))/100*$G64+$E64),-1))</f>
        <v>0</v>
      </c>
      <c r="AN64" s="247">
        <f ca="1">IF($G64=0,0,ROUND(OFFSET(Grunddaten!BN17,El_Produkt,0)*((OFFSET(Grunddaten!$AL$17,El_Produkt,0)-OFFSET(Grunddaten!$Q$17,El_Produkt,0))/100*$G64+$E64),-1))</f>
        <v>0</v>
      </c>
      <c r="AO64" s="247">
        <f ca="1">IF($G64=0,0,ROUND(OFFSET(Grunddaten!BO17,El_Produkt,0)*((OFFSET(Grunddaten!$AL$17,El_Produkt,0)-OFFSET(Grunddaten!$Q$17,El_Produkt,0))/100*$G64+$E64),-1))</f>
        <v>0</v>
      </c>
      <c r="AP64" s="247">
        <f ca="1">IF($G64=0,0,ROUND(OFFSET(Grunddaten!BP17,El_Produkt,0)*((OFFSET(Grunddaten!$AL$17,El_Produkt,0)-OFFSET(Grunddaten!$Q$17,El_Produkt,0))/100*$G64+$E64),-1))</f>
        <v>0</v>
      </c>
      <c r="AQ64" s="247">
        <f ca="1">IF($G64=0,0,ROUND(OFFSET(Grunddaten!BQ17,El_Produkt,0)*((OFFSET(Grunddaten!$AL$17,El_Produkt,0)-OFFSET(Grunddaten!$Q$17,El_Produkt,0))/100*$G64+$E64),-1))</f>
        <v>0</v>
      </c>
      <c r="AR64" s="247">
        <f ca="1">IF($G64=0,0,ROUND(OFFSET(Grunddaten!BR17,El_Produkt,0)*((OFFSET(Grunddaten!$AL$17,El_Produkt,0)-OFFSET(Grunddaten!$Q$17,El_Produkt,0))/100*$G64+$E64),-1))</f>
        <v>0</v>
      </c>
      <c r="AS64" s="247">
        <f ca="1">IF($G64=0,0,ROUND(OFFSET(Grunddaten!BS17,El_Produkt,0)*((OFFSET(Grunddaten!$AL$17,El_Produkt,0)-OFFSET(Grunddaten!$Q$17,El_Produkt,0))/100*$G64+$E64),-1))</f>
        <v>0</v>
      </c>
      <c r="AT64" s="247">
        <f ca="1">IF($G64=0,0,ROUND(OFFSET(Grunddaten!BT17,El_Produkt,0)*((OFFSET(Grunddaten!$AL$17,El_Produkt,0)-OFFSET(Grunddaten!$Q$17,El_Produkt,0))/100*$G64+$E64),-1))</f>
        <v>0</v>
      </c>
      <c r="AU64" s="247">
        <f ca="1">IF($G64=0,0,ROUND(OFFSET(Grunddaten!BU17,El_Produkt,0)*((OFFSET(Grunddaten!$AL$17,El_Produkt,0)-OFFSET(Grunddaten!$Q$17,El_Produkt,0))/100*$G64+$E64),-1))</f>
        <v>0</v>
      </c>
      <c r="AV64" s="247">
        <f ca="1">IF($G64=0,0,ROUND(OFFSET(Grunddaten!BV17,El_Produkt,0)*((OFFSET(Grunddaten!$AL$17,El_Produkt,0)-OFFSET(Grunddaten!$Q$17,El_Produkt,0))/100*$G64+$E64),-1))</f>
        <v>0</v>
      </c>
      <c r="AW64" s="247">
        <f ca="1">IF($G64=0,0,ROUND(OFFSET(Grunddaten!BW17,El_Produkt,0)*((OFFSET(Grunddaten!$AL$17,El_Produkt,0)-OFFSET(Grunddaten!$Q$17,El_Produkt,0))/100*$G64+$E64),-1))</f>
        <v>0</v>
      </c>
      <c r="AX64" s="247">
        <f ca="1">IF($G64=0,0,ROUND(OFFSET(Grunddaten!BX17,El_Produkt,0)*((OFFSET(Grunddaten!$AL$17,El_Produkt,0)-OFFSET(Grunddaten!$Q$17,El_Produkt,0))/100*$G64+$E64),-1))</f>
        <v>0</v>
      </c>
      <c r="AY64" s="247">
        <f ca="1">IF($G64=0,0,ROUND(OFFSET(Grunddaten!BY17,El_Produkt,0)*((OFFSET(Grunddaten!$AL$17,El_Produkt,0)-OFFSET(Grunddaten!$Q$17,El_Produkt,0))/100*$G64+$E64),-1))</f>
        <v>0</v>
      </c>
      <c r="AZ64" s="247">
        <f ca="1">IF($G64=0,0,ROUND(OFFSET(Grunddaten!BZ17,El_Produkt,0)*((OFFSET(Grunddaten!$AL$17,El_Produkt,0)-OFFSET(Grunddaten!$Q$17,El_Produkt,0))/100*$G64+$E64),-1))</f>
        <v>0</v>
      </c>
      <c r="BA64" s="247">
        <f ca="1">IF($G64=0,0,ROUND(OFFSET(Grunddaten!CA17,El_Produkt,0)*((OFFSET(Grunddaten!$AL$17,El_Produkt,0)-OFFSET(Grunddaten!$Q$17,El_Produkt,0))/100*$G64+$E64),-1))</f>
        <v>0</v>
      </c>
      <c r="BB64" s="247">
        <f ca="1">IF($G64=0,0,ROUND(OFFSET(Grunddaten!CB17,El_Produkt,0)*((OFFSET(Grunddaten!$AL$17,El_Produkt,0)-OFFSET(Grunddaten!$Q$17,El_Produkt,0))/100*$G64+$E64),-1))</f>
        <v>0</v>
      </c>
      <c r="BC64" s="247">
        <f ca="1">IF($G64=0,0,ROUND(OFFSET(Grunddaten!CC17,El_Produkt,0)*((OFFSET(Grunddaten!$AL$17,El_Produkt,0)-OFFSET(Grunddaten!$Q$17,El_Produkt,0))/100*$G64+$E64),-1))</f>
        <v>0</v>
      </c>
      <c r="BD64" s="247">
        <f ca="1">IF($G64=0,0,ROUND(OFFSET(Grunddaten!CD17,El_Produkt,0)*((OFFSET(Grunddaten!$AL$17,El_Produkt,0)-OFFSET(Grunddaten!$Q$17,El_Produkt,0))/100*$G64+$E64),-1))</f>
        <v>0</v>
      </c>
      <c r="BE64" s="247">
        <f ca="1">IF($G64=0,0,ROUND(OFFSET(Grunddaten!CE17,El_Produkt,0)*((OFFSET(Grunddaten!$AL$17,El_Produkt,0)-OFFSET(Grunddaten!$Q$17,El_Produkt,0))/100*$G64+$E64),-1))</f>
        <v>0</v>
      </c>
      <c r="BF64" s="247">
        <f ca="1">IF($G64=0,0,ROUND(OFFSET(Grunddaten!CF17,El_Produkt,0)*((OFFSET(Grunddaten!$AL$17,El_Produkt,0)-OFFSET(Grunddaten!$Q$17,El_Produkt,0))/100*$G64+$E64),-1))</f>
        <v>0</v>
      </c>
      <c r="BG64" s="247">
        <f ca="1">IF($G64=0,0,ROUND(OFFSET(Grunddaten!CG17,El_Produkt,0)*((OFFSET(Grunddaten!$AL$17,El_Produkt,0)-OFFSET(Grunddaten!$Q$17,El_Produkt,0))/100*$G64+$E64),-1))</f>
        <v>0</v>
      </c>
      <c r="BH64" s="247">
        <f ca="1">IF($G64=0,0,ROUND(OFFSET(Grunddaten!CH17,El_Produkt,0)*((OFFSET(Grunddaten!$AL$17,El_Produkt,0)-OFFSET(Grunddaten!$Q$17,El_Produkt,0))/100*$G64+$E64),-1))</f>
        <v>0</v>
      </c>
      <c r="BI64" s="247">
        <f ca="1">IF($G64=0,0,ROUND(OFFSET(Grunddaten!CI17,El_Produkt,0)*((OFFSET(Grunddaten!$AL$17,El_Produkt,0)-OFFSET(Grunddaten!$Q$17,El_Produkt,0))/100*$G64+$E64),-1))</f>
        <v>0</v>
      </c>
      <c r="BJ64" s="247">
        <f ca="1">IF($G64=0,0,ROUND(OFFSET(Grunddaten!CJ17,El_Produkt,0)*((OFFSET(Grunddaten!$AL$17,El_Produkt,0)-OFFSET(Grunddaten!$Q$17,El_Produkt,0))/100*$G64+$E64),-1))</f>
        <v>0</v>
      </c>
      <c r="BK64" s="247">
        <f ca="1">IF($G64=0,0,ROUND(OFFSET(Grunddaten!CK17,El_Produkt,0)*((OFFSET(Grunddaten!$AL$17,El_Produkt,0)-OFFSET(Grunddaten!$Q$17,El_Produkt,0))/100*$G64+$E64),-1))</f>
        <v>0</v>
      </c>
      <c r="BL64" s="247">
        <f ca="1">IF($G64=0,0,ROUND(OFFSET(Grunddaten!CL17,El_Produkt,0)*((OFFSET(Grunddaten!$AL$17,El_Produkt,0)-OFFSET(Grunddaten!$Q$17,El_Produkt,0))/100*$G64+$E64),-1))</f>
        <v>0</v>
      </c>
      <c r="BM64" s="247">
        <f ca="1">IF($G64=0,0,ROUND(OFFSET(Grunddaten!CM17,El_Produkt,0)*((OFFSET(Grunddaten!$AL$17,El_Produkt,0)-OFFSET(Grunddaten!$Q$17,El_Produkt,0))/100*$G64+$E64),-1))</f>
        <v>0</v>
      </c>
      <c r="BN64" s="247">
        <f ca="1">IF($G64=0,0,ROUND(OFFSET(Grunddaten!CN17,El_Produkt,0)*((OFFSET(Grunddaten!$AL$17,El_Produkt,0)-OFFSET(Grunddaten!$Q$17,El_Produkt,0))/100*$G64+$E64),-1))</f>
        <v>0</v>
      </c>
      <c r="BO64" s="247">
        <f ca="1">IF($G64=0,0,ROUND(OFFSET(Grunddaten!CO17,El_Produkt,0)*((OFFSET(Grunddaten!$AL$17,El_Produkt,0)-OFFSET(Grunddaten!$Q$17,El_Produkt,0))/100*$G64+$E64),-1))</f>
        <v>0</v>
      </c>
      <c r="BP64" s="247">
        <f ca="1">IF($G64=0,0,ROUND(OFFSET(Grunddaten!CP17,El_Produkt,0)*((OFFSET(Grunddaten!$AL$17,El_Produkt,0)-OFFSET(Grunddaten!$Q$17,El_Produkt,0))/100*$G64+$E64),-1))</f>
        <v>0</v>
      </c>
      <c r="BQ64" s="248">
        <f ca="1">IF($G64=0,0,ROUND(OFFSET(Grunddaten!CQ17,El_Produkt,0)*((OFFSET(Grunddaten!$AL$17,El_Produkt,0)-OFFSET(Grunddaten!$Q$17,El_Produkt,0))/100*$G64+$E64),-1))</f>
        <v>0</v>
      </c>
    </row>
    <row r="65" spans="1:69" s="36" customFormat="1" ht="11.25" customHeight="1" x14ac:dyDescent="0.2">
      <c r="A65" s="1005" t="s">
        <v>393</v>
      </c>
      <c r="B65" s="1006"/>
      <c r="C65" s="2524">
        <f>1-C64</f>
        <v>0.30000000000000004</v>
      </c>
      <c r="D65" s="2524"/>
      <c r="E65" s="2397">
        <f>IF(G65,E$61*G65/SUM(G$62:G$65),0)</f>
        <v>0</v>
      </c>
      <c r="F65" s="2398"/>
      <c r="G65" s="2392">
        <f>IF(EV_Var4!$E$68&gt;=0,IF(EV_Var4!$E$68&gt;=(EV_Var4!$E$34 + EV_Var4!$E$38),(EV_Var4!$E$34 + EV_Var4!$E$38),EV_Var4!$E$68),0)*C65</f>
        <v>0</v>
      </c>
      <c r="H65" s="2393"/>
      <c r="I65" s="2394"/>
      <c r="J65" s="2390">
        <f ca="1">OFFSET(Grunddaten!$AM$17,El_Produkt,0)-(1-$R$109)*OFFSET(Grunddaten!$Q$17,El_Produkt,0)</f>
        <v>17.706284570000001</v>
      </c>
      <c r="K65" s="2391"/>
      <c r="L65" s="2424">
        <f t="shared" ca="1" si="4"/>
        <v>0</v>
      </c>
      <c r="M65" s="2425"/>
      <c r="N65" s="2426"/>
      <c r="S65" s="208">
        <f ca="1">IF($G65=0,0,ROUND(OFFSET(Grunddaten!AS17,El_Produkt,0)*((OFFSET(Grunddaten!$AM$17,El_Produkt,0)-OFFSET(Grunddaten!$Q$17,El_Produkt,0))/100*$G65+$E65),-1))</f>
        <v>0</v>
      </c>
      <c r="T65" s="209">
        <f ca="1">IF($G65=0,0,ROUND(OFFSET(Grunddaten!AT17,El_Produkt,0)*((OFFSET(Grunddaten!$AM$17,El_Produkt,0)-OFFSET(Grunddaten!$Q$17,El_Produkt,0))/100*$G65+$E65),-1))</f>
        <v>0</v>
      </c>
      <c r="U65" s="209">
        <f ca="1">IF($G65=0,0,ROUND(OFFSET(Grunddaten!AU17,El_Produkt,0)*((OFFSET(Grunddaten!$AM$17,El_Produkt,0)-OFFSET(Grunddaten!$Q$17,El_Produkt,0))/100*$G65+$E65),-1))</f>
        <v>0</v>
      </c>
      <c r="V65" s="209">
        <f ca="1">IF($G65=0,0,ROUND(OFFSET(Grunddaten!AV17,El_Produkt,0)*((OFFSET(Grunddaten!$AM$17,El_Produkt,0)-OFFSET(Grunddaten!$Q$17,El_Produkt,0))/100*$G65+$E65),-1))</f>
        <v>0</v>
      </c>
      <c r="W65" s="209">
        <f ca="1">IF($G65=0,0,ROUND(OFFSET(Grunddaten!AW17,El_Produkt,0)*((OFFSET(Grunddaten!$AM$17,El_Produkt,0)-OFFSET(Grunddaten!$Q$17,El_Produkt,0))/100*$G65+$E65),-1))</f>
        <v>0</v>
      </c>
      <c r="X65" s="209">
        <f ca="1">IF($G65=0,0,ROUND(OFFSET(Grunddaten!AX17,El_Produkt,0)*((OFFSET(Grunddaten!$AM$17,El_Produkt,0)-OFFSET(Grunddaten!$Q$17,El_Produkt,0))/100*$G65+$E65),-1))</f>
        <v>0</v>
      </c>
      <c r="Y65" s="209">
        <f ca="1">IF($G65=0,0,ROUND(OFFSET(Grunddaten!AY17,El_Produkt,0)*((OFFSET(Grunddaten!$AM$17,El_Produkt,0)-OFFSET(Grunddaten!$Q$17,El_Produkt,0))/100*$G65+$E65),-1))</f>
        <v>0</v>
      </c>
      <c r="Z65" s="209">
        <f ca="1">IF($G65=0,0,ROUND(OFFSET(Grunddaten!AZ17,El_Produkt,0)*((OFFSET(Grunddaten!$AM$17,El_Produkt,0)-OFFSET(Grunddaten!$Q$17,El_Produkt,0))/100*$G65+$E65),-1))</f>
        <v>0</v>
      </c>
      <c r="AA65" s="209">
        <f ca="1">IF($G65=0,0,ROUND(OFFSET(Grunddaten!BA17,El_Produkt,0)*((OFFSET(Grunddaten!$AM$17,El_Produkt,0)-OFFSET(Grunddaten!$Q$17,El_Produkt,0))/100*$G65+$E65),-1))</f>
        <v>0</v>
      </c>
      <c r="AB65" s="249">
        <f ca="1">IF($G65=0,0,ROUND(OFFSET(Grunddaten!BB17,El_Produkt,0)*((OFFSET(Grunddaten!$AM$17,El_Produkt,0)-OFFSET(Grunddaten!$Q$17,El_Produkt,0))/100*$G65+$E65),-1))</f>
        <v>0</v>
      </c>
      <c r="AC65" s="249">
        <f ca="1">IF($G65=0,0,ROUND(OFFSET(Grunddaten!BC17,El_Produkt,0)*((OFFSET(Grunddaten!$AM$17,El_Produkt,0)-OFFSET(Grunddaten!$Q$17,El_Produkt,0))/100*$G65+$E65),-1))</f>
        <v>0</v>
      </c>
      <c r="AD65" s="249">
        <f ca="1">IF($G65=0,0,ROUND(OFFSET(Grunddaten!BD17,El_Produkt,0)*((OFFSET(Grunddaten!$AM$17,El_Produkt,0)-OFFSET(Grunddaten!$Q$17,El_Produkt,0))/100*$G65+$E65),-1))</f>
        <v>0</v>
      </c>
      <c r="AE65" s="249">
        <f ca="1">IF($G65=0,0,ROUND(OFFSET(Grunddaten!BE17,El_Produkt,0)*((OFFSET(Grunddaten!$AM$17,El_Produkt,0)-OFFSET(Grunddaten!$Q$17,El_Produkt,0))/100*$G65+$E65),-1))</f>
        <v>0</v>
      </c>
      <c r="AF65" s="249">
        <f ca="1">IF($G65=0,0,ROUND(OFFSET(Grunddaten!BF17,El_Produkt,0)*((OFFSET(Grunddaten!$AM$17,El_Produkt,0)-OFFSET(Grunddaten!$Q$17,El_Produkt,0))/100*$G65+$E65),-1))</f>
        <v>0</v>
      </c>
      <c r="AG65" s="249">
        <f ca="1">IF($G65=0,0,ROUND(OFFSET(Grunddaten!BG17,El_Produkt,0)*((OFFSET(Grunddaten!$AM$17,El_Produkt,0)-OFFSET(Grunddaten!$Q$17,El_Produkt,0))/100*$G65+$E65),-1))</f>
        <v>0</v>
      </c>
      <c r="AH65" s="250">
        <f ca="1">IF($G65=0,0,ROUND(OFFSET(Grunddaten!BH17,El_Produkt,0)*((OFFSET(Grunddaten!$AM$17,El_Produkt,0)-OFFSET(Grunddaten!$Q$17,El_Produkt,0))/100*$G65+$E65),-1))</f>
        <v>0</v>
      </c>
      <c r="AI65" s="250">
        <f ca="1">IF($G65=0,0,ROUND(OFFSET(Grunddaten!BI17,El_Produkt,0)*((OFFSET(Grunddaten!$AM$17,El_Produkt,0)-OFFSET(Grunddaten!$Q$17,El_Produkt,0))/100*$G65+$E65),-1))</f>
        <v>0</v>
      </c>
      <c r="AJ65" s="250">
        <f ca="1">IF($G65=0,0,ROUND(OFFSET(Grunddaten!BJ17,El_Produkt,0)*((OFFSET(Grunddaten!$AM$17,El_Produkt,0)-OFFSET(Grunddaten!$Q$17,El_Produkt,0))/100*$G65+$E65),-1))</f>
        <v>0</v>
      </c>
      <c r="AK65" s="250">
        <f ca="1">IF($G65=0,0,ROUND(OFFSET(Grunddaten!BK17,El_Produkt,0)*((OFFSET(Grunddaten!$AM$17,El_Produkt,0)-OFFSET(Grunddaten!$Q$17,El_Produkt,0))/100*$G65+$E65),-1))</f>
        <v>0</v>
      </c>
      <c r="AL65" s="250">
        <f ca="1">IF($G65=0,0,ROUND(OFFSET(Grunddaten!BL17,El_Produkt,0)*((OFFSET(Grunddaten!$AM$17,El_Produkt,0)-OFFSET(Grunddaten!$Q$17,El_Produkt,0))/100*$G65+$E65),-1))</f>
        <v>0</v>
      </c>
      <c r="AM65" s="250">
        <f ca="1">IF($G65=0,0,ROUND(OFFSET(Grunddaten!BM17,El_Produkt,0)*((OFFSET(Grunddaten!$AM$17,El_Produkt,0)-OFFSET(Grunddaten!$Q$17,El_Produkt,0))/100*$G65+$E65),-1))</f>
        <v>0</v>
      </c>
      <c r="AN65" s="250">
        <f ca="1">IF($G65=0,0,ROUND(OFFSET(Grunddaten!BN17,El_Produkt,0)*((OFFSET(Grunddaten!$AM$17,El_Produkt,0)-OFFSET(Grunddaten!$Q$17,El_Produkt,0))/100*$G65+$E65),-1))</f>
        <v>0</v>
      </c>
      <c r="AO65" s="250">
        <f ca="1">IF($G65=0,0,ROUND(OFFSET(Grunddaten!BO17,El_Produkt,0)*((OFFSET(Grunddaten!$AM$17,El_Produkt,0)-OFFSET(Grunddaten!$Q$17,El_Produkt,0))/100*$G65+$E65),-1))</f>
        <v>0</v>
      </c>
      <c r="AP65" s="250">
        <f ca="1">IF($G65=0,0,ROUND(OFFSET(Grunddaten!BP17,El_Produkt,0)*((OFFSET(Grunddaten!$AM$17,El_Produkt,0)-OFFSET(Grunddaten!$Q$17,El_Produkt,0))/100*$G65+$E65),-1))</f>
        <v>0</v>
      </c>
      <c r="AQ65" s="250">
        <f ca="1">IF($G65=0,0,ROUND(OFFSET(Grunddaten!BQ17,El_Produkt,0)*((OFFSET(Grunddaten!$AM$17,El_Produkt,0)-OFFSET(Grunddaten!$Q$17,El_Produkt,0))/100*$G65+$E65),-1))</f>
        <v>0</v>
      </c>
      <c r="AR65" s="250">
        <f ca="1">IF($G65=0,0,ROUND(OFFSET(Grunddaten!BR17,El_Produkt,0)*((OFFSET(Grunddaten!$AM$17,El_Produkt,0)-OFFSET(Grunddaten!$Q$17,El_Produkt,0))/100*$G65+$E65),-1))</f>
        <v>0</v>
      </c>
      <c r="AS65" s="250">
        <f ca="1">IF($G65=0,0,ROUND(OFFSET(Grunddaten!BS17,El_Produkt,0)*((OFFSET(Grunddaten!$AM$17,El_Produkt,0)-OFFSET(Grunddaten!$Q$17,El_Produkt,0))/100*$G65+$E65),-1))</f>
        <v>0</v>
      </c>
      <c r="AT65" s="250">
        <f ca="1">IF($G65=0,0,ROUND(OFFSET(Grunddaten!BT17,El_Produkt,0)*((OFFSET(Grunddaten!$AM$17,El_Produkt,0)-OFFSET(Grunddaten!$Q$17,El_Produkt,0))/100*$G65+$E65),-1))</f>
        <v>0</v>
      </c>
      <c r="AU65" s="250">
        <f ca="1">IF($G65=0,0,ROUND(OFFSET(Grunddaten!BU17,El_Produkt,0)*((OFFSET(Grunddaten!$AM$17,El_Produkt,0)-OFFSET(Grunddaten!$Q$17,El_Produkt,0))/100*$G65+$E65),-1))</f>
        <v>0</v>
      </c>
      <c r="AV65" s="250">
        <f ca="1">IF($G65=0,0,ROUND(OFFSET(Grunddaten!BV17,El_Produkt,0)*((OFFSET(Grunddaten!$AM$17,El_Produkt,0)-OFFSET(Grunddaten!$Q$17,El_Produkt,0))/100*$G65+$E65),-1))</f>
        <v>0</v>
      </c>
      <c r="AW65" s="250">
        <f ca="1">IF($G65=0,0,ROUND(OFFSET(Grunddaten!BW17,El_Produkt,0)*((OFFSET(Grunddaten!$AM$17,El_Produkt,0)-OFFSET(Grunddaten!$Q$17,El_Produkt,0))/100*$G65+$E65),-1))</f>
        <v>0</v>
      </c>
      <c r="AX65" s="250">
        <f ca="1">IF($G65=0,0,ROUND(OFFSET(Grunddaten!BX17,El_Produkt,0)*((OFFSET(Grunddaten!$AM$17,El_Produkt,0)-OFFSET(Grunddaten!$Q$17,El_Produkt,0))/100*$G65+$E65),-1))</f>
        <v>0</v>
      </c>
      <c r="AY65" s="250">
        <f ca="1">IF($G65=0,0,ROUND(OFFSET(Grunddaten!BY17,El_Produkt,0)*((OFFSET(Grunddaten!$AM$17,El_Produkt,0)-OFFSET(Grunddaten!$Q$17,El_Produkt,0))/100*$G65+$E65),-1))</f>
        <v>0</v>
      </c>
      <c r="AZ65" s="250">
        <f ca="1">IF($G65=0,0,ROUND(OFFSET(Grunddaten!BZ17,El_Produkt,0)*((OFFSET(Grunddaten!$AM$17,El_Produkt,0)-OFFSET(Grunddaten!$Q$17,El_Produkt,0))/100*$G65+$E65),-1))</f>
        <v>0</v>
      </c>
      <c r="BA65" s="250">
        <f ca="1">IF($G65=0,0,ROUND(OFFSET(Grunddaten!CA17,El_Produkt,0)*((OFFSET(Grunddaten!$AM$17,El_Produkt,0)-OFFSET(Grunddaten!$Q$17,El_Produkt,0))/100*$G65+$E65),-1))</f>
        <v>0</v>
      </c>
      <c r="BB65" s="250">
        <f ca="1">IF($G65=0,0,ROUND(OFFSET(Grunddaten!CB17,El_Produkt,0)*((OFFSET(Grunddaten!$AM$17,El_Produkt,0)-OFFSET(Grunddaten!$Q$17,El_Produkt,0))/100*$G65+$E65),-1))</f>
        <v>0</v>
      </c>
      <c r="BC65" s="250">
        <f ca="1">IF($G65=0,0,ROUND(OFFSET(Grunddaten!CC17,El_Produkt,0)*((OFFSET(Grunddaten!$AM$17,El_Produkt,0)-OFFSET(Grunddaten!$Q$17,El_Produkt,0))/100*$G65+$E65),-1))</f>
        <v>0</v>
      </c>
      <c r="BD65" s="250">
        <f ca="1">IF($G65=0,0,ROUND(OFFSET(Grunddaten!CD17,El_Produkt,0)*((OFFSET(Grunddaten!$AM$17,El_Produkt,0)-OFFSET(Grunddaten!$Q$17,El_Produkt,0))/100*$G65+$E65),-1))</f>
        <v>0</v>
      </c>
      <c r="BE65" s="250">
        <f ca="1">IF($G65=0,0,ROUND(OFFSET(Grunddaten!CE17,El_Produkt,0)*((OFFSET(Grunddaten!$AM$17,El_Produkt,0)-OFFSET(Grunddaten!$Q$17,El_Produkt,0))/100*$G65+$E65),-1))</f>
        <v>0</v>
      </c>
      <c r="BF65" s="250">
        <f ca="1">IF($G65=0,0,ROUND(OFFSET(Grunddaten!CF17,El_Produkt,0)*((OFFSET(Grunddaten!$AM$17,El_Produkt,0)-OFFSET(Grunddaten!$Q$17,El_Produkt,0))/100*$G65+$E65),-1))</f>
        <v>0</v>
      </c>
      <c r="BG65" s="250">
        <f ca="1">IF($G65=0,0,ROUND(OFFSET(Grunddaten!CG17,El_Produkt,0)*((OFFSET(Grunddaten!$AM$17,El_Produkt,0)-OFFSET(Grunddaten!$Q$17,El_Produkt,0))/100*$G65+$E65),-1))</f>
        <v>0</v>
      </c>
      <c r="BH65" s="250">
        <f ca="1">IF($G65=0,0,ROUND(OFFSET(Grunddaten!CH17,El_Produkt,0)*((OFFSET(Grunddaten!$AM$17,El_Produkt,0)-OFFSET(Grunddaten!$Q$17,El_Produkt,0))/100*$G65+$E65),-1))</f>
        <v>0</v>
      </c>
      <c r="BI65" s="250">
        <f ca="1">IF($G65=0,0,ROUND(OFFSET(Grunddaten!CI17,El_Produkt,0)*((OFFSET(Grunddaten!$AM$17,El_Produkt,0)-OFFSET(Grunddaten!$Q$17,El_Produkt,0))/100*$G65+$E65),-1))</f>
        <v>0</v>
      </c>
      <c r="BJ65" s="250">
        <f ca="1">IF($G65=0,0,ROUND(OFFSET(Grunddaten!CJ17,El_Produkt,0)*((OFFSET(Grunddaten!$AM$17,El_Produkt,0)-OFFSET(Grunddaten!$Q$17,El_Produkt,0))/100*$G65+$E65),-1))</f>
        <v>0</v>
      </c>
      <c r="BK65" s="250">
        <f ca="1">IF($G65=0,0,ROUND(OFFSET(Grunddaten!CK17,El_Produkt,0)*((OFFSET(Grunddaten!$AM$17,El_Produkt,0)-OFFSET(Grunddaten!$Q$17,El_Produkt,0))/100*$G65+$E65),-1))</f>
        <v>0</v>
      </c>
      <c r="BL65" s="250">
        <f ca="1">IF($G65=0,0,ROUND(OFFSET(Grunddaten!CL17,El_Produkt,0)*((OFFSET(Grunddaten!$AM$17,El_Produkt,0)-OFFSET(Grunddaten!$Q$17,El_Produkt,0))/100*$G65+$E65),-1))</f>
        <v>0</v>
      </c>
      <c r="BM65" s="250">
        <f ca="1">IF($G65=0,0,ROUND(OFFSET(Grunddaten!CM17,El_Produkt,0)*((OFFSET(Grunddaten!$AM$17,El_Produkt,0)-OFFSET(Grunddaten!$Q$17,El_Produkt,0))/100*$G65+$E65),-1))</f>
        <v>0</v>
      </c>
      <c r="BN65" s="250">
        <f ca="1">IF($G65=0,0,ROUND(OFFSET(Grunddaten!CN17,El_Produkt,0)*((OFFSET(Grunddaten!$AM$17,El_Produkt,0)-OFFSET(Grunddaten!$Q$17,El_Produkt,0))/100*$G65+$E65),-1))</f>
        <v>0</v>
      </c>
      <c r="BO65" s="250">
        <f ca="1">IF($G65=0,0,ROUND(OFFSET(Grunddaten!CO17,El_Produkt,0)*((OFFSET(Grunddaten!$AM$17,El_Produkt,0)-OFFSET(Grunddaten!$Q$17,El_Produkt,0))/100*$G65+$E65),-1))</f>
        <v>0</v>
      </c>
      <c r="BP65" s="250">
        <f ca="1">IF($G65=0,0,ROUND(OFFSET(Grunddaten!CP17,El_Produkt,0)*((OFFSET(Grunddaten!$AM$17,El_Produkt,0)-OFFSET(Grunddaten!$Q$17,El_Produkt,0))/100*$G65+$E65),-1))</f>
        <v>0</v>
      </c>
      <c r="BQ65" s="251">
        <f ca="1">IF($G65=0,0,ROUND(OFFSET(Grunddaten!CQ17,El_Produkt,0)*((OFFSET(Grunddaten!$AM$17,El_Produkt,0)-OFFSET(Grunddaten!$Q$17,El_Produkt,0))/100*$G65+$E65),-1))</f>
        <v>0</v>
      </c>
    </row>
    <row r="66" spans="1:69" s="36" customFormat="1" ht="11.25" customHeight="1" x14ac:dyDescent="0.2">
      <c r="A66" s="1010" t="s">
        <v>543</v>
      </c>
      <c r="B66" s="1003"/>
      <c r="C66" s="2423">
        <v>0.9</v>
      </c>
      <c r="D66" s="2423"/>
      <c r="E66" s="2400"/>
      <c r="F66" s="2401"/>
      <c r="G66" s="2544">
        <f>-Berechnungen!$J$48*C66</f>
        <v>0</v>
      </c>
      <c r="H66" s="2545"/>
      <c r="I66" s="2546"/>
      <c r="J66" s="2388">
        <f>Grunddaten!$S$41-(1-$R$109)*Grunddaten!$Q$41</f>
        <v>14.5985</v>
      </c>
      <c r="K66" s="2389"/>
      <c r="L66" s="2319">
        <f t="shared" si="4"/>
        <v>0</v>
      </c>
      <c r="M66" s="2320"/>
      <c r="N66" s="2321"/>
      <c r="S66" s="206">
        <f ca="1">ROUND(Grunddaten!AS41*((Grunddaten!$S41-Grunddaten!$Q41)/100*$G66+$E66),-1)</f>
        <v>0</v>
      </c>
      <c r="T66" s="207">
        <f ca="1">ROUND(Grunddaten!AT41*((Grunddaten!$S41-Grunddaten!$Q41)/100*$G66+$E66),-1)</f>
        <v>0</v>
      </c>
      <c r="U66" s="207">
        <f ca="1">ROUND(Grunddaten!AU41*((Grunddaten!$S41-Grunddaten!$Q41)/100*$G66+$E66),-1)</f>
        <v>0</v>
      </c>
      <c r="V66" s="207">
        <f ca="1">ROUND(Grunddaten!AV41*((Grunddaten!$S41-Grunddaten!$Q41)/100*$G66+$E66),-1)</f>
        <v>0</v>
      </c>
      <c r="W66" s="207">
        <f ca="1">ROUND(Grunddaten!AW41*((Grunddaten!$S41-Grunddaten!$Q41)/100*$G66+$E66),-1)</f>
        <v>0</v>
      </c>
      <c r="X66" s="207">
        <f ca="1">ROUND(Grunddaten!AX41*((Grunddaten!$S41-Grunddaten!$Q41)/100*$G66+$E66),-1)</f>
        <v>0</v>
      </c>
      <c r="Y66" s="207">
        <f ca="1">ROUND(Grunddaten!AY41*((Grunddaten!$S41-Grunddaten!$Q41)/100*$G66+$E66),-1)</f>
        <v>0</v>
      </c>
      <c r="Z66" s="207">
        <f ca="1">ROUND(Grunddaten!AZ41*((Grunddaten!$S41-Grunddaten!$Q41)/100*$G66+$E66),-1)</f>
        <v>0</v>
      </c>
      <c r="AA66" s="207">
        <f ca="1">ROUND(Grunddaten!BA41*((Grunddaten!$S41-Grunddaten!$Q41)/100*$G66+$E66),-1)</f>
        <v>0</v>
      </c>
      <c r="AB66" s="246">
        <f ca="1">ROUND(Grunddaten!BB41*((Grunddaten!$S41-Grunddaten!$Q41)/100*$G66+$E66),-1)</f>
        <v>0</v>
      </c>
      <c r="AC66" s="246">
        <f ca="1">ROUND(Grunddaten!BC41*((Grunddaten!$S41-Grunddaten!$Q41)/100*$G66+$E66),-1)</f>
        <v>0</v>
      </c>
      <c r="AD66" s="246">
        <f ca="1">ROUND(Grunddaten!BD41*((Grunddaten!$S41-Grunddaten!$Q41)/100*$G66+$E66),-1)</f>
        <v>0</v>
      </c>
      <c r="AE66" s="246">
        <f ca="1">ROUND(Grunddaten!BE41*((Grunddaten!$S41-Grunddaten!$Q41)/100*$G66+$E66),-1)</f>
        <v>0</v>
      </c>
      <c r="AF66" s="246">
        <f ca="1">ROUND(Grunddaten!BF41*((Grunddaten!$S41-Grunddaten!$Q41)/100*$G66+$E66),-1)</f>
        <v>0</v>
      </c>
      <c r="AG66" s="246">
        <f ca="1">ROUND(Grunddaten!BG41*((Grunddaten!$S41-Grunddaten!$Q41)/100*$G66+$E66),-1)</f>
        <v>0</v>
      </c>
      <c r="AH66" s="247">
        <f ca="1">ROUND(Grunddaten!BH41*((Grunddaten!$S41-Grunddaten!$Q41)/100*$G66+$E66),-1)</f>
        <v>0</v>
      </c>
      <c r="AI66" s="247">
        <f ca="1">ROUND(Grunddaten!BI41*((Grunddaten!$S41-Grunddaten!$Q41)/100*$G66+$E66),-1)</f>
        <v>0</v>
      </c>
      <c r="AJ66" s="247">
        <f ca="1">ROUND(Grunddaten!BJ41*((Grunddaten!$S41-Grunddaten!$Q41)/100*$G66+$E66),-1)</f>
        <v>0</v>
      </c>
      <c r="AK66" s="247">
        <f ca="1">ROUND(Grunddaten!BK41*((Grunddaten!$S41-Grunddaten!$Q41)/100*$G66+$E66),-1)</f>
        <v>0</v>
      </c>
      <c r="AL66" s="247">
        <f ca="1">ROUND(Grunddaten!BL41*((Grunddaten!$S41-Grunddaten!$Q41)/100*$G66+$E66),-1)</f>
        <v>0</v>
      </c>
      <c r="AM66" s="247">
        <f ca="1">ROUND(Grunddaten!BM41*((Grunddaten!$S41-Grunddaten!$Q41)/100*$G66+$E66),-1)</f>
        <v>0</v>
      </c>
      <c r="AN66" s="247">
        <f ca="1">ROUND(Grunddaten!BN41*((Grunddaten!$S41-Grunddaten!$Q41)/100*$G66+$E66),-1)</f>
        <v>0</v>
      </c>
      <c r="AO66" s="247">
        <f ca="1">ROUND(Grunddaten!BO41*((Grunddaten!$S41-Grunddaten!$Q41)/100*$G66+$E66),-1)</f>
        <v>0</v>
      </c>
      <c r="AP66" s="247">
        <f ca="1">ROUND(Grunddaten!BP41*((Grunddaten!$S41-Grunddaten!$Q41)/100*$G66+$E66),-1)</f>
        <v>0</v>
      </c>
      <c r="AQ66" s="247">
        <f ca="1">ROUND(Grunddaten!BQ41*((Grunddaten!$S41-Grunddaten!$Q41)/100*$G66+$E66),-1)</f>
        <v>0</v>
      </c>
      <c r="AR66" s="247">
        <f ca="1">ROUND(Grunddaten!BR41*((Grunddaten!$S41-Grunddaten!$Q41)/100*$G66+$E66),-1)</f>
        <v>0</v>
      </c>
      <c r="AS66" s="247">
        <f ca="1">ROUND(Grunddaten!BS41*((Grunddaten!$S41-Grunddaten!$Q41)/100*$G66+$E66),-1)</f>
        <v>0</v>
      </c>
      <c r="AT66" s="247">
        <f ca="1">ROUND(Grunddaten!BT41*((Grunddaten!$S41-Grunddaten!$Q41)/100*$G66+$E66),-1)</f>
        <v>0</v>
      </c>
      <c r="AU66" s="247">
        <f ca="1">ROUND(Grunddaten!BU41*((Grunddaten!$S41-Grunddaten!$Q41)/100*$G66+$E66),-1)</f>
        <v>0</v>
      </c>
      <c r="AV66" s="247">
        <f ca="1">ROUND(Grunddaten!BV41*((Grunddaten!$S41-Grunddaten!$Q41)/100*$G66+$E66),-1)</f>
        <v>0</v>
      </c>
      <c r="AW66" s="247">
        <f ca="1">ROUND(Grunddaten!BW41*((Grunddaten!$S41-Grunddaten!$Q41)/100*$G66+$E66),-1)</f>
        <v>0</v>
      </c>
      <c r="AX66" s="247">
        <f ca="1">ROUND(Grunddaten!BX41*((Grunddaten!$S41-Grunddaten!$Q41)/100*$G66+$E66),-1)</f>
        <v>0</v>
      </c>
      <c r="AY66" s="247">
        <f ca="1">ROUND(Grunddaten!BY41*((Grunddaten!$S41-Grunddaten!$Q41)/100*$G66+$E66),-1)</f>
        <v>0</v>
      </c>
      <c r="AZ66" s="247">
        <f ca="1">ROUND(Grunddaten!BZ41*((Grunddaten!$S41-Grunddaten!$Q41)/100*$G66+$E66),-1)</f>
        <v>0</v>
      </c>
      <c r="BA66" s="247">
        <f ca="1">ROUND(Grunddaten!CA41*((Grunddaten!$S41-Grunddaten!$Q41)/100*$G66+$E66),-1)</f>
        <v>0</v>
      </c>
      <c r="BB66" s="247">
        <f ca="1">ROUND(Grunddaten!CB41*((Grunddaten!$S41-Grunddaten!$Q41)/100*$G66+$E66),-1)</f>
        <v>0</v>
      </c>
      <c r="BC66" s="247">
        <f ca="1">ROUND(Grunddaten!CC41*((Grunddaten!$S41-Grunddaten!$Q41)/100*$G66+$E66),-1)</f>
        <v>0</v>
      </c>
      <c r="BD66" s="247">
        <f ca="1">ROUND(Grunddaten!CD41*((Grunddaten!$S41-Grunddaten!$Q41)/100*$G66+$E66),-1)</f>
        <v>0</v>
      </c>
      <c r="BE66" s="247">
        <f ca="1">ROUND(Grunddaten!CE41*((Grunddaten!$S41-Grunddaten!$Q41)/100*$G66+$E66),-1)</f>
        <v>0</v>
      </c>
      <c r="BF66" s="247">
        <f ca="1">ROUND(Grunddaten!CF41*((Grunddaten!$S41-Grunddaten!$Q41)/100*$G66+$E66),-1)</f>
        <v>0</v>
      </c>
      <c r="BG66" s="247">
        <f ca="1">ROUND(Grunddaten!CG41*((Grunddaten!$S41-Grunddaten!$Q41)/100*$G66+$E66),-1)</f>
        <v>0</v>
      </c>
      <c r="BH66" s="247">
        <f ca="1">ROUND(Grunddaten!CH41*((Grunddaten!$S41-Grunddaten!$Q41)/100*$G66+$E66),-1)</f>
        <v>0</v>
      </c>
      <c r="BI66" s="247">
        <f ca="1">ROUND(Grunddaten!CI41*((Grunddaten!$S41-Grunddaten!$Q41)/100*$G66+$E66),-1)</f>
        <v>0</v>
      </c>
      <c r="BJ66" s="247">
        <f ca="1">ROUND(Grunddaten!CJ41*((Grunddaten!$S41-Grunddaten!$Q41)/100*$G66+$E66),-1)</f>
        <v>0</v>
      </c>
      <c r="BK66" s="247">
        <f ca="1">ROUND(Grunddaten!CK41*((Grunddaten!$S41-Grunddaten!$Q41)/100*$G66+$E66),-1)</f>
        <v>0</v>
      </c>
      <c r="BL66" s="247">
        <f ca="1">ROUND(Grunddaten!CL41*((Grunddaten!$S41-Grunddaten!$Q41)/100*$G66+$E66),-1)</f>
        <v>0</v>
      </c>
      <c r="BM66" s="247">
        <f ca="1">ROUND(Grunddaten!CM41*((Grunddaten!$S41-Grunddaten!$Q41)/100*$G66+$E66),-1)</f>
        <v>0</v>
      </c>
      <c r="BN66" s="247">
        <f ca="1">ROUND(Grunddaten!CN41*((Grunddaten!$S41-Grunddaten!$Q41)/100*$G66+$E66),-1)</f>
        <v>0</v>
      </c>
      <c r="BO66" s="247">
        <f ca="1">ROUND(Grunddaten!CO41*((Grunddaten!$S41-Grunddaten!$Q41)/100*$G66+$E66),-1)</f>
        <v>0</v>
      </c>
      <c r="BP66" s="247">
        <f ca="1">ROUND(Grunddaten!CP41*((Grunddaten!$S41-Grunddaten!$Q41)/100*$G66+$E66),-1)</f>
        <v>0</v>
      </c>
      <c r="BQ66" s="248">
        <f ca="1">ROUND(Grunddaten!CQ41*((Grunddaten!$S41-Grunddaten!$Q41)/100*$G66+$E66),-1)</f>
        <v>0</v>
      </c>
    </row>
    <row r="67" spans="1:69" s="36" customFormat="1" ht="11.25" customHeight="1" x14ac:dyDescent="0.2">
      <c r="A67" s="1005" t="s">
        <v>544</v>
      </c>
      <c r="B67" s="1006"/>
      <c r="C67" s="2524">
        <f>1-C66</f>
        <v>9.9999999999999978E-2</v>
      </c>
      <c r="D67" s="2524"/>
      <c r="E67" s="2397"/>
      <c r="F67" s="2398"/>
      <c r="G67" s="2392">
        <f>-Berechnungen!$J$48*C67</f>
        <v>0</v>
      </c>
      <c r="H67" s="2393"/>
      <c r="I67" s="2394"/>
      <c r="J67" s="2390">
        <f>Grunddaten!$S$42-(1-$R$109)*Grunddaten!$Q$41</f>
        <v>10.22045</v>
      </c>
      <c r="K67" s="2391"/>
      <c r="L67" s="2424">
        <f t="shared" si="4"/>
        <v>0</v>
      </c>
      <c r="M67" s="2425"/>
      <c r="N67" s="2426"/>
      <c r="P67" s="122"/>
      <c r="Q67" s="122"/>
      <c r="S67" s="208">
        <f ca="1">ROUND(Grunddaten!AS42*((Grunddaten!$S42-Grunddaten!$Q41)/100*$G67+$E67),-1)</f>
        <v>0</v>
      </c>
      <c r="T67" s="209">
        <f ca="1">ROUND(Grunddaten!AT42*((Grunddaten!$S42-Grunddaten!$Q41)/100*$G67+$E67),-1)</f>
        <v>0</v>
      </c>
      <c r="U67" s="209">
        <f ca="1">ROUND(Grunddaten!AU42*((Grunddaten!$S42-Grunddaten!$Q41)/100*$G67+$E67),-1)</f>
        <v>0</v>
      </c>
      <c r="V67" s="209">
        <f ca="1">ROUND(Grunddaten!AV42*((Grunddaten!$S42-Grunddaten!$Q41)/100*$G67+$E67),-1)</f>
        <v>0</v>
      </c>
      <c r="W67" s="209">
        <f ca="1">ROUND(Grunddaten!AW42*((Grunddaten!$S42-Grunddaten!$Q41)/100*$G67+$E67),-1)</f>
        <v>0</v>
      </c>
      <c r="X67" s="209">
        <f ca="1">ROUND(Grunddaten!AX42*((Grunddaten!$S42-Grunddaten!$Q41)/100*$G67+$E67),-1)</f>
        <v>0</v>
      </c>
      <c r="Y67" s="209">
        <f ca="1">ROUND(Grunddaten!AY42*((Grunddaten!$S42-Grunddaten!$Q41)/100*$G67+$E67),-1)</f>
        <v>0</v>
      </c>
      <c r="Z67" s="209">
        <f ca="1">ROUND(Grunddaten!AZ42*((Grunddaten!$S42-Grunddaten!$Q41)/100*$G67+$E67),-1)</f>
        <v>0</v>
      </c>
      <c r="AA67" s="209">
        <f ca="1">ROUND(Grunddaten!BA42*((Grunddaten!$S42-Grunddaten!$Q41)/100*$G67+$E67),-1)</f>
        <v>0</v>
      </c>
      <c r="AB67" s="249">
        <f ca="1">ROUND(Grunddaten!BB42*((Grunddaten!$S42-Grunddaten!$Q41)/100*$G67+$E67),-1)</f>
        <v>0</v>
      </c>
      <c r="AC67" s="249">
        <f ca="1">ROUND(Grunddaten!BC42*((Grunddaten!$S42-Grunddaten!$Q41)/100*$G67+$E67),-1)</f>
        <v>0</v>
      </c>
      <c r="AD67" s="249">
        <f ca="1">ROUND(Grunddaten!BD42*((Grunddaten!$S42-Grunddaten!$Q41)/100*$G67+$E67),-1)</f>
        <v>0</v>
      </c>
      <c r="AE67" s="249">
        <f ca="1">ROUND(Grunddaten!BE42*((Grunddaten!$S42-Grunddaten!$Q41)/100*$G67+$E67),-1)</f>
        <v>0</v>
      </c>
      <c r="AF67" s="249">
        <f ca="1">ROUND(Grunddaten!BF42*((Grunddaten!$S42-Grunddaten!$Q41)/100*$G67+$E67),-1)</f>
        <v>0</v>
      </c>
      <c r="AG67" s="249">
        <f ca="1">ROUND(Grunddaten!BG42*((Grunddaten!$S42-Grunddaten!$Q41)/100*$G67+$E67),-1)</f>
        <v>0</v>
      </c>
      <c r="AH67" s="250">
        <f ca="1">ROUND(Grunddaten!BH42*((Grunddaten!$S42-Grunddaten!$Q41)/100*$G67+$E67),-1)</f>
        <v>0</v>
      </c>
      <c r="AI67" s="250">
        <f ca="1">ROUND(Grunddaten!BI42*((Grunddaten!$S42-Grunddaten!$Q41)/100*$G67+$E67),-1)</f>
        <v>0</v>
      </c>
      <c r="AJ67" s="250">
        <f ca="1">ROUND(Grunddaten!BJ42*((Grunddaten!$S42-Grunddaten!$Q41)/100*$G67+$E67),-1)</f>
        <v>0</v>
      </c>
      <c r="AK67" s="250">
        <f ca="1">ROUND(Grunddaten!BK42*((Grunddaten!$S42-Grunddaten!$Q41)/100*$G67+$E67),-1)</f>
        <v>0</v>
      </c>
      <c r="AL67" s="250">
        <f ca="1">ROUND(Grunddaten!BL42*((Grunddaten!$S42-Grunddaten!$Q41)/100*$G67+$E67),-1)</f>
        <v>0</v>
      </c>
      <c r="AM67" s="250">
        <f ca="1">ROUND(Grunddaten!BM42*((Grunddaten!$S42-Grunddaten!$Q41)/100*$G67+$E67),-1)</f>
        <v>0</v>
      </c>
      <c r="AN67" s="250">
        <f ca="1">ROUND(Grunddaten!BN42*((Grunddaten!$S42-Grunddaten!$Q41)/100*$G67+$E67),-1)</f>
        <v>0</v>
      </c>
      <c r="AO67" s="250">
        <f ca="1">ROUND(Grunddaten!BO42*((Grunddaten!$S42-Grunddaten!$Q41)/100*$G67+$E67),-1)</f>
        <v>0</v>
      </c>
      <c r="AP67" s="250">
        <f ca="1">ROUND(Grunddaten!BP42*((Grunddaten!$S42-Grunddaten!$Q41)/100*$G67+$E67),-1)</f>
        <v>0</v>
      </c>
      <c r="AQ67" s="250">
        <f ca="1">ROUND(Grunddaten!BQ42*((Grunddaten!$S42-Grunddaten!$Q41)/100*$G67+$E67),-1)</f>
        <v>0</v>
      </c>
      <c r="AR67" s="250">
        <f ca="1">ROUND(Grunddaten!BR42*((Grunddaten!$S42-Grunddaten!$Q41)/100*$G67+$E67),-1)</f>
        <v>0</v>
      </c>
      <c r="AS67" s="250">
        <f ca="1">ROUND(Grunddaten!BS42*((Grunddaten!$S42-Grunddaten!$Q41)/100*$G67+$E67),-1)</f>
        <v>0</v>
      </c>
      <c r="AT67" s="250">
        <f ca="1">ROUND(Grunddaten!BT42*((Grunddaten!$S42-Grunddaten!$Q41)/100*$G67+$E67),-1)</f>
        <v>0</v>
      </c>
      <c r="AU67" s="250">
        <f ca="1">ROUND(Grunddaten!BU42*((Grunddaten!$S42-Grunddaten!$Q41)/100*$G67+$E67),-1)</f>
        <v>0</v>
      </c>
      <c r="AV67" s="250">
        <f ca="1">ROUND(Grunddaten!BV42*((Grunddaten!$S42-Grunddaten!$Q41)/100*$G67+$E67),-1)</f>
        <v>0</v>
      </c>
      <c r="AW67" s="250">
        <f ca="1">ROUND(Grunddaten!BW42*((Grunddaten!$S42-Grunddaten!$Q41)/100*$G67+$E67),-1)</f>
        <v>0</v>
      </c>
      <c r="AX67" s="250">
        <f ca="1">ROUND(Grunddaten!BX42*((Grunddaten!$S42-Grunddaten!$Q41)/100*$G67+$E67),-1)</f>
        <v>0</v>
      </c>
      <c r="AY67" s="250">
        <f ca="1">ROUND(Grunddaten!BY42*((Grunddaten!$S42-Grunddaten!$Q41)/100*$G67+$E67),-1)</f>
        <v>0</v>
      </c>
      <c r="AZ67" s="250">
        <f ca="1">ROUND(Grunddaten!BZ42*((Grunddaten!$S42-Grunddaten!$Q41)/100*$G67+$E67),-1)</f>
        <v>0</v>
      </c>
      <c r="BA67" s="250">
        <f ca="1">ROUND(Grunddaten!CA42*((Grunddaten!$S42-Grunddaten!$Q41)/100*$G67+$E67),-1)</f>
        <v>0</v>
      </c>
      <c r="BB67" s="250">
        <f ca="1">ROUND(Grunddaten!CB42*((Grunddaten!$S42-Grunddaten!$Q41)/100*$G67+$E67),-1)</f>
        <v>0</v>
      </c>
      <c r="BC67" s="250">
        <f ca="1">ROUND(Grunddaten!CC42*((Grunddaten!$S42-Grunddaten!$Q41)/100*$G67+$E67),-1)</f>
        <v>0</v>
      </c>
      <c r="BD67" s="250">
        <f ca="1">ROUND(Grunddaten!CD42*((Grunddaten!$S42-Grunddaten!$Q41)/100*$G67+$E67),-1)</f>
        <v>0</v>
      </c>
      <c r="BE67" s="250">
        <f ca="1">ROUND(Grunddaten!CE42*((Grunddaten!$S42-Grunddaten!$Q41)/100*$G67+$E67),-1)</f>
        <v>0</v>
      </c>
      <c r="BF67" s="250">
        <f ca="1">ROUND(Grunddaten!CF42*((Grunddaten!$S42-Grunddaten!$Q41)/100*$G67+$E67),-1)</f>
        <v>0</v>
      </c>
      <c r="BG67" s="250">
        <f ca="1">ROUND(Grunddaten!CG42*((Grunddaten!$S42-Grunddaten!$Q41)/100*$G67+$E67),-1)</f>
        <v>0</v>
      </c>
      <c r="BH67" s="250">
        <f ca="1">ROUND(Grunddaten!CH42*((Grunddaten!$S42-Grunddaten!$Q41)/100*$G67+$E67),-1)</f>
        <v>0</v>
      </c>
      <c r="BI67" s="250">
        <f ca="1">ROUND(Grunddaten!CI42*((Grunddaten!$S42-Grunddaten!$Q41)/100*$G67+$E67),-1)</f>
        <v>0</v>
      </c>
      <c r="BJ67" s="250">
        <f ca="1">ROUND(Grunddaten!CJ42*((Grunddaten!$S42-Grunddaten!$Q41)/100*$G67+$E67),-1)</f>
        <v>0</v>
      </c>
      <c r="BK67" s="250">
        <f ca="1">ROUND(Grunddaten!CK42*((Grunddaten!$S42-Grunddaten!$Q41)/100*$G67+$E67),-1)</f>
        <v>0</v>
      </c>
      <c r="BL67" s="250">
        <f ca="1">ROUND(Grunddaten!CL42*((Grunddaten!$S42-Grunddaten!$Q41)/100*$G67+$E67),-1)</f>
        <v>0</v>
      </c>
      <c r="BM67" s="250">
        <f ca="1">ROUND(Grunddaten!CM42*((Grunddaten!$S42-Grunddaten!$Q41)/100*$G67+$E67),-1)</f>
        <v>0</v>
      </c>
      <c r="BN67" s="250">
        <f ca="1">ROUND(Grunddaten!CN42*((Grunddaten!$S42-Grunddaten!$Q41)/100*$G67+$E67),-1)</f>
        <v>0</v>
      </c>
      <c r="BO67" s="250">
        <f ca="1">ROUND(Grunddaten!CO42*((Grunddaten!$S42-Grunddaten!$Q41)/100*$G67+$E67),-1)</f>
        <v>0</v>
      </c>
      <c r="BP67" s="250">
        <f ca="1">ROUND(Grunddaten!CP42*((Grunddaten!$S42-Grunddaten!$Q41)/100*$G67+$E67),-1)</f>
        <v>0</v>
      </c>
      <c r="BQ67" s="251">
        <f ca="1">ROUND(Grunddaten!CQ42*((Grunddaten!$S42-Grunddaten!$Q41)/100*$G67+$E67),-1)</f>
        <v>0</v>
      </c>
    </row>
    <row r="68" spans="1:69" s="36" customFormat="1" ht="11.25" customHeight="1" x14ac:dyDescent="0.2">
      <c r="A68" s="1010" t="s">
        <v>545</v>
      </c>
      <c r="B68" s="1003"/>
      <c r="C68" s="2423">
        <v>0.7</v>
      </c>
      <c r="D68" s="2423"/>
      <c r="E68" s="2400"/>
      <c r="F68" s="2401"/>
      <c r="G68" s="2544">
        <f>-Berechnungen!$J$47*C68</f>
        <v>0</v>
      </c>
      <c r="H68" s="2545"/>
      <c r="I68" s="2546"/>
      <c r="J68" s="2388">
        <f>Grunddaten!$S$43-(1-$R$109)*Grunddaten!$Q$43</f>
        <v>9.1884999999999994</v>
      </c>
      <c r="K68" s="2389"/>
      <c r="L68" s="2319">
        <f t="shared" ref="L68:L69" si="5">ROUND(E68+G68*J68/100,-1)</f>
        <v>0</v>
      </c>
      <c r="M68" s="2320"/>
      <c r="N68" s="2321"/>
      <c r="S68" s="206">
        <f ca="1">ROUND(Grunddaten!AS43*((Grunddaten!$S43-Grunddaten!$Q43)/100*$G68+$E68),-1)</f>
        <v>0</v>
      </c>
      <c r="T68" s="207">
        <f ca="1">ROUND(Grunddaten!AT43*((Grunddaten!$S43-Grunddaten!$Q43)/100*$G68+$E68),-1)</f>
        <v>0</v>
      </c>
      <c r="U68" s="207">
        <f ca="1">ROUND(Grunddaten!AU43*((Grunddaten!$S43-Grunddaten!$Q43)/100*$G68+$E68),-1)</f>
        <v>0</v>
      </c>
      <c r="V68" s="207">
        <f ca="1">ROUND(Grunddaten!AV43*((Grunddaten!$S43-Grunddaten!$Q43)/100*$G68+$E68),-1)</f>
        <v>0</v>
      </c>
      <c r="W68" s="207">
        <f ca="1">ROUND(Grunddaten!AW43*((Grunddaten!$S43-Grunddaten!$Q43)/100*$G68+$E68),-1)</f>
        <v>0</v>
      </c>
      <c r="X68" s="207">
        <f ca="1">ROUND(Grunddaten!AX43*((Grunddaten!$S43-Grunddaten!$Q43)/100*$G68+$E68),-1)</f>
        <v>0</v>
      </c>
      <c r="Y68" s="207">
        <f ca="1">ROUND(Grunddaten!AY43*((Grunddaten!$S43-Grunddaten!$Q43)/100*$G68+$E68),-1)</f>
        <v>0</v>
      </c>
      <c r="Z68" s="207">
        <f ca="1">ROUND(Grunddaten!AZ43*((Grunddaten!$S43-Grunddaten!$Q43)/100*$G68+$E68),-1)</f>
        <v>0</v>
      </c>
      <c r="AA68" s="207">
        <f ca="1">ROUND(Grunddaten!BA43*((Grunddaten!$S43-Grunddaten!$Q43)/100*$G68+$E68),-1)</f>
        <v>0</v>
      </c>
      <c r="AB68" s="246">
        <f ca="1">ROUND(Grunddaten!BB43*((Grunddaten!$S43-Grunddaten!$Q43)/100*$G68+$E68),-1)</f>
        <v>0</v>
      </c>
      <c r="AC68" s="246">
        <f ca="1">ROUND(Grunddaten!BC43*((Grunddaten!$S43-Grunddaten!$Q43)/100*$G68+$E68),-1)</f>
        <v>0</v>
      </c>
      <c r="AD68" s="246">
        <f ca="1">ROUND(Grunddaten!BD43*((Grunddaten!$S43-Grunddaten!$Q43)/100*$G68+$E68),-1)</f>
        <v>0</v>
      </c>
      <c r="AE68" s="246">
        <f ca="1">ROUND(Grunddaten!BE43*((Grunddaten!$S43-Grunddaten!$Q43)/100*$G68+$E68),-1)</f>
        <v>0</v>
      </c>
      <c r="AF68" s="246">
        <f ca="1">ROUND(Grunddaten!BF43*((Grunddaten!$S43-Grunddaten!$Q43)/100*$G68+$E68),-1)</f>
        <v>0</v>
      </c>
      <c r="AG68" s="246">
        <f ca="1">ROUND(Grunddaten!BG43*((Grunddaten!$S43-Grunddaten!$Q43)/100*$G68+$E68),-1)</f>
        <v>0</v>
      </c>
      <c r="AH68" s="247">
        <f ca="1">ROUND(Grunddaten!BH43*((Grunddaten!$S43-Grunddaten!$Q43)/100*$G68+$E68),-1)</f>
        <v>0</v>
      </c>
      <c r="AI68" s="247">
        <f ca="1">ROUND(Grunddaten!BI43*((Grunddaten!$S43-Grunddaten!$Q43)/100*$G68+$E68),-1)</f>
        <v>0</v>
      </c>
      <c r="AJ68" s="247">
        <f ca="1">ROUND(Grunddaten!BJ43*((Grunddaten!$S43-Grunddaten!$Q43)/100*$G68+$E68),-1)</f>
        <v>0</v>
      </c>
      <c r="AK68" s="247">
        <f ca="1">ROUND(Grunddaten!BK43*((Grunddaten!$S43-Grunddaten!$Q43)/100*$G68+$E68),-1)</f>
        <v>0</v>
      </c>
      <c r="AL68" s="247">
        <f ca="1">ROUND(Grunddaten!BL43*((Grunddaten!$S43-Grunddaten!$Q43)/100*$G68+$E68),-1)</f>
        <v>0</v>
      </c>
      <c r="AM68" s="247">
        <f ca="1">ROUND(Grunddaten!BM43*((Grunddaten!$S43-Grunddaten!$Q43)/100*$G68+$E68),-1)</f>
        <v>0</v>
      </c>
      <c r="AN68" s="247">
        <f ca="1">ROUND(Grunddaten!BN43*((Grunddaten!$S43-Grunddaten!$Q43)/100*$G68+$E68),-1)</f>
        <v>0</v>
      </c>
      <c r="AO68" s="247">
        <f ca="1">ROUND(Grunddaten!BO43*((Grunddaten!$S43-Grunddaten!$Q43)/100*$G68+$E68),-1)</f>
        <v>0</v>
      </c>
      <c r="AP68" s="247">
        <f ca="1">ROUND(Grunddaten!BP43*((Grunddaten!$S43-Grunddaten!$Q43)/100*$G68+$E68),-1)</f>
        <v>0</v>
      </c>
      <c r="AQ68" s="247">
        <f ca="1">ROUND(Grunddaten!BQ43*((Grunddaten!$S43-Grunddaten!$Q43)/100*$G68+$E68),-1)</f>
        <v>0</v>
      </c>
      <c r="AR68" s="247">
        <f ca="1">ROUND(Grunddaten!BR43*((Grunddaten!$S43-Grunddaten!$Q43)/100*$G68+$E68),-1)</f>
        <v>0</v>
      </c>
      <c r="AS68" s="247">
        <f ca="1">ROUND(Grunddaten!BS43*((Grunddaten!$S43-Grunddaten!$Q43)/100*$G68+$E68),-1)</f>
        <v>0</v>
      </c>
      <c r="AT68" s="247">
        <f ca="1">ROUND(Grunddaten!BT43*((Grunddaten!$S43-Grunddaten!$Q43)/100*$G68+$E68),-1)</f>
        <v>0</v>
      </c>
      <c r="AU68" s="247">
        <f ca="1">ROUND(Grunddaten!BU43*((Grunddaten!$S43-Grunddaten!$Q43)/100*$G68+$E68),-1)</f>
        <v>0</v>
      </c>
      <c r="AV68" s="247">
        <f ca="1">ROUND(Grunddaten!BV43*((Grunddaten!$S43-Grunddaten!$Q43)/100*$G68+$E68),-1)</f>
        <v>0</v>
      </c>
      <c r="AW68" s="247">
        <f ca="1">ROUND(Grunddaten!BW43*((Grunddaten!$S43-Grunddaten!$Q43)/100*$G68+$E68),-1)</f>
        <v>0</v>
      </c>
      <c r="AX68" s="247">
        <f ca="1">ROUND(Grunddaten!BX43*((Grunddaten!$S43-Grunddaten!$Q43)/100*$G68+$E68),-1)</f>
        <v>0</v>
      </c>
      <c r="AY68" s="247">
        <f ca="1">ROUND(Grunddaten!BY43*((Grunddaten!$S43-Grunddaten!$Q43)/100*$G68+$E68),-1)</f>
        <v>0</v>
      </c>
      <c r="AZ68" s="247">
        <f ca="1">ROUND(Grunddaten!BZ43*((Grunddaten!$S43-Grunddaten!$Q43)/100*$G68+$E68),-1)</f>
        <v>0</v>
      </c>
      <c r="BA68" s="247">
        <f ca="1">ROUND(Grunddaten!CA43*((Grunddaten!$S43-Grunddaten!$Q43)/100*$G68+$E68),-1)</f>
        <v>0</v>
      </c>
      <c r="BB68" s="247">
        <f ca="1">ROUND(Grunddaten!CB43*((Grunddaten!$S43-Grunddaten!$Q43)/100*$G68+$E68),-1)</f>
        <v>0</v>
      </c>
      <c r="BC68" s="247">
        <f ca="1">ROUND(Grunddaten!CC43*((Grunddaten!$S43-Grunddaten!$Q43)/100*$G68+$E68),-1)</f>
        <v>0</v>
      </c>
      <c r="BD68" s="247">
        <f ca="1">ROUND(Grunddaten!CD43*((Grunddaten!$S43-Grunddaten!$Q43)/100*$G68+$E68),-1)</f>
        <v>0</v>
      </c>
      <c r="BE68" s="247">
        <f ca="1">ROUND(Grunddaten!CE43*((Grunddaten!$S43-Grunddaten!$Q43)/100*$G68+$E68),-1)</f>
        <v>0</v>
      </c>
      <c r="BF68" s="247">
        <f ca="1">ROUND(Grunddaten!CF43*((Grunddaten!$S43-Grunddaten!$Q43)/100*$G68+$E68),-1)</f>
        <v>0</v>
      </c>
      <c r="BG68" s="247">
        <f ca="1">ROUND(Grunddaten!CG43*((Grunddaten!$S43-Grunddaten!$Q43)/100*$G68+$E68),-1)</f>
        <v>0</v>
      </c>
      <c r="BH68" s="247">
        <f ca="1">ROUND(Grunddaten!CH43*((Grunddaten!$S43-Grunddaten!$Q43)/100*$G68+$E68),-1)</f>
        <v>0</v>
      </c>
      <c r="BI68" s="247">
        <f ca="1">ROUND(Grunddaten!CI43*((Grunddaten!$S43-Grunddaten!$Q43)/100*$G68+$E68),-1)</f>
        <v>0</v>
      </c>
      <c r="BJ68" s="247">
        <f ca="1">ROUND(Grunddaten!CJ43*((Grunddaten!$S43-Grunddaten!$Q43)/100*$G68+$E68),-1)</f>
        <v>0</v>
      </c>
      <c r="BK68" s="247">
        <f ca="1">ROUND(Grunddaten!CK43*((Grunddaten!$S43-Grunddaten!$Q43)/100*$G68+$E68),-1)</f>
        <v>0</v>
      </c>
      <c r="BL68" s="247">
        <f ca="1">ROUND(Grunddaten!CL43*((Grunddaten!$S43-Grunddaten!$Q43)/100*$G68+$E68),-1)</f>
        <v>0</v>
      </c>
      <c r="BM68" s="247">
        <f ca="1">ROUND(Grunddaten!CM43*((Grunddaten!$S43-Grunddaten!$Q43)/100*$G68+$E68),-1)</f>
        <v>0</v>
      </c>
      <c r="BN68" s="247">
        <f ca="1">ROUND(Grunddaten!CN43*((Grunddaten!$S43-Grunddaten!$Q43)/100*$G68+$E68),-1)</f>
        <v>0</v>
      </c>
      <c r="BO68" s="247">
        <f ca="1">ROUND(Grunddaten!CO43*((Grunddaten!$S43-Grunddaten!$Q43)/100*$G68+$E68),-1)</f>
        <v>0</v>
      </c>
      <c r="BP68" s="247">
        <f ca="1">ROUND(Grunddaten!CP43*((Grunddaten!$S43-Grunddaten!$Q43)/100*$G68+$E68),-1)</f>
        <v>0</v>
      </c>
      <c r="BQ68" s="248">
        <f ca="1">ROUND(Grunddaten!CQ43*((Grunddaten!$S43-Grunddaten!$Q43)/100*$G68+$E68),-1)</f>
        <v>0</v>
      </c>
    </row>
    <row r="69" spans="1:69" s="36" customFormat="1" ht="11.25" customHeight="1" x14ac:dyDescent="0.2">
      <c r="A69" s="1005" t="s">
        <v>546</v>
      </c>
      <c r="B69" s="1006"/>
      <c r="C69" s="2524">
        <f>1-C68</f>
        <v>0.30000000000000004</v>
      </c>
      <c r="D69" s="2524"/>
      <c r="E69" s="2397"/>
      <c r="F69" s="2398"/>
      <c r="G69" s="2392">
        <f>-Berechnungen!$J$47*C69</f>
        <v>0</v>
      </c>
      <c r="H69" s="2393"/>
      <c r="I69" s="2394"/>
      <c r="J69" s="2390">
        <f>Grunddaten!$S$44-(1-$R$109)*Grunddaten!$Q$43</f>
        <v>4.8104500000000003</v>
      </c>
      <c r="K69" s="2391"/>
      <c r="L69" s="2424">
        <f t="shared" si="5"/>
        <v>0</v>
      </c>
      <c r="M69" s="2425"/>
      <c r="N69" s="2426"/>
      <c r="P69" s="618"/>
      <c r="Q69" s="618"/>
      <c r="S69" s="208">
        <f ca="1">ROUND(Grunddaten!AS44*((Grunddaten!$S44-Grunddaten!$Q43)/100*$G69+$E69),-1)</f>
        <v>0</v>
      </c>
      <c r="T69" s="209">
        <f ca="1">ROUND(Grunddaten!AT44*((Grunddaten!$S44-Grunddaten!$Q43)/100*$G69+$E69),-1)</f>
        <v>0</v>
      </c>
      <c r="U69" s="209">
        <f ca="1">ROUND(Grunddaten!AU44*((Grunddaten!$S44-Grunddaten!$Q43)/100*$G69+$E69),-1)</f>
        <v>0</v>
      </c>
      <c r="V69" s="209">
        <f ca="1">ROUND(Grunddaten!AV44*((Grunddaten!$S44-Grunddaten!$Q43)/100*$G69+$E69),-1)</f>
        <v>0</v>
      </c>
      <c r="W69" s="209">
        <f ca="1">ROUND(Grunddaten!AW44*((Grunddaten!$S44-Grunddaten!$Q43)/100*$G69+$E69),-1)</f>
        <v>0</v>
      </c>
      <c r="X69" s="209">
        <f ca="1">ROUND(Grunddaten!AX44*((Grunddaten!$S44-Grunddaten!$Q43)/100*$G69+$E69),-1)</f>
        <v>0</v>
      </c>
      <c r="Y69" s="209">
        <f ca="1">ROUND(Grunddaten!AY44*((Grunddaten!$S44-Grunddaten!$Q43)/100*$G69+$E69),-1)</f>
        <v>0</v>
      </c>
      <c r="Z69" s="209">
        <f ca="1">ROUND(Grunddaten!AZ44*((Grunddaten!$S44-Grunddaten!$Q43)/100*$G69+$E69),-1)</f>
        <v>0</v>
      </c>
      <c r="AA69" s="209">
        <f ca="1">ROUND(Grunddaten!BA44*((Grunddaten!$S44-Grunddaten!$Q43)/100*$G69+$E69),-1)</f>
        <v>0</v>
      </c>
      <c r="AB69" s="249">
        <f ca="1">ROUND(Grunddaten!BB44*((Grunddaten!$S44-Grunddaten!$Q43)/100*$G69+$E69),-1)</f>
        <v>0</v>
      </c>
      <c r="AC69" s="249">
        <f ca="1">ROUND(Grunddaten!BC44*((Grunddaten!$S44-Grunddaten!$Q43)/100*$G69+$E69),-1)</f>
        <v>0</v>
      </c>
      <c r="AD69" s="249">
        <f ca="1">ROUND(Grunddaten!BD44*((Grunddaten!$S44-Grunddaten!$Q43)/100*$G69+$E69),-1)</f>
        <v>0</v>
      </c>
      <c r="AE69" s="249">
        <f ca="1">ROUND(Grunddaten!BE44*((Grunddaten!$S44-Grunddaten!$Q43)/100*$G69+$E69),-1)</f>
        <v>0</v>
      </c>
      <c r="AF69" s="249">
        <f ca="1">ROUND(Grunddaten!BF44*((Grunddaten!$S44-Grunddaten!$Q43)/100*$G69+$E69),-1)</f>
        <v>0</v>
      </c>
      <c r="AG69" s="249">
        <f ca="1">ROUND(Grunddaten!BG44*((Grunddaten!$S44-Grunddaten!$Q43)/100*$G69+$E69),-1)</f>
        <v>0</v>
      </c>
      <c r="AH69" s="250">
        <f ca="1">ROUND(Grunddaten!BH44*((Grunddaten!$S44-Grunddaten!$Q43)/100*$G69+$E69),-1)</f>
        <v>0</v>
      </c>
      <c r="AI69" s="250">
        <f ca="1">ROUND(Grunddaten!BI44*((Grunddaten!$S44-Grunddaten!$Q43)/100*$G69+$E69),-1)</f>
        <v>0</v>
      </c>
      <c r="AJ69" s="250">
        <f ca="1">ROUND(Grunddaten!BJ44*((Grunddaten!$S44-Grunddaten!$Q43)/100*$G69+$E69),-1)</f>
        <v>0</v>
      </c>
      <c r="AK69" s="250">
        <f ca="1">ROUND(Grunddaten!BK44*((Grunddaten!$S44-Grunddaten!$Q43)/100*$G69+$E69),-1)</f>
        <v>0</v>
      </c>
      <c r="AL69" s="250">
        <f ca="1">ROUND(Grunddaten!BL44*((Grunddaten!$S44-Grunddaten!$Q43)/100*$G69+$E69),-1)</f>
        <v>0</v>
      </c>
      <c r="AM69" s="250">
        <f ca="1">ROUND(Grunddaten!BM44*((Grunddaten!$S44-Grunddaten!$Q43)/100*$G69+$E69),-1)</f>
        <v>0</v>
      </c>
      <c r="AN69" s="250">
        <f ca="1">ROUND(Grunddaten!BN44*((Grunddaten!$S44-Grunddaten!$Q43)/100*$G69+$E69),-1)</f>
        <v>0</v>
      </c>
      <c r="AO69" s="250">
        <f ca="1">ROUND(Grunddaten!BO44*((Grunddaten!$S44-Grunddaten!$Q43)/100*$G69+$E69),-1)</f>
        <v>0</v>
      </c>
      <c r="AP69" s="250">
        <f ca="1">ROUND(Grunddaten!BP44*((Grunddaten!$S44-Grunddaten!$Q43)/100*$G69+$E69),-1)</f>
        <v>0</v>
      </c>
      <c r="AQ69" s="250">
        <f ca="1">ROUND(Grunddaten!BQ44*((Grunddaten!$S44-Grunddaten!$Q43)/100*$G69+$E69),-1)</f>
        <v>0</v>
      </c>
      <c r="AR69" s="250">
        <f ca="1">ROUND(Grunddaten!BR44*((Grunddaten!$S44-Grunddaten!$Q43)/100*$G69+$E69),-1)</f>
        <v>0</v>
      </c>
      <c r="AS69" s="250">
        <f ca="1">ROUND(Grunddaten!BS44*((Grunddaten!$S44-Grunddaten!$Q43)/100*$G69+$E69),-1)</f>
        <v>0</v>
      </c>
      <c r="AT69" s="250">
        <f ca="1">ROUND(Grunddaten!BT44*((Grunddaten!$S44-Grunddaten!$Q43)/100*$G69+$E69),-1)</f>
        <v>0</v>
      </c>
      <c r="AU69" s="250">
        <f ca="1">ROUND(Grunddaten!BU44*((Grunddaten!$S44-Grunddaten!$Q43)/100*$G69+$E69),-1)</f>
        <v>0</v>
      </c>
      <c r="AV69" s="250">
        <f ca="1">ROUND(Grunddaten!BV44*((Grunddaten!$S44-Grunddaten!$Q43)/100*$G69+$E69),-1)</f>
        <v>0</v>
      </c>
      <c r="AW69" s="250">
        <f ca="1">ROUND(Grunddaten!BW44*((Grunddaten!$S44-Grunddaten!$Q43)/100*$G69+$E69),-1)</f>
        <v>0</v>
      </c>
      <c r="AX69" s="250">
        <f ca="1">ROUND(Grunddaten!BX44*((Grunddaten!$S44-Grunddaten!$Q43)/100*$G69+$E69),-1)</f>
        <v>0</v>
      </c>
      <c r="AY69" s="250">
        <f ca="1">ROUND(Grunddaten!BY44*((Grunddaten!$S44-Grunddaten!$Q43)/100*$G69+$E69),-1)</f>
        <v>0</v>
      </c>
      <c r="AZ69" s="250">
        <f ca="1">ROUND(Grunddaten!BZ44*((Grunddaten!$S44-Grunddaten!$Q43)/100*$G69+$E69),-1)</f>
        <v>0</v>
      </c>
      <c r="BA69" s="250">
        <f ca="1">ROUND(Grunddaten!CA44*((Grunddaten!$S44-Grunddaten!$Q43)/100*$G69+$E69),-1)</f>
        <v>0</v>
      </c>
      <c r="BB69" s="250">
        <f ca="1">ROUND(Grunddaten!CB44*((Grunddaten!$S44-Grunddaten!$Q43)/100*$G69+$E69),-1)</f>
        <v>0</v>
      </c>
      <c r="BC69" s="250">
        <f ca="1">ROUND(Grunddaten!CC44*((Grunddaten!$S44-Grunddaten!$Q43)/100*$G69+$E69),-1)</f>
        <v>0</v>
      </c>
      <c r="BD69" s="250">
        <f ca="1">ROUND(Grunddaten!CD44*((Grunddaten!$S44-Grunddaten!$Q43)/100*$G69+$E69),-1)</f>
        <v>0</v>
      </c>
      <c r="BE69" s="250">
        <f ca="1">ROUND(Grunddaten!CE44*((Grunddaten!$S44-Grunddaten!$Q43)/100*$G69+$E69),-1)</f>
        <v>0</v>
      </c>
      <c r="BF69" s="250">
        <f ca="1">ROUND(Grunddaten!CF44*((Grunddaten!$S44-Grunddaten!$Q43)/100*$G69+$E69),-1)</f>
        <v>0</v>
      </c>
      <c r="BG69" s="250">
        <f ca="1">ROUND(Grunddaten!CG44*((Grunddaten!$S44-Grunddaten!$Q43)/100*$G69+$E69),-1)</f>
        <v>0</v>
      </c>
      <c r="BH69" s="250">
        <f ca="1">ROUND(Grunddaten!CH44*((Grunddaten!$S44-Grunddaten!$Q43)/100*$G69+$E69),-1)</f>
        <v>0</v>
      </c>
      <c r="BI69" s="250">
        <f ca="1">ROUND(Grunddaten!CI44*((Grunddaten!$S44-Grunddaten!$Q43)/100*$G69+$E69),-1)</f>
        <v>0</v>
      </c>
      <c r="BJ69" s="250">
        <f ca="1">ROUND(Grunddaten!CJ44*((Grunddaten!$S44-Grunddaten!$Q43)/100*$G69+$E69),-1)</f>
        <v>0</v>
      </c>
      <c r="BK69" s="250">
        <f ca="1">ROUND(Grunddaten!CK44*((Grunddaten!$S44-Grunddaten!$Q43)/100*$G69+$E69),-1)</f>
        <v>0</v>
      </c>
      <c r="BL69" s="250">
        <f ca="1">ROUND(Grunddaten!CL44*((Grunddaten!$S44-Grunddaten!$Q43)/100*$G69+$E69),-1)</f>
        <v>0</v>
      </c>
      <c r="BM69" s="250">
        <f ca="1">ROUND(Grunddaten!CM44*((Grunddaten!$S44-Grunddaten!$Q43)/100*$G69+$E69),-1)</f>
        <v>0</v>
      </c>
      <c r="BN69" s="250">
        <f ca="1">ROUND(Grunddaten!CN44*((Grunddaten!$S44-Grunddaten!$Q43)/100*$G69+$E69),-1)</f>
        <v>0</v>
      </c>
      <c r="BO69" s="250">
        <f ca="1">ROUND(Grunddaten!CO44*((Grunddaten!$S44-Grunddaten!$Q43)/100*$G69+$E69),-1)</f>
        <v>0</v>
      </c>
      <c r="BP69" s="250">
        <f ca="1">ROUND(Grunddaten!CP44*((Grunddaten!$S44-Grunddaten!$Q43)/100*$G69+$E69),-1)</f>
        <v>0</v>
      </c>
      <c r="BQ69" s="251">
        <f ca="1">ROUND(Grunddaten!CQ44*((Grunddaten!$S44-Grunddaten!$Q43)/100*$G69+$E69),-1)</f>
        <v>0</v>
      </c>
    </row>
    <row r="70" spans="1:69" s="36" customFormat="1" ht="11.25" customHeight="1" x14ac:dyDescent="0.2">
      <c r="A70" s="1011" t="str">
        <f>Berechnungen!A36</f>
        <v>Holzpellets</v>
      </c>
      <c r="B70" s="1491"/>
      <c r="C70" s="1491"/>
      <c r="D70" s="1491"/>
      <c r="E70" s="2397"/>
      <c r="F70" s="2398"/>
      <c r="G70" s="2392">
        <f ca="1">SUMIF(EV_Var4!$A$11:$B$74,$A70,EV_Var4!$E$11:$E$74)</f>
        <v>0</v>
      </c>
      <c r="H70" s="2393"/>
      <c r="I70" s="2394"/>
      <c r="J70" s="2390">
        <f>Grunddaten!S45-(1-$R$109)*Grunddaten!Q45</f>
        <v>9.3000000000000007</v>
      </c>
      <c r="K70" s="2391"/>
      <c r="L70" s="2424">
        <f t="shared" ca="1" si="4"/>
        <v>0</v>
      </c>
      <c r="M70" s="2425"/>
      <c r="N70" s="2426"/>
      <c r="P70" s="122"/>
      <c r="Q70" s="122"/>
      <c r="S70" s="252">
        <f ca="1">ROUND(Grunddaten!AS45*((Grunddaten!$S45-Grunddaten!$Q45)/100*$G70+$E70),-1)</f>
        <v>0</v>
      </c>
      <c r="T70" s="253">
        <f ca="1">ROUND(Grunddaten!AT45*((Grunddaten!$S45-Grunddaten!$Q45)/100*$G70+$E70),-1)</f>
        <v>0</v>
      </c>
      <c r="U70" s="253">
        <f ca="1">ROUND(Grunddaten!AU45*((Grunddaten!$S45-Grunddaten!$Q45)/100*$G70+$E70),-1)</f>
        <v>0</v>
      </c>
      <c r="V70" s="253">
        <f ca="1">ROUND(Grunddaten!AV45*((Grunddaten!$S45-Grunddaten!$Q45)/100*$G70+$E70),-1)</f>
        <v>0</v>
      </c>
      <c r="W70" s="253">
        <f ca="1">ROUND(Grunddaten!AW45*((Grunddaten!$S45-Grunddaten!$Q45)/100*$G70+$E70),-1)</f>
        <v>0</v>
      </c>
      <c r="X70" s="253">
        <f ca="1">ROUND(Grunddaten!AX45*((Grunddaten!$S45-Grunddaten!$Q45)/100*$G70+$E70),-1)</f>
        <v>0</v>
      </c>
      <c r="Y70" s="253">
        <f ca="1">ROUND(Grunddaten!AY45*((Grunddaten!$S45-Grunddaten!$Q45)/100*$G70+$E70),-1)</f>
        <v>0</v>
      </c>
      <c r="Z70" s="253">
        <f ca="1">ROUND(Grunddaten!AZ45*((Grunddaten!$S45-Grunddaten!$Q45)/100*$G70+$E70),-1)</f>
        <v>0</v>
      </c>
      <c r="AA70" s="253">
        <f ca="1">ROUND(Grunddaten!BA45*((Grunddaten!$S45-Grunddaten!$Q45)/100*$G70+$E70),-1)</f>
        <v>0</v>
      </c>
      <c r="AB70" s="254">
        <f ca="1">ROUND(Grunddaten!BB45*((Grunddaten!$S45-Grunddaten!$Q45)/100*$G70+$E70),-1)</f>
        <v>0</v>
      </c>
      <c r="AC70" s="254">
        <f ca="1">ROUND(Grunddaten!BC45*((Grunddaten!$S45-Grunddaten!$Q45)/100*$G70+$E70),-1)</f>
        <v>0</v>
      </c>
      <c r="AD70" s="254">
        <f ca="1">ROUND(Grunddaten!BD45*((Grunddaten!$S45-Grunddaten!$Q45)/100*$G70+$E70),-1)</f>
        <v>0</v>
      </c>
      <c r="AE70" s="254">
        <f ca="1">ROUND(Grunddaten!BE45*((Grunddaten!$S45-Grunddaten!$Q45)/100*$G70+$E70),-1)</f>
        <v>0</v>
      </c>
      <c r="AF70" s="254">
        <f ca="1">ROUND(Grunddaten!BF45*((Grunddaten!$S45-Grunddaten!$Q45)/100*$G70+$E70),-1)</f>
        <v>0</v>
      </c>
      <c r="AG70" s="254">
        <f ca="1">ROUND(Grunddaten!BG45*((Grunddaten!$S45-Grunddaten!$Q45)/100*$G70+$E70),-1)</f>
        <v>0</v>
      </c>
      <c r="AH70" s="255">
        <f ca="1">ROUND(Grunddaten!BH45*((Grunddaten!$S45-Grunddaten!$Q45)/100*$G70+$E70),-1)</f>
        <v>0</v>
      </c>
      <c r="AI70" s="255">
        <f ca="1">ROUND(Grunddaten!BI45*((Grunddaten!$S45-Grunddaten!$Q45)/100*$G70+$E70),-1)</f>
        <v>0</v>
      </c>
      <c r="AJ70" s="255">
        <f ca="1">ROUND(Grunddaten!BJ45*((Grunddaten!$S45-Grunddaten!$Q45)/100*$G70+$E70),-1)</f>
        <v>0</v>
      </c>
      <c r="AK70" s="255">
        <f ca="1">ROUND(Grunddaten!BK45*((Grunddaten!$S45-Grunddaten!$Q45)/100*$G70+$E70),-1)</f>
        <v>0</v>
      </c>
      <c r="AL70" s="255">
        <f ca="1">ROUND(Grunddaten!BL45*((Grunddaten!$S45-Grunddaten!$Q45)/100*$G70+$E70),-1)</f>
        <v>0</v>
      </c>
      <c r="AM70" s="255">
        <f ca="1">ROUND(Grunddaten!BM45*((Grunddaten!$S45-Grunddaten!$Q45)/100*$G70+$E70),-1)</f>
        <v>0</v>
      </c>
      <c r="AN70" s="255">
        <f ca="1">ROUND(Grunddaten!BN45*((Grunddaten!$S45-Grunddaten!$Q45)/100*$G70+$E70),-1)</f>
        <v>0</v>
      </c>
      <c r="AO70" s="255">
        <f ca="1">ROUND(Grunddaten!BO45*((Grunddaten!$S45-Grunddaten!$Q45)/100*$G70+$E70),-1)</f>
        <v>0</v>
      </c>
      <c r="AP70" s="255">
        <f ca="1">ROUND(Grunddaten!BP45*((Grunddaten!$S45-Grunddaten!$Q45)/100*$G70+$E70),-1)</f>
        <v>0</v>
      </c>
      <c r="AQ70" s="255">
        <f ca="1">ROUND(Grunddaten!BQ45*((Grunddaten!$S45-Grunddaten!$Q45)/100*$G70+$E70),-1)</f>
        <v>0</v>
      </c>
      <c r="AR70" s="255">
        <f ca="1">ROUND(Grunddaten!BR45*((Grunddaten!$S45-Grunddaten!$Q45)/100*$G70+$E70),-1)</f>
        <v>0</v>
      </c>
      <c r="AS70" s="255">
        <f ca="1">ROUND(Grunddaten!BS45*((Grunddaten!$S45-Grunddaten!$Q45)/100*$G70+$E70),-1)</f>
        <v>0</v>
      </c>
      <c r="AT70" s="255">
        <f ca="1">ROUND(Grunddaten!BT45*((Grunddaten!$S45-Grunddaten!$Q45)/100*$G70+$E70),-1)</f>
        <v>0</v>
      </c>
      <c r="AU70" s="255">
        <f ca="1">ROUND(Grunddaten!BU45*((Grunddaten!$S45-Grunddaten!$Q45)/100*$G70+$E70),-1)</f>
        <v>0</v>
      </c>
      <c r="AV70" s="255">
        <f ca="1">ROUND(Grunddaten!BV45*((Grunddaten!$S45-Grunddaten!$Q45)/100*$G70+$E70),-1)</f>
        <v>0</v>
      </c>
      <c r="AW70" s="255">
        <f ca="1">ROUND(Grunddaten!BW45*((Grunddaten!$S45-Grunddaten!$Q45)/100*$G70+$E70),-1)</f>
        <v>0</v>
      </c>
      <c r="AX70" s="255">
        <f ca="1">ROUND(Grunddaten!BX45*((Grunddaten!$S45-Grunddaten!$Q45)/100*$G70+$E70),-1)</f>
        <v>0</v>
      </c>
      <c r="AY70" s="255">
        <f ca="1">ROUND(Grunddaten!BY45*((Grunddaten!$S45-Grunddaten!$Q45)/100*$G70+$E70),-1)</f>
        <v>0</v>
      </c>
      <c r="AZ70" s="255">
        <f ca="1">ROUND(Grunddaten!BZ45*((Grunddaten!$S45-Grunddaten!$Q45)/100*$G70+$E70),-1)</f>
        <v>0</v>
      </c>
      <c r="BA70" s="255">
        <f ca="1">ROUND(Grunddaten!CA45*((Grunddaten!$S45-Grunddaten!$Q45)/100*$G70+$E70),-1)</f>
        <v>0</v>
      </c>
      <c r="BB70" s="255">
        <f ca="1">ROUND(Grunddaten!CB45*((Grunddaten!$S45-Grunddaten!$Q45)/100*$G70+$E70),-1)</f>
        <v>0</v>
      </c>
      <c r="BC70" s="255">
        <f ca="1">ROUND(Grunddaten!CC45*((Grunddaten!$S45-Grunddaten!$Q45)/100*$G70+$E70),-1)</f>
        <v>0</v>
      </c>
      <c r="BD70" s="255">
        <f ca="1">ROUND(Grunddaten!CD45*((Grunddaten!$S45-Grunddaten!$Q45)/100*$G70+$E70),-1)</f>
        <v>0</v>
      </c>
      <c r="BE70" s="255">
        <f ca="1">ROUND(Grunddaten!CE45*((Grunddaten!$S45-Grunddaten!$Q45)/100*$G70+$E70),-1)</f>
        <v>0</v>
      </c>
      <c r="BF70" s="255">
        <f ca="1">ROUND(Grunddaten!CF45*((Grunddaten!$S45-Grunddaten!$Q45)/100*$G70+$E70),-1)</f>
        <v>0</v>
      </c>
      <c r="BG70" s="255">
        <f ca="1">ROUND(Grunddaten!CG45*((Grunddaten!$S45-Grunddaten!$Q45)/100*$G70+$E70),-1)</f>
        <v>0</v>
      </c>
      <c r="BH70" s="255">
        <f ca="1">ROUND(Grunddaten!CH45*((Grunddaten!$S45-Grunddaten!$Q45)/100*$G70+$E70),-1)</f>
        <v>0</v>
      </c>
      <c r="BI70" s="255">
        <f ca="1">ROUND(Grunddaten!CI45*((Grunddaten!$S45-Grunddaten!$Q45)/100*$G70+$E70),-1)</f>
        <v>0</v>
      </c>
      <c r="BJ70" s="255">
        <f ca="1">ROUND(Grunddaten!CJ45*((Grunddaten!$S45-Grunddaten!$Q45)/100*$G70+$E70),-1)</f>
        <v>0</v>
      </c>
      <c r="BK70" s="255">
        <f ca="1">ROUND(Grunddaten!CK45*((Grunddaten!$S45-Grunddaten!$Q45)/100*$G70+$E70),-1)</f>
        <v>0</v>
      </c>
      <c r="BL70" s="255">
        <f ca="1">ROUND(Grunddaten!CL45*((Grunddaten!$S45-Grunddaten!$Q45)/100*$G70+$E70),-1)</f>
        <v>0</v>
      </c>
      <c r="BM70" s="255">
        <f ca="1">ROUND(Grunddaten!CM45*((Grunddaten!$S45-Grunddaten!$Q45)/100*$G70+$E70),-1)</f>
        <v>0</v>
      </c>
      <c r="BN70" s="255">
        <f ca="1">ROUND(Grunddaten!CN45*((Grunddaten!$S45-Grunddaten!$Q45)/100*$G70+$E70),-1)</f>
        <v>0</v>
      </c>
      <c r="BO70" s="255">
        <f ca="1">ROUND(Grunddaten!CO45*((Grunddaten!$S45-Grunddaten!$Q45)/100*$G70+$E70),-1)</f>
        <v>0</v>
      </c>
      <c r="BP70" s="255">
        <f ca="1">ROUND(Grunddaten!CP45*((Grunddaten!$S45-Grunddaten!$Q45)/100*$G70+$E70),-1)</f>
        <v>0</v>
      </c>
      <c r="BQ70" s="256">
        <f ca="1">ROUND(Grunddaten!CQ45*((Grunddaten!$S45-Grunddaten!$Q45)/100*$G70+$E70),-1)</f>
        <v>0</v>
      </c>
    </row>
    <row r="71" spans="1:69" s="36" customFormat="1" ht="11.25" customHeight="1" x14ac:dyDescent="0.2">
      <c r="A71" s="1011" t="str">
        <f>Berechnungen!A35</f>
        <v>Holzschnitzel</v>
      </c>
      <c r="B71" s="1491"/>
      <c r="C71" s="1491"/>
      <c r="D71" s="1491"/>
      <c r="E71" s="2397"/>
      <c r="F71" s="2398"/>
      <c r="G71" s="2392">
        <f ca="1">SUMIF(EV_Var4!$A$11:$B$74,$A71,EV_Var4!$E$11:$E$74)</f>
        <v>0</v>
      </c>
      <c r="H71" s="2393"/>
      <c r="I71" s="2394"/>
      <c r="J71" s="2390">
        <f>Grunddaten!S46-(1-$R$109)*Grunddaten!Q46</f>
        <v>7.6</v>
      </c>
      <c r="K71" s="2391"/>
      <c r="L71" s="2424">
        <f t="shared" ca="1" si="4"/>
        <v>0</v>
      </c>
      <c r="M71" s="2425"/>
      <c r="N71" s="2426"/>
      <c r="P71" s="122"/>
      <c r="Q71" s="122"/>
      <c r="S71" s="252">
        <f ca="1">ROUND(Grunddaten!AS46*((Grunddaten!$S46-Grunddaten!$Q46)/100*$G71+$E71),-1)</f>
        <v>0</v>
      </c>
      <c r="T71" s="253">
        <f ca="1">ROUND(Grunddaten!AT46*((Grunddaten!$S46-Grunddaten!$Q46)/100*$G71+$E71),-1)</f>
        <v>0</v>
      </c>
      <c r="U71" s="253">
        <f ca="1">ROUND(Grunddaten!AU46*((Grunddaten!$S46-Grunddaten!$Q46)/100*$G71+$E71),-1)</f>
        <v>0</v>
      </c>
      <c r="V71" s="253">
        <f ca="1">ROUND(Grunddaten!AV46*((Grunddaten!$S46-Grunddaten!$Q46)/100*$G71+$E71),-1)</f>
        <v>0</v>
      </c>
      <c r="W71" s="253">
        <f ca="1">ROUND(Grunddaten!AW46*((Grunddaten!$S46-Grunddaten!$Q46)/100*$G71+$E71),-1)</f>
        <v>0</v>
      </c>
      <c r="X71" s="253">
        <f ca="1">ROUND(Grunddaten!AX46*((Grunddaten!$S46-Grunddaten!$Q46)/100*$G71+$E71),-1)</f>
        <v>0</v>
      </c>
      <c r="Y71" s="253">
        <f ca="1">ROUND(Grunddaten!AY46*((Grunddaten!$S46-Grunddaten!$Q46)/100*$G71+$E71),-1)</f>
        <v>0</v>
      </c>
      <c r="Z71" s="253">
        <f ca="1">ROUND(Grunddaten!AZ46*((Grunddaten!$S46-Grunddaten!$Q46)/100*$G71+$E71),-1)</f>
        <v>0</v>
      </c>
      <c r="AA71" s="253">
        <f ca="1">ROUND(Grunddaten!BA46*((Grunddaten!$S46-Grunddaten!$Q46)/100*$G71+$E71),-1)</f>
        <v>0</v>
      </c>
      <c r="AB71" s="254">
        <f ca="1">ROUND(Grunddaten!BB46*((Grunddaten!$S46-Grunddaten!$Q46)/100*$G71+$E71),-1)</f>
        <v>0</v>
      </c>
      <c r="AC71" s="254">
        <f ca="1">ROUND(Grunddaten!BC46*((Grunddaten!$S46-Grunddaten!$Q46)/100*$G71+$E71),-1)</f>
        <v>0</v>
      </c>
      <c r="AD71" s="254">
        <f ca="1">ROUND(Grunddaten!BD46*((Grunddaten!$S46-Grunddaten!$Q46)/100*$G71+$E71),-1)</f>
        <v>0</v>
      </c>
      <c r="AE71" s="254">
        <f ca="1">ROUND(Grunddaten!BE46*((Grunddaten!$S46-Grunddaten!$Q46)/100*$G71+$E71),-1)</f>
        <v>0</v>
      </c>
      <c r="AF71" s="254">
        <f ca="1">ROUND(Grunddaten!BF46*((Grunddaten!$S46-Grunddaten!$Q46)/100*$G71+$E71),-1)</f>
        <v>0</v>
      </c>
      <c r="AG71" s="254">
        <f ca="1">ROUND(Grunddaten!BG46*((Grunddaten!$S46-Grunddaten!$Q46)/100*$G71+$E71),-1)</f>
        <v>0</v>
      </c>
      <c r="AH71" s="255">
        <f ca="1">ROUND(Grunddaten!BH46*((Grunddaten!$S46-Grunddaten!$Q46)/100*$G71+$E71),-1)</f>
        <v>0</v>
      </c>
      <c r="AI71" s="255">
        <f ca="1">ROUND(Grunddaten!BI46*((Grunddaten!$S46-Grunddaten!$Q46)/100*$G71+$E71),-1)</f>
        <v>0</v>
      </c>
      <c r="AJ71" s="255">
        <f ca="1">ROUND(Grunddaten!BJ46*((Grunddaten!$S46-Grunddaten!$Q46)/100*$G71+$E71),-1)</f>
        <v>0</v>
      </c>
      <c r="AK71" s="255">
        <f ca="1">ROUND(Grunddaten!BK46*((Grunddaten!$S46-Grunddaten!$Q46)/100*$G71+$E71),-1)</f>
        <v>0</v>
      </c>
      <c r="AL71" s="255">
        <f ca="1">ROUND(Grunddaten!BL46*((Grunddaten!$S46-Grunddaten!$Q46)/100*$G71+$E71),-1)</f>
        <v>0</v>
      </c>
      <c r="AM71" s="255">
        <f ca="1">ROUND(Grunddaten!BM46*((Grunddaten!$S46-Grunddaten!$Q46)/100*$G71+$E71),-1)</f>
        <v>0</v>
      </c>
      <c r="AN71" s="255">
        <f ca="1">ROUND(Grunddaten!BN46*((Grunddaten!$S46-Grunddaten!$Q46)/100*$G71+$E71),-1)</f>
        <v>0</v>
      </c>
      <c r="AO71" s="255">
        <f ca="1">ROUND(Grunddaten!BO46*((Grunddaten!$S46-Grunddaten!$Q46)/100*$G71+$E71),-1)</f>
        <v>0</v>
      </c>
      <c r="AP71" s="255">
        <f ca="1">ROUND(Grunddaten!BP46*((Grunddaten!$S46-Grunddaten!$Q46)/100*$G71+$E71),-1)</f>
        <v>0</v>
      </c>
      <c r="AQ71" s="255">
        <f ca="1">ROUND(Grunddaten!BQ46*((Grunddaten!$S46-Grunddaten!$Q46)/100*$G71+$E71),-1)</f>
        <v>0</v>
      </c>
      <c r="AR71" s="255">
        <f ca="1">ROUND(Grunddaten!BR46*((Grunddaten!$S46-Grunddaten!$Q46)/100*$G71+$E71),-1)</f>
        <v>0</v>
      </c>
      <c r="AS71" s="255">
        <f ca="1">ROUND(Grunddaten!BS46*((Grunddaten!$S46-Grunddaten!$Q46)/100*$G71+$E71),-1)</f>
        <v>0</v>
      </c>
      <c r="AT71" s="255">
        <f ca="1">ROUND(Grunddaten!BT46*((Grunddaten!$S46-Grunddaten!$Q46)/100*$G71+$E71),-1)</f>
        <v>0</v>
      </c>
      <c r="AU71" s="255">
        <f ca="1">ROUND(Grunddaten!BU46*((Grunddaten!$S46-Grunddaten!$Q46)/100*$G71+$E71),-1)</f>
        <v>0</v>
      </c>
      <c r="AV71" s="255">
        <f ca="1">ROUND(Grunddaten!BV46*((Grunddaten!$S46-Grunddaten!$Q46)/100*$G71+$E71),-1)</f>
        <v>0</v>
      </c>
      <c r="AW71" s="255">
        <f ca="1">ROUND(Grunddaten!BW46*((Grunddaten!$S46-Grunddaten!$Q46)/100*$G71+$E71),-1)</f>
        <v>0</v>
      </c>
      <c r="AX71" s="255">
        <f ca="1">ROUND(Grunddaten!BX46*((Grunddaten!$S46-Grunddaten!$Q46)/100*$G71+$E71),-1)</f>
        <v>0</v>
      </c>
      <c r="AY71" s="255">
        <f ca="1">ROUND(Grunddaten!BY46*((Grunddaten!$S46-Grunddaten!$Q46)/100*$G71+$E71),-1)</f>
        <v>0</v>
      </c>
      <c r="AZ71" s="255">
        <f ca="1">ROUND(Grunddaten!BZ46*((Grunddaten!$S46-Grunddaten!$Q46)/100*$G71+$E71),-1)</f>
        <v>0</v>
      </c>
      <c r="BA71" s="255">
        <f ca="1">ROUND(Grunddaten!CA46*((Grunddaten!$S46-Grunddaten!$Q46)/100*$G71+$E71),-1)</f>
        <v>0</v>
      </c>
      <c r="BB71" s="255">
        <f ca="1">ROUND(Grunddaten!CB46*((Grunddaten!$S46-Grunddaten!$Q46)/100*$G71+$E71),-1)</f>
        <v>0</v>
      </c>
      <c r="BC71" s="255">
        <f ca="1">ROUND(Grunddaten!CC46*((Grunddaten!$S46-Grunddaten!$Q46)/100*$G71+$E71),-1)</f>
        <v>0</v>
      </c>
      <c r="BD71" s="255">
        <f ca="1">ROUND(Grunddaten!CD46*((Grunddaten!$S46-Grunddaten!$Q46)/100*$G71+$E71),-1)</f>
        <v>0</v>
      </c>
      <c r="BE71" s="255">
        <f ca="1">ROUND(Grunddaten!CE46*((Grunddaten!$S46-Grunddaten!$Q46)/100*$G71+$E71),-1)</f>
        <v>0</v>
      </c>
      <c r="BF71" s="255">
        <f ca="1">ROUND(Grunddaten!CF46*((Grunddaten!$S46-Grunddaten!$Q46)/100*$G71+$E71),-1)</f>
        <v>0</v>
      </c>
      <c r="BG71" s="255">
        <f ca="1">ROUND(Grunddaten!CG46*((Grunddaten!$S46-Grunddaten!$Q46)/100*$G71+$E71),-1)</f>
        <v>0</v>
      </c>
      <c r="BH71" s="255">
        <f ca="1">ROUND(Grunddaten!CH46*((Grunddaten!$S46-Grunddaten!$Q46)/100*$G71+$E71),-1)</f>
        <v>0</v>
      </c>
      <c r="BI71" s="255">
        <f ca="1">ROUND(Grunddaten!CI46*((Grunddaten!$S46-Grunddaten!$Q46)/100*$G71+$E71),-1)</f>
        <v>0</v>
      </c>
      <c r="BJ71" s="255">
        <f ca="1">ROUND(Grunddaten!CJ46*((Grunddaten!$S46-Grunddaten!$Q46)/100*$G71+$E71),-1)</f>
        <v>0</v>
      </c>
      <c r="BK71" s="255">
        <f ca="1">ROUND(Grunddaten!CK46*((Grunddaten!$S46-Grunddaten!$Q46)/100*$G71+$E71),-1)</f>
        <v>0</v>
      </c>
      <c r="BL71" s="255">
        <f ca="1">ROUND(Grunddaten!CL46*((Grunddaten!$S46-Grunddaten!$Q46)/100*$G71+$E71),-1)</f>
        <v>0</v>
      </c>
      <c r="BM71" s="255">
        <f ca="1">ROUND(Grunddaten!CM46*((Grunddaten!$S46-Grunddaten!$Q46)/100*$G71+$E71),-1)</f>
        <v>0</v>
      </c>
      <c r="BN71" s="255">
        <f ca="1">ROUND(Grunddaten!CN46*((Grunddaten!$S46-Grunddaten!$Q46)/100*$G71+$E71),-1)</f>
        <v>0</v>
      </c>
      <c r="BO71" s="255">
        <f ca="1">ROUND(Grunddaten!CO46*((Grunddaten!$S46-Grunddaten!$Q46)/100*$G71+$E71),-1)</f>
        <v>0</v>
      </c>
      <c r="BP71" s="255">
        <f ca="1">ROUND(Grunddaten!CP46*((Grunddaten!$S46-Grunddaten!$Q46)/100*$G71+$E71),-1)</f>
        <v>0</v>
      </c>
      <c r="BQ71" s="256">
        <f ca="1">ROUND(Grunddaten!CQ46*((Grunddaten!$S46-Grunddaten!$Q46)/100*$G71+$E71),-1)</f>
        <v>0</v>
      </c>
    </row>
    <row r="72" spans="1:69" s="36" customFormat="1" ht="11.25" customHeight="1" x14ac:dyDescent="0.2">
      <c r="A72" s="1011" t="str">
        <f>Berechnungen!A34</f>
        <v>Biogas</v>
      </c>
      <c r="B72" s="1494" t="str">
        <f>MID(Projektdaten!H24,10,50)</f>
        <v>Energie360°</v>
      </c>
      <c r="C72" s="1494"/>
      <c r="D72" s="1494"/>
      <c r="E72" s="2397">
        <f xml:space="preserve"> (IF(EV_Var4!$A$20=$A72,EV_Var4!$H$20,0) + IF(EV_Var4!$A$24=$A72,EV_Var4!$H$24,0) + IF(EV_Var4!$A$29=$A72,(EV_Var4!$H$28-EV_Var4!$AA$24),0) + IF(EV_Var4!$A$60=$A72,EV_Var4!$H$60,0)) * VLOOKUP(Projektdaten!H24,Grunddaten!C47:AI48,33,FALSE)</f>
        <v>0</v>
      </c>
      <c r="F72" s="2398"/>
      <c r="G72" s="2392">
        <f ca="1">SUMIF(EV_Var4!$A$11:$B$74,$A72,EV_Var4!$E$11:$E$74)</f>
        <v>0</v>
      </c>
      <c r="H72" s="2393"/>
      <c r="I72" s="2394"/>
      <c r="J72" s="2390">
        <f>VLOOKUP(Projektdaten!H24,Grunddaten!C47:AI48,17,FALSE) - (1-$R$109)*VLOOKUP(Projektdaten!H24,Grunddaten!C47:AI48,15,FALSE)</f>
        <v>18.7</v>
      </c>
      <c r="K72" s="2391"/>
      <c r="L72" s="2424">
        <f t="shared" ca="1" si="4"/>
        <v>0</v>
      </c>
      <c r="M72" s="2425"/>
      <c r="N72" s="2426"/>
      <c r="P72" s="122"/>
      <c r="Q72" s="122"/>
      <c r="S72" s="252">
        <f ca="1">ROUND(OFFSET(Grunddaten!AS47,Biogas_Produkt,0)*((OFFSET(Grunddaten!$S47,Biogas_Produkt,0)-OFFSET(Grunddaten!$Q47,Biogas_Produkt,0))/100*$G72+$E72),-1)</f>
        <v>0</v>
      </c>
      <c r="T72" s="253">
        <f ca="1">ROUND(OFFSET(Grunddaten!AT47,Biogas_Produkt,0)*((OFFSET(Grunddaten!$S47,Biogas_Produkt,0)-OFFSET(Grunddaten!$Q47,Biogas_Produkt,0))/100*$G72+$E72),-1)</f>
        <v>0</v>
      </c>
      <c r="U72" s="253">
        <f ca="1">ROUND(OFFSET(Grunddaten!AU47,Biogas_Produkt,0)*((OFFSET(Grunddaten!$S47,Biogas_Produkt,0)-OFFSET(Grunddaten!$Q47,Biogas_Produkt,0))/100*$G72+$E72),-1)</f>
        <v>0</v>
      </c>
      <c r="V72" s="253">
        <f ca="1">ROUND(OFFSET(Grunddaten!AV47,Biogas_Produkt,0)*((OFFSET(Grunddaten!$S47,Biogas_Produkt,0)-OFFSET(Grunddaten!$Q47,Biogas_Produkt,0))/100*$G72+$E72),-1)</f>
        <v>0</v>
      </c>
      <c r="W72" s="253">
        <f ca="1">ROUND(OFFSET(Grunddaten!AW47,Biogas_Produkt,0)*((OFFSET(Grunddaten!$S47,Biogas_Produkt,0)-OFFSET(Grunddaten!$Q47,Biogas_Produkt,0))/100*$G72+$E72),-1)</f>
        <v>0</v>
      </c>
      <c r="X72" s="253">
        <f ca="1">ROUND(OFFSET(Grunddaten!AX47,Biogas_Produkt,0)*((OFFSET(Grunddaten!$S47,Biogas_Produkt,0)-OFFSET(Grunddaten!$Q47,Biogas_Produkt,0))/100*$G72+$E72),-1)</f>
        <v>0</v>
      </c>
      <c r="Y72" s="253">
        <f ca="1">ROUND(OFFSET(Grunddaten!AY47,Biogas_Produkt,0)*((OFFSET(Grunddaten!$S47,Biogas_Produkt,0)-OFFSET(Grunddaten!$Q47,Biogas_Produkt,0))/100*$G72+$E72),-1)</f>
        <v>0</v>
      </c>
      <c r="Z72" s="253">
        <f ca="1">ROUND(OFFSET(Grunddaten!AZ47,Biogas_Produkt,0)*((OFFSET(Grunddaten!$S47,Biogas_Produkt,0)-OFFSET(Grunddaten!$Q47,Biogas_Produkt,0))/100*$G72+$E72),-1)</f>
        <v>0</v>
      </c>
      <c r="AA72" s="253">
        <f ca="1">ROUND(OFFSET(Grunddaten!BA47,Biogas_Produkt,0)*((OFFSET(Grunddaten!$S47,Biogas_Produkt,0)-OFFSET(Grunddaten!$Q47,Biogas_Produkt,0))/100*$G72+$E72),-1)</f>
        <v>0</v>
      </c>
      <c r="AB72" s="253">
        <f ca="1">ROUND(OFFSET(Grunddaten!BB47,Biogas_Produkt,0)*((OFFSET(Grunddaten!$S47,Biogas_Produkt,0)-OFFSET(Grunddaten!$Q47,Biogas_Produkt,0))/100*$G72+$E72),-1)</f>
        <v>0</v>
      </c>
      <c r="AC72" s="253">
        <f ca="1">ROUND(OFFSET(Grunddaten!BC47,Biogas_Produkt,0)*((OFFSET(Grunddaten!$S47,Biogas_Produkt,0)-OFFSET(Grunddaten!$Q47,Biogas_Produkt,0))/100*$G72+$E72),-1)</f>
        <v>0</v>
      </c>
      <c r="AD72" s="253">
        <f ca="1">ROUND(OFFSET(Grunddaten!BD47,Biogas_Produkt,0)*((OFFSET(Grunddaten!$S47,Biogas_Produkt,0)-OFFSET(Grunddaten!$Q47,Biogas_Produkt,0))/100*$G72+$E72),-1)</f>
        <v>0</v>
      </c>
      <c r="AE72" s="253">
        <f ca="1">ROUND(OFFSET(Grunddaten!BE47,Biogas_Produkt,0)*((OFFSET(Grunddaten!$S47,Biogas_Produkt,0)-OFFSET(Grunddaten!$Q47,Biogas_Produkt,0))/100*$G72+$E72),-1)</f>
        <v>0</v>
      </c>
      <c r="AF72" s="253">
        <f ca="1">ROUND(OFFSET(Grunddaten!BF47,Biogas_Produkt,0)*((OFFSET(Grunddaten!$S47,Biogas_Produkt,0)-OFFSET(Grunddaten!$Q47,Biogas_Produkt,0))/100*$G72+$E72),-1)</f>
        <v>0</v>
      </c>
      <c r="AG72" s="253">
        <f ca="1">ROUND(OFFSET(Grunddaten!BG47,Biogas_Produkt,0)*((OFFSET(Grunddaten!$S47,Biogas_Produkt,0)-OFFSET(Grunddaten!$Q47,Biogas_Produkt,0))/100*$G72+$E72),-1)</f>
        <v>0</v>
      </c>
      <c r="AH72" s="253">
        <f ca="1">ROUND(OFFSET(Grunddaten!BH47,Biogas_Produkt,0)*((OFFSET(Grunddaten!$S47,Biogas_Produkt,0)-OFFSET(Grunddaten!$Q47,Biogas_Produkt,0))/100*$G72+$E72),-1)</f>
        <v>0</v>
      </c>
      <c r="AI72" s="253">
        <f ca="1">ROUND(OFFSET(Grunddaten!BI47,Biogas_Produkt,0)*((OFFSET(Grunddaten!$S47,Biogas_Produkt,0)-OFFSET(Grunddaten!$Q47,Biogas_Produkt,0))/100*$G72+$E72),-1)</f>
        <v>0</v>
      </c>
      <c r="AJ72" s="253">
        <f ca="1">ROUND(OFFSET(Grunddaten!BJ47,Biogas_Produkt,0)*((OFFSET(Grunddaten!$S47,Biogas_Produkt,0)-OFFSET(Grunddaten!$Q47,Biogas_Produkt,0))/100*$G72+$E72),-1)</f>
        <v>0</v>
      </c>
      <c r="AK72" s="253">
        <f ca="1">ROUND(OFFSET(Grunddaten!BK47,Biogas_Produkt,0)*((OFFSET(Grunddaten!$S47,Biogas_Produkt,0)-OFFSET(Grunddaten!$Q47,Biogas_Produkt,0))/100*$G72+$E72),-1)</f>
        <v>0</v>
      </c>
      <c r="AL72" s="253">
        <f ca="1">ROUND(OFFSET(Grunddaten!BL47,Biogas_Produkt,0)*((OFFSET(Grunddaten!$S47,Biogas_Produkt,0)-OFFSET(Grunddaten!$Q47,Biogas_Produkt,0))/100*$G72+$E72),-1)</f>
        <v>0</v>
      </c>
      <c r="AM72" s="253">
        <f ca="1">ROUND(OFFSET(Grunddaten!BM47,Biogas_Produkt,0)*((OFFSET(Grunddaten!$S47,Biogas_Produkt,0)-OFFSET(Grunddaten!$Q47,Biogas_Produkt,0))/100*$G72+$E72),-1)</f>
        <v>0</v>
      </c>
      <c r="AN72" s="253">
        <f ca="1">ROUND(OFFSET(Grunddaten!BN47,Biogas_Produkt,0)*((OFFSET(Grunddaten!$S47,Biogas_Produkt,0)-OFFSET(Grunddaten!$Q47,Biogas_Produkt,0))/100*$G72+$E72),-1)</f>
        <v>0</v>
      </c>
      <c r="AO72" s="253">
        <f ca="1">ROUND(OFFSET(Grunddaten!BO47,Biogas_Produkt,0)*((OFFSET(Grunddaten!$S47,Biogas_Produkt,0)-OFFSET(Grunddaten!$Q47,Biogas_Produkt,0))/100*$G72+$E72),-1)</f>
        <v>0</v>
      </c>
      <c r="AP72" s="253">
        <f ca="1">ROUND(OFFSET(Grunddaten!BP47,Biogas_Produkt,0)*((OFFSET(Grunddaten!$S47,Biogas_Produkt,0)-OFFSET(Grunddaten!$Q47,Biogas_Produkt,0))/100*$G72+$E72),-1)</f>
        <v>0</v>
      </c>
      <c r="AQ72" s="253">
        <f ca="1">ROUND(OFFSET(Grunddaten!BQ47,Biogas_Produkt,0)*((OFFSET(Grunddaten!$S47,Biogas_Produkt,0)-OFFSET(Grunddaten!$Q47,Biogas_Produkt,0))/100*$G72+$E72),-1)</f>
        <v>0</v>
      </c>
      <c r="AR72" s="253">
        <f ca="1">ROUND(OFFSET(Grunddaten!BR47,Biogas_Produkt,0)*((OFFSET(Grunddaten!$S47,Biogas_Produkt,0)-OFFSET(Grunddaten!$Q47,Biogas_Produkt,0))/100*$G72+$E72),-1)</f>
        <v>0</v>
      </c>
      <c r="AS72" s="253">
        <f ca="1">ROUND(OFFSET(Grunddaten!BS47,Biogas_Produkt,0)*((OFFSET(Grunddaten!$S47,Biogas_Produkt,0)-OFFSET(Grunddaten!$Q47,Biogas_Produkt,0))/100*$G72+$E72),-1)</f>
        <v>0</v>
      </c>
      <c r="AT72" s="253">
        <f ca="1">ROUND(OFFSET(Grunddaten!BT47,Biogas_Produkt,0)*((OFFSET(Grunddaten!$S47,Biogas_Produkt,0)-OFFSET(Grunddaten!$Q47,Biogas_Produkt,0))/100*$G72+$E72),-1)</f>
        <v>0</v>
      </c>
      <c r="AU72" s="253">
        <f ca="1">ROUND(OFFSET(Grunddaten!BU47,Biogas_Produkt,0)*((OFFSET(Grunddaten!$S47,Biogas_Produkt,0)-OFFSET(Grunddaten!$Q47,Biogas_Produkt,0))/100*$G72+$E72),-1)</f>
        <v>0</v>
      </c>
      <c r="AV72" s="253">
        <f ca="1">ROUND(OFFSET(Grunddaten!BV47,Biogas_Produkt,0)*((OFFSET(Grunddaten!$S47,Biogas_Produkt,0)-OFFSET(Grunddaten!$Q47,Biogas_Produkt,0))/100*$G72+$E72),-1)</f>
        <v>0</v>
      </c>
      <c r="AW72" s="253">
        <f ca="1">ROUND(OFFSET(Grunddaten!BW47,Biogas_Produkt,0)*((OFFSET(Grunddaten!$S47,Biogas_Produkt,0)-OFFSET(Grunddaten!$Q47,Biogas_Produkt,0))/100*$G72+$E72),-1)</f>
        <v>0</v>
      </c>
      <c r="AX72" s="253">
        <f ca="1">ROUND(OFFSET(Grunddaten!BX47,Biogas_Produkt,0)*((OFFSET(Grunddaten!$S47,Biogas_Produkt,0)-OFFSET(Grunddaten!$Q47,Biogas_Produkt,0))/100*$G72+$E72),-1)</f>
        <v>0</v>
      </c>
      <c r="AY72" s="253">
        <f ca="1">ROUND(OFFSET(Grunddaten!BY47,Biogas_Produkt,0)*((OFFSET(Grunddaten!$S47,Biogas_Produkt,0)-OFFSET(Grunddaten!$Q47,Biogas_Produkt,0))/100*$G72+$E72),-1)</f>
        <v>0</v>
      </c>
      <c r="AZ72" s="253">
        <f ca="1">ROUND(OFFSET(Grunddaten!BZ47,Biogas_Produkt,0)*((OFFSET(Grunddaten!$S47,Biogas_Produkt,0)-OFFSET(Grunddaten!$Q47,Biogas_Produkt,0))/100*$G72+$E72),-1)</f>
        <v>0</v>
      </c>
      <c r="BA72" s="253">
        <f ca="1">ROUND(OFFSET(Grunddaten!CA47,Biogas_Produkt,0)*((OFFSET(Grunddaten!$S47,Biogas_Produkt,0)-OFFSET(Grunddaten!$Q47,Biogas_Produkt,0))/100*$G72+$E72),-1)</f>
        <v>0</v>
      </c>
      <c r="BB72" s="253">
        <f ca="1">ROUND(OFFSET(Grunddaten!CB47,Biogas_Produkt,0)*((OFFSET(Grunddaten!$S47,Biogas_Produkt,0)-OFFSET(Grunddaten!$Q47,Biogas_Produkt,0))/100*$G72+$E72),-1)</f>
        <v>0</v>
      </c>
      <c r="BC72" s="253">
        <f ca="1">ROUND(OFFSET(Grunddaten!CC47,Biogas_Produkt,0)*((OFFSET(Grunddaten!$S47,Biogas_Produkt,0)-OFFSET(Grunddaten!$Q47,Biogas_Produkt,0))/100*$G72+$E72),-1)</f>
        <v>0</v>
      </c>
      <c r="BD72" s="253">
        <f ca="1">ROUND(OFFSET(Grunddaten!CD47,Biogas_Produkt,0)*((OFFSET(Grunddaten!$S47,Biogas_Produkt,0)-OFFSET(Grunddaten!$Q47,Biogas_Produkt,0))/100*$G72+$E72),-1)</f>
        <v>0</v>
      </c>
      <c r="BE72" s="253">
        <f ca="1">ROUND(OFFSET(Grunddaten!CE47,Biogas_Produkt,0)*((OFFSET(Grunddaten!$S47,Biogas_Produkt,0)-OFFSET(Grunddaten!$Q47,Biogas_Produkt,0))/100*$G72+$E72),-1)</f>
        <v>0</v>
      </c>
      <c r="BF72" s="253">
        <f ca="1">ROUND(OFFSET(Grunddaten!CF47,Biogas_Produkt,0)*((OFFSET(Grunddaten!$S47,Biogas_Produkt,0)-OFFSET(Grunddaten!$Q47,Biogas_Produkt,0))/100*$G72+$E72),-1)</f>
        <v>0</v>
      </c>
      <c r="BG72" s="253">
        <f ca="1">ROUND(OFFSET(Grunddaten!CG47,Biogas_Produkt,0)*((OFFSET(Grunddaten!$S47,Biogas_Produkt,0)-OFFSET(Grunddaten!$Q47,Biogas_Produkt,0))/100*$G72+$E72),-1)</f>
        <v>0</v>
      </c>
      <c r="BH72" s="253">
        <f ca="1">ROUND(OFFSET(Grunddaten!CH47,Biogas_Produkt,0)*((OFFSET(Grunddaten!$S47,Biogas_Produkt,0)-OFFSET(Grunddaten!$Q47,Biogas_Produkt,0))/100*$G72+$E72),-1)</f>
        <v>0</v>
      </c>
      <c r="BI72" s="253">
        <f ca="1">ROUND(OFFSET(Grunddaten!CI47,Biogas_Produkt,0)*((OFFSET(Grunddaten!$S47,Biogas_Produkt,0)-OFFSET(Grunddaten!$Q47,Biogas_Produkt,0))/100*$G72+$E72),-1)</f>
        <v>0</v>
      </c>
      <c r="BJ72" s="253">
        <f ca="1">ROUND(OFFSET(Grunddaten!CJ47,Biogas_Produkt,0)*((OFFSET(Grunddaten!$S47,Biogas_Produkt,0)-OFFSET(Grunddaten!$Q47,Biogas_Produkt,0))/100*$G72+$E72),-1)</f>
        <v>0</v>
      </c>
      <c r="BK72" s="253">
        <f ca="1">ROUND(OFFSET(Grunddaten!CK47,Biogas_Produkt,0)*((OFFSET(Grunddaten!$S47,Biogas_Produkt,0)-OFFSET(Grunddaten!$Q47,Biogas_Produkt,0))/100*$G72+$E72),-1)</f>
        <v>0</v>
      </c>
      <c r="BL72" s="253">
        <f ca="1">ROUND(OFFSET(Grunddaten!CL47,Biogas_Produkt,0)*((OFFSET(Grunddaten!$S47,Biogas_Produkt,0)-OFFSET(Grunddaten!$Q47,Biogas_Produkt,0))/100*$G72+$E72),-1)</f>
        <v>0</v>
      </c>
      <c r="BM72" s="253">
        <f ca="1">ROUND(OFFSET(Grunddaten!CM47,Biogas_Produkt,0)*((OFFSET(Grunddaten!$S47,Biogas_Produkt,0)-OFFSET(Grunddaten!$Q47,Biogas_Produkt,0))/100*$G72+$E72),-1)</f>
        <v>0</v>
      </c>
      <c r="BN72" s="253">
        <f ca="1">ROUND(OFFSET(Grunddaten!CN47,Biogas_Produkt,0)*((OFFSET(Grunddaten!$S47,Biogas_Produkt,0)-OFFSET(Grunddaten!$Q47,Biogas_Produkt,0))/100*$G72+$E72),-1)</f>
        <v>0</v>
      </c>
      <c r="BO72" s="253">
        <f ca="1">ROUND(OFFSET(Grunddaten!CO47,Biogas_Produkt,0)*((OFFSET(Grunddaten!$S47,Biogas_Produkt,0)-OFFSET(Grunddaten!$Q47,Biogas_Produkt,0))/100*$G72+$E72),-1)</f>
        <v>0</v>
      </c>
      <c r="BP72" s="253">
        <f ca="1">ROUND(OFFSET(Grunddaten!CP47,Biogas_Produkt,0)*((OFFSET(Grunddaten!$S47,Biogas_Produkt,0)-OFFSET(Grunddaten!$Q47,Biogas_Produkt,0))/100*$G72+$E72),-1)</f>
        <v>0</v>
      </c>
      <c r="BQ72" s="257">
        <f ca="1">ROUND(OFFSET(Grunddaten!CQ47,Biogas_Produkt,0)*((OFFSET(Grunddaten!$S47,Biogas_Produkt,0)-OFFSET(Grunddaten!$Q47,Biogas_Produkt,0))/100*$G72+$E72),-1)</f>
        <v>0</v>
      </c>
    </row>
    <row r="73" spans="1:69" s="36" customFormat="1" ht="11.25" customHeight="1" x14ac:dyDescent="0.2">
      <c r="A73" s="1011" t="str">
        <f>Berechnungen!A33</f>
        <v>Erdgas</v>
      </c>
      <c r="B73" s="1014"/>
      <c r="C73" s="1491"/>
      <c r="D73" s="1491"/>
      <c r="E73" s="2397">
        <f xml:space="preserve"> (IF(EV_Var4!$A$20=$A73,EV_Var4!$H$20,0) + IF(EV_Var4!$A$24=$A73,EV_Var4!$H$24,0) + IF(EV_Var4!$A$29=$A73,(EV_Var4!$H$28-EV_Var4!$AA$24),0) + IF(EV_Var4!$A$60=$A73,EV_Var4!$H$60,0)) * Grunddaten!$AI49</f>
        <v>0</v>
      </c>
      <c r="F73" s="2398"/>
      <c r="G73" s="2392">
        <f ca="1">SUMIF(EV_Var4!$A$11:$B$74,$A73,EV_Var4!$E$11:$E$74)</f>
        <v>0</v>
      </c>
      <c r="H73" s="2393"/>
      <c r="I73" s="2394"/>
      <c r="J73" s="2390">
        <f>Grunddaten!S49-(1-$R$109)*Grunddaten!Q49</f>
        <v>12.3</v>
      </c>
      <c r="K73" s="2391"/>
      <c r="L73" s="2424">
        <f t="shared" ca="1" si="4"/>
        <v>0</v>
      </c>
      <c r="M73" s="2425"/>
      <c r="N73" s="2426"/>
      <c r="P73" s="122"/>
      <c r="Q73" s="122"/>
      <c r="S73" s="252">
        <f ca="1">ROUND(Grunddaten!AS49*((Grunddaten!$S49-Grunddaten!$Q49)/100*$G73+$E73),-1)</f>
        <v>0</v>
      </c>
      <c r="T73" s="253">
        <f ca="1">ROUND(Grunddaten!AT49*((Grunddaten!$S49-Grunddaten!$Q49)/100*$G73+$E73),-1)</f>
        <v>0</v>
      </c>
      <c r="U73" s="253">
        <f ca="1">ROUND(Grunddaten!AU49*((Grunddaten!$S49-Grunddaten!$Q49)/100*$G73+$E73),-1)</f>
        <v>0</v>
      </c>
      <c r="V73" s="253">
        <f ca="1">ROUND(Grunddaten!AV49*((Grunddaten!$S49-Grunddaten!$Q49)/100*$G73+$E73),-1)</f>
        <v>0</v>
      </c>
      <c r="W73" s="253">
        <f ca="1">ROUND(Grunddaten!AW49*((Grunddaten!$S49-Grunddaten!$Q49)/100*$G73+$E73),-1)</f>
        <v>0</v>
      </c>
      <c r="X73" s="253">
        <f ca="1">ROUND(Grunddaten!AX49*((Grunddaten!$S49-Grunddaten!$Q49)/100*$G73+$E73),-1)</f>
        <v>0</v>
      </c>
      <c r="Y73" s="253">
        <f ca="1">ROUND(Grunddaten!AY49*((Grunddaten!$S49-Grunddaten!$Q49)/100*$G73+$E73),-1)</f>
        <v>0</v>
      </c>
      <c r="Z73" s="253">
        <f ca="1">ROUND(Grunddaten!AZ49*((Grunddaten!$S49-Grunddaten!$Q49)/100*$G73+$E73),-1)</f>
        <v>0</v>
      </c>
      <c r="AA73" s="253">
        <f ca="1">ROUND(Grunddaten!BA49*((Grunddaten!$S49-Grunddaten!$Q49)/100*$G73+$E73),-1)</f>
        <v>0</v>
      </c>
      <c r="AB73" s="254">
        <f ca="1">ROUND(Grunddaten!BB49*((Grunddaten!$S49-Grunddaten!$Q49)/100*$G73+$E73),-1)</f>
        <v>0</v>
      </c>
      <c r="AC73" s="254">
        <f ca="1">ROUND(Grunddaten!BC49*((Grunddaten!$S49-Grunddaten!$Q49)/100*$G73+$E73),-1)</f>
        <v>0</v>
      </c>
      <c r="AD73" s="254">
        <f ca="1">ROUND(Grunddaten!BD49*((Grunddaten!$S49-Grunddaten!$Q49)/100*$G73+$E73),-1)</f>
        <v>0</v>
      </c>
      <c r="AE73" s="254">
        <f ca="1">ROUND(Grunddaten!BE49*((Grunddaten!$S49-Grunddaten!$Q49)/100*$G73+$E73),-1)</f>
        <v>0</v>
      </c>
      <c r="AF73" s="254">
        <f ca="1">ROUND(Grunddaten!BF49*((Grunddaten!$S49-Grunddaten!$Q49)/100*$G73+$E73),-1)</f>
        <v>0</v>
      </c>
      <c r="AG73" s="254">
        <f ca="1">ROUND(Grunddaten!BG49*((Grunddaten!$S49-Grunddaten!$Q49)/100*$G73+$E73),-1)</f>
        <v>0</v>
      </c>
      <c r="AH73" s="255">
        <f ca="1">ROUND(Grunddaten!BH49*((Grunddaten!$S49-Grunddaten!$Q49)/100*$G73+$E73),-1)</f>
        <v>0</v>
      </c>
      <c r="AI73" s="255">
        <f ca="1">ROUND(Grunddaten!BI49*((Grunddaten!$S49-Grunddaten!$Q49)/100*$G73+$E73),-1)</f>
        <v>0</v>
      </c>
      <c r="AJ73" s="255">
        <f ca="1">ROUND(Grunddaten!BJ49*((Grunddaten!$S49-Grunddaten!$Q49)/100*$G73+$E73),-1)</f>
        <v>0</v>
      </c>
      <c r="AK73" s="255">
        <f ca="1">ROUND(Grunddaten!BK49*((Grunddaten!$S49-Grunddaten!$Q49)/100*$G73+$E73),-1)</f>
        <v>0</v>
      </c>
      <c r="AL73" s="255">
        <f ca="1">ROUND(Grunddaten!BL49*((Grunddaten!$S49-Grunddaten!$Q49)/100*$G73+$E73),-1)</f>
        <v>0</v>
      </c>
      <c r="AM73" s="255">
        <f ca="1">ROUND(Grunddaten!BM49*((Grunddaten!$S49-Grunddaten!$Q49)/100*$G73+$E73),-1)</f>
        <v>0</v>
      </c>
      <c r="AN73" s="255">
        <f ca="1">ROUND(Grunddaten!BN49*((Grunddaten!$S49-Grunddaten!$Q49)/100*$G73+$E73),-1)</f>
        <v>0</v>
      </c>
      <c r="AO73" s="255">
        <f ca="1">ROUND(Grunddaten!BO49*((Grunddaten!$S49-Grunddaten!$Q49)/100*$G73+$E73),-1)</f>
        <v>0</v>
      </c>
      <c r="AP73" s="255">
        <f ca="1">ROUND(Grunddaten!BP49*((Grunddaten!$S49-Grunddaten!$Q49)/100*$G73+$E73),-1)</f>
        <v>0</v>
      </c>
      <c r="AQ73" s="255">
        <f ca="1">ROUND(Grunddaten!BQ49*((Grunddaten!$S49-Grunddaten!$Q49)/100*$G73+$E73),-1)</f>
        <v>0</v>
      </c>
      <c r="AR73" s="255">
        <f ca="1">ROUND(Grunddaten!BR49*((Grunddaten!$S49-Grunddaten!$Q49)/100*$G73+$E73),-1)</f>
        <v>0</v>
      </c>
      <c r="AS73" s="255">
        <f ca="1">ROUND(Grunddaten!BS49*((Grunddaten!$S49-Grunddaten!$Q49)/100*$G73+$E73),-1)</f>
        <v>0</v>
      </c>
      <c r="AT73" s="255">
        <f ca="1">ROUND(Grunddaten!BT49*((Grunddaten!$S49-Grunddaten!$Q49)/100*$G73+$E73),-1)</f>
        <v>0</v>
      </c>
      <c r="AU73" s="255">
        <f ca="1">ROUND(Grunddaten!BU49*((Grunddaten!$S49-Grunddaten!$Q49)/100*$G73+$E73),-1)</f>
        <v>0</v>
      </c>
      <c r="AV73" s="255">
        <f ca="1">ROUND(Grunddaten!BV49*((Grunddaten!$S49-Grunddaten!$Q49)/100*$G73+$E73),-1)</f>
        <v>0</v>
      </c>
      <c r="AW73" s="255">
        <f ca="1">ROUND(Grunddaten!BW49*((Grunddaten!$S49-Grunddaten!$Q49)/100*$G73+$E73),-1)</f>
        <v>0</v>
      </c>
      <c r="AX73" s="255">
        <f ca="1">ROUND(Grunddaten!BX49*((Grunddaten!$S49-Grunddaten!$Q49)/100*$G73+$E73),-1)</f>
        <v>0</v>
      </c>
      <c r="AY73" s="255">
        <f ca="1">ROUND(Grunddaten!BY49*((Grunddaten!$S49-Grunddaten!$Q49)/100*$G73+$E73),-1)</f>
        <v>0</v>
      </c>
      <c r="AZ73" s="255">
        <f ca="1">ROUND(Grunddaten!BZ49*((Grunddaten!$S49-Grunddaten!$Q49)/100*$G73+$E73),-1)</f>
        <v>0</v>
      </c>
      <c r="BA73" s="255">
        <f ca="1">ROUND(Grunddaten!CA49*((Grunddaten!$S49-Grunddaten!$Q49)/100*$G73+$E73),-1)</f>
        <v>0</v>
      </c>
      <c r="BB73" s="255">
        <f ca="1">ROUND(Grunddaten!CB49*((Grunddaten!$S49-Grunddaten!$Q49)/100*$G73+$E73),-1)</f>
        <v>0</v>
      </c>
      <c r="BC73" s="255">
        <f ca="1">ROUND(Grunddaten!CC49*((Grunddaten!$S49-Grunddaten!$Q49)/100*$G73+$E73),-1)</f>
        <v>0</v>
      </c>
      <c r="BD73" s="255">
        <f ca="1">ROUND(Grunddaten!CD49*((Grunddaten!$S49-Grunddaten!$Q49)/100*$G73+$E73),-1)</f>
        <v>0</v>
      </c>
      <c r="BE73" s="255">
        <f ca="1">ROUND(Grunddaten!CE49*((Grunddaten!$S49-Grunddaten!$Q49)/100*$G73+$E73),-1)</f>
        <v>0</v>
      </c>
      <c r="BF73" s="255">
        <f ca="1">ROUND(Grunddaten!CF49*((Grunddaten!$S49-Grunddaten!$Q49)/100*$G73+$E73),-1)</f>
        <v>0</v>
      </c>
      <c r="BG73" s="255">
        <f ca="1">ROUND(Grunddaten!CG49*((Grunddaten!$S49-Grunddaten!$Q49)/100*$G73+$E73),-1)</f>
        <v>0</v>
      </c>
      <c r="BH73" s="255">
        <f ca="1">ROUND(Grunddaten!CH49*((Grunddaten!$S49-Grunddaten!$Q49)/100*$G73+$E73),-1)</f>
        <v>0</v>
      </c>
      <c r="BI73" s="255">
        <f ca="1">ROUND(Grunddaten!CI49*((Grunddaten!$S49-Grunddaten!$Q49)/100*$G73+$E73),-1)</f>
        <v>0</v>
      </c>
      <c r="BJ73" s="255">
        <f ca="1">ROUND(Grunddaten!CJ49*((Grunddaten!$S49-Grunddaten!$Q49)/100*$G73+$E73),-1)</f>
        <v>0</v>
      </c>
      <c r="BK73" s="255">
        <f ca="1">ROUND(Grunddaten!CK49*((Grunddaten!$S49-Grunddaten!$Q49)/100*$G73+$E73),-1)</f>
        <v>0</v>
      </c>
      <c r="BL73" s="255">
        <f ca="1">ROUND(Grunddaten!CL49*((Grunddaten!$S49-Grunddaten!$Q49)/100*$G73+$E73),-1)</f>
        <v>0</v>
      </c>
      <c r="BM73" s="255">
        <f ca="1">ROUND(Grunddaten!CM49*((Grunddaten!$S49-Grunddaten!$Q49)/100*$G73+$E73),-1)</f>
        <v>0</v>
      </c>
      <c r="BN73" s="255">
        <f ca="1">ROUND(Grunddaten!CN49*((Grunddaten!$S49-Grunddaten!$Q49)/100*$G73+$E73),-1)</f>
        <v>0</v>
      </c>
      <c r="BO73" s="255">
        <f ca="1">ROUND(Grunddaten!CO49*((Grunddaten!$S49-Grunddaten!$Q49)/100*$G73+$E73),-1)</f>
        <v>0</v>
      </c>
      <c r="BP73" s="255">
        <f ca="1">ROUND(Grunddaten!CP49*((Grunddaten!$S49-Grunddaten!$Q49)/100*$G73+$E73),-1)</f>
        <v>0</v>
      </c>
      <c r="BQ73" s="256">
        <f ca="1">ROUND(Grunddaten!CQ49*((Grunddaten!$S49-Grunddaten!$Q49)/100*$G73+$E73),-1)</f>
        <v>0</v>
      </c>
    </row>
    <row r="74" spans="1:69" s="36" customFormat="1" ht="11.25" customHeight="1" x14ac:dyDescent="0.2">
      <c r="A74" s="1011" t="str">
        <f>Berechnungen!A32</f>
        <v>Heizöl EL</v>
      </c>
      <c r="B74" s="1491"/>
      <c r="C74" s="1491"/>
      <c r="D74" s="1491"/>
      <c r="E74" s="2397"/>
      <c r="F74" s="2398"/>
      <c r="G74" s="2392">
        <f ca="1">SUMIF(EV_Var4!$A$11:$B$74,$A74,EV_Var4!$E$11:$E$74)</f>
        <v>0</v>
      </c>
      <c r="H74" s="2393"/>
      <c r="I74" s="2394"/>
      <c r="J74" s="2390">
        <f>Grunddaten!S50-(1-$R$109)*Grunddaten!Q50</f>
        <v>9.8000000000000007</v>
      </c>
      <c r="K74" s="2391"/>
      <c r="L74" s="2424">
        <f t="shared" ca="1" si="4"/>
        <v>0</v>
      </c>
      <c r="M74" s="2425"/>
      <c r="N74" s="2426"/>
      <c r="P74" s="122"/>
      <c r="Q74" s="122"/>
      <c r="S74" s="252">
        <f ca="1">ROUND(Grunddaten!AS50*((Grunddaten!$S50-Grunddaten!$Q50)/100*$G74+$E74),-1)</f>
        <v>0</v>
      </c>
      <c r="T74" s="253">
        <f ca="1">ROUND(Grunddaten!AT50*((Grunddaten!$S50-Grunddaten!$Q50)/100*$G74+$E74),-1)</f>
        <v>0</v>
      </c>
      <c r="U74" s="253">
        <f ca="1">ROUND(Grunddaten!AU50*((Grunddaten!$S50-Grunddaten!$Q50)/100*$G74+$E74),-1)</f>
        <v>0</v>
      </c>
      <c r="V74" s="253">
        <f ca="1">ROUND(Grunddaten!AV50*((Grunddaten!$S50-Grunddaten!$Q50)/100*$G74+$E74),-1)</f>
        <v>0</v>
      </c>
      <c r="W74" s="253">
        <f ca="1">ROUND(Grunddaten!AW50*((Grunddaten!$S50-Grunddaten!$Q50)/100*$G74+$E74),-1)</f>
        <v>0</v>
      </c>
      <c r="X74" s="253">
        <f ca="1">ROUND(Grunddaten!AX50*((Grunddaten!$S50-Grunddaten!$Q50)/100*$G74+$E74),-1)</f>
        <v>0</v>
      </c>
      <c r="Y74" s="253">
        <f ca="1">ROUND(Grunddaten!AY50*((Grunddaten!$S50-Grunddaten!$Q50)/100*$G74+$E74),-1)</f>
        <v>0</v>
      </c>
      <c r="Z74" s="253">
        <f ca="1">ROUND(Grunddaten!AZ50*((Grunddaten!$S50-Grunddaten!$Q50)/100*$G74+$E74),-1)</f>
        <v>0</v>
      </c>
      <c r="AA74" s="253">
        <f ca="1">ROUND(Grunddaten!BA50*((Grunddaten!$S50-Grunddaten!$Q50)/100*$G74+$E74),-1)</f>
        <v>0</v>
      </c>
      <c r="AB74" s="254">
        <f ca="1">ROUND(Grunddaten!BB50*((Grunddaten!$S50-Grunddaten!$Q50)/100*$G74+$E74),-1)</f>
        <v>0</v>
      </c>
      <c r="AC74" s="254">
        <f ca="1">ROUND(Grunddaten!BC50*((Grunddaten!$S50-Grunddaten!$Q50)/100*$G74+$E74),-1)</f>
        <v>0</v>
      </c>
      <c r="AD74" s="254">
        <f ca="1">ROUND(Grunddaten!BD50*((Grunddaten!$S50-Grunddaten!$Q50)/100*$G74+$E74),-1)</f>
        <v>0</v>
      </c>
      <c r="AE74" s="254">
        <f ca="1">ROUND(Grunddaten!BE50*((Grunddaten!$S50-Grunddaten!$Q50)/100*$G74+$E74),-1)</f>
        <v>0</v>
      </c>
      <c r="AF74" s="254">
        <f ca="1">ROUND(Grunddaten!BF50*((Grunddaten!$S50-Grunddaten!$Q50)/100*$G74+$E74),-1)</f>
        <v>0</v>
      </c>
      <c r="AG74" s="254">
        <f ca="1">ROUND(Grunddaten!BG50*((Grunddaten!$S50-Grunddaten!$Q50)/100*$G74+$E74),-1)</f>
        <v>0</v>
      </c>
      <c r="AH74" s="255">
        <f ca="1">ROUND(Grunddaten!BH50*((Grunddaten!$S50-Grunddaten!$Q50)/100*$G74+$E74),-1)</f>
        <v>0</v>
      </c>
      <c r="AI74" s="255">
        <f ca="1">ROUND(Grunddaten!BI50*((Grunddaten!$S50-Grunddaten!$Q50)/100*$G74+$E74),-1)</f>
        <v>0</v>
      </c>
      <c r="AJ74" s="255">
        <f ca="1">ROUND(Grunddaten!BJ50*((Grunddaten!$S50-Grunddaten!$Q50)/100*$G74+$E74),-1)</f>
        <v>0</v>
      </c>
      <c r="AK74" s="255">
        <f ca="1">ROUND(Grunddaten!BK50*((Grunddaten!$S50-Grunddaten!$Q50)/100*$G74+$E74),-1)</f>
        <v>0</v>
      </c>
      <c r="AL74" s="255">
        <f ca="1">ROUND(Grunddaten!BL50*((Grunddaten!$S50-Grunddaten!$Q50)/100*$G74+$E74),-1)</f>
        <v>0</v>
      </c>
      <c r="AM74" s="255">
        <f ca="1">ROUND(Grunddaten!BM50*((Grunddaten!$S50-Grunddaten!$Q50)/100*$G74+$E74),-1)</f>
        <v>0</v>
      </c>
      <c r="AN74" s="255">
        <f ca="1">ROUND(Grunddaten!BN50*((Grunddaten!$S50-Grunddaten!$Q50)/100*$G74+$E74),-1)</f>
        <v>0</v>
      </c>
      <c r="AO74" s="255">
        <f ca="1">ROUND(Grunddaten!BO50*((Grunddaten!$S50-Grunddaten!$Q50)/100*$G74+$E74),-1)</f>
        <v>0</v>
      </c>
      <c r="AP74" s="255">
        <f ca="1">ROUND(Grunddaten!BP50*((Grunddaten!$S50-Grunddaten!$Q50)/100*$G74+$E74),-1)</f>
        <v>0</v>
      </c>
      <c r="AQ74" s="255">
        <f ca="1">ROUND(Grunddaten!BQ50*((Grunddaten!$S50-Grunddaten!$Q50)/100*$G74+$E74),-1)</f>
        <v>0</v>
      </c>
      <c r="AR74" s="255">
        <f ca="1">ROUND(Grunddaten!BR50*((Grunddaten!$S50-Grunddaten!$Q50)/100*$G74+$E74),-1)</f>
        <v>0</v>
      </c>
      <c r="AS74" s="255">
        <f ca="1">ROUND(Grunddaten!BS50*((Grunddaten!$S50-Grunddaten!$Q50)/100*$G74+$E74),-1)</f>
        <v>0</v>
      </c>
      <c r="AT74" s="255">
        <f ca="1">ROUND(Grunddaten!BT50*((Grunddaten!$S50-Grunddaten!$Q50)/100*$G74+$E74),-1)</f>
        <v>0</v>
      </c>
      <c r="AU74" s="255">
        <f ca="1">ROUND(Grunddaten!BU50*((Grunddaten!$S50-Grunddaten!$Q50)/100*$G74+$E74),-1)</f>
        <v>0</v>
      </c>
      <c r="AV74" s="255">
        <f ca="1">ROUND(Grunddaten!BV50*((Grunddaten!$S50-Grunddaten!$Q50)/100*$G74+$E74),-1)</f>
        <v>0</v>
      </c>
      <c r="AW74" s="255">
        <f ca="1">ROUND(Grunddaten!BW50*((Grunddaten!$S50-Grunddaten!$Q50)/100*$G74+$E74),-1)</f>
        <v>0</v>
      </c>
      <c r="AX74" s="255">
        <f ca="1">ROUND(Grunddaten!BX50*((Grunddaten!$S50-Grunddaten!$Q50)/100*$G74+$E74),-1)</f>
        <v>0</v>
      </c>
      <c r="AY74" s="255">
        <f ca="1">ROUND(Grunddaten!BY50*((Grunddaten!$S50-Grunddaten!$Q50)/100*$G74+$E74),-1)</f>
        <v>0</v>
      </c>
      <c r="AZ74" s="255">
        <f ca="1">ROUND(Grunddaten!BZ50*((Grunddaten!$S50-Grunddaten!$Q50)/100*$G74+$E74),-1)</f>
        <v>0</v>
      </c>
      <c r="BA74" s="255">
        <f ca="1">ROUND(Grunddaten!CA50*((Grunddaten!$S50-Grunddaten!$Q50)/100*$G74+$E74),-1)</f>
        <v>0</v>
      </c>
      <c r="BB74" s="255">
        <f ca="1">ROUND(Grunddaten!CB50*((Grunddaten!$S50-Grunddaten!$Q50)/100*$G74+$E74),-1)</f>
        <v>0</v>
      </c>
      <c r="BC74" s="255">
        <f ca="1">ROUND(Grunddaten!CC50*((Grunddaten!$S50-Grunddaten!$Q50)/100*$G74+$E74),-1)</f>
        <v>0</v>
      </c>
      <c r="BD74" s="255">
        <f ca="1">ROUND(Grunddaten!CD50*((Grunddaten!$S50-Grunddaten!$Q50)/100*$G74+$E74),-1)</f>
        <v>0</v>
      </c>
      <c r="BE74" s="255">
        <f ca="1">ROUND(Grunddaten!CE50*((Grunddaten!$S50-Grunddaten!$Q50)/100*$G74+$E74),-1)</f>
        <v>0</v>
      </c>
      <c r="BF74" s="255">
        <f ca="1">ROUND(Grunddaten!CF50*((Grunddaten!$S50-Grunddaten!$Q50)/100*$G74+$E74),-1)</f>
        <v>0</v>
      </c>
      <c r="BG74" s="255">
        <f ca="1">ROUND(Grunddaten!CG50*((Grunddaten!$S50-Grunddaten!$Q50)/100*$G74+$E74),-1)</f>
        <v>0</v>
      </c>
      <c r="BH74" s="255">
        <f ca="1">ROUND(Grunddaten!CH50*((Grunddaten!$S50-Grunddaten!$Q50)/100*$G74+$E74),-1)</f>
        <v>0</v>
      </c>
      <c r="BI74" s="255">
        <f ca="1">ROUND(Grunddaten!CI50*((Grunddaten!$S50-Grunddaten!$Q50)/100*$G74+$E74),-1)</f>
        <v>0</v>
      </c>
      <c r="BJ74" s="255">
        <f ca="1">ROUND(Grunddaten!CJ50*((Grunddaten!$S50-Grunddaten!$Q50)/100*$G74+$E74),-1)</f>
        <v>0</v>
      </c>
      <c r="BK74" s="255">
        <f ca="1">ROUND(Grunddaten!CK50*((Grunddaten!$S50-Grunddaten!$Q50)/100*$G74+$E74),-1)</f>
        <v>0</v>
      </c>
      <c r="BL74" s="255">
        <f ca="1">ROUND(Grunddaten!CL50*((Grunddaten!$S50-Grunddaten!$Q50)/100*$G74+$E74),-1)</f>
        <v>0</v>
      </c>
      <c r="BM74" s="255">
        <f ca="1">ROUND(Grunddaten!CM50*((Grunddaten!$S50-Grunddaten!$Q50)/100*$G74+$E74),-1)</f>
        <v>0</v>
      </c>
      <c r="BN74" s="255">
        <f ca="1">ROUND(Grunddaten!CN50*((Grunddaten!$S50-Grunddaten!$Q50)/100*$G74+$E74),-1)</f>
        <v>0</v>
      </c>
      <c r="BO74" s="255">
        <f ca="1">ROUND(Grunddaten!CO50*((Grunddaten!$S50-Grunddaten!$Q50)/100*$G74+$E74),-1)</f>
        <v>0</v>
      </c>
      <c r="BP74" s="255">
        <f ca="1">ROUND(Grunddaten!CP50*((Grunddaten!$S50-Grunddaten!$Q50)/100*$G74+$E74),-1)</f>
        <v>0</v>
      </c>
      <c r="BQ74" s="256">
        <f ca="1">ROUND(Grunddaten!CQ50*((Grunddaten!$S50-Grunddaten!$Q50)/100*$G74+$E74),-1)</f>
        <v>0</v>
      </c>
    </row>
    <row r="75" spans="1:69" s="36" customFormat="1" ht="11.25" customHeight="1" x14ac:dyDescent="0.2">
      <c r="A75" s="1013" t="str">
        <f>Grunddaten!$C$51</f>
        <v>Brennstoff XY</v>
      </c>
      <c r="B75" s="1014"/>
      <c r="C75" s="2721"/>
      <c r="D75" s="2721"/>
      <c r="E75" s="2397">
        <f xml:space="preserve"> (IF(EV_Var4!$A$20=$A75,EV_Var4!$H$20,0) + IF(EV_Var4!$A$24=$A75,EV_Var4!$H$24,0) + IF(EV_Var4!$A$29=$A75,(EV_Var4!$H$28-EV_Var4!$AA$24),0) + IF(EV_Var4!$A$60=$A75,EV_Var4!$H$60,0)) * Grunddaten!$AI51</f>
        <v>0</v>
      </c>
      <c r="F75" s="2398"/>
      <c r="G75" s="2392">
        <f ca="1">SUMIF(EV_Var4!$A$11:$B$74,$A75,EV_Var4!$E$11:$E$74)</f>
        <v>0</v>
      </c>
      <c r="H75" s="2393"/>
      <c r="I75" s="2394"/>
      <c r="J75" s="2390">
        <f>Grunddaten!S51-(1-$R$109)*Grunddaten!Q51</f>
        <v>0</v>
      </c>
      <c r="K75" s="2391"/>
      <c r="L75" s="2424">
        <f t="shared" ca="1" si="4"/>
        <v>0</v>
      </c>
      <c r="M75" s="2425"/>
      <c r="N75" s="2426"/>
      <c r="P75" s="122"/>
      <c r="Q75" s="122"/>
      <c r="S75" s="252">
        <f ca="1">ROUND(Grunddaten!AS51*((Grunddaten!$S51-Grunddaten!$Q51)/100*$G75+$E75),-1)</f>
        <v>0</v>
      </c>
      <c r="T75" s="253">
        <f ca="1">ROUND(Grunddaten!AT51*((Grunddaten!$S51-Grunddaten!$Q51)/100*$G75+$E75),-1)</f>
        <v>0</v>
      </c>
      <c r="U75" s="253">
        <f ca="1">ROUND(Grunddaten!AU51*((Grunddaten!$S51-Grunddaten!$Q51)/100*$G75+$E75),-1)</f>
        <v>0</v>
      </c>
      <c r="V75" s="253">
        <f ca="1">ROUND(Grunddaten!AV51*((Grunddaten!$S51-Grunddaten!$Q51)/100*$G75+$E75),-1)</f>
        <v>0</v>
      </c>
      <c r="W75" s="253">
        <f ca="1">ROUND(Grunddaten!AW51*((Grunddaten!$S51-Grunddaten!$Q51)/100*$G75+$E75),-1)</f>
        <v>0</v>
      </c>
      <c r="X75" s="253">
        <f ca="1">ROUND(Grunddaten!AX51*((Grunddaten!$S51-Grunddaten!$Q51)/100*$G75+$E75),-1)</f>
        <v>0</v>
      </c>
      <c r="Y75" s="253">
        <f ca="1">ROUND(Grunddaten!AY51*((Grunddaten!$S51-Grunddaten!$Q51)/100*$G75+$E75),-1)</f>
        <v>0</v>
      </c>
      <c r="Z75" s="253">
        <f ca="1">ROUND(Grunddaten!AZ51*((Grunddaten!$S51-Grunddaten!$Q51)/100*$G75+$E75),-1)</f>
        <v>0</v>
      </c>
      <c r="AA75" s="253">
        <f ca="1">ROUND(Grunddaten!BA51*((Grunddaten!$S51-Grunddaten!$Q51)/100*$G75+$E75),-1)</f>
        <v>0</v>
      </c>
      <c r="AB75" s="254">
        <f ca="1">ROUND(Grunddaten!BB51*((Grunddaten!$S51-Grunddaten!$Q51)/100*$G75+$E75),-1)</f>
        <v>0</v>
      </c>
      <c r="AC75" s="254">
        <f ca="1">ROUND(Grunddaten!BC51*((Grunddaten!$S51-Grunddaten!$Q51)/100*$G75+$E75),-1)</f>
        <v>0</v>
      </c>
      <c r="AD75" s="254">
        <f ca="1">ROUND(Grunddaten!BD51*((Grunddaten!$S51-Grunddaten!$Q51)/100*$G75+$E75),-1)</f>
        <v>0</v>
      </c>
      <c r="AE75" s="254">
        <f ca="1">ROUND(Grunddaten!BE51*((Grunddaten!$S51-Grunddaten!$Q51)/100*$G75+$E75),-1)</f>
        <v>0</v>
      </c>
      <c r="AF75" s="254">
        <f ca="1">ROUND(Grunddaten!BF51*((Grunddaten!$S51-Grunddaten!$Q51)/100*$G75+$E75),-1)</f>
        <v>0</v>
      </c>
      <c r="AG75" s="254">
        <f ca="1">ROUND(Grunddaten!BG51*((Grunddaten!$S51-Grunddaten!$Q51)/100*$G75+$E75),-1)</f>
        <v>0</v>
      </c>
      <c r="AH75" s="255">
        <f ca="1">ROUND(Grunddaten!BH51*((Grunddaten!$S51-Grunddaten!$Q51)/100*$G75+$E75),-1)</f>
        <v>0</v>
      </c>
      <c r="AI75" s="255">
        <f ca="1">ROUND(Grunddaten!BI51*((Grunddaten!$S51-Grunddaten!$Q51)/100*$G75+$E75),-1)</f>
        <v>0</v>
      </c>
      <c r="AJ75" s="255">
        <f ca="1">ROUND(Grunddaten!BJ51*((Grunddaten!$S51-Grunddaten!$Q51)/100*$G75+$E75),-1)</f>
        <v>0</v>
      </c>
      <c r="AK75" s="255">
        <f ca="1">ROUND(Grunddaten!BK51*((Grunddaten!$S51-Grunddaten!$Q51)/100*$G75+$E75),-1)</f>
        <v>0</v>
      </c>
      <c r="AL75" s="255">
        <f ca="1">ROUND(Grunddaten!BL51*((Grunddaten!$S51-Grunddaten!$Q51)/100*$G75+$E75),-1)</f>
        <v>0</v>
      </c>
      <c r="AM75" s="255">
        <f ca="1">ROUND(Grunddaten!BM51*((Grunddaten!$S51-Grunddaten!$Q51)/100*$G75+$E75),-1)</f>
        <v>0</v>
      </c>
      <c r="AN75" s="255">
        <f ca="1">ROUND(Grunddaten!BN51*((Grunddaten!$S51-Grunddaten!$Q51)/100*$G75+$E75),-1)</f>
        <v>0</v>
      </c>
      <c r="AO75" s="255">
        <f ca="1">ROUND(Grunddaten!BO51*((Grunddaten!$S51-Grunddaten!$Q51)/100*$G75+$E75),-1)</f>
        <v>0</v>
      </c>
      <c r="AP75" s="255">
        <f ca="1">ROUND(Grunddaten!BP51*((Grunddaten!$S51-Grunddaten!$Q51)/100*$G75+$E75),-1)</f>
        <v>0</v>
      </c>
      <c r="AQ75" s="255">
        <f ca="1">ROUND(Grunddaten!BQ51*((Grunddaten!$S51-Grunddaten!$Q51)/100*$G75+$E75),-1)</f>
        <v>0</v>
      </c>
      <c r="AR75" s="255">
        <f ca="1">ROUND(Grunddaten!BR51*((Grunddaten!$S51-Grunddaten!$Q51)/100*$G75+$E75),-1)</f>
        <v>0</v>
      </c>
      <c r="AS75" s="255">
        <f ca="1">ROUND(Grunddaten!BS51*((Grunddaten!$S51-Grunddaten!$Q51)/100*$G75+$E75),-1)</f>
        <v>0</v>
      </c>
      <c r="AT75" s="255">
        <f ca="1">ROUND(Grunddaten!BT51*((Grunddaten!$S51-Grunddaten!$Q51)/100*$G75+$E75),-1)</f>
        <v>0</v>
      </c>
      <c r="AU75" s="255">
        <f ca="1">ROUND(Grunddaten!BU51*((Grunddaten!$S51-Grunddaten!$Q51)/100*$G75+$E75),-1)</f>
        <v>0</v>
      </c>
      <c r="AV75" s="255">
        <f ca="1">ROUND(Grunddaten!BV51*((Grunddaten!$S51-Grunddaten!$Q51)/100*$G75+$E75),-1)</f>
        <v>0</v>
      </c>
      <c r="AW75" s="255">
        <f ca="1">ROUND(Grunddaten!BW51*((Grunddaten!$S51-Grunddaten!$Q51)/100*$G75+$E75),-1)</f>
        <v>0</v>
      </c>
      <c r="AX75" s="255">
        <f ca="1">ROUND(Grunddaten!BX51*((Grunddaten!$S51-Grunddaten!$Q51)/100*$G75+$E75),-1)</f>
        <v>0</v>
      </c>
      <c r="AY75" s="255">
        <f ca="1">ROUND(Grunddaten!BY51*((Grunddaten!$S51-Grunddaten!$Q51)/100*$G75+$E75),-1)</f>
        <v>0</v>
      </c>
      <c r="AZ75" s="255">
        <f ca="1">ROUND(Grunddaten!BZ51*((Grunddaten!$S51-Grunddaten!$Q51)/100*$G75+$E75),-1)</f>
        <v>0</v>
      </c>
      <c r="BA75" s="255">
        <f ca="1">ROUND(Grunddaten!CA51*((Grunddaten!$S51-Grunddaten!$Q51)/100*$G75+$E75),-1)</f>
        <v>0</v>
      </c>
      <c r="BB75" s="255">
        <f ca="1">ROUND(Grunddaten!CB51*((Grunddaten!$S51-Grunddaten!$Q51)/100*$G75+$E75),-1)</f>
        <v>0</v>
      </c>
      <c r="BC75" s="255">
        <f ca="1">ROUND(Grunddaten!CC51*((Grunddaten!$S51-Grunddaten!$Q51)/100*$G75+$E75),-1)</f>
        <v>0</v>
      </c>
      <c r="BD75" s="255">
        <f ca="1">ROUND(Grunddaten!CD51*((Grunddaten!$S51-Grunddaten!$Q51)/100*$G75+$E75),-1)</f>
        <v>0</v>
      </c>
      <c r="BE75" s="255">
        <f ca="1">ROUND(Grunddaten!CE51*((Grunddaten!$S51-Grunddaten!$Q51)/100*$G75+$E75),-1)</f>
        <v>0</v>
      </c>
      <c r="BF75" s="255">
        <f ca="1">ROUND(Grunddaten!CF51*((Grunddaten!$S51-Grunddaten!$Q51)/100*$G75+$E75),-1)</f>
        <v>0</v>
      </c>
      <c r="BG75" s="255">
        <f ca="1">ROUND(Grunddaten!CG51*((Grunddaten!$S51-Grunddaten!$Q51)/100*$G75+$E75),-1)</f>
        <v>0</v>
      </c>
      <c r="BH75" s="255">
        <f ca="1">ROUND(Grunddaten!CH51*((Grunddaten!$S51-Grunddaten!$Q51)/100*$G75+$E75),-1)</f>
        <v>0</v>
      </c>
      <c r="BI75" s="255">
        <f ca="1">ROUND(Grunddaten!CI51*((Grunddaten!$S51-Grunddaten!$Q51)/100*$G75+$E75),-1)</f>
        <v>0</v>
      </c>
      <c r="BJ75" s="255">
        <f ca="1">ROUND(Grunddaten!CJ51*((Grunddaten!$S51-Grunddaten!$Q51)/100*$G75+$E75),-1)</f>
        <v>0</v>
      </c>
      <c r="BK75" s="255">
        <f ca="1">ROUND(Grunddaten!CK51*((Grunddaten!$S51-Grunddaten!$Q51)/100*$G75+$E75),-1)</f>
        <v>0</v>
      </c>
      <c r="BL75" s="255">
        <f ca="1">ROUND(Grunddaten!CL51*((Grunddaten!$S51-Grunddaten!$Q51)/100*$G75+$E75),-1)</f>
        <v>0</v>
      </c>
      <c r="BM75" s="255">
        <f ca="1">ROUND(Grunddaten!CM51*((Grunddaten!$S51-Grunddaten!$Q51)/100*$G75+$E75),-1)</f>
        <v>0</v>
      </c>
      <c r="BN75" s="255">
        <f ca="1">ROUND(Grunddaten!CN51*((Grunddaten!$S51-Grunddaten!$Q51)/100*$G75+$E75),-1)</f>
        <v>0</v>
      </c>
      <c r="BO75" s="255">
        <f ca="1">ROUND(Grunddaten!CO51*((Grunddaten!$S51-Grunddaten!$Q51)/100*$G75+$E75),-1)</f>
        <v>0</v>
      </c>
      <c r="BP75" s="255">
        <f ca="1">ROUND(Grunddaten!CP51*((Grunddaten!$S51-Grunddaten!$Q51)/100*$G75+$E75),-1)</f>
        <v>0</v>
      </c>
      <c r="BQ75" s="256">
        <f ca="1">ROUND(Grunddaten!CQ51*((Grunddaten!$S51-Grunddaten!$Q51)/100*$G75+$E75),-1)</f>
        <v>0</v>
      </c>
    </row>
    <row r="76" spans="1:69" s="36" customFormat="1" ht="11.25" customHeight="1" x14ac:dyDescent="0.2">
      <c r="A76" s="1011" t="str">
        <f>Grunddaten!A52</f>
        <v>Fernwärme</v>
      </c>
      <c r="B76" s="1253" t="str">
        <f>Projektdaten!H22</f>
        <v>Stadt Zürich erz</v>
      </c>
      <c r="C76" s="1253"/>
      <c r="D76" s="1253"/>
      <c r="E76" s="2397">
        <f xml:space="preserve"> VLOOKUP(Projektdaten!$H$22,Grunddaten!$C$52:$AI$54,33,FALSE) * IF(Grunddaten!$AL$55=Grunddaten!$AK$54,SQRT(EV_Var4!$AA$31/1000)*1000,EV_Var4!$AA$31)</f>
        <v>0</v>
      </c>
      <c r="F76" s="2398"/>
      <c r="G76" s="2392">
        <f ca="1">SUMIF(EV_Var4!$A$11:$B$74,$A76,EV_Var4!$E$11:$E$74)</f>
        <v>0</v>
      </c>
      <c r="H76" s="2393"/>
      <c r="I76" s="2394"/>
      <c r="J76" s="2390">
        <f ca="1">OFFSET(Grunddaten!$S$52,FW_Produkt,0)-(1-R109)*OFFSET(Grunddaten!$Q$52,FW_Produkt,0)</f>
        <v>8.6</v>
      </c>
      <c r="K76" s="2391"/>
      <c r="L76" s="2424">
        <f t="shared" ca="1" si="4"/>
        <v>0</v>
      </c>
      <c r="M76" s="2425"/>
      <c r="N76" s="2426"/>
      <c r="P76" s="122"/>
      <c r="Q76" s="122"/>
      <c r="S76" s="252">
        <f ca="1">ROUND(OFFSET(Grunddaten!AS52,FW_Produkt,0)*((OFFSET(Grunddaten!$S52,FW_Produkt,0)-OFFSET(Grunddaten!$Q52,FW_Produkt,0))/100*$G76+$E76),-1)</f>
        <v>0</v>
      </c>
      <c r="T76" s="253">
        <f ca="1">ROUND(OFFSET(Grunddaten!AT52,FW_Produkt,0)*((OFFSET(Grunddaten!$S52,FW_Produkt,0)-OFFSET(Grunddaten!$Q52,FW_Produkt,0))/100*$G76+$E76),-1)</f>
        <v>0</v>
      </c>
      <c r="U76" s="253">
        <f ca="1">ROUND(OFFSET(Grunddaten!AU52,FW_Produkt,0)*((OFFSET(Grunddaten!$S52,FW_Produkt,0)-OFFSET(Grunddaten!$Q52,FW_Produkt,0))/100*$G76+$E76),-1)</f>
        <v>0</v>
      </c>
      <c r="V76" s="253">
        <f ca="1">ROUND(OFFSET(Grunddaten!AV52,FW_Produkt,0)*((OFFSET(Grunddaten!$S52,FW_Produkt,0)-OFFSET(Grunddaten!$Q52,FW_Produkt,0))/100*$G76+$E76),-1)</f>
        <v>0</v>
      </c>
      <c r="W76" s="253">
        <f ca="1">ROUND(OFFSET(Grunddaten!AW52,FW_Produkt,0)*((OFFSET(Grunddaten!$S52,FW_Produkt,0)-OFFSET(Grunddaten!$Q52,FW_Produkt,0))/100*$G76+$E76),-1)</f>
        <v>0</v>
      </c>
      <c r="X76" s="253">
        <f ca="1">ROUND(OFFSET(Grunddaten!AX52,FW_Produkt,0)*((OFFSET(Grunddaten!$S52,FW_Produkt,0)-OFFSET(Grunddaten!$Q52,FW_Produkt,0))/100*$G76+$E76),-1)</f>
        <v>0</v>
      </c>
      <c r="Y76" s="253">
        <f ca="1">ROUND(OFFSET(Grunddaten!AY52,FW_Produkt,0)*((OFFSET(Grunddaten!$S52,FW_Produkt,0)-OFFSET(Grunddaten!$Q52,FW_Produkt,0))/100*$G76+$E76),-1)</f>
        <v>0</v>
      </c>
      <c r="Z76" s="253">
        <f ca="1">ROUND(OFFSET(Grunddaten!AZ52,FW_Produkt,0)*((OFFSET(Grunddaten!$S52,FW_Produkt,0)-OFFSET(Grunddaten!$Q52,FW_Produkt,0))/100*$G76+$E76),-1)</f>
        <v>0</v>
      </c>
      <c r="AA76" s="253">
        <f ca="1">ROUND(OFFSET(Grunddaten!BA52,FW_Produkt,0)*((OFFSET(Grunddaten!$S52,FW_Produkt,0)-OFFSET(Grunddaten!$Q52,FW_Produkt,0))/100*$G76+$E76),-1)</f>
        <v>0</v>
      </c>
      <c r="AB76" s="253">
        <f ca="1">ROUND(OFFSET(Grunddaten!BB52,FW_Produkt,0)*((OFFSET(Grunddaten!$S52,FW_Produkt,0)-OFFSET(Grunddaten!$Q52,FW_Produkt,0))/100*$G76+$E76),-1)</f>
        <v>0</v>
      </c>
      <c r="AC76" s="253">
        <f ca="1">ROUND(OFFSET(Grunddaten!BC52,FW_Produkt,0)*((OFFSET(Grunddaten!$S52,FW_Produkt,0)-OFFSET(Grunddaten!$Q52,FW_Produkt,0))/100*$G76+$E76),-1)</f>
        <v>0</v>
      </c>
      <c r="AD76" s="253">
        <f ca="1">ROUND(OFFSET(Grunddaten!BD52,FW_Produkt,0)*((OFFSET(Grunddaten!$S52,FW_Produkt,0)-OFFSET(Grunddaten!$Q52,FW_Produkt,0))/100*$G76+$E76),-1)</f>
        <v>0</v>
      </c>
      <c r="AE76" s="253">
        <f ca="1">ROUND(OFFSET(Grunddaten!BE52,FW_Produkt,0)*((OFFSET(Grunddaten!$S52,FW_Produkt,0)-OFFSET(Grunddaten!$Q52,FW_Produkt,0))/100*$G76+$E76),-1)</f>
        <v>0</v>
      </c>
      <c r="AF76" s="253">
        <f ca="1">ROUND(OFFSET(Grunddaten!BF52,FW_Produkt,0)*((OFFSET(Grunddaten!$S52,FW_Produkt,0)-OFFSET(Grunddaten!$Q52,FW_Produkt,0))/100*$G76+$E76),-1)</f>
        <v>0</v>
      </c>
      <c r="AG76" s="253">
        <f ca="1">ROUND(OFFSET(Grunddaten!BG52,FW_Produkt,0)*((OFFSET(Grunddaten!$S52,FW_Produkt,0)-OFFSET(Grunddaten!$Q52,FW_Produkt,0))/100*$G76+$E76),-1)</f>
        <v>0</v>
      </c>
      <c r="AH76" s="253">
        <f ca="1">ROUND(OFFSET(Grunddaten!BH52,FW_Produkt,0)*((OFFSET(Grunddaten!$S52,FW_Produkt,0)-OFFSET(Grunddaten!$Q52,FW_Produkt,0))/100*$G76+$E76),-1)</f>
        <v>0</v>
      </c>
      <c r="AI76" s="253">
        <f ca="1">ROUND(OFFSET(Grunddaten!BI52,FW_Produkt,0)*((OFFSET(Grunddaten!$S52,FW_Produkt,0)-OFFSET(Grunddaten!$Q52,FW_Produkt,0))/100*$G76+$E76),-1)</f>
        <v>0</v>
      </c>
      <c r="AJ76" s="253">
        <f ca="1">ROUND(OFFSET(Grunddaten!BJ52,FW_Produkt,0)*((OFFSET(Grunddaten!$S52,FW_Produkt,0)-OFFSET(Grunddaten!$Q52,FW_Produkt,0))/100*$G76+$E76),-1)</f>
        <v>0</v>
      </c>
      <c r="AK76" s="253">
        <f ca="1">ROUND(OFFSET(Grunddaten!BK52,FW_Produkt,0)*((OFFSET(Grunddaten!$S52,FW_Produkt,0)-OFFSET(Grunddaten!$Q52,FW_Produkt,0))/100*$G76+$E76),-1)</f>
        <v>0</v>
      </c>
      <c r="AL76" s="253">
        <f ca="1">ROUND(OFFSET(Grunddaten!BL52,FW_Produkt,0)*((OFFSET(Grunddaten!$S52,FW_Produkt,0)-OFFSET(Grunddaten!$Q52,FW_Produkt,0))/100*$G76+$E76),-1)</f>
        <v>0</v>
      </c>
      <c r="AM76" s="253">
        <f ca="1">ROUND(OFFSET(Grunddaten!BM52,FW_Produkt,0)*((OFFSET(Grunddaten!$S52,FW_Produkt,0)-OFFSET(Grunddaten!$Q52,FW_Produkt,0))/100*$G76+$E76),-1)</f>
        <v>0</v>
      </c>
      <c r="AN76" s="253">
        <f ca="1">ROUND(OFFSET(Grunddaten!BN52,FW_Produkt,0)*((OFFSET(Grunddaten!$S52,FW_Produkt,0)-OFFSET(Grunddaten!$Q52,FW_Produkt,0))/100*$G76+$E76),-1)</f>
        <v>0</v>
      </c>
      <c r="AO76" s="253">
        <f ca="1">ROUND(OFFSET(Grunddaten!BO52,FW_Produkt,0)*((OFFSET(Grunddaten!$S52,FW_Produkt,0)-OFFSET(Grunddaten!$Q52,FW_Produkt,0))/100*$G76+$E76),-1)</f>
        <v>0</v>
      </c>
      <c r="AP76" s="253">
        <f ca="1">ROUND(OFFSET(Grunddaten!BP52,FW_Produkt,0)*((OFFSET(Grunddaten!$S52,FW_Produkt,0)-OFFSET(Grunddaten!$Q52,FW_Produkt,0))/100*$G76+$E76),-1)</f>
        <v>0</v>
      </c>
      <c r="AQ76" s="253">
        <f ca="1">ROUND(OFFSET(Grunddaten!BQ52,FW_Produkt,0)*((OFFSET(Grunddaten!$S52,FW_Produkt,0)-OFFSET(Grunddaten!$Q52,FW_Produkt,0))/100*$G76+$E76),-1)</f>
        <v>0</v>
      </c>
      <c r="AR76" s="253">
        <f ca="1">ROUND(OFFSET(Grunddaten!BR52,FW_Produkt,0)*((OFFSET(Grunddaten!$S52,FW_Produkt,0)-OFFSET(Grunddaten!$Q52,FW_Produkt,0))/100*$G76+$E76),-1)</f>
        <v>0</v>
      </c>
      <c r="AS76" s="253">
        <f ca="1">ROUND(OFFSET(Grunddaten!BS52,FW_Produkt,0)*((OFFSET(Grunddaten!$S52,FW_Produkt,0)-OFFSET(Grunddaten!$Q52,FW_Produkt,0))/100*$G76+$E76),-1)</f>
        <v>0</v>
      </c>
      <c r="AT76" s="253">
        <f ca="1">ROUND(OFFSET(Grunddaten!BT52,FW_Produkt,0)*((OFFSET(Grunddaten!$S52,FW_Produkt,0)-OFFSET(Grunddaten!$Q52,FW_Produkt,0))/100*$G76+$E76),-1)</f>
        <v>0</v>
      </c>
      <c r="AU76" s="253">
        <f ca="1">ROUND(OFFSET(Grunddaten!BU52,FW_Produkt,0)*((OFFSET(Grunddaten!$S52,FW_Produkt,0)-OFFSET(Grunddaten!$Q52,FW_Produkt,0))/100*$G76+$E76),-1)</f>
        <v>0</v>
      </c>
      <c r="AV76" s="253">
        <f ca="1">ROUND(OFFSET(Grunddaten!BV52,FW_Produkt,0)*((OFFSET(Grunddaten!$S52,FW_Produkt,0)-OFFSET(Grunddaten!$Q52,FW_Produkt,0))/100*$G76+$E76),-1)</f>
        <v>0</v>
      </c>
      <c r="AW76" s="253">
        <f ca="1">ROUND(OFFSET(Grunddaten!BW52,FW_Produkt,0)*((OFFSET(Grunddaten!$S52,FW_Produkt,0)-OFFSET(Grunddaten!$Q52,FW_Produkt,0))/100*$G76+$E76),-1)</f>
        <v>0</v>
      </c>
      <c r="AX76" s="253">
        <f ca="1">ROUND(OFFSET(Grunddaten!BX52,FW_Produkt,0)*((OFFSET(Grunddaten!$S52,FW_Produkt,0)-OFFSET(Grunddaten!$Q52,FW_Produkt,0))/100*$G76+$E76),-1)</f>
        <v>0</v>
      </c>
      <c r="AY76" s="253">
        <f ca="1">ROUND(OFFSET(Grunddaten!BY52,FW_Produkt,0)*((OFFSET(Grunddaten!$S52,FW_Produkt,0)-OFFSET(Grunddaten!$Q52,FW_Produkt,0))/100*$G76+$E76),-1)</f>
        <v>0</v>
      </c>
      <c r="AZ76" s="253">
        <f ca="1">ROUND(OFFSET(Grunddaten!BZ52,FW_Produkt,0)*((OFFSET(Grunddaten!$S52,FW_Produkt,0)-OFFSET(Grunddaten!$Q52,FW_Produkt,0))/100*$G76+$E76),-1)</f>
        <v>0</v>
      </c>
      <c r="BA76" s="253">
        <f ca="1">ROUND(OFFSET(Grunddaten!CA52,FW_Produkt,0)*((OFFSET(Grunddaten!$S52,FW_Produkt,0)-OFFSET(Grunddaten!$Q52,FW_Produkt,0))/100*$G76+$E76),-1)</f>
        <v>0</v>
      </c>
      <c r="BB76" s="253">
        <f ca="1">ROUND(OFFSET(Grunddaten!CB52,FW_Produkt,0)*((OFFSET(Grunddaten!$S52,FW_Produkt,0)-OFFSET(Grunddaten!$Q52,FW_Produkt,0))/100*$G76+$E76),-1)</f>
        <v>0</v>
      </c>
      <c r="BC76" s="253">
        <f ca="1">ROUND(OFFSET(Grunddaten!CC52,FW_Produkt,0)*((OFFSET(Grunddaten!$S52,FW_Produkt,0)-OFFSET(Grunddaten!$Q52,FW_Produkt,0))/100*$G76+$E76),-1)</f>
        <v>0</v>
      </c>
      <c r="BD76" s="253">
        <f ca="1">ROUND(OFFSET(Grunddaten!CD52,FW_Produkt,0)*((OFFSET(Grunddaten!$S52,FW_Produkt,0)-OFFSET(Grunddaten!$Q52,FW_Produkt,0))/100*$G76+$E76),-1)</f>
        <v>0</v>
      </c>
      <c r="BE76" s="253">
        <f ca="1">ROUND(OFFSET(Grunddaten!CE52,FW_Produkt,0)*((OFFSET(Grunddaten!$S52,FW_Produkt,0)-OFFSET(Grunddaten!$Q52,FW_Produkt,0))/100*$G76+$E76),-1)</f>
        <v>0</v>
      </c>
      <c r="BF76" s="253">
        <f ca="1">ROUND(OFFSET(Grunddaten!CF52,FW_Produkt,0)*((OFFSET(Grunddaten!$S52,FW_Produkt,0)-OFFSET(Grunddaten!$Q52,FW_Produkt,0))/100*$G76+$E76),-1)</f>
        <v>0</v>
      </c>
      <c r="BG76" s="253">
        <f ca="1">ROUND(OFFSET(Grunddaten!CG52,FW_Produkt,0)*((OFFSET(Grunddaten!$S52,FW_Produkt,0)-OFFSET(Grunddaten!$Q52,FW_Produkt,0))/100*$G76+$E76),-1)</f>
        <v>0</v>
      </c>
      <c r="BH76" s="253">
        <f ca="1">ROUND(OFFSET(Grunddaten!CH52,FW_Produkt,0)*((OFFSET(Grunddaten!$S52,FW_Produkt,0)-OFFSET(Grunddaten!$Q52,FW_Produkt,0))/100*$G76+$E76),-1)</f>
        <v>0</v>
      </c>
      <c r="BI76" s="253">
        <f ca="1">ROUND(OFFSET(Grunddaten!CI52,FW_Produkt,0)*((OFFSET(Grunddaten!$S52,FW_Produkt,0)-OFFSET(Grunddaten!$Q52,FW_Produkt,0))/100*$G76+$E76),-1)</f>
        <v>0</v>
      </c>
      <c r="BJ76" s="253">
        <f ca="1">ROUND(OFFSET(Grunddaten!CJ52,FW_Produkt,0)*((OFFSET(Grunddaten!$S52,FW_Produkt,0)-OFFSET(Grunddaten!$Q52,FW_Produkt,0))/100*$G76+$E76),-1)</f>
        <v>0</v>
      </c>
      <c r="BK76" s="253">
        <f ca="1">ROUND(OFFSET(Grunddaten!CK52,FW_Produkt,0)*((OFFSET(Grunddaten!$S52,FW_Produkt,0)-OFFSET(Grunddaten!$Q52,FW_Produkt,0))/100*$G76+$E76),-1)</f>
        <v>0</v>
      </c>
      <c r="BL76" s="253">
        <f ca="1">ROUND(OFFSET(Grunddaten!CL52,FW_Produkt,0)*((OFFSET(Grunddaten!$S52,FW_Produkt,0)-OFFSET(Grunddaten!$Q52,FW_Produkt,0))/100*$G76+$E76),-1)</f>
        <v>0</v>
      </c>
      <c r="BM76" s="253">
        <f ca="1">ROUND(OFFSET(Grunddaten!CM52,FW_Produkt,0)*((OFFSET(Grunddaten!$S52,FW_Produkt,0)-OFFSET(Grunddaten!$Q52,FW_Produkt,0))/100*$G76+$E76),-1)</f>
        <v>0</v>
      </c>
      <c r="BN76" s="253">
        <f ca="1">ROUND(OFFSET(Grunddaten!CN52,FW_Produkt,0)*((OFFSET(Grunddaten!$S52,FW_Produkt,0)-OFFSET(Grunddaten!$Q52,FW_Produkt,0))/100*$G76+$E76),-1)</f>
        <v>0</v>
      </c>
      <c r="BO76" s="253">
        <f ca="1">ROUND(OFFSET(Grunddaten!CO52,FW_Produkt,0)*((OFFSET(Grunddaten!$S52,FW_Produkt,0)-OFFSET(Grunddaten!$Q52,FW_Produkt,0))/100*$G76+$E76),-1)</f>
        <v>0</v>
      </c>
      <c r="BP76" s="253">
        <f ca="1">ROUND(OFFSET(Grunddaten!CP52,FW_Produkt,0)*((OFFSET(Grunddaten!$S52,FW_Produkt,0)-OFFSET(Grunddaten!$Q52,FW_Produkt,0))/100*$G76+$E76),-1)</f>
        <v>0</v>
      </c>
      <c r="BQ76" s="257">
        <f ca="1">ROUND(OFFSET(Grunddaten!CQ52,FW_Produkt,0)*((OFFSET(Grunddaten!$S52,FW_Produkt,0)-OFFSET(Grunddaten!$Q52,FW_Produkt,0))/100*$G76+$E76),-1)</f>
        <v>0</v>
      </c>
    </row>
    <row r="77" spans="1:69" s="36" customFormat="1" ht="11.25" customHeight="1" x14ac:dyDescent="0.2">
      <c r="A77" s="1011" t="str">
        <f>Grunddaten!C55</f>
        <v>Wärmeverbund XY</v>
      </c>
      <c r="B77" s="1253"/>
      <c r="C77" s="2721"/>
      <c r="D77" s="2721"/>
      <c r="E77" s="2397">
        <f xml:space="preserve"> ( EV_Var4!I13 + IF(EV_Var4!$A$27=$A77,EV_Var4!$AA$24,0) + IF(EV_Var4!$A$32=$A77,EV_Var4!$AA$25,0) + IF(EV_Var4!$A$36=$A77,EV_Var4!$AA$26) ) * Grunddaten!$AI$55</f>
        <v>0</v>
      </c>
      <c r="F77" s="2398"/>
      <c r="G77" s="2392">
        <f ca="1">SUMIF(EV_Var4!$A$11:$B$74,$A77,EV_Var4!$E$11:$E$74)</f>
        <v>0</v>
      </c>
      <c r="H77" s="2393"/>
      <c r="I77" s="2394"/>
      <c r="J77" s="2390">
        <f>Grunddaten!S55-(1-$R$109)*Grunddaten!Q55</f>
        <v>0</v>
      </c>
      <c r="K77" s="2391"/>
      <c r="L77" s="2424">
        <f t="shared" ref="L77" ca="1" si="6">ROUND(E77+G77*J77/100,-1)</f>
        <v>0</v>
      </c>
      <c r="M77" s="2425"/>
      <c r="N77" s="2426"/>
      <c r="P77" s="582"/>
      <c r="Q77" s="582"/>
      <c r="S77" s="206">
        <f ca="1">ROUND(Grunddaten!AS55*((Grunddaten!$S55-Grunddaten!$Q55)/100*$G77+$E77),-1)</f>
        <v>0</v>
      </c>
      <c r="T77" s="207">
        <f ca="1">ROUND(Grunddaten!AT55*((Grunddaten!$S55-Grunddaten!$Q55)/100*$G77+$E77),-1)</f>
        <v>0</v>
      </c>
      <c r="U77" s="207">
        <f ca="1">ROUND(Grunddaten!AU55*((Grunddaten!$S55-Grunddaten!$Q55)/100*$G77+$E77),-1)</f>
        <v>0</v>
      </c>
      <c r="V77" s="207">
        <f ca="1">ROUND(Grunddaten!AV55*((Grunddaten!$S55-Grunddaten!$Q55)/100*$G77+$E77),-1)</f>
        <v>0</v>
      </c>
      <c r="W77" s="207">
        <f ca="1">ROUND(Grunddaten!AW55*((Grunddaten!$S55-Grunddaten!$Q55)/100*$G77+$E77),-1)</f>
        <v>0</v>
      </c>
      <c r="X77" s="207">
        <f ca="1">ROUND(Grunddaten!AX55*((Grunddaten!$S55-Grunddaten!$Q55)/100*$G77+$E77),-1)</f>
        <v>0</v>
      </c>
      <c r="Y77" s="207">
        <f ca="1">ROUND(Grunddaten!AY55*((Grunddaten!$S55-Grunddaten!$Q55)/100*$G77+$E77),-1)</f>
        <v>0</v>
      </c>
      <c r="Z77" s="207">
        <f ca="1">ROUND(Grunddaten!AZ55*((Grunddaten!$S55-Grunddaten!$Q55)/100*$G77+$E77),-1)</f>
        <v>0</v>
      </c>
      <c r="AA77" s="207">
        <f ca="1">ROUND(Grunddaten!BA55*((Grunddaten!$S55-Grunddaten!$Q55)/100*$G77+$E77),-1)</f>
        <v>0</v>
      </c>
      <c r="AB77" s="246">
        <f ca="1">ROUND(Grunddaten!BB55*((Grunddaten!$S55-Grunddaten!$Q55)/100*$G77+$E77),-1)</f>
        <v>0</v>
      </c>
      <c r="AC77" s="246">
        <f ca="1">ROUND(Grunddaten!BC55*((Grunddaten!$S55-Grunddaten!$Q55)/100*$G77+$E77),-1)</f>
        <v>0</v>
      </c>
      <c r="AD77" s="246">
        <f ca="1">ROUND(Grunddaten!BD55*((Grunddaten!$S55-Grunddaten!$Q55)/100*$G77+$E77),-1)</f>
        <v>0</v>
      </c>
      <c r="AE77" s="246">
        <f ca="1">ROUND(Grunddaten!BE55*((Grunddaten!$S55-Grunddaten!$Q55)/100*$G77+$E77),-1)</f>
        <v>0</v>
      </c>
      <c r="AF77" s="246">
        <f ca="1">ROUND(Grunddaten!BF55*((Grunddaten!$S55-Grunddaten!$Q55)/100*$G77+$E77),-1)</f>
        <v>0</v>
      </c>
      <c r="AG77" s="246">
        <f ca="1">ROUND(Grunddaten!BG55*((Grunddaten!$S55-Grunddaten!$Q55)/100*$G77+$E77),-1)</f>
        <v>0</v>
      </c>
      <c r="AH77" s="247">
        <f ca="1">ROUND(Grunddaten!BH55*((Grunddaten!$S55-Grunddaten!$Q55)/100*$G77+$E77),-1)</f>
        <v>0</v>
      </c>
      <c r="AI77" s="247">
        <f ca="1">ROUND(Grunddaten!BI55*((Grunddaten!$S55-Grunddaten!$Q55)/100*$G77+$E77),-1)</f>
        <v>0</v>
      </c>
      <c r="AJ77" s="247">
        <f ca="1">ROUND(Grunddaten!BJ55*((Grunddaten!$S55-Grunddaten!$Q55)/100*$G77+$E77),-1)</f>
        <v>0</v>
      </c>
      <c r="AK77" s="247">
        <f ca="1">ROUND(Grunddaten!BK55*((Grunddaten!$S55-Grunddaten!$Q55)/100*$G77+$E77),-1)</f>
        <v>0</v>
      </c>
      <c r="AL77" s="247">
        <f ca="1">ROUND(Grunddaten!BL55*((Grunddaten!$S55-Grunddaten!$Q55)/100*$G77+$E77),-1)</f>
        <v>0</v>
      </c>
      <c r="AM77" s="247">
        <f ca="1">ROUND(Grunddaten!BM55*((Grunddaten!$S55-Grunddaten!$Q55)/100*$G77+$E77),-1)</f>
        <v>0</v>
      </c>
      <c r="AN77" s="247">
        <f ca="1">ROUND(Grunddaten!BN55*((Grunddaten!$S55-Grunddaten!$Q55)/100*$G77+$E77),-1)</f>
        <v>0</v>
      </c>
      <c r="AO77" s="247">
        <f ca="1">ROUND(Grunddaten!BO55*((Grunddaten!$S55-Grunddaten!$Q55)/100*$G77+$E77),-1)</f>
        <v>0</v>
      </c>
      <c r="AP77" s="247">
        <f ca="1">ROUND(Grunddaten!BP55*((Grunddaten!$S55-Grunddaten!$Q55)/100*$G77+$E77),-1)</f>
        <v>0</v>
      </c>
      <c r="AQ77" s="247">
        <f ca="1">ROUND(Grunddaten!BQ55*((Grunddaten!$S55-Grunddaten!$Q55)/100*$G77+$E77),-1)</f>
        <v>0</v>
      </c>
      <c r="AR77" s="247">
        <f ca="1">ROUND(Grunddaten!BR55*((Grunddaten!$S55-Grunddaten!$Q55)/100*$G77+$E77),-1)</f>
        <v>0</v>
      </c>
      <c r="AS77" s="247">
        <f ca="1">ROUND(Grunddaten!BS55*((Grunddaten!$S55-Grunddaten!$Q55)/100*$G77+$E77),-1)</f>
        <v>0</v>
      </c>
      <c r="AT77" s="247">
        <f ca="1">ROUND(Grunddaten!BT55*((Grunddaten!$S55-Grunddaten!$Q55)/100*$G77+$E77),-1)</f>
        <v>0</v>
      </c>
      <c r="AU77" s="247">
        <f ca="1">ROUND(Grunddaten!BU55*((Grunddaten!$S55-Grunddaten!$Q55)/100*$G77+$E77),-1)</f>
        <v>0</v>
      </c>
      <c r="AV77" s="247">
        <f ca="1">ROUND(Grunddaten!BV55*((Grunddaten!$S55-Grunddaten!$Q55)/100*$G77+$E77),-1)</f>
        <v>0</v>
      </c>
      <c r="AW77" s="247">
        <f ca="1">ROUND(Grunddaten!BW55*((Grunddaten!$S55-Grunddaten!$Q55)/100*$G77+$E77),-1)</f>
        <v>0</v>
      </c>
      <c r="AX77" s="247">
        <f ca="1">ROUND(Grunddaten!BX55*((Grunddaten!$S55-Grunddaten!$Q55)/100*$G77+$E77),-1)</f>
        <v>0</v>
      </c>
      <c r="AY77" s="247">
        <f ca="1">ROUND(Grunddaten!BY55*((Grunddaten!$S55-Grunddaten!$Q55)/100*$G77+$E77),-1)</f>
        <v>0</v>
      </c>
      <c r="AZ77" s="247">
        <f ca="1">ROUND(Grunddaten!BZ55*((Grunddaten!$S55-Grunddaten!$Q55)/100*$G77+$E77),-1)</f>
        <v>0</v>
      </c>
      <c r="BA77" s="247">
        <f ca="1">ROUND(Grunddaten!CA55*((Grunddaten!$S55-Grunddaten!$Q55)/100*$G77+$E77),-1)</f>
        <v>0</v>
      </c>
      <c r="BB77" s="247">
        <f ca="1">ROUND(Grunddaten!CB55*((Grunddaten!$S55-Grunddaten!$Q55)/100*$G77+$E77),-1)</f>
        <v>0</v>
      </c>
      <c r="BC77" s="247">
        <f ca="1">ROUND(Grunddaten!CC55*((Grunddaten!$S55-Grunddaten!$Q55)/100*$G77+$E77),-1)</f>
        <v>0</v>
      </c>
      <c r="BD77" s="247">
        <f ca="1">ROUND(Grunddaten!CD55*((Grunddaten!$S55-Grunddaten!$Q55)/100*$G77+$E77),-1)</f>
        <v>0</v>
      </c>
      <c r="BE77" s="247">
        <f ca="1">ROUND(Grunddaten!CE55*((Grunddaten!$S55-Grunddaten!$Q55)/100*$G77+$E77),-1)</f>
        <v>0</v>
      </c>
      <c r="BF77" s="247">
        <f ca="1">ROUND(Grunddaten!CF55*((Grunddaten!$S55-Grunddaten!$Q55)/100*$G77+$E77),-1)</f>
        <v>0</v>
      </c>
      <c r="BG77" s="247">
        <f ca="1">ROUND(Grunddaten!CG55*((Grunddaten!$S55-Grunddaten!$Q55)/100*$G77+$E77),-1)</f>
        <v>0</v>
      </c>
      <c r="BH77" s="247">
        <f ca="1">ROUND(Grunddaten!CH55*((Grunddaten!$S55-Grunddaten!$Q55)/100*$G77+$E77),-1)</f>
        <v>0</v>
      </c>
      <c r="BI77" s="247">
        <f ca="1">ROUND(Grunddaten!CI55*((Grunddaten!$S55-Grunddaten!$Q55)/100*$G77+$E77),-1)</f>
        <v>0</v>
      </c>
      <c r="BJ77" s="247">
        <f ca="1">ROUND(Grunddaten!CJ55*((Grunddaten!$S55-Grunddaten!$Q55)/100*$G77+$E77),-1)</f>
        <v>0</v>
      </c>
      <c r="BK77" s="247">
        <f ca="1">ROUND(Grunddaten!CK55*((Grunddaten!$S55-Grunddaten!$Q55)/100*$G77+$E77),-1)</f>
        <v>0</v>
      </c>
      <c r="BL77" s="247">
        <f ca="1">ROUND(Grunddaten!CL55*((Grunddaten!$S55-Grunddaten!$Q55)/100*$G77+$E77),-1)</f>
        <v>0</v>
      </c>
      <c r="BM77" s="247">
        <f ca="1">ROUND(Grunddaten!CM55*((Grunddaten!$S55-Grunddaten!$Q55)/100*$G77+$E77),-1)</f>
        <v>0</v>
      </c>
      <c r="BN77" s="247">
        <f ca="1">ROUND(Grunddaten!CN55*((Grunddaten!$S55-Grunddaten!$Q55)/100*$G77+$E77),-1)</f>
        <v>0</v>
      </c>
      <c r="BO77" s="247">
        <f ca="1">ROUND(Grunddaten!CO55*((Grunddaten!$S55-Grunddaten!$Q55)/100*$G77+$E77),-1)</f>
        <v>0</v>
      </c>
      <c r="BP77" s="247">
        <f ca="1">ROUND(Grunddaten!CP55*((Grunddaten!$S55-Grunddaten!$Q55)/100*$G77+$E77),-1)</f>
        <v>0</v>
      </c>
      <c r="BQ77" s="248">
        <f ca="1">ROUND(Grunddaten!CQ55*((Grunddaten!$S55-Grunddaten!$Q55)/100*$G77+$E77),-1)</f>
        <v>0</v>
      </c>
    </row>
    <row r="78" spans="1:69" s="36" customFormat="1" ht="11.25" customHeight="1" x14ac:dyDescent="0.2">
      <c r="A78" s="1031" t="str">
        <f>Grunddaten!C56</f>
        <v>Kälteverbund XY</v>
      </c>
      <c r="B78" s="1254"/>
      <c r="C78" s="2719"/>
      <c r="D78" s="2720"/>
      <c r="E78" s="2342">
        <f xml:space="preserve"> EV_Var4!I56 * Grunddaten!$AI$56</f>
        <v>0</v>
      </c>
      <c r="F78" s="2343"/>
      <c r="G78" s="2442">
        <f ca="1">SUMIF(EV_Var4!$A$11:$B$74,$A78,EV_Var4!$E$11:$E$74)</f>
        <v>0</v>
      </c>
      <c r="H78" s="2443"/>
      <c r="I78" s="2444"/>
      <c r="J78" s="2363">
        <f>Grunddaten!S56-(1-$R$109)*Grunddaten!Q56</f>
        <v>0</v>
      </c>
      <c r="K78" s="2364"/>
      <c r="L78" s="2319">
        <f t="shared" ref="L78" ca="1" si="7">ROUND(E78+G78*J78/100,-1)</f>
        <v>0</v>
      </c>
      <c r="M78" s="2320"/>
      <c r="N78" s="2321"/>
      <c r="P78" s="693"/>
      <c r="Q78" s="693"/>
      <c r="S78" s="211">
        <f ca="1">ROUND(Grunddaten!AS56*((Grunddaten!$S56-Grunddaten!$Q56)/100*$G78+$E78),-1)</f>
        <v>0</v>
      </c>
      <c r="T78" s="212">
        <f ca="1">ROUND(Grunddaten!AT56*((Grunddaten!$S56-Grunddaten!$Q56)/100*$G78+$E78),-1)</f>
        <v>0</v>
      </c>
      <c r="U78" s="212">
        <f ca="1">ROUND(Grunddaten!AU56*((Grunddaten!$S56-Grunddaten!$Q56)/100*$G78+$E78),-1)</f>
        <v>0</v>
      </c>
      <c r="V78" s="212">
        <f ca="1">ROUND(Grunddaten!AV56*((Grunddaten!$S56-Grunddaten!$Q56)/100*$G78+$E78),-1)</f>
        <v>0</v>
      </c>
      <c r="W78" s="212">
        <f ca="1">ROUND(Grunddaten!AW56*((Grunddaten!$S56-Grunddaten!$Q56)/100*$G78+$E78),-1)</f>
        <v>0</v>
      </c>
      <c r="X78" s="212">
        <f ca="1">ROUND(Grunddaten!AX56*((Grunddaten!$S56-Grunddaten!$Q56)/100*$G78+$E78),-1)</f>
        <v>0</v>
      </c>
      <c r="Y78" s="212">
        <f ca="1">ROUND(Grunddaten!AY56*((Grunddaten!$S56-Grunddaten!$Q56)/100*$G78+$E78),-1)</f>
        <v>0</v>
      </c>
      <c r="Z78" s="212">
        <f ca="1">ROUND(Grunddaten!AZ56*((Grunddaten!$S56-Grunddaten!$Q56)/100*$G78+$E78),-1)</f>
        <v>0</v>
      </c>
      <c r="AA78" s="212">
        <f ca="1">ROUND(Grunddaten!BA56*((Grunddaten!$S56-Grunddaten!$Q56)/100*$G78+$E78),-1)</f>
        <v>0</v>
      </c>
      <c r="AB78" s="586">
        <f ca="1">ROUND(Grunddaten!BB56*((Grunddaten!$S56-Grunddaten!$Q56)/100*$G78+$E78),-1)</f>
        <v>0</v>
      </c>
      <c r="AC78" s="586">
        <f ca="1">ROUND(Grunddaten!BC56*((Grunddaten!$S56-Grunddaten!$Q56)/100*$G78+$E78),-1)</f>
        <v>0</v>
      </c>
      <c r="AD78" s="586">
        <f ca="1">ROUND(Grunddaten!BD56*((Grunddaten!$S56-Grunddaten!$Q56)/100*$G78+$E78),-1)</f>
        <v>0</v>
      </c>
      <c r="AE78" s="586">
        <f ca="1">ROUND(Grunddaten!BE56*((Grunddaten!$S56-Grunddaten!$Q56)/100*$G78+$E78),-1)</f>
        <v>0</v>
      </c>
      <c r="AF78" s="586">
        <f ca="1">ROUND(Grunddaten!BF56*((Grunddaten!$S56-Grunddaten!$Q56)/100*$G78+$E78),-1)</f>
        <v>0</v>
      </c>
      <c r="AG78" s="586">
        <f ca="1">ROUND(Grunddaten!BG56*((Grunddaten!$S56-Grunddaten!$Q56)/100*$G78+$E78),-1)</f>
        <v>0</v>
      </c>
      <c r="AH78" s="584">
        <f ca="1">ROUND(Grunddaten!BH56*((Grunddaten!$S56-Grunddaten!$Q56)/100*$G78+$E78),-1)</f>
        <v>0</v>
      </c>
      <c r="AI78" s="584">
        <f ca="1">ROUND(Grunddaten!BI56*((Grunddaten!$S56-Grunddaten!$Q56)/100*$G78+$E78),-1)</f>
        <v>0</v>
      </c>
      <c r="AJ78" s="584">
        <f ca="1">ROUND(Grunddaten!BJ56*((Grunddaten!$S56-Grunddaten!$Q56)/100*$G78+$E78),-1)</f>
        <v>0</v>
      </c>
      <c r="AK78" s="584">
        <f ca="1">ROUND(Grunddaten!BK56*((Grunddaten!$S56-Grunddaten!$Q56)/100*$G78+$E78),-1)</f>
        <v>0</v>
      </c>
      <c r="AL78" s="584">
        <f ca="1">ROUND(Grunddaten!BL56*((Grunddaten!$S56-Grunddaten!$Q56)/100*$G78+$E78),-1)</f>
        <v>0</v>
      </c>
      <c r="AM78" s="584">
        <f ca="1">ROUND(Grunddaten!BM56*((Grunddaten!$S56-Grunddaten!$Q56)/100*$G78+$E78),-1)</f>
        <v>0</v>
      </c>
      <c r="AN78" s="584">
        <f ca="1">ROUND(Grunddaten!BN56*((Grunddaten!$S56-Grunddaten!$Q56)/100*$G78+$E78),-1)</f>
        <v>0</v>
      </c>
      <c r="AO78" s="584">
        <f ca="1">ROUND(Grunddaten!BO56*((Grunddaten!$S56-Grunddaten!$Q56)/100*$G78+$E78),-1)</f>
        <v>0</v>
      </c>
      <c r="AP78" s="584">
        <f ca="1">ROUND(Grunddaten!BP56*((Grunddaten!$S56-Grunddaten!$Q56)/100*$G78+$E78),-1)</f>
        <v>0</v>
      </c>
      <c r="AQ78" s="584">
        <f ca="1">ROUND(Grunddaten!BQ56*((Grunddaten!$S56-Grunddaten!$Q56)/100*$G78+$E78),-1)</f>
        <v>0</v>
      </c>
      <c r="AR78" s="584">
        <f ca="1">ROUND(Grunddaten!BR56*((Grunddaten!$S56-Grunddaten!$Q56)/100*$G78+$E78),-1)</f>
        <v>0</v>
      </c>
      <c r="AS78" s="584">
        <f ca="1">ROUND(Grunddaten!BS56*((Grunddaten!$S56-Grunddaten!$Q56)/100*$G78+$E78),-1)</f>
        <v>0</v>
      </c>
      <c r="AT78" s="584">
        <f ca="1">ROUND(Grunddaten!BT56*((Grunddaten!$S56-Grunddaten!$Q56)/100*$G78+$E78),-1)</f>
        <v>0</v>
      </c>
      <c r="AU78" s="584">
        <f ca="1">ROUND(Grunddaten!BU56*((Grunddaten!$S56-Grunddaten!$Q56)/100*$G78+$E78),-1)</f>
        <v>0</v>
      </c>
      <c r="AV78" s="584">
        <f ca="1">ROUND(Grunddaten!BV56*((Grunddaten!$S56-Grunddaten!$Q56)/100*$G78+$E78),-1)</f>
        <v>0</v>
      </c>
      <c r="AW78" s="584">
        <f ca="1">ROUND(Grunddaten!BW56*((Grunddaten!$S56-Grunddaten!$Q56)/100*$G78+$E78),-1)</f>
        <v>0</v>
      </c>
      <c r="AX78" s="584">
        <f ca="1">ROUND(Grunddaten!BX56*((Grunddaten!$S56-Grunddaten!$Q56)/100*$G78+$E78),-1)</f>
        <v>0</v>
      </c>
      <c r="AY78" s="584">
        <f ca="1">ROUND(Grunddaten!BY56*((Grunddaten!$S56-Grunddaten!$Q56)/100*$G78+$E78),-1)</f>
        <v>0</v>
      </c>
      <c r="AZ78" s="584">
        <f ca="1">ROUND(Grunddaten!BZ56*((Grunddaten!$S56-Grunddaten!$Q56)/100*$G78+$E78),-1)</f>
        <v>0</v>
      </c>
      <c r="BA78" s="584">
        <f ca="1">ROUND(Grunddaten!CA56*((Grunddaten!$S56-Grunddaten!$Q56)/100*$G78+$E78),-1)</f>
        <v>0</v>
      </c>
      <c r="BB78" s="584">
        <f ca="1">ROUND(Grunddaten!CB56*((Grunddaten!$S56-Grunddaten!$Q56)/100*$G78+$E78),-1)</f>
        <v>0</v>
      </c>
      <c r="BC78" s="584">
        <f ca="1">ROUND(Grunddaten!CC56*((Grunddaten!$S56-Grunddaten!$Q56)/100*$G78+$E78),-1)</f>
        <v>0</v>
      </c>
      <c r="BD78" s="584">
        <f ca="1">ROUND(Grunddaten!CD56*((Grunddaten!$S56-Grunddaten!$Q56)/100*$G78+$E78),-1)</f>
        <v>0</v>
      </c>
      <c r="BE78" s="584">
        <f ca="1">ROUND(Grunddaten!CE56*((Grunddaten!$S56-Grunddaten!$Q56)/100*$G78+$E78),-1)</f>
        <v>0</v>
      </c>
      <c r="BF78" s="584">
        <f ca="1">ROUND(Grunddaten!CF56*((Grunddaten!$S56-Grunddaten!$Q56)/100*$G78+$E78),-1)</f>
        <v>0</v>
      </c>
      <c r="BG78" s="584">
        <f ca="1">ROUND(Grunddaten!CG56*((Grunddaten!$S56-Grunddaten!$Q56)/100*$G78+$E78),-1)</f>
        <v>0</v>
      </c>
      <c r="BH78" s="584">
        <f ca="1">ROUND(Grunddaten!CH56*((Grunddaten!$S56-Grunddaten!$Q56)/100*$G78+$E78),-1)</f>
        <v>0</v>
      </c>
      <c r="BI78" s="584">
        <f ca="1">ROUND(Grunddaten!CI56*((Grunddaten!$S56-Grunddaten!$Q56)/100*$G78+$E78),-1)</f>
        <v>0</v>
      </c>
      <c r="BJ78" s="584">
        <f ca="1">ROUND(Grunddaten!CJ56*((Grunddaten!$S56-Grunddaten!$Q56)/100*$G78+$E78),-1)</f>
        <v>0</v>
      </c>
      <c r="BK78" s="584">
        <f ca="1">ROUND(Grunddaten!CK56*((Grunddaten!$S56-Grunddaten!$Q56)/100*$G78+$E78),-1)</f>
        <v>0</v>
      </c>
      <c r="BL78" s="584">
        <f ca="1">ROUND(Grunddaten!CL56*((Grunddaten!$S56-Grunddaten!$Q56)/100*$G78+$E78),-1)</f>
        <v>0</v>
      </c>
      <c r="BM78" s="584">
        <f ca="1">ROUND(Grunddaten!CM56*((Grunddaten!$S56-Grunddaten!$Q56)/100*$G78+$E78),-1)</f>
        <v>0</v>
      </c>
      <c r="BN78" s="584">
        <f ca="1">ROUND(Grunddaten!CN56*((Grunddaten!$S56-Grunddaten!$Q56)/100*$G78+$E78),-1)</f>
        <v>0</v>
      </c>
      <c r="BO78" s="584">
        <f ca="1">ROUND(Grunddaten!CO56*((Grunddaten!$S56-Grunddaten!$Q56)/100*$G78+$E78),-1)</f>
        <v>0</v>
      </c>
      <c r="BP78" s="584">
        <f ca="1">ROUND(Grunddaten!CP56*((Grunddaten!$S56-Grunddaten!$Q56)/100*$G78+$E78),-1)</f>
        <v>0</v>
      </c>
      <c r="BQ78" s="585">
        <f ca="1">ROUND(Grunddaten!CQ56*((Grunddaten!$S56-Grunddaten!$Q56)/100*$G78+$E78),-1)</f>
        <v>0</v>
      </c>
    </row>
    <row r="79" spans="1:69" s="36" customFormat="1" ht="14.1" customHeight="1" thickBot="1" x14ac:dyDescent="0.25">
      <c r="A79" s="1053" t="s">
        <v>13</v>
      </c>
      <c r="B79" s="1215"/>
      <c r="C79" s="1215"/>
      <c r="D79" s="2408"/>
      <c r="E79" s="2408"/>
      <c r="F79" s="2408"/>
      <c r="G79" s="1252"/>
      <c r="H79" s="2408"/>
      <c r="I79" s="2408"/>
      <c r="J79" s="2411"/>
      <c r="K79" s="2411"/>
      <c r="L79" s="2337">
        <f ca="1">SUM(L61:L78)</f>
        <v>0</v>
      </c>
      <c r="M79" s="2338"/>
      <c r="N79" s="2339"/>
      <c r="S79" s="258">
        <f ca="1">SUM(S62:S76)</f>
        <v>0</v>
      </c>
      <c r="T79" s="259">
        <f t="shared" ref="T79:BQ79" ca="1" si="8">SUM(T62:T76)</f>
        <v>0</v>
      </c>
      <c r="U79" s="259">
        <f t="shared" ca="1" si="8"/>
        <v>0</v>
      </c>
      <c r="V79" s="259">
        <f t="shared" ca="1" si="8"/>
        <v>0</v>
      </c>
      <c r="W79" s="259">
        <f t="shared" ca="1" si="8"/>
        <v>0</v>
      </c>
      <c r="X79" s="259">
        <f t="shared" ca="1" si="8"/>
        <v>0</v>
      </c>
      <c r="Y79" s="259">
        <f t="shared" ca="1" si="8"/>
        <v>0</v>
      </c>
      <c r="Z79" s="259">
        <f t="shared" ca="1" si="8"/>
        <v>0</v>
      </c>
      <c r="AA79" s="259">
        <f t="shared" ca="1" si="8"/>
        <v>0</v>
      </c>
      <c r="AB79" s="259">
        <f t="shared" ca="1" si="8"/>
        <v>0</v>
      </c>
      <c r="AC79" s="259">
        <f t="shared" ca="1" si="8"/>
        <v>0</v>
      </c>
      <c r="AD79" s="259">
        <f t="shared" ca="1" si="8"/>
        <v>0</v>
      </c>
      <c r="AE79" s="259">
        <f t="shared" ca="1" si="8"/>
        <v>0</v>
      </c>
      <c r="AF79" s="259">
        <f t="shared" ca="1" si="8"/>
        <v>0</v>
      </c>
      <c r="AG79" s="259">
        <f t="shared" ca="1" si="8"/>
        <v>0</v>
      </c>
      <c r="AH79" s="259">
        <f t="shared" ca="1" si="8"/>
        <v>0</v>
      </c>
      <c r="AI79" s="259">
        <f t="shared" ca="1" si="8"/>
        <v>0</v>
      </c>
      <c r="AJ79" s="259">
        <f t="shared" ca="1" si="8"/>
        <v>0</v>
      </c>
      <c r="AK79" s="259">
        <f t="shared" ca="1" si="8"/>
        <v>0</v>
      </c>
      <c r="AL79" s="259">
        <f t="shared" ca="1" si="8"/>
        <v>0</v>
      </c>
      <c r="AM79" s="259">
        <f t="shared" ca="1" si="8"/>
        <v>0</v>
      </c>
      <c r="AN79" s="259">
        <f t="shared" ca="1" si="8"/>
        <v>0</v>
      </c>
      <c r="AO79" s="259">
        <f t="shared" ca="1" si="8"/>
        <v>0</v>
      </c>
      <c r="AP79" s="259">
        <f t="shared" ca="1" si="8"/>
        <v>0</v>
      </c>
      <c r="AQ79" s="259">
        <f t="shared" ca="1" si="8"/>
        <v>0</v>
      </c>
      <c r="AR79" s="259">
        <f t="shared" ca="1" si="8"/>
        <v>0</v>
      </c>
      <c r="AS79" s="259">
        <f t="shared" ca="1" si="8"/>
        <v>0</v>
      </c>
      <c r="AT79" s="259">
        <f t="shared" ca="1" si="8"/>
        <v>0</v>
      </c>
      <c r="AU79" s="259">
        <f t="shared" ca="1" si="8"/>
        <v>0</v>
      </c>
      <c r="AV79" s="259">
        <f t="shared" ca="1" si="8"/>
        <v>0</v>
      </c>
      <c r="AW79" s="259">
        <f t="shared" ca="1" si="8"/>
        <v>0</v>
      </c>
      <c r="AX79" s="259">
        <f t="shared" ca="1" si="8"/>
        <v>0</v>
      </c>
      <c r="AY79" s="259">
        <f t="shared" ca="1" si="8"/>
        <v>0</v>
      </c>
      <c r="AZ79" s="259">
        <f t="shared" ca="1" si="8"/>
        <v>0</v>
      </c>
      <c r="BA79" s="259">
        <f t="shared" ca="1" si="8"/>
        <v>0</v>
      </c>
      <c r="BB79" s="259">
        <f t="shared" ca="1" si="8"/>
        <v>0</v>
      </c>
      <c r="BC79" s="259">
        <f t="shared" ca="1" si="8"/>
        <v>0</v>
      </c>
      <c r="BD79" s="259">
        <f t="shared" ca="1" si="8"/>
        <v>0</v>
      </c>
      <c r="BE79" s="259">
        <f t="shared" ca="1" si="8"/>
        <v>0</v>
      </c>
      <c r="BF79" s="259">
        <f t="shared" ca="1" si="8"/>
        <v>0</v>
      </c>
      <c r="BG79" s="259">
        <f t="shared" ca="1" si="8"/>
        <v>0</v>
      </c>
      <c r="BH79" s="259">
        <f t="shared" ca="1" si="8"/>
        <v>0</v>
      </c>
      <c r="BI79" s="259">
        <f t="shared" ca="1" si="8"/>
        <v>0</v>
      </c>
      <c r="BJ79" s="259">
        <f t="shared" ca="1" si="8"/>
        <v>0</v>
      </c>
      <c r="BK79" s="259">
        <f t="shared" ca="1" si="8"/>
        <v>0</v>
      </c>
      <c r="BL79" s="259">
        <f t="shared" ca="1" si="8"/>
        <v>0</v>
      </c>
      <c r="BM79" s="259">
        <f t="shared" ca="1" si="8"/>
        <v>0</v>
      </c>
      <c r="BN79" s="259">
        <f t="shared" ca="1" si="8"/>
        <v>0</v>
      </c>
      <c r="BO79" s="259">
        <f t="shared" ca="1" si="8"/>
        <v>0</v>
      </c>
      <c r="BP79" s="259">
        <f t="shared" ca="1" si="8"/>
        <v>0</v>
      </c>
      <c r="BQ79" s="260">
        <f t="shared" ca="1" si="8"/>
        <v>0</v>
      </c>
    </row>
    <row r="80" spans="1:69" ht="6" customHeight="1" x14ac:dyDescent="0.2">
      <c r="P80" s="32"/>
      <c r="Q80" s="32"/>
      <c r="R80" s="124"/>
      <c r="S80" s="195"/>
      <c r="T80" s="196"/>
      <c r="U80" s="195"/>
      <c r="V80" s="195"/>
      <c r="W80" s="195"/>
      <c r="X80" s="195"/>
      <c r="Y80" s="195"/>
      <c r="Z80" s="195"/>
      <c r="AA80" s="195"/>
      <c r="AB80" s="197"/>
      <c r="AC80" s="197"/>
      <c r="AD80" s="197"/>
      <c r="AE80" s="197"/>
      <c r="AF80" s="197"/>
      <c r="AG80" s="197"/>
      <c r="AH80" s="223"/>
      <c r="AI80" s="223"/>
      <c r="AJ80" s="223"/>
      <c r="AK80" s="224"/>
      <c r="AL80" s="224"/>
      <c r="AM80" s="224"/>
      <c r="AN80" s="224"/>
      <c r="AO80" s="224"/>
      <c r="AP80" s="224"/>
      <c r="AQ80" s="224"/>
      <c r="AR80" s="224"/>
      <c r="AS80" s="224"/>
      <c r="AT80" s="224"/>
      <c r="AU80" s="224"/>
      <c r="AV80" s="224"/>
      <c r="AW80" s="224"/>
      <c r="AX80" s="224"/>
      <c r="AY80" s="224"/>
      <c r="AZ80" s="224"/>
      <c r="BA80" s="224"/>
      <c r="BB80" s="224"/>
      <c r="BC80" s="224"/>
      <c r="BD80" s="224"/>
      <c r="BE80" s="224"/>
      <c r="BF80" s="224"/>
      <c r="BG80" s="224"/>
      <c r="BH80" s="224"/>
      <c r="BI80" s="224"/>
      <c r="BJ80" s="224"/>
      <c r="BK80" s="224"/>
      <c r="BL80" s="224"/>
      <c r="BM80" s="224"/>
      <c r="BN80" s="224"/>
      <c r="BO80" s="224"/>
      <c r="BP80" s="224"/>
      <c r="BQ80" s="224"/>
    </row>
    <row r="81" spans="1:69" ht="17.25" customHeight="1" x14ac:dyDescent="0.25">
      <c r="A81" s="49" t="s">
        <v>27</v>
      </c>
      <c r="B81" s="49"/>
      <c r="G81" s="32"/>
      <c r="H81" s="42"/>
      <c r="I81" s="283"/>
      <c r="J81" s="284"/>
      <c r="K81" s="285"/>
      <c r="L81" s="379" t="s">
        <v>457</v>
      </c>
      <c r="M81" s="2410">
        <f>ROUND(MAX(G39,WR_Var1!G39,WR_Var2!G39,WR_Var3!G39),0)</f>
        <v>0</v>
      </c>
      <c r="N81" s="2410"/>
      <c r="O81" s="409"/>
      <c r="P81" s="32"/>
      <c r="Q81" s="32"/>
      <c r="R81" s="197"/>
      <c r="S81" s="198"/>
      <c r="T81" s="197"/>
      <c r="U81" s="197"/>
      <c r="V81" s="197"/>
      <c r="W81" s="197"/>
      <c r="X81" s="197"/>
      <c r="Y81" s="197"/>
      <c r="Z81" s="197"/>
      <c r="AA81" s="197"/>
      <c r="AB81" s="197"/>
      <c r="AC81" s="197"/>
      <c r="AD81" s="197"/>
      <c r="AE81" s="197"/>
      <c r="AF81" s="197"/>
      <c r="AG81" s="223"/>
      <c r="AH81" s="223"/>
      <c r="AI81" s="223"/>
      <c r="AJ81" s="400"/>
      <c r="AK81" s="224"/>
      <c r="AL81" s="224"/>
      <c r="AM81" s="224"/>
      <c r="AN81" s="224"/>
      <c r="AO81" s="224"/>
      <c r="AP81" s="225"/>
      <c r="AQ81" s="224"/>
      <c r="AR81" s="224"/>
      <c r="AS81" s="224"/>
      <c r="AT81" s="224"/>
      <c r="AU81" s="224"/>
      <c r="AV81" s="224"/>
      <c r="AW81" s="224"/>
      <c r="AX81" s="224"/>
      <c r="AY81" s="224"/>
      <c r="AZ81" s="224"/>
      <c r="BA81" s="224"/>
      <c r="BB81" s="224"/>
      <c r="BC81" s="224"/>
      <c r="BD81" s="224"/>
      <c r="BE81" s="224"/>
      <c r="BF81" s="224"/>
      <c r="BG81" s="224"/>
      <c r="BH81" s="224"/>
      <c r="BI81" s="224"/>
      <c r="BJ81" s="224"/>
      <c r="BK81" s="224"/>
      <c r="BL81" s="224"/>
      <c r="BM81" s="224"/>
      <c r="BN81" s="224"/>
      <c r="BO81" s="224"/>
      <c r="BP81" s="224"/>
      <c r="BQ81" s="32"/>
    </row>
    <row r="82" spans="1:69" ht="2.1" customHeight="1" x14ac:dyDescent="0.2">
      <c r="H82" s="33"/>
      <c r="I82" s="287"/>
      <c r="J82" s="284"/>
      <c r="K82" s="284"/>
      <c r="L82" s="284"/>
      <c r="P82" s="32"/>
      <c r="Q82" s="32"/>
      <c r="R82" s="197"/>
      <c r="S82" s="198"/>
      <c r="T82" s="197"/>
      <c r="U82" s="197"/>
      <c r="V82" s="197"/>
      <c r="W82" s="197"/>
      <c r="X82" s="197"/>
      <c r="Y82" s="197"/>
      <c r="Z82" s="197"/>
      <c r="AA82" s="197"/>
      <c r="AB82" s="197"/>
      <c r="AC82" s="197"/>
      <c r="AD82" s="197"/>
      <c r="AE82" s="197"/>
      <c r="AF82" s="197"/>
      <c r="AG82" s="223"/>
      <c r="AH82" s="223"/>
      <c r="AI82" s="223"/>
      <c r="AJ82" s="224"/>
      <c r="AK82" s="224"/>
      <c r="AL82" s="224"/>
      <c r="AM82" s="224"/>
      <c r="AN82" s="224"/>
      <c r="AO82" s="224"/>
      <c r="AP82" s="224"/>
      <c r="AQ82" s="224"/>
      <c r="AR82" s="224"/>
      <c r="AS82" s="224"/>
      <c r="AT82" s="224"/>
      <c r="AU82" s="224"/>
      <c r="AV82" s="224"/>
      <c r="AW82" s="224"/>
      <c r="AX82" s="224"/>
      <c r="AY82" s="224"/>
      <c r="AZ82" s="224"/>
      <c r="BA82" s="224"/>
      <c r="BB82" s="224"/>
      <c r="BC82" s="224"/>
      <c r="BD82" s="224"/>
      <c r="BE82" s="224"/>
      <c r="BF82" s="224"/>
      <c r="BG82" s="224"/>
      <c r="BH82" s="224"/>
      <c r="BI82" s="224"/>
      <c r="BJ82" s="224"/>
      <c r="BK82" s="224"/>
      <c r="BL82" s="224"/>
      <c r="BM82" s="224"/>
      <c r="BN82" s="224"/>
      <c r="BO82" s="224"/>
      <c r="BP82" s="224"/>
      <c r="BQ82" s="32"/>
    </row>
    <row r="83" spans="1:69" ht="12" customHeight="1" x14ac:dyDescent="0.2">
      <c r="A83" s="32"/>
      <c r="B83" s="41"/>
      <c r="D83" s="689" t="s">
        <v>40</v>
      </c>
      <c r="E83" s="2547">
        <f>IF(ISBLANK($M$83),$M$81,$M$83)</f>
        <v>0</v>
      </c>
      <c r="F83" s="2547"/>
      <c r="G83" s="32"/>
      <c r="I83" s="287"/>
      <c r="J83" s="284"/>
      <c r="K83" s="486"/>
      <c r="L83" s="286" t="s">
        <v>28</v>
      </c>
      <c r="M83" s="2409"/>
      <c r="N83" s="2409"/>
      <c r="O83" s="147"/>
      <c r="Q83" s="34"/>
      <c r="R83" s="226"/>
      <c r="S83" s="198"/>
      <c r="T83" s="197"/>
      <c r="U83" s="197"/>
      <c r="V83" s="197"/>
      <c r="W83" s="197"/>
      <c r="X83" s="197"/>
      <c r="Y83" s="197"/>
      <c r="Z83" s="197"/>
      <c r="AA83" s="197"/>
      <c r="AB83" s="197"/>
      <c r="AC83" s="197"/>
      <c r="AD83" s="197"/>
      <c r="AE83" s="197"/>
      <c r="AF83" s="197"/>
      <c r="AG83" s="223"/>
      <c r="AH83" s="223"/>
      <c r="AI83" s="223"/>
      <c r="AJ83" s="224"/>
      <c r="AK83" s="224"/>
      <c r="AL83" s="224"/>
      <c r="AM83" s="224"/>
      <c r="AN83" s="224"/>
      <c r="AO83" s="224"/>
      <c r="AP83" s="224"/>
      <c r="AQ83" s="224"/>
      <c r="AR83" s="224"/>
      <c r="AS83" s="224"/>
      <c r="AT83" s="224"/>
      <c r="AU83" s="224"/>
      <c r="AV83" s="224"/>
      <c r="AW83" s="224"/>
      <c r="AX83" s="224"/>
      <c r="AY83" s="224"/>
      <c r="AZ83" s="224"/>
      <c r="BA83" s="224"/>
      <c r="BB83" s="224"/>
      <c r="BC83" s="224"/>
      <c r="BD83" s="224"/>
      <c r="BE83" s="224"/>
      <c r="BF83" s="224"/>
      <c r="BG83" s="224"/>
      <c r="BH83" s="224"/>
      <c r="BI83" s="224"/>
      <c r="BJ83" s="224"/>
      <c r="BK83" s="224"/>
      <c r="BL83" s="224"/>
      <c r="BM83" s="224"/>
      <c r="BN83" s="224"/>
      <c r="BO83" s="224"/>
      <c r="BP83" s="224"/>
      <c r="BQ83" s="32"/>
    </row>
    <row r="84" spans="1:69" ht="3.95" customHeight="1" x14ac:dyDescent="0.2">
      <c r="A84" s="33"/>
      <c r="B84" s="33"/>
      <c r="C84" s="34"/>
      <c r="D84" s="34"/>
      <c r="E84" s="34"/>
      <c r="F84" s="34"/>
      <c r="G84" s="34"/>
      <c r="H84" s="34"/>
      <c r="I84" s="34"/>
      <c r="J84" s="34"/>
      <c r="Q84" s="34"/>
      <c r="R84" s="226"/>
      <c r="S84" s="198"/>
      <c r="T84" s="197"/>
      <c r="U84" s="197"/>
      <c r="V84" s="197"/>
      <c r="W84" s="197"/>
      <c r="X84" s="197"/>
      <c r="Y84" s="197"/>
      <c r="Z84" s="197"/>
      <c r="AA84" s="197"/>
      <c r="AB84" s="197"/>
      <c r="AC84" s="197"/>
      <c r="AD84" s="197"/>
      <c r="AE84" s="197"/>
      <c r="AF84" s="197"/>
      <c r="AG84" s="223"/>
      <c r="AH84" s="223"/>
      <c r="AI84" s="223"/>
      <c r="AJ84" s="224"/>
      <c r="AK84" s="224"/>
      <c r="AL84" s="224"/>
      <c r="AM84" s="224"/>
      <c r="AN84" s="224"/>
      <c r="AO84" s="224"/>
      <c r="AP84" s="224"/>
      <c r="AQ84" s="224"/>
      <c r="AR84" s="224"/>
      <c r="AS84" s="224"/>
      <c r="AT84" s="224"/>
      <c r="AU84" s="224"/>
      <c r="AV84" s="224"/>
      <c r="AW84" s="224"/>
      <c r="AX84" s="224"/>
      <c r="AY84" s="224"/>
      <c r="AZ84" s="224"/>
      <c r="BA84" s="224"/>
      <c r="BB84" s="224"/>
      <c r="BC84" s="224"/>
      <c r="BD84" s="224"/>
      <c r="BE84" s="224"/>
      <c r="BF84" s="224"/>
      <c r="BG84" s="224"/>
      <c r="BH84" s="224"/>
      <c r="BI84" s="224"/>
      <c r="BJ84" s="224"/>
      <c r="BK84" s="224"/>
      <c r="BL84" s="224"/>
      <c r="BM84" s="224"/>
      <c r="BN84" s="224"/>
      <c r="BO84" s="224"/>
      <c r="BP84" s="224"/>
      <c r="BQ84" s="32"/>
    </row>
    <row r="85" spans="1:69" s="39" customFormat="1" ht="11.25" customHeight="1" x14ac:dyDescent="0.2">
      <c r="A85" s="1248"/>
      <c r="B85" s="1249"/>
      <c r="C85" s="1249"/>
      <c r="D85" s="1100"/>
      <c r="E85" s="2322" t="s">
        <v>29</v>
      </c>
      <c r="F85" s="2324"/>
      <c r="G85" s="2323" t="s">
        <v>39</v>
      </c>
      <c r="H85" s="2323"/>
      <c r="I85" s="2323"/>
      <c r="J85" s="2323"/>
      <c r="K85" s="2323"/>
      <c r="L85" s="2322" t="s">
        <v>636</v>
      </c>
      <c r="M85" s="2323"/>
      <c r="N85" s="2324"/>
      <c r="O85" s="408"/>
      <c r="P85" s="396"/>
      <c r="Q85" s="397"/>
      <c r="R85" s="38"/>
      <c r="S85" s="199"/>
      <c r="T85" s="199"/>
      <c r="U85" s="199"/>
      <c r="V85" s="199"/>
      <c r="W85" s="199"/>
      <c r="X85" s="199"/>
      <c r="Y85" s="199"/>
      <c r="Z85" s="199"/>
      <c r="AA85" s="194"/>
      <c r="AB85" s="197"/>
      <c r="AC85" s="197"/>
      <c r="AD85" s="197"/>
      <c r="AE85" s="197"/>
      <c r="AF85" s="197"/>
      <c r="AG85" s="223"/>
      <c r="AH85" s="223"/>
      <c r="AI85" s="223"/>
      <c r="AJ85" s="224"/>
      <c r="AK85" s="224"/>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K85" s="199"/>
      <c r="BL85" s="199"/>
      <c r="BM85" s="199"/>
      <c r="BN85" s="199"/>
      <c r="BO85" s="199"/>
      <c r="BP85" s="199"/>
    </row>
    <row r="86" spans="1:69" s="39" customFormat="1" ht="11.25" customHeight="1" x14ac:dyDescent="0.2">
      <c r="A86" s="1250" t="s">
        <v>11</v>
      </c>
      <c r="B86" s="1251"/>
      <c r="C86" s="1251"/>
      <c r="D86" s="1212"/>
      <c r="E86" s="2325" t="s">
        <v>31</v>
      </c>
      <c r="F86" s="2327"/>
      <c r="G86" s="2362" t="s">
        <v>633</v>
      </c>
      <c r="H86" s="2362"/>
      <c r="I86" s="2523"/>
      <c r="J86" s="2361" t="s">
        <v>634</v>
      </c>
      <c r="K86" s="2362"/>
      <c r="L86" s="2325" t="s">
        <v>571</v>
      </c>
      <c r="M86" s="2326"/>
      <c r="N86" s="2327"/>
      <c r="O86" s="408"/>
      <c r="P86" s="2471" t="s">
        <v>402</v>
      </c>
      <c r="Q86" s="2472"/>
      <c r="R86" s="298"/>
      <c r="U86" s="226"/>
      <c r="V86" s="199"/>
      <c r="W86" s="199"/>
      <c r="X86" s="199"/>
      <c r="Y86" s="199"/>
      <c r="Z86" s="199"/>
      <c r="AA86" s="199"/>
      <c r="AB86" s="199"/>
      <c r="AC86" s="199"/>
      <c r="AD86" s="193"/>
      <c r="AE86" s="197"/>
      <c r="AF86" s="197"/>
      <c r="AG86" s="197"/>
      <c r="AH86" s="197"/>
      <c r="AI86" s="197"/>
      <c r="AJ86" s="223"/>
      <c r="AK86" s="223"/>
      <c r="AL86" s="223"/>
      <c r="AM86" s="224"/>
      <c r="AN86" s="224"/>
      <c r="AO86" s="199"/>
      <c r="AP86" s="199"/>
      <c r="AQ86" s="199"/>
      <c r="AR86" s="199"/>
      <c r="AS86" s="199"/>
      <c r="AT86" s="199"/>
      <c r="AU86" s="199"/>
      <c r="AV86" s="199"/>
      <c r="AW86" s="199"/>
      <c r="AX86" s="199"/>
      <c r="AY86" s="199"/>
      <c r="AZ86" s="199"/>
      <c r="BA86" s="199"/>
      <c r="BB86" s="199"/>
      <c r="BC86" s="199"/>
      <c r="BD86" s="199"/>
      <c r="BE86" s="199"/>
      <c r="BF86" s="199"/>
      <c r="BG86" s="199"/>
      <c r="BH86" s="199"/>
      <c r="BI86" s="199"/>
      <c r="BJ86" s="199"/>
      <c r="BK86" s="199"/>
      <c r="BL86" s="199"/>
      <c r="BM86" s="199"/>
      <c r="BN86" s="199"/>
      <c r="BO86" s="199"/>
      <c r="BP86" s="199"/>
      <c r="BQ86" s="199"/>
    </row>
    <row r="87" spans="1:69" s="39" customFormat="1" ht="11.25" customHeight="1" x14ac:dyDescent="0.2">
      <c r="A87" s="1222"/>
      <c r="B87" s="1223"/>
      <c r="C87" s="1223"/>
      <c r="D87" s="1054"/>
      <c r="E87" s="2483" t="s">
        <v>555</v>
      </c>
      <c r="F87" s="2484"/>
      <c r="G87" s="2349" t="s">
        <v>567</v>
      </c>
      <c r="H87" s="2349"/>
      <c r="I87" s="2399"/>
      <c r="J87" s="2348" t="s">
        <v>567</v>
      </c>
      <c r="K87" s="2349"/>
      <c r="L87" s="2483" t="s">
        <v>567</v>
      </c>
      <c r="M87" s="2349"/>
      <c r="N87" s="2484"/>
      <c r="O87" s="507"/>
      <c r="P87" s="2481" t="s">
        <v>403</v>
      </c>
      <c r="Q87" s="2482"/>
      <c r="R87" s="298"/>
      <c r="S87" s="215" t="s">
        <v>582</v>
      </c>
      <c r="U87" s="226"/>
      <c r="V87" s="199"/>
      <c r="W87" s="199"/>
      <c r="X87" s="199"/>
      <c r="Y87" s="199"/>
      <c r="Z87" s="199"/>
      <c r="AA87" s="199"/>
      <c r="AB87" s="199"/>
      <c r="AC87" s="199"/>
      <c r="AD87" s="193"/>
      <c r="AE87" s="197"/>
      <c r="AF87" s="197"/>
      <c r="AG87" s="197"/>
      <c r="AH87" s="197"/>
      <c r="AI87" s="197"/>
      <c r="AJ87" s="223"/>
      <c r="AK87" s="223"/>
      <c r="AL87" s="223"/>
      <c r="AM87" s="224"/>
      <c r="AN87" s="224"/>
      <c r="AO87" s="199"/>
      <c r="AP87" s="199"/>
      <c r="AQ87" s="199"/>
      <c r="AR87" s="199"/>
      <c r="AS87" s="199"/>
      <c r="AT87" s="199"/>
      <c r="AU87" s="199"/>
      <c r="AV87" s="199"/>
      <c r="AW87" s="199"/>
      <c r="AX87" s="199"/>
      <c r="AY87" s="199"/>
      <c r="AZ87" s="199"/>
      <c r="BA87" s="199"/>
      <c r="BB87" s="199"/>
      <c r="BC87" s="199"/>
      <c r="BD87" s="199"/>
      <c r="BE87" s="199"/>
      <c r="BF87" s="199"/>
      <c r="BG87" s="199"/>
      <c r="BH87" s="199"/>
      <c r="BI87" s="199"/>
      <c r="BJ87" s="199"/>
      <c r="BK87" s="199"/>
      <c r="BL87" s="199"/>
      <c r="BM87" s="199"/>
      <c r="BN87" s="199"/>
      <c r="BO87" s="199"/>
      <c r="BP87" s="199"/>
      <c r="BQ87" s="199"/>
    </row>
    <row r="88" spans="1:69" s="36" customFormat="1" ht="12" customHeight="1" x14ac:dyDescent="0.2">
      <c r="A88" s="1015" t="s">
        <v>635</v>
      </c>
      <c r="B88" s="1016"/>
      <c r="C88" s="1017"/>
      <c r="D88" s="1018" t="str">
        <f>"("&amp;Grunddaten!$U$10&amp;")"</f>
        <v>(Förderbeiträge berücksichtigen)</v>
      </c>
      <c r="E88" s="2414" t="s">
        <v>25</v>
      </c>
      <c r="F88" s="2415"/>
      <c r="G88" s="2329">
        <f>IF(Grunddaten!$AN$10=TRUE,$J$54,$J$39)</f>
        <v>0</v>
      </c>
      <c r="H88" s="2329"/>
      <c r="I88" s="2494"/>
      <c r="J88" s="2440" t="s">
        <v>38</v>
      </c>
      <c r="K88" s="2441"/>
      <c r="L88" s="2328">
        <f>G88</f>
        <v>0</v>
      </c>
      <c r="M88" s="2329"/>
      <c r="N88" s="2330"/>
      <c r="O88" s="141"/>
      <c r="P88" s="2473">
        <f>$E$39</f>
        <v>0</v>
      </c>
      <c r="Q88" s="2474"/>
      <c r="R88" s="38"/>
      <c r="S88" s="210">
        <f ca="1">S59</f>
        <v>2024</v>
      </c>
      <c r="T88" s="200">
        <f ca="1">S88+1</f>
        <v>2025</v>
      </c>
      <c r="U88" s="200">
        <f t="shared" ref="U88:BP88" ca="1" si="9">T88+1</f>
        <v>2026</v>
      </c>
      <c r="V88" s="200">
        <f t="shared" ca="1" si="9"/>
        <v>2027</v>
      </c>
      <c r="W88" s="200">
        <f t="shared" ca="1" si="9"/>
        <v>2028</v>
      </c>
      <c r="X88" s="200">
        <f t="shared" ca="1" si="9"/>
        <v>2029</v>
      </c>
      <c r="Y88" s="200">
        <f t="shared" ca="1" si="9"/>
        <v>2030</v>
      </c>
      <c r="Z88" s="200">
        <f t="shared" ca="1" si="9"/>
        <v>2031</v>
      </c>
      <c r="AA88" s="200">
        <f t="shared" ca="1" si="9"/>
        <v>2032</v>
      </c>
      <c r="AB88" s="200">
        <f t="shared" ca="1" si="9"/>
        <v>2033</v>
      </c>
      <c r="AC88" s="200">
        <f t="shared" ca="1" si="9"/>
        <v>2034</v>
      </c>
      <c r="AD88" s="200">
        <f t="shared" ca="1" si="9"/>
        <v>2035</v>
      </c>
      <c r="AE88" s="200">
        <f t="shared" ca="1" si="9"/>
        <v>2036</v>
      </c>
      <c r="AF88" s="200">
        <f t="shared" ca="1" si="9"/>
        <v>2037</v>
      </c>
      <c r="AG88" s="200">
        <f t="shared" ca="1" si="9"/>
        <v>2038</v>
      </c>
      <c r="AH88" s="200">
        <f t="shared" ca="1" si="9"/>
        <v>2039</v>
      </c>
      <c r="AI88" s="200">
        <f t="shared" ca="1" si="9"/>
        <v>2040</v>
      </c>
      <c r="AJ88" s="200">
        <f t="shared" ca="1" si="9"/>
        <v>2041</v>
      </c>
      <c r="AK88" s="200">
        <f t="shared" ca="1" si="9"/>
        <v>2042</v>
      </c>
      <c r="AL88" s="200">
        <f t="shared" ca="1" si="9"/>
        <v>2043</v>
      </c>
      <c r="AM88" s="200">
        <f t="shared" ca="1" si="9"/>
        <v>2044</v>
      </c>
      <c r="AN88" s="200">
        <f t="shared" ca="1" si="9"/>
        <v>2045</v>
      </c>
      <c r="AO88" s="200">
        <f t="shared" ca="1" si="9"/>
        <v>2046</v>
      </c>
      <c r="AP88" s="200">
        <f t="shared" ca="1" si="9"/>
        <v>2047</v>
      </c>
      <c r="AQ88" s="200">
        <f t="shared" ca="1" si="9"/>
        <v>2048</v>
      </c>
      <c r="AR88" s="200">
        <f t="shared" ca="1" si="9"/>
        <v>2049</v>
      </c>
      <c r="AS88" s="200">
        <f t="shared" ca="1" si="9"/>
        <v>2050</v>
      </c>
      <c r="AT88" s="200">
        <f t="shared" ca="1" si="9"/>
        <v>2051</v>
      </c>
      <c r="AU88" s="200">
        <f t="shared" ca="1" si="9"/>
        <v>2052</v>
      </c>
      <c r="AV88" s="200">
        <f t="shared" ca="1" si="9"/>
        <v>2053</v>
      </c>
      <c r="AW88" s="200">
        <f t="shared" ca="1" si="9"/>
        <v>2054</v>
      </c>
      <c r="AX88" s="200">
        <f t="shared" ca="1" si="9"/>
        <v>2055</v>
      </c>
      <c r="AY88" s="200">
        <f t="shared" ca="1" si="9"/>
        <v>2056</v>
      </c>
      <c r="AZ88" s="200">
        <f t="shared" ca="1" si="9"/>
        <v>2057</v>
      </c>
      <c r="BA88" s="200">
        <f t="shared" ca="1" si="9"/>
        <v>2058</v>
      </c>
      <c r="BB88" s="200">
        <f t="shared" ca="1" si="9"/>
        <v>2059</v>
      </c>
      <c r="BC88" s="200">
        <f t="shared" ca="1" si="9"/>
        <v>2060</v>
      </c>
      <c r="BD88" s="200">
        <f t="shared" ca="1" si="9"/>
        <v>2061</v>
      </c>
      <c r="BE88" s="200">
        <f t="shared" ca="1" si="9"/>
        <v>2062</v>
      </c>
      <c r="BF88" s="200">
        <f t="shared" ca="1" si="9"/>
        <v>2063</v>
      </c>
      <c r="BG88" s="200">
        <f t="shared" ca="1" si="9"/>
        <v>2064</v>
      </c>
      <c r="BH88" s="200">
        <f t="shared" ca="1" si="9"/>
        <v>2065</v>
      </c>
      <c r="BI88" s="200">
        <f t="shared" ca="1" si="9"/>
        <v>2066</v>
      </c>
      <c r="BJ88" s="200">
        <f t="shared" ca="1" si="9"/>
        <v>2067</v>
      </c>
      <c r="BK88" s="200">
        <f t="shared" ca="1" si="9"/>
        <v>2068</v>
      </c>
      <c r="BL88" s="200">
        <f t="shared" ca="1" si="9"/>
        <v>2069</v>
      </c>
      <c r="BM88" s="200">
        <f t="shared" ca="1" si="9"/>
        <v>2070</v>
      </c>
      <c r="BN88" s="200">
        <f t="shared" ca="1" si="9"/>
        <v>2071</v>
      </c>
      <c r="BO88" s="200">
        <f t="shared" ca="1" si="9"/>
        <v>2072</v>
      </c>
      <c r="BP88" s="200">
        <f t="shared" ca="1" si="9"/>
        <v>2073</v>
      </c>
      <c r="BQ88" s="205">
        <f ca="1">BP88+1</f>
        <v>2074</v>
      </c>
    </row>
    <row r="89" spans="1:69" s="36" customFormat="1" ht="12" customHeight="1" x14ac:dyDescent="0.2">
      <c r="A89" s="1019" t="s">
        <v>642</v>
      </c>
      <c r="B89" s="1020"/>
      <c r="C89" s="1020"/>
      <c r="D89" s="1021"/>
      <c r="E89" s="2340">
        <f>IF(ISBLANK(Grunddaten!$O$10),Grunddaten!$N$10,Grunddaten!$O$10)</f>
        <v>1E-8</v>
      </c>
      <c r="F89" s="2341"/>
      <c r="G89" s="2332">
        <f>$N39</f>
        <v>0</v>
      </c>
      <c r="H89" s="2332"/>
      <c r="I89" s="2495"/>
      <c r="J89" s="2502" t="s">
        <v>38</v>
      </c>
      <c r="K89" s="2503"/>
      <c r="L89" s="2331">
        <f ca="1">IF(P89=0,0,-ROUND(PMT($J$9,$E$83,$P89),-1))</f>
        <v>0</v>
      </c>
      <c r="M89" s="2332"/>
      <c r="N89" s="2333"/>
      <c r="O89" s="141"/>
      <c r="P89" s="2475">
        <f ca="1">ROUND(NPV($J$9,S89:OFFSET($S$89,0,$E$83-1)),-1)</f>
        <v>0</v>
      </c>
      <c r="Q89" s="2476"/>
      <c r="R89" s="38"/>
      <c r="S89" s="263">
        <f>G89</f>
        <v>0</v>
      </c>
      <c r="T89" s="264">
        <f ca="1">$S$89*(1+(T88-$S$88)*$E$89)</f>
        <v>0</v>
      </c>
      <c r="U89" s="264">
        <f t="shared" ref="U89:BQ89" ca="1" si="10">$S$89*(1+(U88-$S$88)*$E$89)</f>
        <v>0</v>
      </c>
      <c r="V89" s="264">
        <f t="shared" ca="1" si="10"/>
        <v>0</v>
      </c>
      <c r="W89" s="264">
        <f t="shared" ca="1" si="10"/>
        <v>0</v>
      </c>
      <c r="X89" s="264">
        <f t="shared" ca="1" si="10"/>
        <v>0</v>
      </c>
      <c r="Y89" s="264">
        <f t="shared" ca="1" si="10"/>
        <v>0</v>
      </c>
      <c r="Z89" s="264">
        <f t="shared" ca="1" si="10"/>
        <v>0</v>
      </c>
      <c r="AA89" s="264">
        <f t="shared" ca="1" si="10"/>
        <v>0</v>
      </c>
      <c r="AB89" s="264">
        <f t="shared" ca="1" si="10"/>
        <v>0</v>
      </c>
      <c r="AC89" s="264">
        <f t="shared" ca="1" si="10"/>
        <v>0</v>
      </c>
      <c r="AD89" s="264">
        <f t="shared" ca="1" si="10"/>
        <v>0</v>
      </c>
      <c r="AE89" s="264">
        <f t="shared" ca="1" si="10"/>
        <v>0</v>
      </c>
      <c r="AF89" s="264">
        <f t="shared" ca="1" si="10"/>
        <v>0</v>
      </c>
      <c r="AG89" s="264">
        <f t="shared" ca="1" si="10"/>
        <v>0</v>
      </c>
      <c r="AH89" s="264">
        <f t="shared" ca="1" si="10"/>
        <v>0</v>
      </c>
      <c r="AI89" s="264">
        <f t="shared" ca="1" si="10"/>
        <v>0</v>
      </c>
      <c r="AJ89" s="264">
        <f t="shared" ca="1" si="10"/>
        <v>0</v>
      </c>
      <c r="AK89" s="264">
        <f t="shared" ca="1" si="10"/>
        <v>0</v>
      </c>
      <c r="AL89" s="264">
        <f t="shared" ca="1" si="10"/>
        <v>0</v>
      </c>
      <c r="AM89" s="264">
        <f t="shared" ca="1" si="10"/>
        <v>0</v>
      </c>
      <c r="AN89" s="264">
        <f t="shared" ca="1" si="10"/>
        <v>0</v>
      </c>
      <c r="AO89" s="264">
        <f t="shared" ca="1" si="10"/>
        <v>0</v>
      </c>
      <c r="AP89" s="264">
        <f t="shared" ca="1" si="10"/>
        <v>0</v>
      </c>
      <c r="AQ89" s="264">
        <f t="shared" ca="1" si="10"/>
        <v>0</v>
      </c>
      <c r="AR89" s="264">
        <f t="shared" ca="1" si="10"/>
        <v>0</v>
      </c>
      <c r="AS89" s="264">
        <f t="shared" ca="1" si="10"/>
        <v>0</v>
      </c>
      <c r="AT89" s="264">
        <f t="shared" ca="1" si="10"/>
        <v>0</v>
      </c>
      <c r="AU89" s="264">
        <f t="shared" ca="1" si="10"/>
        <v>0</v>
      </c>
      <c r="AV89" s="264">
        <f t="shared" ca="1" si="10"/>
        <v>0</v>
      </c>
      <c r="AW89" s="264">
        <f t="shared" ca="1" si="10"/>
        <v>0</v>
      </c>
      <c r="AX89" s="264">
        <f t="shared" ca="1" si="10"/>
        <v>0</v>
      </c>
      <c r="AY89" s="264">
        <f t="shared" ca="1" si="10"/>
        <v>0</v>
      </c>
      <c r="AZ89" s="264">
        <f t="shared" ca="1" si="10"/>
        <v>0</v>
      </c>
      <c r="BA89" s="264">
        <f t="shared" ca="1" si="10"/>
        <v>0</v>
      </c>
      <c r="BB89" s="264">
        <f t="shared" ca="1" si="10"/>
        <v>0</v>
      </c>
      <c r="BC89" s="264">
        <f t="shared" ca="1" si="10"/>
        <v>0</v>
      </c>
      <c r="BD89" s="264">
        <f t="shared" ca="1" si="10"/>
        <v>0</v>
      </c>
      <c r="BE89" s="264">
        <f t="shared" ca="1" si="10"/>
        <v>0</v>
      </c>
      <c r="BF89" s="264">
        <f t="shared" ca="1" si="10"/>
        <v>0</v>
      </c>
      <c r="BG89" s="264">
        <f t="shared" ca="1" si="10"/>
        <v>0</v>
      </c>
      <c r="BH89" s="264">
        <f t="shared" ca="1" si="10"/>
        <v>0</v>
      </c>
      <c r="BI89" s="264">
        <f t="shared" ca="1" si="10"/>
        <v>0</v>
      </c>
      <c r="BJ89" s="264">
        <f t="shared" ca="1" si="10"/>
        <v>0</v>
      </c>
      <c r="BK89" s="264">
        <f t="shared" ca="1" si="10"/>
        <v>0</v>
      </c>
      <c r="BL89" s="264">
        <f t="shared" ca="1" si="10"/>
        <v>0</v>
      </c>
      <c r="BM89" s="264">
        <f t="shared" ca="1" si="10"/>
        <v>0</v>
      </c>
      <c r="BN89" s="264">
        <f t="shared" ca="1" si="10"/>
        <v>0</v>
      </c>
      <c r="BO89" s="264">
        <f t="shared" ca="1" si="10"/>
        <v>0</v>
      </c>
      <c r="BP89" s="264">
        <f t="shared" ca="1" si="10"/>
        <v>0</v>
      </c>
      <c r="BQ89" s="694">
        <f t="shared" ca="1" si="10"/>
        <v>0</v>
      </c>
    </row>
    <row r="90" spans="1:69" s="36" customFormat="1" ht="12" customHeight="1" x14ac:dyDescent="0.2">
      <c r="A90" s="1019" t="s">
        <v>30</v>
      </c>
      <c r="B90" s="1020"/>
      <c r="C90" s="1020"/>
      <c r="D90" s="1021"/>
      <c r="E90" s="2340"/>
      <c r="F90" s="2341"/>
      <c r="G90" s="2332"/>
      <c r="H90" s="2332"/>
      <c r="I90" s="2495"/>
      <c r="J90" s="2504"/>
      <c r="K90" s="2505"/>
      <c r="L90" s="2331"/>
      <c r="M90" s="2332"/>
      <c r="N90" s="2333"/>
      <c r="O90" s="141"/>
      <c r="P90" s="2791"/>
      <c r="Q90" s="2792"/>
      <c r="R90" s="299"/>
      <c r="S90" s="265"/>
      <c r="T90" s="265"/>
      <c r="U90" s="265"/>
      <c r="V90" s="265"/>
      <c r="W90" s="265"/>
      <c r="X90" s="265"/>
      <c r="Y90" s="265"/>
      <c r="Z90" s="265"/>
      <c r="AA90" s="193"/>
      <c r="AB90" s="227"/>
      <c r="AC90" s="227"/>
      <c r="AD90" s="227"/>
      <c r="AE90" s="227"/>
      <c r="AF90" s="227"/>
      <c r="AG90" s="228"/>
      <c r="AH90" s="228"/>
      <c r="AI90" s="228"/>
      <c r="AJ90" s="226"/>
      <c r="AK90" s="226"/>
      <c r="AL90" s="226"/>
      <c r="AM90" s="226"/>
      <c r="AN90" s="226"/>
      <c r="AO90" s="226"/>
      <c r="AP90" s="226"/>
      <c r="AQ90" s="226"/>
      <c r="AR90" s="226"/>
      <c r="AS90" s="226"/>
      <c r="AT90" s="226"/>
      <c r="AU90" s="226"/>
      <c r="AV90" s="226"/>
      <c r="AW90" s="226"/>
      <c r="AX90" s="226"/>
      <c r="AY90" s="226"/>
      <c r="AZ90" s="226"/>
      <c r="BA90" s="226"/>
      <c r="BB90" s="226"/>
      <c r="BC90" s="226"/>
      <c r="BD90" s="226"/>
      <c r="BE90" s="226"/>
      <c r="BF90" s="226"/>
      <c r="BG90" s="226"/>
      <c r="BH90" s="226"/>
      <c r="BI90" s="226"/>
      <c r="BJ90" s="226"/>
      <c r="BK90" s="226"/>
      <c r="BL90" s="226"/>
      <c r="BM90" s="226"/>
      <c r="BN90" s="226"/>
      <c r="BO90" s="226"/>
      <c r="BP90" s="226"/>
    </row>
    <row r="91" spans="1:69" s="36" customFormat="1" ht="11.25" customHeight="1" x14ac:dyDescent="0.2">
      <c r="A91" s="1022" t="str">
        <f t="shared" ref="A91:A100" si="11">A62</f>
        <v>Elektrizität, Hochtarif</v>
      </c>
      <c r="B91" s="1023"/>
      <c r="C91" s="1023"/>
      <c r="D91" s="1024"/>
      <c r="E91" s="2447">
        <f ca="1">IF(G91=0,0,OFFSET(Grunddaten!$AH$17,El_Produkt,0))/100</f>
        <v>0</v>
      </c>
      <c r="F91" s="2448"/>
      <c r="G91" s="2445">
        <f t="shared" ref="G91:G107" ca="1" si="12">L62-J91</f>
        <v>0</v>
      </c>
      <c r="H91" s="2445"/>
      <c r="I91" s="2446"/>
      <c r="J91" s="2500">
        <f ca="1">$R$109*OFFSET(Grunddaten!$Q$17,El_Produkt,0)/100*G62</f>
        <v>0</v>
      </c>
      <c r="K91" s="2501"/>
      <c r="L91" s="2319">
        <f t="shared" ref="L91:L107" ca="1" si="13">IF(P91=0,0,-ROUND(PMT($J$9,$E$83,$P91),-1))</f>
        <v>0</v>
      </c>
      <c r="M91" s="2320"/>
      <c r="N91" s="2321"/>
      <c r="O91" s="143"/>
      <c r="P91" s="2416">
        <f ca="1">ROUND(NPV($J$9,S62:OFFSET(S62,0,$E$83-1)),-1)</f>
        <v>0</v>
      </c>
      <c r="Q91" s="2417"/>
      <c r="R91" s="297"/>
      <c r="S91" s="122"/>
      <c r="T91" s="122"/>
      <c r="U91" s="122"/>
      <c r="V91" s="122"/>
      <c r="AE91" s="176"/>
      <c r="AF91" s="176"/>
      <c r="AG91" s="176"/>
      <c r="AH91" s="176"/>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c r="BP91" s="176"/>
    </row>
    <row r="92" spans="1:69" s="36" customFormat="1" ht="11.25" customHeight="1" x14ac:dyDescent="0.2">
      <c r="A92" s="1022" t="str">
        <f t="shared" si="11"/>
        <v>Elektrizität, Niedertarif</v>
      </c>
      <c r="B92" s="1023"/>
      <c r="C92" s="1023"/>
      <c r="D92" s="1024"/>
      <c r="E92" s="2447">
        <f ca="1">IF(G92=0,0,OFFSET(Grunddaten!$AH$17,El_Produkt,0))/100</f>
        <v>0</v>
      </c>
      <c r="F92" s="2448"/>
      <c r="G92" s="2445">
        <f t="shared" ca="1" si="12"/>
        <v>0</v>
      </c>
      <c r="H92" s="2445"/>
      <c r="I92" s="2446"/>
      <c r="J92" s="2500">
        <f ca="1">$R$109*OFFSET(Grunddaten!$Q$17,El_Produkt,0)/100*G63</f>
        <v>0</v>
      </c>
      <c r="K92" s="2501"/>
      <c r="L92" s="2319">
        <f t="shared" ca="1" si="13"/>
        <v>0</v>
      </c>
      <c r="M92" s="2320"/>
      <c r="N92" s="2321"/>
      <c r="O92" s="143"/>
      <c r="P92" s="2452">
        <f ca="1">ROUND(NPV($J$9,S63:OFFSET(S63,0,$E$83-1)),-1)</f>
        <v>0</v>
      </c>
      <c r="Q92" s="2453"/>
      <c r="R92" s="297"/>
      <c r="S92" s="122"/>
      <c r="T92" s="122"/>
      <c r="U92" s="122"/>
      <c r="V92" s="122"/>
      <c r="AE92" s="133"/>
      <c r="AF92" s="133"/>
      <c r="AG92" s="222"/>
      <c r="AH92" s="222"/>
      <c r="AI92" s="222"/>
      <c r="AJ92" s="176"/>
      <c r="AK92" s="176"/>
      <c r="AL92" s="176"/>
      <c r="AM92" s="176"/>
      <c r="AN92" s="176"/>
      <c r="AO92" s="176"/>
      <c r="AP92" s="176"/>
      <c r="AQ92" s="176"/>
      <c r="AR92" s="176"/>
      <c r="AS92" s="176"/>
      <c r="AT92" s="176"/>
      <c r="AU92" s="176"/>
      <c r="AV92" s="176"/>
      <c r="AW92" s="176"/>
      <c r="AX92" s="176"/>
      <c r="AY92" s="176"/>
      <c r="AZ92" s="176"/>
      <c r="BA92" s="176"/>
      <c r="BB92" s="176"/>
      <c r="BC92" s="176"/>
      <c r="BD92" s="176"/>
      <c r="BE92" s="176"/>
      <c r="BF92" s="176"/>
      <c r="BG92" s="176"/>
      <c r="BH92" s="176"/>
      <c r="BI92" s="176"/>
      <c r="BJ92" s="176"/>
      <c r="BK92" s="176"/>
      <c r="BL92" s="176"/>
      <c r="BM92" s="176"/>
      <c r="BN92" s="176"/>
      <c r="BO92" s="176"/>
      <c r="BP92" s="176"/>
    </row>
    <row r="93" spans="1:69" s="36" customFormat="1" ht="11.25" customHeight="1" x14ac:dyDescent="0.2">
      <c r="A93" s="1025" t="str">
        <f t="shared" si="11"/>
        <v>Elektrizität Wärmepumpen, HT</v>
      </c>
      <c r="B93" s="1026"/>
      <c r="C93" s="1026"/>
      <c r="D93" s="1027"/>
      <c r="E93" s="2346">
        <f ca="1">IF(G93=0,0,OFFSET(Grunddaten!$AH$17,El_Produkt,0))/100</f>
        <v>0</v>
      </c>
      <c r="F93" s="2347"/>
      <c r="G93" s="2419">
        <f t="shared" ca="1" si="12"/>
        <v>0</v>
      </c>
      <c r="H93" s="2419"/>
      <c r="I93" s="2420"/>
      <c r="J93" s="2438">
        <f ca="1">$R$109*OFFSET(Grunddaten!$Q$17,El_Produkt,0)/100*G64</f>
        <v>0</v>
      </c>
      <c r="K93" s="2439"/>
      <c r="L93" s="2334">
        <f t="shared" ca="1" si="13"/>
        <v>0</v>
      </c>
      <c r="M93" s="2335"/>
      <c r="N93" s="2336"/>
      <c r="O93" s="143"/>
      <c r="P93" s="2479">
        <f ca="1">ROUND(NPV($J$9,S64:OFFSET(S64,0,$E$83-1)),-1)</f>
        <v>0</v>
      </c>
      <c r="Q93" s="2480"/>
      <c r="R93" s="297"/>
      <c r="S93" s="122"/>
      <c r="T93" s="122"/>
      <c r="U93" s="122"/>
      <c r="V93" s="122"/>
      <c r="AE93" s="133"/>
      <c r="AF93" s="133"/>
      <c r="AG93" s="222"/>
      <c r="AH93" s="222"/>
      <c r="AI93" s="222"/>
      <c r="AJ93" s="176"/>
      <c r="AK93" s="176"/>
      <c r="AL93" s="176"/>
      <c r="AM93" s="176"/>
      <c r="AN93" s="176"/>
      <c r="AO93" s="176"/>
      <c r="AP93" s="176"/>
      <c r="AQ93" s="176"/>
      <c r="AR93" s="176"/>
      <c r="AS93" s="176"/>
      <c r="AT93" s="176"/>
      <c r="AU93" s="176"/>
      <c r="AV93" s="176"/>
      <c r="AW93" s="176"/>
      <c r="AX93" s="176"/>
      <c r="AY93" s="176"/>
      <c r="AZ93" s="176"/>
      <c r="BA93" s="176"/>
      <c r="BB93" s="176"/>
      <c r="BC93" s="176"/>
      <c r="BD93" s="176"/>
      <c r="BE93" s="176"/>
      <c r="BF93" s="176"/>
      <c r="BG93" s="176"/>
      <c r="BH93" s="176"/>
      <c r="BI93" s="176"/>
      <c r="BJ93" s="176"/>
      <c r="BK93" s="176"/>
      <c r="BL93" s="176"/>
      <c r="BM93" s="176"/>
      <c r="BN93" s="176"/>
      <c r="BO93" s="176"/>
      <c r="BP93" s="176"/>
    </row>
    <row r="94" spans="1:69" s="36" customFormat="1" ht="11.25" customHeight="1" x14ac:dyDescent="0.2">
      <c r="A94" s="1011" t="str">
        <f t="shared" si="11"/>
        <v>Elektrizität Wärmepumpen, NT</v>
      </c>
      <c r="B94" s="1253"/>
      <c r="C94" s="1253"/>
      <c r="D94" s="1028"/>
      <c r="E94" s="2421">
        <f ca="1">IF(G94=0,0,OFFSET(Grunddaten!$AH$17,El_Produkt,0))/100</f>
        <v>0</v>
      </c>
      <c r="F94" s="2422"/>
      <c r="G94" s="2344">
        <f t="shared" ca="1" si="12"/>
        <v>0</v>
      </c>
      <c r="H94" s="2344"/>
      <c r="I94" s="2345"/>
      <c r="J94" s="2434">
        <f ca="1">$R$109*OFFSET(Grunddaten!$Q$17,El_Produkt,0)/100*G65</f>
        <v>0</v>
      </c>
      <c r="K94" s="2435"/>
      <c r="L94" s="2424">
        <f t="shared" ca="1" si="13"/>
        <v>0</v>
      </c>
      <c r="M94" s="2425"/>
      <c r="N94" s="2426"/>
      <c r="O94" s="143"/>
      <c r="P94" s="2479">
        <f ca="1">ROUND(NPV($J$9,S65:OFFSET(S65,0,$E$83-1)),-1)</f>
        <v>0</v>
      </c>
      <c r="Q94" s="2480"/>
      <c r="R94" s="297"/>
      <c r="S94" s="122"/>
      <c r="T94" s="122"/>
      <c r="U94" s="122"/>
      <c r="V94" s="122"/>
      <c r="AE94" s="133"/>
      <c r="AF94" s="133"/>
      <c r="AG94" s="222"/>
      <c r="AH94" s="222"/>
      <c r="AI94" s="222"/>
      <c r="AJ94" s="176"/>
      <c r="AK94" s="176"/>
      <c r="AL94" s="176"/>
      <c r="AM94" s="176"/>
      <c r="AN94" s="176"/>
      <c r="AO94" s="176"/>
      <c r="AP94" s="176"/>
      <c r="AQ94" s="176"/>
      <c r="AR94" s="176"/>
      <c r="AS94" s="176"/>
      <c r="AT94" s="176"/>
      <c r="AU94" s="176"/>
      <c r="AV94" s="176"/>
      <c r="AW94" s="176"/>
      <c r="AX94" s="176"/>
      <c r="AY94" s="176"/>
      <c r="AZ94" s="176"/>
      <c r="BA94" s="176"/>
      <c r="BB94" s="176"/>
      <c r="BC94" s="176"/>
      <c r="BD94" s="176"/>
      <c r="BE94" s="176"/>
      <c r="BF94" s="176"/>
      <c r="BG94" s="176"/>
      <c r="BH94" s="176"/>
      <c r="BI94" s="176"/>
      <c r="BJ94" s="176"/>
      <c r="BK94" s="176"/>
      <c r="BL94" s="176"/>
      <c r="BM94" s="176"/>
      <c r="BN94" s="176"/>
      <c r="BO94" s="176"/>
      <c r="BP94" s="176"/>
    </row>
    <row r="95" spans="1:69" s="36" customFormat="1" ht="11.25" customHeight="1" x14ac:dyDescent="0.2">
      <c r="A95" s="1025" t="str">
        <f t="shared" si="11"/>
        <v>Netzrückspeisung erneuerbar, HT</v>
      </c>
      <c r="B95" s="1026"/>
      <c r="C95" s="1026"/>
      <c r="D95" s="1027"/>
      <c r="E95" s="2346">
        <f>IF(G95=0,0,Grunddaten!$AH41/100)</f>
        <v>0</v>
      </c>
      <c r="F95" s="2347"/>
      <c r="G95" s="2419">
        <f t="shared" si="12"/>
        <v>0</v>
      </c>
      <c r="H95" s="2419"/>
      <c r="I95" s="2420"/>
      <c r="J95" s="2438">
        <f>$R$109*Grunddaten!Q41/100*G66</f>
        <v>0</v>
      </c>
      <c r="K95" s="2439"/>
      <c r="L95" s="2334">
        <f t="shared" ca="1" si="13"/>
        <v>0</v>
      </c>
      <c r="M95" s="2335"/>
      <c r="N95" s="2336"/>
      <c r="O95" s="143"/>
      <c r="P95" s="2416">
        <f ca="1">ROUND(NPV($J$9,S66:OFFSET(S66,0,$E$83-1)),-1)</f>
        <v>0</v>
      </c>
      <c r="Q95" s="2417"/>
      <c r="R95" s="297"/>
      <c r="S95" s="122"/>
      <c r="T95" s="122"/>
      <c r="U95" s="122"/>
      <c r="V95" s="122"/>
      <c r="AE95" s="133"/>
      <c r="AF95" s="133"/>
      <c r="AG95" s="222"/>
      <c r="AH95" s="222"/>
      <c r="AI95" s="222"/>
      <c r="AJ95" s="176"/>
      <c r="AK95" s="176"/>
      <c r="AL95" s="176"/>
      <c r="AM95" s="176"/>
      <c r="AN95" s="176"/>
      <c r="AO95" s="176"/>
      <c r="AP95" s="176"/>
      <c r="AQ95" s="176"/>
      <c r="AR95" s="176"/>
      <c r="AS95" s="176"/>
      <c r="AT95" s="176"/>
      <c r="AU95" s="176"/>
      <c r="AV95" s="176"/>
      <c r="AW95" s="176"/>
      <c r="AX95" s="176"/>
      <c r="AY95" s="176"/>
      <c r="AZ95" s="176"/>
      <c r="BA95" s="176"/>
      <c r="BB95" s="176"/>
      <c r="BC95" s="176"/>
      <c r="BD95" s="176"/>
      <c r="BE95" s="176"/>
      <c r="BF95" s="176"/>
      <c r="BG95" s="176"/>
      <c r="BH95" s="176"/>
      <c r="BI95" s="176"/>
      <c r="BJ95" s="176"/>
      <c r="BK95" s="176"/>
      <c r="BL95" s="176"/>
      <c r="BM95" s="176"/>
      <c r="BN95" s="176"/>
      <c r="BO95" s="176"/>
      <c r="BP95" s="176"/>
    </row>
    <row r="96" spans="1:69" s="36" customFormat="1" ht="11.25" customHeight="1" x14ac:dyDescent="0.2">
      <c r="A96" s="1011" t="str">
        <f t="shared" si="11"/>
        <v>Netzrückspeisung erneuerbar, NT</v>
      </c>
      <c r="B96" s="1253"/>
      <c r="C96" s="1253"/>
      <c r="D96" s="1028"/>
      <c r="E96" s="2421">
        <f>IF(G96=0,0,Grunddaten!$AH42/100)</f>
        <v>0</v>
      </c>
      <c r="F96" s="2422"/>
      <c r="G96" s="2344">
        <f t="shared" si="12"/>
        <v>0</v>
      </c>
      <c r="H96" s="2344"/>
      <c r="I96" s="2345"/>
      <c r="J96" s="2434">
        <f>$R$109*Grunddaten!Q41/100*G67</f>
        <v>0</v>
      </c>
      <c r="K96" s="2435"/>
      <c r="L96" s="2424">
        <f t="shared" ca="1" si="13"/>
        <v>0</v>
      </c>
      <c r="M96" s="2425"/>
      <c r="N96" s="2426"/>
      <c r="O96" s="143"/>
      <c r="P96" s="2452">
        <f ca="1">ROUND(NPV($J$9,S67:OFFSET(S67,0,$E$83-1)),-1)</f>
        <v>0</v>
      </c>
      <c r="Q96" s="2453"/>
      <c r="R96" s="297"/>
      <c r="S96" s="122"/>
      <c r="T96" s="122"/>
      <c r="U96" s="122"/>
      <c r="V96" s="122"/>
      <c r="AE96" s="133"/>
      <c r="AF96" s="133"/>
      <c r="AG96" s="222"/>
      <c r="AH96" s="222"/>
      <c r="AI96" s="222"/>
      <c r="AJ96" s="176"/>
      <c r="AK96" s="176"/>
      <c r="AL96" s="176"/>
      <c r="AM96" s="176"/>
      <c r="AN96" s="176"/>
      <c r="AO96" s="176"/>
      <c r="AP96" s="176"/>
      <c r="AQ96" s="176"/>
      <c r="AR96" s="176"/>
      <c r="AS96" s="176"/>
      <c r="AT96" s="176"/>
      <c r="AU96" s="176"/>
      <c r="AV96" s="176"/>
      <c r="AW96" s="176"/>
      <c r="AX96" s="176"/>
      <c r="AY96" s="176"/>
      <c r="AZ96" s="176"/>
      <c r="BA96" s="176"/>
      <c r="BB96" s="176"/>
      <c r="BC96" s="176"/>
      <c r="BD96" s="176"/>
      <c r="BE96" s="176"/>
      <c r="BF96" s="176"/>
      <c r="BG96" s="176"/>
      <c r="BH96" s="176"/>
      <c r="BI96" s="176"/>
      <c r="BJ96" s="176"/>
      <c r="BK96" s="176"/>
      <c r="BL96" s="176"/>
      <c r="BM96" s="176"/>
      <c r="BN96" s="176"/>
      <c r="BO96" s="176"/>
      <c r="BP96" s="176"/>
    </row>
    <row r="97" spans="1:74" s="36" customFormat="1" ht="11.25" customHeight="1" x14ac:dyDescent="0.2">
      <c r="A97" s="1025" t="str">
        <f t="shared" si="11"/>
        <v>Netzrückspeisung nicht erneuerbar, HT</v>
      </c>
      <c r="B97" s="1026"/>
      <c r="C97" s="1026"/>
      <c r="D97" s="1027"/>
      <c r="E97" s="2346">
        <f>IF(G97=0,0,Grunddaten!$AH43/100)</f>
        <v>0</v>
      </c>
      <c r="F97" s="2347"/>
      <c r="G97" s="2419">
        <f t="shared" si="12"/>
        <v>0</v>
      </c>
      <c r="H97" s="2419"/>
      <c r="I97" s="2420"/>
      <c r="J97" s="2438">
        <f>$R$109*Grunddaten!Q43/100*G68</f>
        <v>0</v>
      </c>
      <c r="K97" s="2439"/>
      <c r="L97" s="2334">
        <f t="shared" ca="1" si="13"/>
        <v>0</v>
      </c>
      <c r="M97" s="2335"/>
      <c r="N97" s="2336"/>
      <c r="O97" s="143"/>
      <c r="P97" s="2479">
        <f ca="1">ROUND(NPV($J$9,S68:OFFSET(S68,0,$E$83-1)),-1)</f>
        <v>0</v>
      </c>
      <c r="Q97" s="2480"/>
      <c r="R97" s="297"/>
      <c r="S97" s="618"/>
      <c r="T97" s="618"/>
      <c r="U97" s="618"/>
      <c r="V97" s="618"/>
      <c r="AE97" s="133"/>
      <c r="AF97" s="133"/>
      <c r="AG97" s="222"/>
      <c r="AH97" s="222"/>
      <c r="AI97" s="222"/>
      <c r="AJ97" s="176"/>
      <c r="AK97" s="176"/>
      <c r="AL97" s="176"/>
      <c r="AM97" s="176"/>
      <c r="AN97" s="176"/>
      <c r="AO97" s="176"/>
      <c r="AP97" s="176"/>
      <c r="AQ97" s="176"/>
      <c r="AR97" s="176"/>
      <c r="AS97" s="176"/>
      <c r="AT97" s="176"/>
      <c r="AU97" s="176"/>
      <c r="AV97" s="176"/>
      <c r="AW97" s="176"/>
      <c r="AX97" s="176"/>
      <c r="AY97" s="176"/>
      <c r="AZ97" s="176"/>
      <c r="BA97" s="176"/>
      <c r="BB97" s="176"/>
      <c r="BC97" s="176"/>
      <c r="BD97" s="176"/>
      <c r="BE97" s="176"/>
      <c r="BF97" s="176"/>
      <c r="BG97" s="176"/>
      <c r="BH97" s="176"/>
      <c r="BI97" s="176"/>
      <c r="BJ97" s="176"/>
      <c r="BK97" s="176"/>
      <c r="BL97" s="176"/>
      <c r="BM97" s="176"/>
      <c r="BN97" s="176"/>
      <c r="BO97" s="176"/>
      <c r="BP97" s="176"/>
    </row>
    <row r="98" spans="1:74" s="36" customFormat="1" ht="11.25" customHeight="1" x14ac:dyDescent="0.2">
      <c r="A98" s="1011" t="str">
        <f t="shared" si="11"/>
        <v>Netzrückspeisung nicht erneuerbar, NT</v>
      </c>
      <c r="B98" s="1253"/>
      <c r="C98" s="1253"/>
      <c r="D98" s="1028"/>
      <c r="E98" s="2421">
        <f>IF(G98=0,0,Grunddaten!$AH44/100)</f>
        <v>0</v>
      </c>
      <c r="F98" s="2422"/>
      <c r="G98" s="2344">
        <f t="shared" si="12"/>
        <v>0</v>
      </c>
      <c r="H98" s="2344"/>
      <c r="I98" s="2345"/>
      <c r="J98" s="2434">
        <f>$R$109*Grunddaten!Q43/100*G69</f>
        <v>0</v>
      </c>
      <c r="K98" s="2435"/>
      <c r="L98" s="2424">
        <f t="shared" ca="1" si="13"/>
        <v>0</v>
      </c>
      <c r="M98" s="2425"/>
      <c r="N98" s="2426"/>
      <c r="O98" s="143"/>
      <c r="P98" s="2479">
        <f ca="1">ROUND(NPV($J$9,S69:OFFSET(S69,0,$E$83-1)),-1)</f>
        <v>0</v>
      </c>
      <c r="Q98" s="2480"/>
      <c r="R98" s="297"/>
      <c r="S98" s="618"/>
      <c r="T98" s="618"/>
      <c r="U98" s="618"/>
      <c r="V98" s="618"/>
      <c r="AE98" s="133"/>
      <c r="AF98" s="133"/>
      <c r="AG98" s="222"/>
      <c r="AH98" s="222"/>
      <c r="AI98" s="222"/>
      <c r="AJ98" s="176"/>
      <c r="AK98" s="176"/>
      <c r="AL98" s="176"/>
      <c r="AM98" s="176"/>
      <c r="AN98" s="176"/>
      <c r="AO98" s="176"/>
      <c r="AP98" s="176"/>
      <c r="AQ98" s="176"/>
      <c r="AR98" s="176"/>
      <c r="AS98" s="176"/>
      <c r="AT98" s="176"/>
      <c r="AU98" s="176"/>
      <c r="AV98" s="176"/>
      <c r="AW98" s="176"/>
      <c r="AX98" s="176"/>
      <c r="AY98" s="176"/>
      <c r="AZ98" s="176"/>
      <c r="BA98" s="176"/>
      <c r="BB98" s="176"/>
      <c r="BC98" s="176"/>
      <c r="BD98" s="176"/>
      <c r="BE98" s="176"/>
      <c r="BF98" s="176"/>
      <c r="BG98" s="176"/>
      <c r="BH98" s="176"/>
      <c r="BI98" s="176"/>
      <c r="BJ98" s="176"/>
      <c r="BK98" s="176"/>
      <c r="BL98" s="176"/>
      <c r="BM98" s="176"/>
      <c r="BN98" s="176"/>
      <c r="BO98" s="176"/>
      <c r="BP98" s="176"/>
    </row>
    <row r="99" spans="1:74" s="36" customFormat="1" ht="11.25" customHeight="1" x14ac:dyDescent="0.2">
      <c r="A99" s="1029" t="str">
        <f t="shared" si="11"/>
        <v>Holzpellets</v>
      </c>
      <c r="B99" s="1030"/>
      <c r="C99" s="1030"/>
      <c r="D99" s="1021"/>
      <c r="E99" s="2340">
        <f ca="1">IF(G99=0,0,Grunddaten!$AH45/100)</f>
        <v>0</v>
      </c>
      <c r="F99" s="2341"/>
      <c r="G99" s="2350">
        <f t="shared" ca="1" si="12"/>
        <v>0</v>
      </c>
      <c r="H99" s="2350"/>
      <c r="I99" s="2351"/>
      <c r="J99" s="2436">
        <f ca="1">$R$109*Grunddaten!Q45/100*G70</f>
        <v>0</v>
      </c>
      <c r="K99" s="2437"/>
      <c r="L99" s="2449">
        <f t="shared" ca="1" si="13"/>
        <v>0</v>
      </c>
      <c r="M99" s="2450"/>
      <c r="N99" s="2451"/>
      <c r="O99" s="143"/>
      <c r="P99" s="2412">
        <f ca="1">ROUND(NPV($J$9,S70:OFFSET(S70,0,$E$83-1)),-1)</f>
        <v>0</v>
      </c>
      <c r="Q99" s="2413"/>
      <c r="R99" s="297"/>
      <c r="S99" s="122"/>
      <c r="T99" s="122"/>
      <c r="U99" s="122"/>
      <c r="V99" s="122"/>
      <c r="AE99" s="133"/>
      <c r="AF99" s="133"/>
      <c r="AG99" s="222"/>
      <c r="AH99" s="222"/>
      <c r="AI99" s="222"/>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c r="BP99" s="176"/>
    </row>
    <row r="100" spans="1:74" s="36" customFormat="1" ht="11.25" customHeight="1" x14ac:dyDescent="0.2">
      <c r="A100" s="1029" t="str">
        <f t="shared" si="11"/>
        <v>Holzschnitzel</v>
      </c>
      <c r="B100" s="1030"/>
      <c r="C100" s="1030"/>
      <c r="D100" s="1021"/>
      <c r="E100" s="2340">
        <f ca="1">IF(G100=0,0,Grunddaten!$AH46/100)</f>
        <v>0</v>
      </c>
      <c r="F100" s="2341"/>
      <c r="G100" s="2350">
        <f t="shared" ca="1" si="12"/>
        <v>0</v>
      </c>
      <c r="H100" s="2350"/>
      <c r="I100" s="2351"/>
      <c r="J100" s="2436">
        <f ca="1">$R$109*Grunddaten!Q46/100*G71</f>
        <v>0</v>
      </c>
      <c r="K100" s="2437"/>
      <c r="L100" s="2449">
        <f t="shared" ca="1" si="13"/>
        <v>0</v>
      </c>
      <c r="M100" s="2450"/>
      <c r="N100" s="2451"/>
      <c r="O100" s="143"/>
      <c r="P100" s="2412">
        <f ca="1">ROUND(NPV($J$9,S71:OFFSET(S71,0,$E$83-1)),-1)</f>
        <v>0</v>
      </c>
      <c r="Q100" s="2413"/>
      <c r="R100" s="297"/>
      <c r="S100" s="122"/>
      <c r="T100" s="122"/>
      <c r="U100" s="122"/>
      <c r="V100" s="122"/>
      <c r="AE100" s="133"/>
      <c r="AF100" s="133"/>
      <c r="AG100" s="222"/>
      <c r="AH100" s="222"/>
      <c r="AI100" s="222"/>
      <c r="AJ100" s="176"/>
      <c r="AK100" s="176"/>
      <c r="AL100" s="176"/>
      <c r="AM100" s="176"/>
      <c r="AN100" s="176"/>
      <c r="AO100" s="176"/>
      <c r="AP100" s="176"/>
      <c r="AQ100" s="176"/>
      <c r="AR100" s="176"/>
      <c r="AS100" s="176"/>
      <c r="AT100" s="176"/>
      <c r="AU100" s="176"/>
      <c r="AV100" s="176"/>
      <c r="AW100" s="176"/>
      <c r="AX100" s="176"/>
      <c r="AY100" s="176"/>
      <c r="AZ100" s="176"/>
      <c r="BA100" s="176"/>
      <c r="BB100" s="176"/>
      <c r="BC100" s="176"/>
      <c r="BD100" s="176"/>
      <c r="BE100" s="176"/>
      <c r="BF100" s="176"/>
      <c r="BG100" s="176"/>
      <c r="BH100" s="176"/>
      <c r="BI100" s="176"/>
      <c r="BJ100" s="176"/>
      <c r="BK100" s="176"/>
      <c r="BL100" s="176"/>
      <c r="BM100" s="176"/>
      <c r="BN100" s="176"/>
      <c r="BO100" s="176"/>
      <c r="BP100" s="176"/>
    </row>
    <row r="101" spans="1:74" s="36" customFormat="1" ht="11.25" customHeight="1" x14ac:dyDescent="0.2">
      <c r="A101" s="1029" t="str">
        <f t="shared" ref="A101:A107" si="14">A72</f>
        <v>Biogas</v>
      </c>
      <c r="B101" s="1030" t="str">
        <f>B72</f>
        <v>Energie360°</v>
      </c>
      <c r="C101" s="1030"/>
      <c r="D101" s="1021"/>
      <c r="E101" s="2340">
        <f ca="1">IF(G101=0,0,VLOOKUP(Projektdaten!H24,Grunddaten!C47:AI48,32,FALSE)/100)</f>
        <v>0</v>
      </c>
      <c r="F101" s="2341"/>
      <c r="G101" s="2350">
        <f t="shared" ca="1" si="12"/>
        <v>0</v>
      </c>
      <c r="H101" s="2350"/>
      <c r="I101" s="2351"/>
      <c r="J101" s="2436">
        <f ca="1">$R$109*VLOOKUP(Projektdaten!H24,Grunddaten!C47:AI48,15,FALSE)/100*G72</f>
        <v>0</v>
      </c>
      <c r="K101" s="2437"/>
      <c r="L101" s="2449">
        <f t="shared" ca="1" si="13"/>
        <v>0</v>
      </c>
      <c r="M101" s="2450"/>
      <c r="N101" s="2451"/>
      <c r="O101" s="143"/>
      <c r="P101" s="2412">
        <f ca="1">ROUND(NPV($J$9,S72:OFFSET(S72,0,$E$83-1)),-1)</f>
        <v>0</v>
      </c>
      <c r="Q101" s="2413"/>
      <c r="R101" s="297"/>
      <c r="S101" s="122"/>
      <c r="T101" s="122"/>
      <c r="U101" s="122"/>
      <c r="V101" s="122"/>
      <c r="AE101" s="133"/>
      <c r="AF101" s="133"/>
      <c r="AG101" s="222"/>
      <c r="AH101" s="222"/>
      <c r="AI101" s="222"/>
      <c r="AJ101" s="176"/>
      <c r="AK101" s="176"/>
      <c r="AL101" s="176"/>
      <c r="AM101" s="176"/>
      <c r="AN101" s="176"/>
      <c r="AO101" s="176"/>
      <c r="AP101" s="176"/>
      <c r="AQ101" s="176"/>
      <c r="AR101" s="176"/>
      <c r="AS101" s="176"/>
      <c r="AT101" s="176"/>
      <c r="AU101" s="176"/>
      <c r="AV101" s="176"/>
      <c r="AW101" s="176"/>
      <c r="AX101" s="176"/>
      <c r="AY101" s="176"/>
      <c r="AZ101" s="176"/>
      <c r="BA101" s="176"/>
      <c r="BB101" s="176"/>
      <c r="BC101" s="176"/>
      <c r="BD101" s="176"/>
      <c r="BE101" s="176"/>
      <c r="BF101" s="176"/>
      <c r="BG101" s="176"/>
      <c r="BH101" s="176"/>
      <c r="BI101" s="176"/>
      <c r="BJ101" s="176"/>
      <c r="BK101" s="176"/>
      <c r="BL101" s="176"/>
      <c r="BM101" s="176"/>
      <c r="BN101" s="176"/>
      <c r="BO101" s="176"/>
      <c r="BP101" s="176"/>
    </row>
    <row r="102" spans="1:74" s="36" customFormat="1" ht="11.25" customHeight="1" x14ac:dyDescent="0.2">
      <c r="A102" s="1029" t="str">
        <f t="shared" si="14"/>
        <v>Erdgas</v>
      </c>
      <c r="B102" s="1030"/>
      <c r="C102" s="1030"/>
      <c r="D102" s="1021"/>
      <c r="E102" s="2340">
        <f ca="1">IF(G102=0,0,Grunddaten!$AH49/100)</f>
        <v>0</v>
      </c>
      <c r="F102" s="2341"/>
      <c r="G102" s="2350">
        <f t="shared" ca="1" si="12"/>
        <v>0</v>
      </c>
      <c r="H102" s="2350"/>
      <c r="I102" s="2351"/>
      <c r="J102" s="2436">
        <f ca="1">$R$109*Grunddaten!Q49/100*G73</f>
        <v>0</v>
      </c>
      <c r="K102" s="2437"/>
      <c r="L102" s="2449">
        <f t="shared" ca="1" si="13"/>
        <v>0</v>
      </c>
      <c r="M102" s="2450"/>
      <c r="N102" s="2451"/>
      <c r="O102" s="143"/>
      <c r="P102" s="2412">
        <f ca="1">ROUND(NPV($J$9,S73:OFFSET(S73,0,$E$83-1)),-1)</f>
        <v>0</v>
      </c>
      <c r="Q102" s="2413"/>
      <c r="R102" s="297"/>
      <c r="S102" s="122"/>
      <c r="T102" s="122"/>
      <c r="U102" s="122"/>
      <c r="V102" s="122"/>
      <c r="AE102" s="133"/>
      <c r="AF102" s="133"/>
      <c r="AG102" s="222"/>
      <c r="AH102" s="222"/>
      <c r="AI102" s="222"/>
      <c r="AJ102" s="176"/>
      <c r="AK102" s="176"/>
      <c r="AL102" s="176"/>
      <c r="AM102" s="176"/>
      <c r="AN102" s="176"/>
      <c r="AO102" s="176"/>
      <c r="AP102" s="176"/>
      <c r="AQ102" s="176"/>
      <c r="AR102" s="176"/>
      <c r="AS102" s="176"/>
      <c r="AT102" s="176"/>
      <c r="AU102" s="176"/>
      <c r="AV102" s="176"/>
      <c r="AW102" s="176"/>
      <c r="AX102" s="176"/>
      <c r="AY102" s="176"/>
      <c r="AZ102" s="176"/>
      <c r="BA102" s="176"/>
      <c r="BB102" s="176"/>
      <c r="BC102" s="176"/>
      <c r="BD102" s="176"/>
      <c r="BE102" s="176"/>
      <c r="BF102" s="176"/>
      <c r="BG102" s="176"/>
      <c r="BH102" s="176"/>
      <c r="BI102" s="176"/>
      <c r="BJ102" s="176"/>
      <c r="BK102" s="176"/>
      <c r="BL102" s="176"/>
      <c r="BM102" s="176"/>
      <c r="BN102" s="176"/>
      <c r="BO102" s="176"/>
      <c r="BP102" s="176"/>
    </row>
    <row r="103" spans="1:74" s="36" customFormat="1" ht="11.25" customHeight="1" x14ac:dyDescent="0.2">
      <c r="A103" s="1029" t="str">
        <f t="shared" si="14"/>
        <v>Heizöl EL</v>
      </c>
      <c r="B103" s="1030"/>
      <c r="C103" s="1030"/>
      <c r="D103" s="1021"/>
      <c r="E103" s="2340">
        <f ca="1">IF(G103=0,0,Grunddaten!$AH50/100)</f>
        <v>0</v>
      </c>
      <c r="F103" s="2341"/>
      <c r="G103" s="2350">
        <f t="shared" ca="1" si="12"/>
        <v>0</v>
      </c>
      <c r="H103" s="2350"/>
      <c r="I103" s="2351"/>
      <c r="J103" s="2436">
        <f ca="1">$R$109*Grunddaten!Q50/100*G74</f>
        <v>0</v>
      </c>
      <c r="K103" s="2437"/>
      <c r="L103" s="2449">
        <f t="shared" ca="1" si="13"/>
        <v>0</v>
      </c>
      <c r="M103" s="2450"/>
      <c r="N103" s="2451"/>
      <c r="O103" s="143"/>
      <c r="P103" s="2412">
        <f ca="1">ROUND(NPV($J$9,S74:OFFSET(S74,0,$E$83-1)),-1)</f>
        <v>0</v>
      </c>
      <c r="Q103" s="2413"/>
      <c r="R103" s="297"/>
      <c r="S103" s="122"/>
      <c r="T103" s="122"/>
      <c r="U103" s="122"/>
      <c r="V103" s="122"/>
      <c r="AE103" s="133"/>
      <c r="AF103" s="133"/>
      <c r="AG103" s="222"/>
      <c r="AH103" s="222"/>
      <c r="AI103" s="222"/>
      <c r="AJ103" s="176"/>
      <c r="AK103" s="176"/>
      <c r="AL103" s="176"/>
      <c r="AM103" s="176"/>
      <c r="AN103" s="176"/>
      <c r="AO103" s="176"/>
      <c r="AP103" s="176"/>
      <c r="AQ103" s="176"/>
      <c r="AR103" s="176"/>
      <c r="AS103" s="176"/>
      <c r="AT103" s="176"/>
      <c r="AU103" s="176"/>
      <c r="AV103" s="176"/>
      <c r="AW103" s="176"/>
      <c r="AX103" s="176"/>
      <c r="AY103" s="176"/>
      <c r="AZ103" s="176"/>
      <c r="BA103" s="176"/>
      <c r="BB103" s="176"/>
      <c r="BC103" s="176"/>
      <c r="BD103" s="176"/>
      <c r="BE103" s="176"/>
      <c r="BF103" s="176"/>
      <c r="BG103" s="176"/>
      <c r="BH103" s="176"/>
      <c r="BI103" s="176"/>
      <c r="BJ103" s="176"/>
      <c r="BK103" s="176"/>
      <c r="BL103" s="176"/>
      <c r="BM103" s="176"/>
      <c r="BN103" s="176"/>
      <c r="BO103" s="176"/>
      <c r="BP103" s="176"/>
    </row>
    <row r="104" spans="1:74" s="36" customFormat="1" ht="11.25" customHeight="1" x14ac:dyDescent="0.2">
      <c r="A104" s="1029" t="str">
        <f t="shared" si="14"/>
        <v>Brennstoff XY</v>
      </c>
      <c r="B104" s="1030"/>
      <c r="C104" s="1030"/>
      <c r="D104" s="1021"/>
      <c r="E104" s="2340">
        <f ca="1">IF(G104=0,0,Grunddaten!$AH51/100)</f>
        <v>0</v>
      </c>
      <c r="F104" s="2341"/>
      <c r="G104" s="2350">
        <f t="shared" ca="1" si="12"/>
        <v>0</v>
      </c>
      <c r="H104" s="2350"/>
      <c r="I104" s="2351"/>
      <c r="J104" s="2436">
        <f ca="1">$R$109*Grunddaten!Q51/100*G75</f>
        <v>0</v>
      </c>
      <c r="K104" s="2437"/>
      <c r="L104" s="2449">
        <f t="shared" ca="1" si="13"/>
        <v>0</v>
      </c>
      <c r="M104" s="2450"/>
      <c r="N104" s="2451"/>
      <c r="O104" s="143"/>
      <c r="P104" s="2412">
        <f ca="1">ROUND(NPV($J$9,S75:OFFSET(S75,0,$E$83-1)),-1)</f>
        <v>0</v>
      </c>
      <c r="Q104" s="2413"/>
      <c r="R104" s="297"/>
      <c r="S104" s="122"/>
      <c r="T104" s="122"/>
      <c r="U104" s="122"/>
      <c r="V104" s="122"/>
      <c r="AE104" s="133"/>
      <c r="AF104" s="133"/>
      <c r="AG104" s="222"/>
      <c r="AH104" s="222"/>
      <c r="AI104" s="222"/>
      <c r="AJ104" s="176"/>
      <c r="AK104" s="176"/>
      <c r="AL104" s="176"/>
      <c r="AM104" s="176"/>
      <c r="AN104" s="176"/>
      <c r="AO104" s="176"/>
      <c r="AP104" s="176"/>
      <c r="AQ104" s="176"/>
      <c r="AR104" s="176"/>
      <c r="AS104" s="176"/>
      <c r="AT104" s="176"/>
      <c r="AU104" s="176"/>
      <c r="AV104" s="176"/>
      <c r="AW104" s="176"/>
      <c r="AX104" s="176"/>
      <c r="AY104" s="176"/>
      <c r="AZ104" s="176"/>
      <c r="BA104" s="176"/>
      <c r="BB104" s="176"/>
      <c r="BC104" s="176"/>
      <c r="BD104" s="176"/>
      <c r="BE104" s="176"/>
      <c r="BF104" s="176"/>
      <c r="BG104" s="176"/>
      <c r="BH104" s="176"/>
      <c r="BI104" s="176"/>
      <c r="BJ104" s="176"/>
      <c r="BK104" s="176"/>
      <c r="BL104" s="176"/>
      <c r="BM104" s="176"/>
      <c r="BN104" s="176"/>
      <c r="BO104" s="176"/>
      <c r="BP104" s="176"/>
    </row>
    <row r="105" spans="1:74" s="36" customFormat="1" ht="11.25" customHeight="1" x14ac:dyDescent="0.2">
      <c r="A105" s="1029" t="str">
        <f t="shared" si="14"/>
        <v>Fernwärme</v>
      </c>
      <c r="B105" s="1030" t="str">
        <f>B76</f>
        <v>Stadt Zürich erz</v>
      </c>
      <c r="C105" s="1030"/>
      <c r="D105" s="1021"/>
      <c r="E105" s="2340">
        <f ca="1">IF(G105=0,0,OFFSET(Grunddaten!$AH$52,FW_Produkt,0))/100</f>
        <v>0</v>
      </c>
      <c r="F105" s="2341"/>
      <c r="G105" s="2350">
        <f t="shared" ca="1" si="12"/>
        <v>0</v>
      </c>
      <c r="H105" s="2350"/>
      <c r="I105" s="2351"/>
      <c r="J105" s="2436">
        <f ca="1">$R$109*OFFSET(Grunddaten!$Q$52,FW_Produkt,0)/100*G76</f>
        <v>0</v>
      </c>
      <c r="K105" s="2437"/>
      <c r="L105" s="2449">
        <f t="shared" ca="1" si="13"/>
        <v>0</v>
      </c>
      <c r="M105" s="2450"/>
      <c r="N105" s="2451"/>
      <c r="O105" s="143"/>
      <c r="P105" s="2412">
        <f ca="1">ROUND(NPV($J$9,S76:OFFSET(S76,0,$E$83-1)),-1)</f>
        <v>0</v>
      </c>
      <c r="Q105" s="2413"/>
      <c r="R105" s="297"/>
      <c r="S105" s="122"/>
      <c r="T105" s="122"/>
      <c r="U105" s="122"/>
      <c r="V105" s="122"/>
      <c r="AE105" s="133"/>
      <c r="AF105" s="133"/>
      <c r="AG105" s="222"/>
      <c r="AH105" s="222"/>
      <c r="AI105" s="222"/>
      <c r="AJ105" s="176"/>
      <c r="AK105" s="176"/>
      <c r="AL105" s="176"/>
      <c r="AM105" s="176"/>
      <c r="AN105" s="176"/>
      <c r="AO105" s="176"/>
      <c r="AP105" s="176"/>
      <c r="AQ105" s="176"/>
      <c r="AR105" s="176"/>
      <c r="AS105" s="176"/>
      <c r="AT105" s="176"/>
      <c r="AU105" s="176"/>
      <c r="AV105" s="176"/>
      <c r="AW105" s="176"/>
      <c r="AX105" s="176"/>
      <c r="AY105" s="176"/>
      <c r="AZ105" s="176"/>
      <c r="BA105" s="176"/>
      <c r="BB105" s="176"/>
      <c r="BC105" s="176"/>
      <c r="BD105" s="176"/>
      <c r="BE105" s="176"/>
      <c r="BF105" s="176"/>
      <c r="BG105" s="176"/>
      <c r="BH105" s="176"/>
      <c r="BI105" s="176"/>
      <c r="BJ105" s="176"/>
      <c r="BK105" s="176"/>
      <c r="BL105" s="176"/>
      <c r="BM105" s="176"/>
      <c r="BN105" s="176"/>
      <c r="BO105" s="176"/>
      <c r="BP105" s="176"/>
    </row>
    <row r="106" spans="1:74" s="36" customFormat="1" ht="11.25" customHeight="1" x14ac:dyDescent="0.2">
      <c r="A106" s="1029" t="str">
        <f t="shared" si="14"/>
        <v>Wärmeverbund XY</v>
      </c>
      <c r="B106" s="1030"/>
      <c r="C106" s="1030"/>
      <c r="D106" s="1021"/>
      <c r="E106" s="2340">
        <f ca="1">IF(G106=0,0,Grunddaten!$AH55/100)</f>
        <v>0</v>
      </c>
      <c r="F106" s="2341"/>
      <c r="G106" s="2350">
        <f t="shared" ca="1" si="12"/>
        <v>0</v>
      </c>
      <c r="H106" s="2350"/>
      <c r="I106" s="2351"/>
      <c r="J106" s="2436">
        <f ca="1">$R$109*Grunddaten!Q55/100*G77</f>
        <v>0</v>
      </c>
      <c r="K106" s="2437"/>
      <c r="L106" s="2449">
        <f t="shared" ca="1" si="13"/>
        <v>0</v>
      </c>
      <c r="M106" s="2450"/>
      <c r="N106" s="2451"/>
      <c r="O106" s="143"/>
      <c r="P106" s="2412">
        <f ca="1">ROUND(NPV($J$9,S77:OFFSET(S77,0,$E$83-1)),-1)</f>
        <v>0</v>
      </c>
      <c r="Q106" s="2413"/>
      <c r="R106" s="297"/>
      <c r="S106" s="582"/>
      <c r="T106" s="582"/>
      <c r="U106" s="582"/>
      <c r="V106" s="582"/>
      <c r="AE106" s="133"/>
      <c r="AF106" s="133"/>
      <c r="AG106" s="222"/>
      <c r="AH106" s="222"/>
      <c r="AI106" s="222"/>
      <c r="AJ106" s="176"/>
      <c r="AK106" s="176"/>
      <c r="AL106" s="176"/>
      <c r="AM106" s="176"/>
      <c r="AN106" s="176"/>
      <c r="AO106" s="176"/>
      <c r="AP106" s="176"/>
      <c r="AQ106" s="176"/>
      <c r="AR106" s="176"/>
      <c r="AS106" s="176"/>
      <c r="AT106" s="176"/>
      <c r="AU106" s="176"/>
      <c r="AV106" s="176"/>
      <c r="AW106" s="176"/>
      <c r="AX106" s="176"/>
      <c r="AY106" s="176"/>
      <c r="AZ106" s="176"/>
      <c r="BA106" s="176"/>
      <c r="BB106" s="176"/>
      <c r="BC106" s="176"/>
      <c r="BD106" s="176"/>
      <c r="BE106" s="176"/>
      <c r="BF106" s="176"/>
      <c r="BG106" s="176"/>
      <c r="BH106" s="176"/>
      <c r="BI106" s="176"/>
      <c r="BJ106" s="176"/>
      <c r="BK106" s="176"/>
      <c r="BL106" s="176"/>
      <c r="BM106" s="176"/>
      <c r="BN106" s="176"/>
      <c r="BO106" s="176"/>
      <c r="BP106" s="176"/>
    </row>
    <row r="107" spans="1:74" s="36" customFormat="1" ht="11.25" customHeight="1" x14ac:dyDescent="0.2">
      <c r="A107" s="1031" t="str">
        <f t="shared" si="14"/>
        <v>Kälteverbund XY</v>
      </c>
      <c r="B107" s="1254"/>
      <c r="C107" s="1254"/>
      <c r="D107" s="1033"/>
      <c r="E107" s="2506">
        <f ca="1">IF(G107=0,0,Grunddaten!$AH56/100)</f>
        <v>0</v>
      </c>
      <c r="F107" s="2507"/>
      <c r="G107" s="2508">
        <f t="shared" ca="1" si="12"/>
        <v>0</v>
      </c>
      <c r="H107" s="2508"/>
      <c r="I107" s="2509"/>
      <c r="J107" s="2510">
        <f ca="1">$R$109*Grunddaten!Q56/100*G78</f>
        <v>0</v>
      </c>
      <c r="K107" s="2511"/>
      <c r="L107" s="2431">
        <f t="shared" ca="1" si="13"/>
        <v>0</v>
      </c>
      <c r="M107" s="2432"/>
      <c r="N107" s="2433"/>
      <c r="O107" s="143"/>
      <c r="P107" s="2490">
        <f ca="1">ROUND(NPV($J$9,S78:OFFSET(S78,0,$E$83-1)),-1)</f>
        <v>0</v>
      </c>
      <c r="Q107" s="2491"/>
      <c r="R107" s="297"/>
      <c r="S107" s="693"/>
      <c r="T107" s="693"/>
      <c r="U107" s="693"/>
      <c r="V107" s="693"/>
      <c r="AE107" s="133"/>
      <c r="AF107" s="133"/>
      <c r="AG107" s="222"/>
      <c r="AH107" s="222"/>
      <c r="AI107" s="222"/>
      <c r="AJ107" s="176"/>
      <c r="AK107" s="176"/>
      <c r="AL107" s="176"/>
      <c r="AM107" s="176"/>
      <c r="AN107" s="176"/>
      <c r="AO107" s="176"/>
      <c r="AP107" s="176"/>
      <c r="AQ107" s="176"/>
      <c r="AR107" s="176"/>
      <c r="AS107" s="176"/>
      <c r="AT107" s="176"/>
      <c r="AU107" s="176"/>
      <c r="AV107" s="176"/>
      <c r="AW107" s="176"/>
      <c r="AX107" s="176"/>
      <c r="AY107" s="176"/>
      <c r="AZ107" s="176"/>
      <c r="BA107" s="176"/>
      <c r="BB107" s="176"/>
      <c r="BC107" s="176"/>
      <c r="BD107" s="176"/>
      <c r="BE107" s="176"/>
      <c r="BF107" s="176"/>
      <c r="BG107" s="176"/>
      <c r="BH107" s="176"/>
      <c r="BI107" s="176"/>
      <c r="BJ107" s="176"/>
      <c r="BK107" s="176"/>
      <c r="BL107" s="176"/>
      <c r="BM107" s="176"/>
      <c r="BN107" s="176"/>
      <c r="BO107" s="176"/>
      <c r="BP107" s="176"/>
    </row>
    <row r="108" spans="1:74" s="36" customFormat="1" ht="12" customHeight="1" x14ac:dyDescent="0.2">
      <c r="A108" s="1224" t="s">
        <v>37</v>
      </c>
      <c r="B108" s="1225"/>
      <c r="C108" s="1226"/>
      <c r="D108" s="1226"/>
      <c r="E108" s="1227"/>
      <c r="F108" s="1228"/>
      <c r="G108" s="2337">
        <f ca="1">ROUND(SUM(G91:G106),-1)</f>
        <v>0</v>
      </c>
      <c r="H108" s="2338"/>
      <c r="I108" s="2499"/>
      <c r="J108" s="2575" t="s">
        <v>38</v>
      </c>
      <c r="K108" s="2576"/>
      <c r="L108" s="2337">
        <f ca="1">ROUND(SUM(L91:N107),-1)</f>
        <v>0</v>
      </c>
      <c r="M108" s="2338"/>
      <c r="N108" s="2339"/>
      <c r="O108" s="142"/>
      <c r="S108" s="176"/>
      <c r="AE108" s="133"/>
      <c r="AF108" s="133"/>
      <c r="AG108" s="222"/>
      <c r="AH108" s="222"/>
      <c r="AI108" s="222"/>
      <c r="AJ108" s="176"/>
      <c r="AK108" s="176"/>
      <c r="AL108" s="176"/>
      <c r="AM108" s="176"/>
      <c r="AN108" s="176"/>
      <c r="AO108" s="176"/>
      <c r="AP108" s="176"/>
      <c r="AQ108" s="176"/>
      <c r="AR108" s="176"/>
      <c r="AS108" s="176"/>
      <c r="AT108" s="176"/>
      <c r="AU108" s="176"/>
      <c r="AV108" s="176"/>
      <c r="AW108" s="176"/>
      <c r="AX108" s="176"/>
      <c r="AY108" s="176"/>
      <c r="AZ108" s="176"/>
      <c r="BA108" s="176"/>
      <c r="BB108" s="176"/>
      <c r="BC108" s="176"/>
      <c r="BD108" s="176"/>
      <c r="BE108" s="176"/>
      <c r="BF108" s="176"/>
      <c r="BG108" s="176"/>
      <c r="BH108" s="176"/>
      <c r="BI108" s="176"/>
      <c r="BJ108" s="176"/>
      <c r="BK108" s="176"/>
      <c r="BL108" s="176"/>
      <c r="BM108" s="176"/>
      <c r="BN108" s="176"/>
      <c r="BO108" s="176"/>
      <c r="BP108" s="176"/>
    </row>
    <row r="109" spans="1:74" s="36" customFormat="1" ht="12" customHeight="1" x14ac:dyDescent="0.2">
      <c r="A109" s="1224" t="s">
        <v>648</v>
      </c>
      <c r="B109" s="1225"/>
      <c r="C109" s="2418" t="str">
        <f>IF($R$109=TRUE,"(berücksichtigt)","(nicht berücksichtigt)")</f>
        <v>(nicht berücksichtigt)</v>
      </c>
      <c r="D109" s="2418"/>
      <c r="E109" s="1228"/>
      <c r="F109" s="1228"/>
      <c r="G109" s="1229"/>
      <c r="H109" s="1229"/>
      <c r="I109" s="1230"/>
      <c r="J109" s="2456">
        <f ca="1">$R$109*ROUND(SUM(J91:J107),-1)</f>
        <v>0</v>
      </c>
      <c r="K109" s="2456"/>
      <c r="L109" s="2337">
        <f ca="1">J109</f>
        <v>0</v>
      </c>
      <c r="M109" s="2338"/>
      <c r="N109" s="2339"/>
      <c r="O109" s="142"/>
      <c r="P109" s="294" t="s">
        <v>422</v>
      </c>
      <c r="Q109" s="295"/>
      <c r="R109" s="296" t="b">
        <f>Grunddaten!$AH$10</f>
        <v>0</v>
      </c>
      <c r="S109" s="151" t="s">
        <v>423</v>
      </c>
      <c r="AE109" s="133"/>
      <c r="AF109" s="133"/>
      <c r="AG109" s="222"/>
      <c r="AH109" s="222"/>
      <c r="AI109" s="222"/>
      <c r="AJ109" s="176"/>
      <c r="AK109" s="176"/>
      <c r="AL109" s="176"/>
      <c r="AM109" s="176"/>
      <c r="AN109" s="176"/>
      <c r="AO109" s="176"/>
      <c r="AP109" s="176"/>
      <c r="AQ109" s="176"/>
      <c r="AR109" s="176"/>
      <c r="AS109" s="176"/>
      <c r="AT109" s="176"/>
      <c r="AU109" s="176"/>
      <c r="AV109" s="176"/>
      <c r="AW109" s="176"/>
      <c r="AX109" s="176"/>
      <c r="AY109" s="176"/>
      <c r="AZ109" s="176"/>
      <c r="BA109" s="176"/>
      <c r="BB109" s="176"/>
      <c r="BC109" s="176"/>
      <c r="BD109" s="176"/>
      <c r="BE109" s="176"/>
      <c r="BF109" s="176"/>
      <c r="BG109" s="176"/>
      <c r="BH109" s="176"/>
      <c r="BI109" s="176"/>
      <c r="BJ109" s="176"/>
      <c r="BK109" s="176"/>
      <c r="BL109" s="176"/>
      <c r="BM109" s="176"/>
      <c r="BN109" s="176"/>
      <c r="BO109" s="176"/>
      <c r="BP109" s="176"/>
    </row>
    <row r="110" spans="1:74" s="36" customFormat="1" ht="13.5" customHeight="1" x14ac:dyDescent="0.2">
      <c r="A110" s="1051" t="s">
        <v>36</v>
      </c>
      <c r="B110" s="1201"/>
      <c r="C110" s="1193"/>
      <c r="D110" s="1193"/>
      <c r="E110" s="1231"/>
      <c r="F110" s="1232"/>
      <c r="G110" s="2521">
        <f ca="1">G88+G89+G108+J109</f>
        <v>0</v>
      </c>
      <c r="H110" s="2522"/>
      <c r="I110" s="2522"/>
      <c r="J110" s="2522"/>
      <c r="K110" s="2522"/>
      <c r="L110" s="2337">
        <f ca="1">ROUND(SUM(L88+L89+L108+L109),-1)</f>
        <v>0</v>
      </c>
      <c r="M110" s="2338"/>
      <c r="N110" s="2339"/>
      <c r="O110" s="142"/>
      <c r="P110" s="139"/>
      <c r="R110" s="176"/>
      <c r="S110" s="176"/>
      <c r="AE110" s="133"/>
      <c r="AF110" s="133"/>
      <c r="AG110" s="222"/>
      <c r="AH110" s="222"/>
      <c r="AI110" s="222"/>
      <c r="AJ110" s="176"/>
      <c r="AK110" s="176"/>
      <c r="AL110" s="176"/>
      <c r="AM110" s="176"/>
      <c r="AN110" s="176"/>
      <c r="AO110" s="176"/>
      <c r="AP110" s="176"/>
      <c r="AQ110" s="176"/>
      <c r="AR110" s="176"/>
      <c r="AS110" s="176"/>
      <c r="AT110" s="176"/>
      <c r="AU110" s="176"/>
      <c r="AV110" s="176"/>
      <c r="AW110" s="176"/>
      <c r="AX110" s="176"/>
      <c r="AY110" s="176"/>
      <c r="AZ110" s="176"/>
      <c r="BA110" s="176"/>
      <c r="BB110" s="176"/>
      <c r="BC110" s="176"/>
      <c r="BD110" s="176"/>
      <c r="BE110" s="176"/>
      <c r="BF110" s="176"/>
      <c r="BG110" s="176"/>
      <c r="BH110" s="176"/>
      <c r="BI110" s="176"/>
      <c r="BJ110" s="176"/>
      <c r="BK110" s="176"/>
      <c r="BL110" s="176"/>
      <c r="BM110" s="176"/>
      <c r="BN110" s="176"/>
      <c r="BO110" s="176"/>
      <c r="BP110" s="176"/>
      <c r="BS110" s="122"/>
      <c r="BT110" s="122"/>
      <c r="BU110" s="122"/>
      <c r="BV110" s="122"/>
    </row>
    <row r="111" spans="1:74" s="80" customFormat="1" ht="6" customHeight="1" x14ac:dyDescent="0.2">
      <c r="A111" s="41" t="s">
        <v>11</v>
      </c>
      <c r="B111" s="41"/>
      <c r="C111" s="40"/>
      <c r="D111" s="40"/>
      <c r="E111" s="40"/>
      <c r="F111" s="40"/>
      <c r="G111" s="40"/>
      <c r="H111" s="79" t="s">
        <v>11</v>
      </c>
      <c r="I111" s="79"/>
      <c r="K111" s="81" t="s">
        <v>11</v>
      </c>
      <c r="L111" s="81"/>
      <c r="M111" s="81"/>
      <c r="N111" s="81"/>
      <c r="O111" s="81"/>
      <c r="P111" s="35"/>
      <c r="Q111" s="123"/>
      <c r="S111" s="229"/>
      <c r="T111" s="229"/>
      <c r="AD111" s="123"/>
      <c r="AE111" s="123"/>
      <c r="AF111" s="123"/>
      <c r="AG111" s="123"/>
      <c r="AH111" s="230"/>
      <c r="AI111" s="230"/>
      <c r="AJ111" s="230"/>
      <c r="AK111" s="229"/>
      <c r="AL111" s="229"/>
      <c r="AM111" s="229"/>
      <c r="AN111" s="229"/>
      <c r="AO111" s="229"/>
      <c r="AP111" s="229"/>
      <c r="AQ111" s="229"/>
      <c r="AR111" s="229"/>
      <c r="AS111" s="229"/>
      <c r="AT111" s="229"/>
      <c r="AU111" s="229"/>
      <c r="AV111" s="229"/>
      <c r="AW111" s="229"/>
      <c r="AX111" s="229"/>
      <c r="AY111" s="229"/>
      <c r="AZ111" s="229"/>
      <c r="BA111" s="229"/>
      <c r="BB111" s="229"/>
      <c r="BC111" s="229"/>
      <c r="BD111" s="229"/>
      <c r="BE111" s="229"/>
      <c r="BF111" s="229"/>
      <c r="BG111" s="229"/>
      <c r="BH111" s="229"/>
      <c r="BI111" s="229"/>
      <c r="BJ111" s="229"/>
      <c r="BK111" s="229"/>
      <c r="BL111" s="229"/>
      <c r="BM111" s="229"/>
      <c r="BN111" s="229"/>
      <c r="BO111" s="229"/>
      <c r="BP111" s="229"/>
      <c r="BQ111" s="229"/>
      <c r="BS111" s="122"/>
      <c r="BT111" s="122"/>
      <c r="BU111" s="122"/>
      <c r="BV111" s="122"/>
    </row>
    <row r="112" spans="1:74" s="33" customFormat="1" ht="17.25" customHeight="1" x14ac:dyDescent="0.25">
      <c r="A112" s="49" t="s">
        <v>416</v>
      </c>
      <c r="B112" s="49"/>
      <c r="D112" s="629"/>
      <c r="E112" s="629" t="str">
        <f>$D$88</f>
        <v>(Förderbeiträge berücksichtigen)</v>
      </c>
      <c r="F112" s="44"/>
      <c r="G112" s="44"/>
      <c r="H112" s="32"/>
      <c r="I112" s="32"/>
      <c r="J112" s="32"/>
      <c r="K112" s="43"/>
      <c r="L112" s="43"/>
      <c r="M112" s="43"/>
      <c r="N112" s="43"/>
      <c r="O112" s="43"/>
      <c r="P112" s="279" t="s">
        <v>412</v>
      </c>
      <c r="S112" s="175"/>
      <c r="T112" s="175"/>
      <c r="U112" s="175"/>
      <c r="V112" s="175"/>
      <c r="W112" s="175"/>
      <c r="X112" s="175"/>
      <c r="AB112" s="179"/>
      <c r="AC112" s="123"/>
      <c r="AD112" s="123"/>
      <c r="AE112" s="123"/>
      <c r="AF112" s="123"/>
      <c r="AG112" s="123"/>
      <c r="AH112" s="174"/>
      <c r="AI112" s="174"/>
      <c r="AJ112" s="174"/>
      <c r="AK112" s="175"/>
      <c r="AL112" s="175"/>
      <c r="AM112" s="175"/>
      <c r="AN112" s="175"/>
      <c r="AO112" s="175"/>
      <c r="AP112" s="175"/>
      <c r="AQ112" s="175"/>
      <c r="AR112" s="175"/>
      <c r="AS112" s="175"/>
      <c r="AT112" s="175"/>
      <c r="AU112" s="175"/>
      <c r="AV112" s="175"/>
      <c r="AW112" s="175"/>
      <c r="AX112" s="175"/>
      <c r="AY112" s="175"/>
      <c r="AZ112" s="175"/>
      <c r="BA112" s="175"/>
      <c r="BB112" s="175"/>
      <c r="BC112" s="175"/>
      <c r="BD112" s="175"/>
      <c r="BE112" s="175"/>
      <c r="BF112" s="175"/>
      <c r="BG112" s="175"/>
      <c r="BH112" s="175"/>
      <c r="BI112" s="175"/>
      <c r="BJ112" s="175"/>
      <c r="BK112" s="175"/>
      <c r="BL112" s="175"/>
      <c r="BM112" s="175"/>
      <c r="BN112" s="175"/>
      <c r="BO112" s="175"/>
      <c r="BP112" s="175"/>
      <c r="BQ112" s="175"/>
      <c r="BS112" s="122"/>
      <c r="BT112" s="122"/>
      <c r="BU112" s="122"/>
      <c r="BV112" s="122"/>
    </row>
    <row r="113" spans="1:74" s="33" customFormat="1" ht="2.25" customHeight="1" x14ac:dyDescent="0.2">
      <c r="A113" s="34"/>
      <c r="B113" s="34"/>
      <c r="C113" s="43"/>
      <c r="D113" s="43"/>
      <c r="E113" s="43"/>
      <c r="F113" s="43"/>
      <c r="G113" s="43"/>
      <c r="H113" s="34"/>
      <c r="I113" s="34"/>
      <c r="J113" s="34"/>
      <c r="K113" s="34"/>
      <c r="L113" s="34"/>
      <c r="M113" s="34"/>
      <c r="N113" s="34"/>
      <c r="O113" s="34"/>
      <c r="Q113" s="123"/>
      <c r="S113" s="175"/>
      <c r="T113" s="175"/>
      <c r="U113" s="175"/>
      <c r="V113" s="175"/>
      <c r="W113" s="175"/>
      <c r="X113" s="175"/>
      <c r="AB113" s="123"/>
      <c r="AC113" s="123"/>
      <c r="AD113" s="123"/>
      <c r="AE113" s="123"/>
      <c r="AF113" s="123"/>
      <c r="AG113" s="123"/>
      <c r="AH113" s="174"/>
      <c r="AI113" s="174"/>
      <c r="AJ113" s="174"/>
      <c r="AK113" s="175"/>
      <c r="AL113" s="175"/>
      <c r="AM113" s="175"/>
      <c r="AN113" s="175"/>
      <c r="AO113" s="175"/>
      <c r="AP113" s="175"/>
      <c r="AQ113" s="175"/>
      <c r="AR113" s="175"/>
      <c r="AS113" s="175"/>
      <c r="AT113" s="175"/>
      <c r="AU113" s="175"/>
      <c r="AV113" s="175"/>
      <c r="AW113" s="175"/>
      <c r="AX113" s="175"/>
      <c r="AY113" s="175"/>
      <c r="AZ113" s="175"/>
      <c r="BA113" s="175"/>
      <c r="BB113" s="175"/>
      <c r="BC113" s="175"/>
      <c r="BD113" s="175"/>
      <c r="BE113" s="175"/>
      <c r="BF113" s="175"/>
      <c r="BG113" s="175"/>
      <c r="BH113" s="175"/>
      <c r="BI113" s="175"/>
      <c r="BJ113" s="175"/>
      <c r="BK113" s="175"/>
      <c r="BL113" s="175"/>
      <c r="BM113" s="175"/>
      <c r="BN113" s="175"/>
      <c r="BO113" s="175"/>
      <c r="BP113" s="175"/>
      <c r="BQ113" s="175"/>
      <c r="BS113" s="122"/>
      <c r="BT113" s="122"/>
      <c r="BU113" s="122"/>
      <c r="BV113" s="122"/>
    </row>
    <row r="114" spans="1:74" s="33" customFormat="1" ht="12.95" customHeight="1" thickBot="1" x14ac:dyDescent="0.25">
      <c r="A114" s="1049"/>
      <c r="B114" s="1233"/>
      <c r="C114" s="2378" t="s">
        <v>418</v>
      </c>
      <c r="D114" s="2405"/>
      <c r="E114" s="2405"/>
      <c r="F114" s="2379"/>
      <c r="G114" s="2378" t="s">
        <v>581</v>
      </c>
      <c r="H114" s="2405"/>
      <c r="I114" s="2405"/>
      <c r="J114" s="2405"/>
      <c r="K114" s="2405"/>
      <c r="L114" s="2405"/>
      <c r="M114" s="2405"/>
      <c r="N114" s="2379"/>
      <c r="O114" s="122"/>
      <c r="P114" s="214" t="s">
        <v>413</v>
      </c>
      <c r="Q114" s="175"/>
      <c r="R114" s="175"/>
      <c r="S114" s="175"/>
      <c r="T114" s="175"/>
      <c r="U114" s="175"/>
      <c r="V114" s="175"/>
      <c r="W114" s="175"/>
      <c r="AA114" s="123"/>
      <c r="AB114" s="123"/>
      <c r="AC114" s="123"/>
      <c r="AD114" s="123"/>
      <c r="AE114" s="123"/>
      <c r="AF114" s="174"/>
      <c r="AG114" s="174"/>
      <c r="AH114" s="174"/>
      <c r="AI114" s="175"/>
      <c r="AJ114" s="175"/>
      <c r="AK114" s="175"/>
      <c r="AL114" s="175"/>
      <c r="AM114" s="175"/>
      <c r="AN114" s="175"/>
      <c r="AO114" s="175"/>
      <c r="AP114" s="175"/>
      <c r="AQ114" s="175"/>
      <c r="AR114" s="175"/>
      <c r="AS114" s="175"/>
      <c r="AT114" s="175"/>
      <c r="AU114" s="175"/>
      <c r="AV114" s="175"/>
      <c r="AW114" s="175"/>
      <c r="AX114" s="175"/>
      <c r="AY114" s="175"/>
      <c r="AZ114" s="175"/>
      <c r="BA114" s="175"/>
      <c r="BB114" s="175"/>
      <c r="BC114" s="175"/>
      <c r="BD114" s="175"/>
      <c r="BE114" s="175"/>
      <c r="BF114" s="175"/>
      <c r="BG114" s="175"/>
      <c r="BH114" s="175"/>
      <c r="BI114" s="175"/>
      <c r="BJ114" s="175"/>
      <c r="BK114" s="175"/>
      <c r="BL114" s="175"/>
      <c r="BM114" s="175"/>
      <c r="BN114" s="175"/>
      <c r="BO114" s="175"/>
      <c r="BS114" s="122"/>
      <c r="BT114" s="122"/>
      <c r="BU114" s="122"/>
      <c r="BV114" s="122"/>
    </row>
    <row r="115" spans="1:74" s="33" customFormat="1" ht="12.95" customHeight="1" thickBot="1" x14ac:dyDescent="0.25">
      <c r="A115" s="1050"/>
      <c r="B115" s="1234"/>
      <c r="C115" s="2512" t="s">
        <v>23</v>
      </c>
      <c r="D115" s="2429"/>
      <c r="E115" s="2429"/>
      <c r="F115" s="2430"/>
      <c r="G115" s="2512" t="s">
        <v>410</v>
      </c>
      <c r="H115" s="2429"/>
      <c r="I115" s="2429"/>
      <c r="J115" s="2459" t="s">
        <v>411</v>
      </c>
      <c r="K115" s="2460"/>
      <c r="L115" s="2429" t="s">
        <v>391</v>
      </c>
      <c r="M115" s="2429"/>
      <c r="N115" s="2430"/>
      <c r="O115" s="122"/>
      <c r="P115" s="278">
        <f>SUM(P116:P118)</f>
        <v>0</v>
      </c>
      <c r="Q115" s="276">
        <v>2</v>
      </c>
      <c r="R115" s="276">
        <v>3</v>
      </c>
      <c r="S115" s="276">
        <v>4</v>
      </c>
      <c r="T115" s="276">
        <v>5</v>
      </c>
      <c r="U115" s="276">
        <v>6</v>
      </c>
      <c r="V115" s="277">
        <v>7</v>
      </c>
      <c r="W115" s="175"/>
      <c r="AA115" s="123"/>
      <c r="AB115" s="123"/>
      <c r="AC115" s="123"/>
      <c r="AD115" s="123"/>
      <c r="AE115" s="123"/>
      <c r="AF115" s="174"/>
      <c r="AG115" s="174"/>
      <c r="AH115" s="174"/>
      <c r="AI115" s="175"/>
      <c r="AJ115" s="175"/>
      <c r="AK115" s="175"/>
      <c r="AL115" s="175"/>
      <c r="AM115" s="175"/>
      <c r="AN115" s="175"/>
      <c r="AO115" s="175"/>
      <c r="AP115" s="175"/>
      <c r="AQ115" s="175"/>
      <c r="AR115" s="175"/>
      <c r="AS115" s="175"/>
      <c r="AT115" s="175"/>
      <c r="AU115" s="175"/>
      <c r="AV115" s="175"/>
      <c r="AW115" s="175"/>
      <c r="AX115" s="175"/>
      <c r="AY115" s="175"/>
      <c r="AZ115" s="175"/>
      <c r="BA115" s="175"/>
      <c r="BB115" s="175"/>
      <c r="BC115" s="175"/>
      <c r="BD115" s="175"/>
      <c r="BE115" s="175"/>
      <c r="BF115" s="175"/>
      <c r="BG115" s="175"/>
      <c r="BH115" s="175"/>
      <c r="BI115" s="175"/>
      <c r="BJ115" s="175"/>
      <c r="BK115" s="175"/>
      <c r="BL115" s="175"/>
      <c r="BM115" s="175"/>
      <c r="BN115" s="175"/>
      <c r="BO115" s="175"/>
      <c r="BS115" s="122"/>
      <c r="BT115" s="122"/>
      <c r="BU115" s="122"/>
      <c r="BV115" s="122"/>
    </row>
    <row r="116" spans="1:74" s="33" customFormat="1" ht="12.75" customHeight="1" x14ac:dyDescent="0.2">
      <c r="A116" s="1034" t="s">
        <v>407</v>
      </c>
      <c r="B116" s="1035"/>
      <c r="C116" s="2527">
        <f>SUM(EV_Var4!$M$11:$M$40,EV_Var4!$M$44,EV_Var4!$M$48,EV_Var4!$M$59,EV_Var4!$R$59)</f>
        <v>0</v>
      </c>
      <c r="D116" s="2528"/>
      <c r="E116" s="2528"/>
      <c r="F116" s="2529"/>
      <c r="G116" s="2513" t="str">
        <f>IF(C116=0,"",IF(OR($P$115=0,NOT(ISBLANK(J116))),$L$119,HLOOKUP($P$115,$Q$115:$V$118,2,FALSE)))</f>
        <v/>
      </c>
      <c r="H116" s="2514"/>
      <c r="I116" s="2514"/>
      <c r="J116" s="2461"/>
      <c r="K116" s="2462"/>
      <c r="L116" s="2467" t="str">
        <f>IF(ISBLANK(J116),G116,J116)</f>
        <v/>
      </c>
      <c r="M116" s="2467"/>
      <c r="N116" s="2468"/>
      <c r="O116" s="122"/>
      <c r="P116" s="191">
        <f>IF(ISBLANK(J116),0,2)</f>
        <v>0</v>
      </c>
      <c r="Q116" s="274">
        <f>$J116*$C116/100</f>
        <v>0</v>
      </c>
      <c r="R116" s="267" t="e">
        <f ca="1">($L$110-SUM($J$91:$N$94)*$V$124-$R$117)/($C$116+$C$118)*100</f>
        <v>#DIV/0!</v>
      </c>
      <c r="S116" s="267" t="e">
        <f ca="1">($L$110-SUM($J$91:$N$94)*$V$124-$S$118)/($C$116+$C$117)*100</f>
        <v>#DIV/0!</v>
      </c>
      <c r="T116" s="275">
        <f>$J116*$C116/100</f>
        <v>0</v>
      </c>
      <c r="U116" s="272">
        <f>$J116*$C116/100</f>
        <v>0</v>
      </c>
      <c r="V116" s="268" t="e">
        <f ca="1">($L$110-SUM($J$91:$N$94)*$V$124-SUM($V$117,$V$118))/$C$116*100</f>
        <v>#DIV/0!</v>
      </c>
      <c r="W116" s="266"/>
      <c r="AA116" s="266"/>
      <c r="AB116" s="266"/>
      <c r="AC116" s="266"/>
      <c r="AD116" s="266"/>
      <c r="AE116" s="266"/>
      <c r="AF116" s="123"/>
      <c r="AG116" s="174"/>
      <c r="AH116" s="174"/>
      <c r="AI116" s="174"/>
      <c r="AJ116" s="175"/>
      <c r="AK116" s="175"/>
      <c r="AL116" s="175"/>
      <c r="AM116" s="175"/>
      <c r="AN116" s="175"/>
      <c r="AO116" s="175"/>
      <c r="AP116" s="175"/>
      <c r="AQ116" s="175"/>
      <c r="AR116" s="175"/>
      <c r="AS116" s="175"/>
      <c r="AT116" s="175"/>
      <c r="AU116" s="175"/>
      <c r="AV116" s="175"/>
      <c r="AW116" s="175"/>
      <c r="AX116" s="175"/>
      <c r="AY116" s="175"/>
      <c r="AZ116" s="175"/>
      <c r="BA116" s="175"/>
      <c r="BB116" s="175"/>
      <c r="BC116" s="175"/>
      <c r="BD116" s="175"/>
      <c r="BE116" s="175"/>
      <c r="BF116" s="175"/>
      <c r="BG116" s="175"/>
      <c r="BH116" s="175"/>
      <c r="BI116" s="175"/>
      <c r="BJ116" s="175"/>
      <c r="BK116" s="175"/>
      <c r="BL116" s="175"/>
      <c r="BM116" s="175"/>
      <c r="BN116" s="175"/>
      <c r="BO116" s="175"/>
      <c r="BP116" s="175"/>
      <c r="BS116" s="122"/>
      <c r="BT116" s="122"/>
      <c r="BU116" s="122"/>
      <c r="BV116" s="122"/>
    </row>
    <row r="117" spans="1:74" s="33" customFormat="1" ht="12.75" customHeight="1" x14ac:dyDescent="0.2">
      <c r="A117" s="1036" t="s">
        <v>408</v>
      </c>
      <c r="B117" s="1037"/>
      <c r="C117" s="2530">
        <f>SUM(EV_Var4!$M$42,EV_Var4!$M$46,EV_Var4!$M$50,EV_Var4!$M$53,EV_Var4!$M$56)</f>
        <v>0</v>
      </c>
      <c r="D117" s="2531"/>
      <c r="E117" s="2531"/>
      <c r="F117" s="2532"/>
      <c r="G117" s="2515" t="str">
        <f>IF(C117=0,"",IF(OR($P$115=0,NOT(ISBLANK(J117))),$L$119,HLOOKUP($P$115,$Q$115:$V$118,3,FALSE)))</f>
        <v/>
      </c>
      <c r="H117" s="2516"/>
      <c r="I117" s="2516"/>
      <c r="J117" s="2463"/>
      <c r="K117" s="2464"/>
      <c r="L117" s="2469" t="str">
        <f>IF(ISBLANK(J117),G117,J117)</f>
        <v/>
      </c>
      <c r="M117" s="2469"/>
      <c r="N117" s="2470"/>
      <c r="O117" s="122"/>
      <c r="P117" s="204">
        <f>IF(ISBLANK(J117),0,3)</f>
        <v>0</v>
      </c>
      <c r="Q117" s="273" t="e">
        <f ca="1">($L$110-SUM($J$91:$N$94)*$V$124-$Q$116)/($C$117+$C$118)*100</f>
        <v>#DIV/0!</v>
      </c>
      <c r="R117" s="269">
        <f>$J117*$C117/100</f>
        <v>0</v>
      </c>
      <c r="S117" s="267" t="e">
        <f ca="1">S116</f>
        <v>#DIV/0!</v>
      </c>
      <c r="T117" s="271">
        <f>$J117*$C117/100</f>
        <v>0</v>
      </c>
      <c r="U117" s="268" t="e">
        <f ca="1">($L$110-SUM($J$91:$N$94)*$V$124-SUM($U$116,$U$118))/$C$117*100</f>
        <v>#DIV/0!</v>
      </c>
      <c r="V117" s="270">
        <f>$J117*$C117/100</f>
        <v>0</v>
      </c>
      <c r="W117" s="266"/>
      <c r="X117" s="43"/>
      <c r="Y117" s="43"/>
      <c r="Z117" s="43"/>
      <c r="AA117" s="266"/>
      <c r="AB117" s="266"/>
      <c r="AC117" s="266"/>
      <c r="AD117" s="266"/>
      <c r="AE117" s="266"/>
      <c r="AF117" s="123"/>
      <c r="AG117" s="174"/>
      <c r="AH117" s="174"/>
      <c r="AI117" s="174"/>
      <c r="AJ117" s="175"/>
      <c r="AK117" s="175"/>
      <c r="AL117" s="175"/>
      <c r="AM117" s="175"/>
      <c r="AN117" s="175"/>
      <c r="AO117" s="175"/>
      <c r="AP117" s="175"/>
      <c r="AQ117" s="175"/>
      <c r="AR117" s="175"/>
      <c r="AS117" s="175"/>
      <c r="AT117" s="175"/>
      <c r="AU117" s="175"/>
      <c r="AV117" s="175"/>
      <c r="AW117" s="175"/>
      <c r="AX117" s="175"/>
      <c r="AY117" s="175"/>
      <c r="AZ117" s="175"/>
      <c r="BA117" s="175"/>
      <c r="BB117" s="175"/>
      <c r="BC117" s="175"/>
      <c r="BD117" s="175"/>
      <c r="BE117" s="175"/>
      <c r="BF117" s="175"/>
      <c r="BG117" s="175"/>
      <c r="BH117" s="175"/>
      <c r="BI117" s="175"/>
      <c r="BJ117" s="175"/>
      <c r="BK117" s="175"/>
      <c r="BL117" s="175"/>
      <c r="BM117" s="175"/>
      <c r="BN117" s="175"/>
      <c r="BO117" s="175"/>
      <c r="BP117" s="175"/>
      <c r="BS117" s="122"/>
      <c r="BT117" s="122"/>
      <c r="BU117" s="122"/>
      <c r="BV117" s="122"/>
    </row>
    <row r="118" spans="1:74" s="33" customFormat="1" ht="12.75" customHeight="1" x14ac:dyDescent="0.2">
      <c r="A118" s="1038" t="s">
        <v>419</v>
      </c>
      <c r="B118" s="1039"/>
      <c r="C118" s="2541">
        <f>$T$129</f>
        <v>0</v>
      </c>
      <c r="D118" s="2542"/>
      <c r="E118" s="2542"/>
      <c r="F118" s="2543"/>
      <c r="G118" s="2517" t="str">
        <f>IF(C118=0,"",IF(OR($P$115=0,NOT(ISBLANK(J118))),$L$119,HLOOKUP($P$115,$Q$115:$V$118,4,FALSE)))</f>
        <v/>
      </c>
      <c r="H118" s="2518"/>
      <c r="I118" s="2518"/>
      <c r="J118" s="2465"/>
      <c r="K118" s="2466"/>
      <c r="L118" s="2427" t="str">
        <f>IF(ISBLANK(J118),G118,J118)</f>
        <v/>
      </c>
      <c r="M118" s="2427"/>
      <c r="N118" s="2428"/>
      <c r="O118" s="122"/>
      <c r="P118" s="204">
        <f>IF(ISBLANK(J118),0,4)</f>
        <v>0</v>
      </c>
      <c r="Q118" s="261" t="e">
        <f ca="1">Q117</f>
        <v>#DIV/0!</v>
      </c>
      <c r="R118" s="262" t="e">
        <f ca="1">R116</f>
        <v>#DIV/0!</v>
      </c>
      <c r="S118" s="269">
        <f>$J118*$C118/100</f>
        <v>0</v>
      </c>
      <c r="T118" s="262" t="e">
        <f ca="1">($L$110-SUM($J$91:$N$94)*$V$124-SUM($T$116,$T$117))/$C$118*100</f>
        <v>#DIV/0!</v>
      </c>
      <c r="U118" s="272">
        <f>$J118*$C118/100</f>
        <v>0</v>
      </c>
      <c r="V118" s="272">
        <f>$J118*$C118/100</f>
        <v>0</v>
      </c>
      <c r="W118" s="266"/>
      <c r="X118" s="2407"/>
      <c r="Y118" s="2407"/>
      <c r="Z118" s="2407"/>
      <c r="AA118" s="266"/>
      <c r="AB118" s="266"/>
      <c r="AC118" s="266"/>
      <c r="AD118" s="266"/>
      <c r="AE118" s="266"/>
      <c r="AF118" s="123"/>
      <c r="AG118" s="174"/>
      <c r="AH118" s="174"/>
      <c r="AI118" s="174"/>
      <c r="AJ118" s="175"/>
      <c r="AK118" s="175"/>
      <c r="AL118" s="175"/>
      <c r="AM118" s="175"/>
      <c r="AN118" s="175"/>
      <c r="AO118" s="175"/>
      <c r="AP118" s="175"/>
      <c r="AQ118" s="175"/>
      <c r="AR118" s="175"/>
      <c r="AS118" s="175"/>
      <c r="AT118" s="175"/>
      <c r="AU118" s="175"/>
      <c r="AV118" s="175"/>
      <c r="AW118" s="175"/>
      <c r="AX118" s="175"/>
      <c r="AY118" s="175"/>
      <c r="AZ118" s="175"/>
      <c r="BA118" s="175"/>
      <c r="BB118" s="175"/>
      <c r="BC118" s="175"/>
      <c r="BD118" s="175"/>
      <c r="BE118" s="175"/>
      <c r="BF118" s="175"/>
      <c r="BG118" s="175"/>
      <c r="BH118" s="175"/>
      <c r="BI118" s="175"/>
      <c r="BJ118" s="175"/>
      <c r="BK118" s="175"/>
      <c r="BL118" s="175"/>
      <c r="BM118" s="175"/>
      <c r="BN118" s="175"/>
      <c r="BO118" s="175"/>
      <c r="BP118" s="175"/>
      <c r="BS118" s="122"/>
      <c r="BT118" s="122"/>
      <c r="BU118" s="122"/>
      <c r="BV118" s="122"/>
    </row>
    <row r="119" spans="1:74" s="33" customFormat="1" ht="12.75" customHeight="1" x14ac:dyDescent="0.2">
      <c r="A119" s="1335" t="s">
        <v>427</v>
      </c>
      <c r="B119" s="1336"/>
      <c r="C119" s="2772">
        <f>SUM(C116:F118)</f>
        <v>0</v>
      </c>
      <c r="D119" s="2773"/>
      <c r="E119" s="2773"/>
      <c r="F119" s="2774"/>
      <c r="G119" s="2775">
        <f>$L119</f>
        <v>0</v>
      </c>
      <c r="H119" s="2776"/>
      <c r="I119" s="2776"/>
      <c r="J119" s="2777"/>
      <c r="K119" s="2778"/>
      <c r="L119" s="2779">
        <f>IF(C119=0,0,($L$110-SUM($J$91:$N$94)*$V$124)/$C$119*100)</f>
        <v>0</v>
      </c>
      <c r="M119" s="2779"/>
      <c r="N119" s="2780"/>
      <c r="O119" s="122"/>
      <c r="P119" s="266"/>
      <c r="Q119" s="266"/>
      <c r="R119" s="266"/>
      <c r="S119" s="266"/>
      <c r="T119" s="266"/>
      <c r="U119" s="266"/>
      <c r="V119" s="266"/>
      <c r="W119" s="266"/>
      <c r="X119" s="266"/>
      <c r="Y119" s="266"/>
      <c r="Z119" s="266"/>
      <c r="AA119" s="266"/>
      <c r="AB119" s="266"/>
      <c r="AC119" s="266"/>
      <c r="AD119" s="266"/>
      <c r="AE119" s="123"/>
      <c r="AF119" s="174"/>
      <c r="AG119" s="174"/>
      <c r="AH119" s="174"/>
      <c r="AI119" s="175"/>
      <c r="AJ119" s="175"/>
      <c r="AK119" s="175"/>
      <c r="AL119" s="175"/>
      <c r="AM119" s="175"/>
      <c r="AN119" s="175"/>
      <c r="AO119" s="175"/>
      <c r="AP119" s="175"/>
      <c r="AQ119" s="175"/>
      <c r="AR119" s="175"/>
      <c r="AS119" s="175"/>
      <c r="AT119" s="175"/>
      <c r="AU119" s="175"/>
      <c r="AV119" s="175"/>
      <c r="AW119" s="175"/>
      <c r="AX119" s="175"/>
      <c r="AY119" s="175"/>
      <c r="AZ119" s="175"/>
      <c r="BA119" s="175"/>
      <c r="BB119" s="175"/>
      <c r="BC119" s="175"/>
      <c r="BD119" s="175"/>
      <c r="BE119" s="175"/>
      <c r="BF119" s="175"/>
      <c r="BG119" s="175"/>
      <c r="BH119" s="175"/>
      <c r="BI119" s="175"/>
      <c r="BJ119" s="175"/>
      <c r="BK119" s="175"/>
      <c r="BL119" s="175"/>
      <c r="BM119" s="175"/>
      <c r="BN119" s="175"/>
      <c r="BO119" s="175"/>
    </row>
    <row r="120" spans="1:74" s="33" customFormat="1" ht="12.95" customHeight="1" x14ac:dyDescent="0.2">
      <c r="A120" s="288" t="s">
        <v>424</v>
      </c>
      <c r="B120" s="288"/>
      <c r="P120" s="123"/>
      <c r="R120" s="175"/>
      <c r="S120" s="175"/>
      <c r="T120" s="175"/>
      <c r="U120" s="175"/>
      <c r="V120" s="175"/>
      <c r="W120" s="175"/>
      <c r="X120" s="175"/>
      <c r="Y120" s="175"/>
      <c r="Z120" s="175"/>
      <c r="AA120" s="123"/>
      <c r="AB120" s="123"/>
      <c r="AC120" s="123"/>
      <c r="AD120" s="123"/>
      <c r="AE120" s="123"/>
      <c r="AF120" s="123"/>
      <c r="AG120" s="174"/>
      <c r="AH120" s="174"/>
      <c r="AI120" s="174"/>
      <c r="AJ120" s="175"/>
      <c r="AK120" s="175"/>
      <c r="AL120" s="175"/>
      <c r="AM120" s="175"/>
      <c r="AN120" s="175"/>
      <c r="AO120" s="175"/>
      <c r="AP120" s="175"/>
      <c r="AQ120" s="175"/>
      <c r="AR120" s="175"/>
      <c r="AS120" s="175"/>
      <c r="AT120" s="175"/>
      <c r="AU120" s="175"/>
      <c r="AV120" s="175"/>
      <c r="AW120" s="175"/>
      <c r="AX120" s="175"/>
      <c r="AY120" s="175"/>
      <c r="AZ120" s="175"/>
      <c r="BA120" s="175"/>
      <c r="BB120" s="175"/>
      <c r="BC120" s="175"/>
      <c r="BD120" s="175"/>
      <c r="BE120" s="175"/>
      <c r="BF120" s="175"/>
      <c r="BG120" s="175"/>
      <c r="BH120" s="175"/>
      <c r="BI120" s="175"/>
      <c r="BJ120" s="175"/>
      <c r="BK120" s="175"/>
      <c r="BL120" s="175"/>
      <c r="BM120" s="175"/>
      <c r="BN120" s="175"/>
      <c r="BO120" s="175"/>
      <c r="BP120" s="175"/>
    </row>
    <row r="121" spans="1:74" s="175" customFormat="1" ht="12.95" customHeight="1" x14ac:dyDescent="0.2">
      <c r="N121" s="364"/>
      <c r="P121" s="292" t="s">
        <v>421</v>
      </c>
      <c r="Q121" s="293"/>
      <c r="R121" s="293"/>
      <c r="S121" s="293"/>
      <c r="T121" s="293"/>
      <c r="U121" s="293"/>
      <c r="V121" s="293"/>
      <c r="AA121" s="123"/>
      <c r="AB121" s="123"/>
      <c r="AC121" s="123"/>
      <c r="AD121" s="123"/>
      <c r="AE121" s="123"/>
      <c r="AF121" s="123"/>
      <c r="AG121" s="174"/>
      <c r="AH121" s="174"/>
      <c r="AI121" s="174"/>
    </row>
    <row r="122" spans="1:74" s="175" customFormat="1" ht="12.95" customHeight="1" x14ac:dyDescent="0.2">
      <c r="N122" s="364"/>
      <c r="AA122" s="123"/>
      <c r="AB122" s="123"/>
      <c r="AC122" s="123"/>
      <c r="AD122" s="123"/>
      <c r="AE122" s="123"/>
      <c r="AF122" s="123"/>
      <c r="AG122" s="174"/>
      <c r="AH122" s="174"/>
      <c r="AI122" s="174"/>
    </row>
    <row r="123" spans="1:74" s="175" customFormat="1" ht="11.25" x14ac:dyDescent="0.2">
      <c r="N123" s="364"/>
      <c r="P123" s="381" t="s">
        <v>458</v>
      </c>
      <c r="Q123" s="382"/>
      <c r="R123" s="382"/>
      <c r="S123" s="382"/>
      <c r="AA123" s="123"/>
      <c r="AB123" s="123"/>
      <c r="AC123" s="123"/>
      <c r="AD123" s="123"/>
      <c r="AE123" s="123"/>
      <c r="AF123" s="123"/>
      <c r="AG123" s="174"/>
      <c r="AH123" s="174"/>
      <c r="AI123" s="174"/>
    </row>
    <row r="124" spans="1:74" s="175" customFormat="1" ht="11.25" x14ac:dyDescent="0.2">
      <c r="P124" s="290" t="s">
        <v>459</v>
      </c>
      <c r="T124" s="2486">
        <f>MAX(T126-T140,0)</f>
        <v>0</v>
      </c>
      <c r="U124" s="2486"/>
      <c r="V124" s="361">
        <f>IF(T126=0,0,T124/T126)</f>
        <v>0</v>
      </c>
      <c r="AA124" s="123"/>
      <c r="AB124" s="123"/>
      <c r="AC124" s="123"/>
      <c r="AD124" s="123"/>
      <c r="AE124" s="123"/>
      <c r="AF124" s="123"/>
      <c r="AG124" s="174"/>
      <c r="AH124" s="174"/>
      <c r="AI124" s="174"/>
    </row>
    <row r="125" spans="1:74" s="175" customFormat="1" ht="11.25" x14ac:dyDescent="0.2">
      <c r="P125" s="290" t="s">
        <v>460</v>
      </c>
      <c r="T125" s="2489">
        <f>MAX(T126-T124,0)</f>
        <v>0</v>
      </c>
      <c r="U125" s="2489"/>
      <c r="V125" s="385">
        <f>IF(T126=0,0,T125/T126)</f>
        <v>0</v>
      </c>
      <c r="AA125" s="123"/>
      <c r="AB125" s="123"/>
      <c r="AC125" s="123"/>
      <c r="AD125" s="123"/>
      <c r="AE125" s="123"/>
      <c r="AF125" s="123"/>
      <c r="AG125" s="174"/>
      <c r="AH125" s="174"/>
      <c r="AI125" s="174"/>
    </row>
    <row r="126" spans="1:74" s="175" customFormat="1" ht="11.25" x14ac:dyDescent="0.2">
      <c r="P126" s="383" t="s">
        <v>468</v>
      </c>
      <c r="Q126" s="384"/>
      <c r="R126" s="384"/>
      <c r="S126" s="384"/>
      <c r="T126" s="2487">
        <f>EV_Var4!$E$68</f>
        <v>0</v>
      </c>
      <c r="U126" s="2487"/>
      <c r="V126" s="386">
        <f>IF(T126=0,0,T126/T126)</f>
        <v>0</v>
      </c>
      <c r="AA126" s="123"/>
      <c r="AB126" s="123"/>
      <c r="AC126" s="123"/>
      <c r="AD126" s="123"/>
      <c r="AE126" s="123"/>
      <c r="AF126" s="123"/>
      <c r="AG126" s="174"/>
      <c r="AH126" s="174"/>
      <c r="AI126" s="174"/>
    </row>
    <row r="127" spans="1:74" s="175" customFormat="1" ht="11.25" x14ac:dyDescent="0.2">
      <c r="AA127" s="123"/>
      <c r="AB127" s="123"/>
      <c r="AC127" s="123"/>
      <c r="AD127" s="123"/>
      <c r="AE127" s="123"/>
      <c r="AF127" s="123"/>
      <c r="AG127" s="174"/>
      <c r="AH127" s="174"/>
      <c r="AI127" s="174"/>
    </row>
    <row r="128" spans="1:74" s="175" customFormat="1" ht="11.25" x14ac:dyDescent="0.2">
      <c r="P128" s="381" t="s">
        <v>461</v>
      </c>
      <c r="Q128" s="382"/>
      <c r="R128" s="382"/>
      <c r="S128" s="382"/>
      <c r="AA128" s="123"/>
      <c r="AB128" s="123"/>
      <c r="AC128" s="123"/>
      <c r="AD128" s="123"/>
      <c r="AE128" s="123"/>
      <c r="AF128" s="123"/>
      <c r="AG128" s="174"/>
      <c r="AH128" s="174"/>
      <c r="AI128" s="174"/>
    </row>
    <row r="129" spans="1:69" s="175" customFormat="1" ht="11.25" x14ac:dyDescent="0.2">
      <c r="P129" s="360" t="s">
        <v>470</v>
      </c>
      <c r="Q129" s="388"/>
      <c r="R129" s="388"/>
      <c r="S129" s="388"/>
      <c r="T129" s="2486">
        <f>IF(T124&gt;0,T132-T131,(T132-T131)-(T140-T125))</f>
        <v>0</v>
      </c>
      <c r="U129" s="2486"/>
      <c r="V129" s="363">
        <f>IF($T$132=0,0,T129/$T$132)</f>
        <v>0</v>
      </c>
      <c r="Z129" s="484"/>
      <c r="AA129" s="484"/>
      <c r="AB129" s="123"/>
      <c r="AC129" s="123"/>
      <c r="AD129" s="123"/>
      <c r="AE129" s="123"/>
      <c r="AF129" s="123"/>
      <c r="AG129" s="174"/>
      <c r="AH129" s="174"/>
      <c r="AI129" s="174"/>
    </row>
    <row r="130" spans="1:69" s="175" customFormat="1" ht="12.75" x14ac:dyDescent="0.2">
      <c r="A130" s="122"/>
      <c r="B130" s="630"/>
      <c r="C130" s="122"/>
      <c r="D130" s="122"/>
      <c r="E130" s="122"/>
      <c r="F130" s="122"/>
      <c r="G130" s="122"/>
      <c r="H130" s="122"/>
      <c r="P130" s="290" t="s">
        <v>460</v>
      </c>
      <c r="Q130" s="289"/>
      <c r="R130" s="289"/>
      <c r="S130" s="289"/>
      <c r="T130" s="2493">
        <f>T131-T129</f>
        <v>0</v>
      </c>
      <c r="U130" s="2493"/>
      <c r="V130" s="487">
        <f>IF($T$132=0,0,T130/$T$132)</f>
        <v>0</v>
      </c>
      <c r="Z130" s="484"/>
      <c r="AA130" s="484"/>
      <c r="AB130" s="123"/>
      <c r="AC130" s="123"/>
      <c r="AD130" s="123"/>
      <c r="AE130" s="123"/>
      <c r="AF130" s="123"/>
      <c r="AG130" s="174"/>
      <c r="AH130" s="174"/>
      <c r="AI130" s="174"/>
    </row>
    <row r="131" spans="1:69" s="175" customFormat="1" ht="12.75" x14ac:dyDescent="0.2">
      <c r="A131" s="122"/>
      <c r="B131" s="630"/>
      <c r="C131" s="122"/>
      <c r="D131" s="122"/>
      <c r="E131" s="122"/>
      <c r="F131" s="122"/>
      <c r="G131" s="122"/>
      <c r="H131" s="122"/>
      <c r="P131" s="303" t="s">
        <v>462</v>
      </c>
      <c r="Q131" s="382"/>
      <c r="R131" s="382"/>
      <c r="S131" s="382"/>
      <c r="T131" s="2492">
        <f>EV_Var4!$M$74</f>
        <v>0</v>
      </c>
      <c r="U131" s="2492"/>
      <c r="V131" s="362">
        <f>IF($T$132=0,0,T131/$T$132)</f>
        <v>0</v>
      </c>
      <c r="Z131" s="484"/>
      <c r="AA131" s="484"/>
      <c r="AB131" s="123"/>
      <c r="AC131" s="123"/>
      <c r="AD131" s="123"/>
      <c r="AE131" s="123"/>
      <c r="AF131" s="123"/>
      <c r="AG131" s="174"/>
      <c r="AH131" s="174"/>
      <c r="AI131" s="174"/>
    </row>
    <row r="132" spans="1:69" s="175" customFormat="1" ht="12.75" x14ac:dyDescent="0.2">
      <c r="A132" s="122"/>
      <c r="B132" s="630"/>
      <c r="C132" s="122"/>
      <c r="D132" s="122"/>
      <c r="E132" s="122"/>
      <c r="F132" s="122"/>
      <c r="G132" s="122"/>
      <c r="H132" s="122"/>
      <c r="P132" s="383" t="s">
        <v>465</v>
      </c>
      <c r="Q132" s="384"/>
      <c r="R132" s="384"/>
      <c r="S132" s="384"/>
      <c r="T132" s="2485">
        <f>EV_Var4!$M$71+EV_Var4!$M$61</f>
        <v>0</v>
      </c>
      <c r="U132" s="2485"/>
      <c r="V132" s="386">
        <f>IF($T$132=0,0,T132/$T$132)</f>
        <v>0</v>
      </c>
      <c r="Z132" s="484"/>
      <c r="AA132" s="484"/>
      <c r="AB132" s="123"/>
      <c r="AC132" s="123"/>
      <c r="AD132" s="123"/>
      <c r="AE132" s="123"/>
      <c r="AF132" s="123"/>
      <c r="AG132" s="174"/>
      <c r="AH132" s="174"/>
      <c r="AI132" s="174"/>
    </row>
    <row r="133" spans="1:69" s="175" customFormat="1" ht="12.75" x14ac:dyDescent="0.2">
      <c r="A133" s="122"/>
      <c r="B133" s="630"/>
      <c r="C133" s="122"/>
      <c r="D133" s="122"/>
      <c r="E133" s="122"/>
      <c r="F133" s="122"/>
      <c r="G133" s="122"/>
      <c r="H133" s="122"/>
      <c r="P133" s="290"/>
      <c r="Q133" s="289"/>
      <c r="R133" s="289"/>
      <c r="S133" s="289"/>
      <c r="T133" s="488"/>
      <c r="U133" s="488"/>
      <c r="V133" s="389"/>
      <c r="Z133" s="484"/>
      <c r="AA133" s="484"/>
      <c r="AB133" s="123"/>
      <c r="AC133" s="123"/>
      <c r="AD133" s="123"/>
      <c r="AE133" s="123"/>
      <c r="AF133" s="123"/>
      <c r="AG133" s="174"/>
      <c r="AH133" s="174"/>
      <c r="AI133" s="174"/>
    </row>
    <row r="134" spans="1:69" s="175" customFormat="1" ht="12.75" x14ac:dyDescent="0.2">
      <c r="A134" s="122"/>
      <c r="B134" s="630"/>
      <c r="C134" s="122"/>
      <c r="D134" s="122"/>
      <c r="E134" s="122"/>
      <c r="F134" s="122"/>
      <c r="G134" s="122"/>
      <c r="H134" s="122"/>
      <c r="P134" s="303" t="s">
        <v>466</v>
      </c>
      <c r="Q134" s="382"/>
      <c r="R134" s="382"/>
      <c r="S134" s="382"/>
      <c r="T134" s="2488">
        <f>T132-T131</f>
        <v>0</v>
      </c>
      <c r="U134" s="2488">
        <f>T132-T131</f>
        <v>0</v>
      </c>
      <c r="V134" s="362"/>
      <c r="AA134" s="123"/>
      <c r="AB134" s="123"/>
      <c r="AC134" s="123"/>
      <c r="AD134" s="123"/>
      <c r="AE134" s="123"/>
      <c r="AF134" s="123"/>
      <c r="AG134" s="174"/>
      <c r="AH134" s="174"/>
      <c r="AI134" s="174"/>
    </row>
    <row r="135" spans="1:69" s="175" customFormat="1" ht="12.75" x14ac:dyDescent="0.2">
      <c r="A135" s="122"/>
      <c r="B135" s="630"/>
      <c r="C135" s="122"/>
      <c r="D135" s="122"/>
      <c r="E135" s="122"/>
      <c r="F135" s="122"/>
      <c r="G135" s="122"/>
      <c r="H135" s="122"/>
      <c r="P135" s="383" t="s">
        <v>467</v>
      </c>
      <c r="Q135" s="384"/>
      <c r="R135" s="384"/>
      <c r="S135" s="384"/>
      <c r="T135" s="2485">
        <f>T132+T126</f>
        <v>0</v>
      </c>
      <c r="U135" s="2485"/>
      <c r="V135" s="386"/>
      <c r="Z135" s="484"/>
      <c r="AA135" s="484"/>
      <c r="AB135" s="123"/>
      <c r="AC135" s="123"/>
      <c r="AD135" s="123"/>
      <c r="AE135" s="123"/>
      <c r="AF135" s="123"/>
      <c r="AG135" s="174"/>
      <c r="AH135" s="174"/>
      <c r="AI135" s="174"/>
    </row>
    <row r="136" spans="1:69" s="175" customFormat="1" ht="12.75" x14ac:dyDescent="0.2">
      <c r="A136" s="122"/>
      <c r="B136" s="630"/>
      <c r="C136" s="122"/>
      <c r="D136" s="122"/>
      <c r="E136" s="122"/>
      <c r="F136" s="122"/>
      <c r="G136" s="122"/>
      <c r="H136" s="122"/>
      <c r="P136" s="383" t="s">
        <v>469</v>
      </c>
      <c r="Q136" s="384"/>
      <c r="R136" s="384"/>
      <c r="S136" s="384"/>
      <c r="T136" s="2485">
        <f>T135-T131</f>
        <v>0</v>
      </c>
      <c r="U136" s="2485"/>
      <c r="V136" s="386"/>
      <c r="Z136" s="484"/>
      <c r="AA136" s="484"/>
      <c r="AB136" s="123"/>
      <c r="AC136" s="123"/>
      <c r="AD136" s="123"/>
      <c r="AE136" s="123"/>
      <c r="AF136" s="123"/>
      <c r="AG136" s="174"/>
      <c r="AH136" s="174"/>
      <c r="AI136" s="174"/>
    </row>
    <row r="137" spans="1:69" s="175" customFormat="1" ht="12.75" x14ac:dyDescent="0.2">
      <c r="A137" s="122"/>
      <c r="B137" s="630"/>
      <c r="C137" s="122"/>
      <c r="D137" s="122"/>
      <c r="E137" s="122"/>
      <c r="F137" s="122"/>
      <c r="G137" s="122"/>
      <c r="H137" s="122"/>
      <c r="Z137" s="484"/>
      <c r="AA137" s="484"/>
      <c r="AB137" s="123"/>
      <c r="AC137" s="123"/>
      <c r="AD137" s="123"/>
      <c r="AE137" s="123"/>
      <c r="AF137" s="123"/>
      <c r="AG137" s="174"/>
      <c r="AH137" s="174"/>
      <c r="AI137" s="174"/>
    </row>
    <row r="138" spans="1:69" s="175" customFormat="1" ht="11.25" x14ac:dyDescent="0.2">
      <c r="P138" s="381" t="s">
        <v>22</v>
      </c>
      <c r="Q138" s="382"/>
      <c r="R138" s="382"/>
      <c r="S138" s="382"/>
      <c r="T138" s="382"/>
      <c r="U138" s="382"/>
      <c r="V138" s="382"/>
      <c r="Z138" s="484"/>
      <c r="AA138" s="484"/>
      <c r="AB138" s="123"/>
      <c r="AC138" s="123"/>
      <c r="AD138" s="123"/>
      <c r="AE138" s="123"/>
      <c r="AF138" s="123"/>
      <c r="AG138" s="174"/>
      <c r="AH138" s="174"/>
      <c r="AI138" s="174"/>
    </row>
    <row r="139" spans="1:69" s="175" customFormat="1" ht="11.25" x14ac:dyDescent="0.2">
      <c r="P139" s="290" t="s">
        <v>463</v>
      </c>
      <c r="T139" s="2489">
        <f>EV_Var4!$S$73</f>
        <v>0</v>
      </c>
      <c r="U139" s="2489"/>
      <c r="V139" s="291" t="e">
        <f>T139/$T$141</f>
        <v>#DIV/0!</v>
      </c>
      <c r="Z139" s="484"/>
      <c r="AA139" s="484"/>
      <c r="AB139" s="123"/>
      <c r="AC139" s="123"/>
      <c r="AD139" s="123"/>
      <c r="AE139" s="123"/>
      <c r="AF139" s="123"/>
      <c r="AG139" s="174"/>
      <c r="AH139" s="174"/>
      <c r="AI139" s="174"/>
    </row>
    <row r="140" spans="1:69" s="175" customFormat="1" ht="11.25" x14ac:dyDescent="0.2">
      <c r="A140" s="289"/>
      <c r="B140" s="289"/>
      <c r="M140" s="289"/>
      <c r="N140" s="289"/>
      <c r="O140" s="289"/>
      <c r="P140" s="290" t="s">
        <v>464</v>
      </c>
      <c r="T140" s="2489">
        <f>SUM(EV_Var4!$M$63,EV_Var4!$M$66)</f>
        <v>0</v>
      </c>
      <c r="U140" s="2489"/>
      <c r="V140" s="291" t="e">
        <f>T140/$T$141</f>
        <v>#DIV/0!</v>
      </c>
      <c r="Z140" s="484"/>
      <c r="AA140" s="484"/>
      <c r="AB140" s="123"/>
      <c r="AC140" s="123"/>
      <c r="AD140" s="123"/>
      <c r="AE140" s="123"/>
      <c r="AF140" s="123"/>
      <c r="AG140" s="174"/>
      <c r="AH140" s="174"/>
      <c r="AI140" s="174"/>
    </row>
    <row r="141" spans="1:69" s="175" customFormat="1" ht="11.25" x14ac:dyDescent="0.2">
      <c r="A141" s="289"/>
      <c r="B141" s="289"/>
      <c r="M141" s="289"/>
      <c r="N141" s="289"/>
      <c r="O141" s="289"/>
      <c r="P141" s="383" t="s">
        <v>420</v>
      </c>
      <c r="Q141" s="387"/>
      <c r="R141" s="387"/>
      <c r="S141" s="387"/>
      <c r="T141" s="2485">
        <f>SUM(T139:U140)</f>
        <v>0</v>
      </c>
      <c r="U141" s="2485"/>
      <c r="V141" s="386" t="e">
        <f>T141/$T$141</f>
        <v>#DIV/0!</v>
      </c>
      <c r="Z141" s="484"/>
      <c r="AA141" s="484"/>
      <c r="AB141" s="123"/>
      <c r="AC141" s="123"/>
      <c r="AD141" s="123"/>
      <c r="AE141" s="123"/>
      <c r="AF141" s="123"/>
      <c r="AG141" s="174"/>
      <c r="AH141" s="174"/>
      <c r="AI141" s="174"/>
    </row>
    <row r="142" spans="1:69" ht="12.75" x14ac:dyDescent="0.2">
      <c r="G142" s="32"/>
      <c r="J142" s="34"/>
      <c r="T142" s="123"/>
      <c r="U142" s="127"/>
      <c r="W142" s="32"/>
      <c r="X142" s="32"/>
      <c r="Y142" s="32"/>
      <c r="Z142" s="122"/>
      <c r="AA142" s="122"/>
      <c r="AG142" s="174"/>
      <c r="AJ142" s="175"/>
      <c r="BQ142" s="32"/>
    </row>
    <row r="143" spans="1:69" ht="12.75" x14ac:dyDescent="0.2">
      <c r="G143" s="32"/>
      <c r="J143" s="34"/>
      <c r="T143" s="123"/>
      <c r="U143" s="127"/>
      <c r="W143" s="32"/>
      <c r="X143" s="32"/>
      <c r="Y143" s="32"/>
      <c r="Z143" s="122"/>
      <c r="AA143" s="122"/>
      <c r="AG143" s="174"/>
      <c r="AJ143" s="175"/>
      <c r="BQ143" s="32"/>
    </row>
    <row r="144" spans="1:69" ht="12.75" x14ac:dyDescent="0.2">
      <c r="G144" s="32"/>
      <c r="J144" s="34"/>
      <c r="P144" s="122"/>
      <c r="Q144" s="122"/>
      <c r="R144" s="122"/>
      <c r="S144" s="122"/>
      <c r="T144" s="122"/>
      <c r="U144" s="122"/>
      <c r="V144" s="122"/>
      <c r="W144" s="122"/>
      <c r="X144" s="32"/>
      <c r="Y144" s="32"/>
      <c r="Z144" s="122"/>
      <c r="AA144" s="122"/>
      <c r="AG144" s="174"/>
      <c r="AJ144" s="175"/>
      <c r="BQ144" s="32"/>
    </row>
    <row r="145" spans="1:69" ht="12.75" x14ac:dyDescent="0.2">
      <c r="G145" s="32"/>
      <c r="J145" s="34"/>
      <c r="P145" s="122"/>
      <c r="Q145" s="122"/>
      <c r="R145" s="122"/>
      <c r="S145" s="122"/>
      <c r="T145" s="122"/>
      <c r="U145" s="122"/>
      <c r="V145" s="122"/>
      <c r="W145" s="122"/>
      <c r="X145" s="32"/>
      <c r="Y145" s="32"/>
      <c r="Z145" s="122"/>
      <c r="AA145" s="122"/>
      <c r="AG145" s="174"/>
      <c r="AJ145" s="175"/>
      <c r="BQ145" s="32"/>
    </row>
    <row r="146" spans="1:69" ht="12.75" x14ac:dyDescent="0.2">
      <c r="G146" s="32"/>
      <c r="J146" s="34"/>
      <c r="P146" s="122"/>
      <c r="Q146" s="122"/>
      <c r="R146" s="122"/>
      <c r="S146" s="122"/>
      <c r="T146" s="122"/>
      <c r="U146" s="122"/>
      <c r="V146" s="122"/>
      <c r="W146" s="122"/>
      <c r="X146" s="32"/>
      <c r="Y146" s="32"/>
      <c r="Z146" s="122"/>
      <c r="AA146" s="122"/>
      <c r="AG146" s="174"/>
      <c r="AJ146" s="175"/>
      <c r="BQ146" s="32"/>
    </row>
    <row r="147" spans="1:69" ht="12.75" x14ac:dyDescent="0.2">
      <c r="G147" s="32"/>
      <c r="J147" s="34"/>
      <c r="P147" s="122"/>
      <c r="Q147" s="122"/>
      <c r="R147" s="122"/>
      <c r="S147" s="122"/>
      <c r="T147" s="122"/>
      <c r="U147" s="122"/>
      <c r="V147" s="122"/>
      <c r="W147" s="122"/>
      <c r="X147" s="32"/>
      <c r="Y147" s="32"/>
      <c r="Z147" s="122"/>
      <c r="AA147" s="122"/>
      <c r="AG147" s="174"/>
      <c r="AJ147" s="175"/>
      <c r="BQ147" s="32"/>
    </row>
    <row r="148" spans="1:69" ht="12.75" x14ac:dyDescent="0.2">
      <c r="G148" s="32"/>
      <c r="J148" s="34"/>
      <c r="P148" s="122"/>
      <c r="Q148" s="122"/>
      <c r="R148" s="122"/>
      <c r="S148" s="122"/>
      <c r="T148" s="122"/>
      <c r="U148" s="122"/>
      <c r="V148" s="122"/>
      <c r="W148" s="122"/>
      <c r="X148" s="32"/>
      <c r="Y148" s="32"/>
      <c r="Z148" s="122"/>
      <c r="AA148" s="122"/>
      <c r="AG148" s="174"/>
      <c r="AJ148" s="175"/>
      <c r="BQ148" s="32"/>
    </row>
    <row r="149" spans="1:69" ht="12.75" x14ac:dyDescent="0.2">
      <c r="P149" s="122"/>
      <c r="Q149" s="122"/>
      <c r="R149" s="122"/>
      <c r="S149" s="122"/>
      <c r="T149" s="122"/>
      <c r="U149" s="122"/>
      <c r="V149" s="122"/>
      <c r="W149" s="122"/>
      <c r="X149" s="32"/>
      <c r="Y149" s="32"/>
      <c r="Z149" s="122"/>
      <c r="AA149" s="122"/>
      <c r="AB149" s="122"/>
    </row>
    <row r="150" spans="1:69" ht="12.75" x14ac:dyDescent="0.2">
      <c r="P150" s="122"/>
      <c r="Q150" s="122"/>
      <c r="R150" s="122"/>
      <c r="S150" s="122"/>
      <c r="T150" s="122"/>
      <c r="U150" s="122"/>
      <c r="V150" s="122"/>
      <c r="W150" s="122"/>
      <c r="X150" s="32"/>
      <c r="Y150" s="32"/>
      <c r="Z150" s="122"/>
      <c r="AA150" s="122"/>
      <c r="AB150" s="122"/>
    </row>
    <row r="151" spans="1:69" ht="12.75" x14ac:dyDescent="0.2">
      <c r="P151" s="122"/>
      <c r="Q151" s="122"/>
      <c r="R151" s="122"/>
      <c r="S151" s="122"/>
      <c r="T151" s="122"/>
      <c r="U151" s="122"/>
      <c r="V151" s="122"/>
      <c r="W151" s="122"/>
      <c r="X151" s="32"/>
      <c r="Y151" s="32"/>
      <c r="Z151" s="122"/>
      <c r="AA151" s="122"/>
      <c r="AB151" s="122"/>
    </row>
    <row r="152" spans="1:69" ht="12.75" x14ac:dyDescent="0.2">
      <c r="P152" s="122"/>
      <c r="Q152" s="122"/>
      <c r="R152" s="122"/>
      <c r="S152" s="122"/>
      <c r="T152" s="122"/>
      <c r="U152" s="122"/>
      <c r="V152" s="122"/>
      <c r="W152" s="122"/>
      <c r="X152" s="32"/>
      <c r="Y152" s="32"/>
      <c r="Z152" s="122"/>
      <c r="AA152" s="122"/>
      <c r="AB152" s="122"/>
    </row>
    <row r="153" spans="1:69" ht="12.75" x14ac:dyDescent="0.2">
      <c r="P153" s="122"/>
      <c r="Q153" s="122"/>
      <c r="R153" s="122"/>
      <c r="S153" s="122"/>
      <c r="T153" s="122"/>
      <c r="U153" s="122"/>
      <c r="V153" s="122"/>
      <c r="W153" s="122"/>
      <c r="X153" s="32"/>
      <c r="Y153" s="32"/>
      <c r="Z153" s="122"/>
      <c r="AA153" s="122"/>
      <c r="AB153" s="122"/>
    </row>
    <row r="154" spans="1:69" ht="12.75" x14ac:dyDescent="0.2">
      <c r="P154" s="122"/>
      <c r="Q154" s="122"/>
      <c r="R154" s="122"/>
      <c r="S154" s="122"/>
      <c r="T154" s="122"/>
      <c r="U154" s="122"/>
      <c r="V154" s="122"/>
      <c r="W154" s="122"/>
      <c r="X154" s="32"/>
      <c r="Y154" s="32"/>
      <c r="Z154" s="122"/>
      <c r="AA154" s="122"/>
      <c r="AB154" s="122"/>
    </row>
    <row r="155" spans="1:69" ht="12.75" x14ac:dyDescent="0.2">
      <c r="P155" s="122"/>
      <c r="Q155" s="122"/>
      <c r="R155" s="122"/>
      <c r="S155" s="122"/>
      <c r="T155" s="122"/>
      <c r="U155" s="122"/>
      <c r="V155" s="122"/>
      <c r="W155" s="122"/>
      <c r="X155" s="32"/>
      <c r="Y155" s="32"/>
      <c r="Z155" s="122"/>
      <c r="AA155" s="122"/>
      <c r="AB155" s="122"/>
    </row>
    <row r="156" spans="1:69" ht="12.75" x14ac:dyDescent="0.2">
      <c r="P156" s="122"/>
      <c r="Q156" s="122"/>
      <c r="R156" s="122"/>
      <c r="S156" s="122"/>
      <c r="T156" s="122"/>
      <c r="U156" s="122"/>
      <c r="V156" s="122"/>
      <c r="W156" s="122"/>
      <c r="X156" s="122"/>
      <c r="Y156" s="122"/>
      <c r="Z156" s="122"/>
      <c r="AA156" s="122"/>
      <c r="AB156" s="122"/>
    </row>
    <row r="157" spans="1:69" ht="12.75" x14ac:dyDescent="0.2">
      <c r="P157" s="122"/>
      <c r="Q157" s="122"/>
      <c r="R157" s="122"/>
      <c r="S157" s="122"/>
      <c r="T157" s="122"/>
      <c r="U157" s="122"/>
      <c r="V157" s="122"/>
      <c r="W157" s="122"/>
      <c r="X157" s="122"/>
      <c r="Y157" s="122"/>
      <c r="Z157" s="122"/>
      <c r="AA157" s="122"/>
      <c r="AB157" s="122"/>
    </row>
    <row r="158" spans="1:69" s="123" customFormat="1" ht="12.75" x14ac:dyDescent="0.2">
      <c r="A158" s="34"/>
      <c r="B158" s="34"/>
      <c r="C158" s="33"/>
      <c r="D158" s="33"/>
      <c r="E158" s="33"/>
      <c r="F158" s="33"/>
      <c r="G158" s="33"/>
      <c r="H158" s="32"/>
      <c r="I158" s="32"/>
      <c r="J158" s="32"/>
      <c r="K158" s="34"/>
      <c r="L158" s="34"/>
      <c r="M158" s="34"/>
      <c r="N158" s="34"/>
      <c r="O158" s="34"/>
      <c r="P158" s="122"/>
      <c r="Q158" s="122"/>
      <c r="R158" s="122"/>
      <c r="S158" s="122"/>
      <c r="T158" s="122"/>
      <c r="U158" s="122"/>
      <c r="V158" s="122"/>
      <c r="W158" s="122"/>
      <c r="X158" s="122"/>
      <c r="Y158" s="122"/>
      <c r="Z158" s="122"/>
      <c r="AA158" s="122"/>
      <c r="AB158" s="122"/>
      <c r="AH158" s="174"/>
      <c r="AI158" s="174"/>
      <c r="AJ158" s="174"/>
      <c r="AK158" s="175"/>
      <c r="AL158" s="175"/>
      <c r="AM158" s="175"/>
      <c r="AN158" s="175"/>
      <c r="AO158" s="175"/>
      <c r="AP158" s="175"/>
      <c r="AQ158" s="175"/>
      <c r="AR158" s="175"/>
      <c r="AS158" s="175"/>
      <c r="AT158" s="175"/>
      <c r="AU158" s="175"/>
      <c r="AV158" s="175"/>
      <c r="AW158" s="175"/>
      <c r="AX158" s="175"/>
      <c r="AY158" s="175"/>
      <c r="AZ158" s="175"/>
      <c r="BA158" s="175"/>
      <c r="BB158" s="175"/>
      <c r="BC158" s="175"/>
      <c r="BD158" s="175"/>
      <c r="BE158" s="175"/>
      <c r="BF158" s="175"/>
      <c r="BG158" s="175"/>
      <c r="BH158" s="175"/>
      <c r="BI158" s="175"/>
      <c r="BJ158" s="175"/>
      <c r="BK158" s="175"/>
      <c r="BL158" s="175"/>
      <c r="BM158" s="175"/>
      <c r="BN158" s="175"/>
      <c r="BO158" s="175"/>
      <c r="BP158" s="175"/>
      <c r="BQ158" s="175"/>
    </row>
    <row r="159" spans="1:69" s="123" customFormat="1" ht="12.75" x14ac:dyDescent="0.2">
      <c r="A159" s="34"/>
      <c r="B159" s="34"/>
      <c r="C159" s="33"/>
      <c r="D159" s="33"/>
      <c r="E159" s="33"/>
      <c r="F159" s="33"/>
      <c r="G159" s="33"/>
      <c r="H159" s="32"/>
      <c r="I159" s="32"/>
      <c r="J159" s="32"/>
      <c r="K159" s="34"/>
      <c r="L159" s="34"/>
      <c r="M159" s="34"/>
      <c r="N159" s="34"/>
      <c r="O159" s="34"/>
      <c r="P159" s="122"/>
      <c r="Q159" s="122"/>
      <c r="R159" s="122"/>
      <c r="S159" s="122"/>
      <c r="T159" s="122"/>
      <c r="U159" s="122"/>
      <c r="V159" s="122"/>
      <c r="W159" s="122"/>
      <c r="X159" s="122"/>
      <c r="Y159" s="122"/>
      <c r="Z159" s="122"/>
      <c r="AA159" s="122"/>
      <c r="AB159" s="122"/>
      <c r="AH159" s="174"/>
      <c r="AI159" s="174"/>
      <c r="AJ159" s="174"/>
      <c r="AK159" s="175"/>
      <c r="AL159" s="175"/>
      <c r="AM159" s="175"/>
      <c r="AN159" s="175"/>
      <c r="AO159" s="175"/>
      <c r="AP159" s="175"/>
      <c r="AQ159" s="175"/>
      <c r="AR159" s="175"/>
      <c r="AS159" s="175"/>
      <c r="AT159" s="175"/>
      <c r="AU159" s="175"/>
      <c r="AV159" s="175"/>
      <c r="AW159" s="175"/>
      <c r="AX159" s="175"/>
      <c r="AY159" s="175"/>
      <c r="AZ159" s="175"/>
      <c r="BA159" s="175"/>
      <c r="BB159" s="175"/>
      <c r="BC159" s="175"/>
      <c r="BD159" s="175"/>
      <c r="BE159" s="175"/>
      <c r="BF159" s="175"/>
      <c r="BG159" s="175"/>
      <c r="BH159" s="175"/>
      <c r="BI159" s="175"/>
      <c r="BJ159" s="175"/>
      <c r="BK159" s="175"/>
      <c r="BL159" s="175"/>
      <c r="BM159" s="175"/>
      <c r="BN159" s="175"/>
      <c r="BO159" s="175"/>
      <c r="BP159" s="175"/>
      <c r="BQ159" s="175"/>
    </row>
    <row r="160" spans="1:69" s="123" customFormat="1" ht="12.75" x14ac:dyDescent="0.2">
      <c r="A160" s="34"/>
      <c r="B160" s="34"/>
      <c r="C160" s="33"/>
      <c r="D160" s="33"/>
      <c r="E160" s="33"/>
      <c r="F160" s="33"/>
      <c r="G160" s="33"/>
      <c r="H160" s="32"/>
      <c r="I160" s="32"/>
      <c r="J160" s="32"/>
      <c r="K160" s="34"/>
      <c r="L160" s="34"/>
      <c r="M160" s="34"/>
      <c r="N160" s="34"/>
      <c r="O160" s="34"/>
      <c r="P160" s="122"/>
      <c r="Q160" s="122"/>
      <c r="R160" s="122"/>
      <c r="S160" s="122"/>
      <c r="T160" s="122"/>
      <c r="U160" s="122"/>
      <c r="V160" s="122"/>
      <c r="W160" s="122"/>
      <c r="X160" s="122"/>
      <c r="Y160" s="122"/>
      <c r="Z160" s="122"/>
      <c r="AA160" s="122"/>
      <c r="AB160" s="122"/>
      <c r="AH160" s="174"/>
      <c r="AI160" s="174"/>
      <c r="AJ160" s="174"/>
      <c r="AK160" s="175"/>
      <c r="AL160" s="175"/>
      <c r="AM160" s="175"/>
      <c r="AN160" s="175"/>
      <c r="AO160" s="175"/>
      <c r="AP160" s="175"/>
      <c r="AQ160" s="175"/>
      <c r="AR160" s="175"/>
      <c r="AS160" s="175"/>
      <c r="AT160" s="175"/>
      <c r="AU160" s="175"/>
      <c r="AV160" s="175"/>
      <c r="AW160" s="175"/>
      <c r="AX160" s="175"/>
      <c r="AY160" s="175"/>
      <c r="AZ160" s="175"/>
      <c r="BA160" s="175"/>
      <c r="BB160" s="175"/>
      <c r="BC160" s="175"/>
      <c r="BD160" s="175"/>
      <c r="BE160" s="175"/>
      <c r="BF160" s="175"/>
      <c r="BG160" s="175"/>
      <c r="BH160" s="175"/>
      <c r="BI160" s="175"/>
      <c r="BJ160" s="175"/>
      <c r="BK160" s="175"/>
      <c r="BL160" s="175"/>
      <c r="BM160" s="175"/>
      <c r="BN160" s="175"/>
      <c r="BO160" s="175"/>
      <c r="BP160" s="175"/>
      <c r="BQ160" s="175"/>
    </row>
    <row r="161" spans="1:69" s="123" customFormat="1" ht="12.75" x14ac:dyDescent="0.2">
      <c r="A161" s="34"/>
      <c r="B161" s="34"/>
      <c r="C161" s="33"/>
      <c r="D161" s="33"/>
      <c r="E161" s="33"/>
      <c r="F161" s="33"/>
      <c r="G161" s="33"/>
      <c r="H161" s="32"/>
      <c r="I161" s="32"/>
      <c r="J161" s="32"/>
      <c r="K161" s="34"/>
      <c r="L161" s="34"/>
      <c r="M161" s="34"/>
      <c r="N161" s="34"/>
      <c r="O161" s="34"/>
      <c r="P161" s="122"/>
      <c r="Q161" s="122"/>
      <c r="R161" s="122"/>
      <c r="S161" s="122"/>
      <c r="T161" s="122"/>
      <c r="U161" s="122"/>
      <c r="V161" s="122"/>
      <c r="W161" s="122"/>
      <c r="X161" s="122"/>
      <c r="Y161" s="122"/>
      <c r="Z161" s="122"/>
      <c r="AA161" s="122"/>
      <c r="AB161" s="122"/>
      <c r="AH161" s="174"/>
      <c r="AI161" s="174"/>
      <c r="AJ161" s="174"/>
      <c r="AK161" s="175"/>
      <c r="AL161" s="175"/>
      <c r="AM161" s="175"/>
      <c r="AN161" s="175"/>
      <c r="AO161" s="175"/>
      <c r="AP161" s="175"/>
      <c r="AQ161" s="175"/>
      <c r="AR161" s="175"/>
      <c r="AS161" s="175"/>
      <c r="AT161" s="175"/>
      <c r="AU161" s="175"/>
      <c r="AV161" s="175"/>
      <c r="AW161" s="175"/>
      <c r="AX161" s="175"/>
      <c r="AY161" s="175"/>
      <c r="AZ161" s="175"/>
      <c r="BA161" s="175"/>
      <c r="BB161" s="175"/>
      <c r="BC161" s="175"/>
      <c r="BD161" s="175"/>
      <c r="BE161" s="175"/>
      <c r="BF161" s="175"/>
      <c r="BG161" s="175"/>
      <c r="BH161" s="175"/>
      <c r="BI161" s="175"/>
      <c r="BJ161" s="175"/>
      <c r="BK161" s="175"/>
      <c r="BL161" s="175"/>
      <c r="BM161" s="175"/>
      <c r="BN161" s="175"/>
      <c r="BO161" s="175"/>
      <c r="BP161" s="175"/>
      <c r="BQ161" s="175"/>
    </row>
    <row r="162" spans="1:69" s="123" customFormat="1" ht="12.75" x14ac:dyDescent="0.2">
      <c r="A162" s="34"/>
      <c r="B162" s="34"/>
      <c r="C162" s="33"/>
      <c r="D162" s="33"/>
      <c r="E162" s="33"/>
      <c r="F162" s="33"/>
      <c r="G162" s="33"/>
      <c r="H162" s="32"/>
      <c r="I162" s="32"/>
      <c r="J162" s="32"/>
      <c r="K162" s="34"/>
      <c r="L162" s="34"/>
      <c r="M162" s="34"/>
      <c r="N162" s="34"/>
      <c r="O162" s="34"/>
      <c r="P162" s="122"/>
      <c r="Q162" s="122"/>
      <c r="R162" s="122"/>
      <c r="S162" s="122"/>
      <c r="T162" s="122"/>
      <c r="U162" s="122"/>
      <c r="V162" s="122"/>
      <c r="W162" s="122"/>
      <c r="X162" s="122"/>
      <c r="Y162" s="122"/>
      <c r="Z162" s="122"/>
      <c r="AA162" s="122"/>
      <c r="AB162" s="122"/>
      <c r="AH162" s="174"/>
      <c r="AI162" s="174"/>
      <c r="AJ162" s="174"/>
      <c r="AK162" s="175"/>
      <c r="AL162" s="175"/>
      <c r="AM162" s="175"/>
      <c r="AN162" s="175"/>
      <c r="AO162" s="175"/>
      <c r="AP162" s="175"/>
      <c r="AQ162" s="175"/>
      <c r="AR162" s="175"/>
      <c r="AS162" s="175"/>
      <c r="AT162" s="175"/>
      <c r="AU162" s="175"/>
      <c r="AV162" s="175"/>
      <c r="AW162" s="175"/>
      <c r="AX162" s="175"/>
      <c r="AY162" s="175"/>
      <c r="AZ162" s="175"/>
      <c r="BA162" s="175"/>
      <c r="BB162" s="175"/>
      <c r="BC162" s="175"/>
      <c r="BD162" s="175"/>
      <c r="BE162" s="175"/>
      <c r="BF162" s="175"/>
      <c r="BG162" s="175"/>
      <c r="BH162" s="175"/>
      <c r="BI162" s="175"/>
      <c r="BJ162" s="175"/>
      <c r="BK162" s="175"/>
      <c r="BL162" s="175"/>
      <c r="BM162" s="175"/>
      <c r="BN162" s="175"/>
      <c r="BO162" s="175"/>
      <c r="BP162" s="175"/>
      <c r="BQ162" s="175"/>
    </row>
    <row r="163" spans="1:69" s="123" customFormat="1" ht="12.75" x14ac:dyDescent="0.2">
      <c r="A163" s="34"/>
      <c r="B163" s="34"/>
      <c r="C163" s="33"/>
      <c r="D163" s="33"/>
      <c r="E163" s="33"/>
      <c r="F163" s="33"/>
      <c r="G163" s="33"/>
      <c r="H163" s="32"/>
      <c r="I163" s="32"/>
      <c r="J163" s="32"/>
      <c r="K163" s="34"/>
      <c r="L163" s="34"/>
      <c r="M163" s="34"/>
      <c r="N163" s="34"/>
      <c r="O163" s="34"/>
      <c r="P163" s="122"/>
      <c r="Q163" s="122"/>
      <c r="R163" s="122"/>
      <c r="S163" s="122"/>
      <c r="T163" s="122"/>
      <c r="U163" s="122"/>
      <c r="V163" s="122"/>
      <c r="W163" s="122"/>
      <c r="X163" s="122"/>
      <c r="Y163" s="122"/>
      <c r="Z163" s="122"/>
      <c r="AA163" s="122"/>
      <c r="AB163" s="122"/>
      <c r="AH163" s="174"/>
      <c r="AI163" s="174"/>
      <c r="AJ163" s="174"/>
      <c r="AK163" s="175"/>
      <c r="AL163" s="175"/>
      <c r="AM163" s="175"/>
      <c r="AN163" s="175"/>
      <c r="AO163" s="175"/>
      <c r="AP163" s="175"/>
      <c r="AQ163" s="175"/>
      <c r="AR163" s="175"/>
      <c r="AS163" s="175"/>
      <c r="AT163" s="175"/>
      <c r="AU163" s="175"/>
      <c r="AV163" s="175"/>
      <c r="AW163" s="175"/>
      <c r="AX163" s="175"/>
      <c r="AY163" s="175"/>
      <c r="AZ163" s="175"/>
      <c r="BA163" s="175"/>
      <c r="BB163" s="175"/>
      <c r="BC163" s="175"/>
      <c r="BD163" s="175"/>
      <c r="BE163" s="175"/>
      <c r="BF163" s="175"/>
      <c r="BG163" s="175"/>
      <c r="BH163" s="175"/>
      <c r="BI163" s="175"/>
      <c r="BJ163" s="175"/>
      <c r="BK163" s="175"/>
      <c r="BL163" s="175"/>
      <c r="BM163" s="175"/>
      <c r="BN163" s="175"/>
      <c r="BO163" s="175"/>
      <c r="BP163" s="175"/>
      <c r="BQ163" s="175"/>
    </row>
    <row r="164" spans="1:69" s="123" customFormat="1" ht="12.75" x14ac:dyDescent="0.2">
      <c r="A164" s="34"/>
      <c r="B164" s="34"/>
      <c r="C164" s="33"/>
      <c r="D164" s="33"/>
      <c r="E164" s="33"/>
      <c r="F164" s="33"/>
      <c r="G164" s="33"/>
      <c r="H164" s="32"/>
      <c r="I164" s="32"/>
      <c r="J164" s="32"/>
      <c r="K164" s="34"/>
      <c r="L164" s="34"/>
      <c r="M164" s="34"/>
      <c r="N164" s="34"/>
      <c r="O164" s="34"/>
      <c r="P164" s="122"/>
      <c r="Q164" s="122"/>
      <c r="R164" s="122"/>
      <c r="S164" s="122"/>
      <c r="T164" s="122"/>
      <c r="U164" s="122"/>
      <c r="V164" s="122"/>
      <c r="W164" s="122"/>
      <c r="AH164" s="174"/>
      <c r="AI164" s="174"/>
      <c r="AJ164" s="174"/>
      <c r="AK164" s="175"/>
      <c r="AL164" s="175"/>
      <c r="AM164" s="175"/>
      <c r="AN164" s="175"/>
      <c r="AO164" s="175"/>
      <c r="AP164" s="175"/>
      <c r="AQ164" s="175"/>
      <c r="AR164" s="175"/>
      <c r="AS164" s="175"/>
      <c r="AT164" s="175"/>
      <c r="AU164" s="175"/>
      <c r="AV164" s="175"/>
      <c r="AW164" s="175"/>
      <c r="AX164" s="175"/>
      <c r="AY164" s="175"/>
      <c r="AZ164" s="175"/>
      <c r="BA164" s="175"/>
      <c r="BB164" s="175"/>
      <c r="BC164" s="175"/>
      <c r="BD164" s="175"/>
      <c r="BE164" s="175"/>
      <c r="BF164" s="175"/>
      <c r="BG164" s="175"/>
      <c r="BH164" s="175"/>
      <c r="BI164" s="175"/>
      <c r="BJ164" s="175"/>
      <c r="BK164" s="175"/>
      <c r="BL164" s="175"/>
      <c r="BM164" s="175"/>
      <c r="BN164" s="175"/>
      <c r="BO164" s="175"/>
      <c r="BP164" s="175"/>
      <c r="BQ164" s="175"/>
    </row>
    <row r="165" spans="1:69" s="123" customFormat="1" ht="12.75" x14ac:dyDescent="0.2">
      <c r="A165" s="34"/>
      <c r="B165" s="34"/>
      <c r="C165" s="33"/>
      <c r="D165" s="33"/>
      <c r="E165" s="33"/>
      <c r="F165" s="33"/>
      <c r="G165" s="33"/>
      <c r="H165" s="32"/>
      <c r="I165" s="32"/>
      <c r="J165" s="32"/>
      <c r="K165" s="34"/>
      <c r="L165" s="34"/>
      <c r="M165" s="34"/>
      <c r="N165" s="34"/>
      <c r="O165" s="34"/>
      <c r="P165" s="122"/>
      <c r="Q165" s="122"/>
      <c r="R165" s="122"/>
      <c r="S165" s="122"/>
      <c r="T165" s="122"/>
      <c r="U165" s="122"/>
      <c r="V165" s="122"/>
      <c r="W165" s="122"/>
      <c r="AH165" s="174"/>
      <c r="AI165" s="174"/>
      <c r="AJ165" s="174"/>
      <c r="AK165" s="175"/>
      <c r="AL165" s="175"/>
      <c r="AM165" s="175"/>
      <c r="AN165" s="175"/>
      <c r="AO165" s="175"/>
      <c r="AP165" s="175"/>
      <c r="AQ165" s="175"/>
      <c r="AR165" s="175"/>
      <c r="AS165" s="175"/>
      <c r="AT165" s="175"/>
      <c r="AU165" s="175"/>
      <c r="AV165" s="175"/>
      <c r="AW165" s="175"/>
      <c r="AX165" s="175"/>
      <c r="AY165" s="175"/>
      <c r="AZ165" s="175"/>
      <c r="BA165" s="175"/>
      <c r="BB165" s="175"/>
      <c r="BC165" s="175"/>
      <c r="BD165" s="175"/>
      <c r="BE165" s="175"/>
      <c r="BF165" s="175"/>
      <c r="BG165" s="175"/>
      <c r="BH165" s="175"/>
      <c r="BI165" s="175"/>
      <c r="BJ165" s="175"/>
      <c r="BK165" s="175"/>
      <c r="BL165" s="175"/>
      <c r="BM165" s="175"/>
      <c r="BN165" s="175"/>
      <c r="BO165" s="175"/>
      <c r="BP165" s="175"/>
      <c r="BQ165" s="175"/>
    </row>
    <row r="166" spans="1:69" s="123" customFormat="1" ht="12.75" x14ac:dyDescent="0.2">
      <c r="A166" s="34"/>
      <c r="B166" s="34"/>
      <c r="C166" s="33"/>
      <c r="D166" s="33"/>
      <c r="E166" s="33"/>
      <c r="F166" s="33"/>
      <c r="G166" s="33"/>
      <c r="H166" s="32"/>
      <c r="I166" s="32"/>
      <c r="J166" s="32"/>
      <c r="K166" s="34"/>
      <c r="L166" s="34"/>
      <c r="M166" s="34"/>
      <c r="N166" s="34"/>
      <c r="O166" s="34"/>
      <c r="P166" s="122"/>
      <c r="Q166" s="122"/>
      <c r="R166" s="122"/>
      <c r="S166" s="122"/>
      <c r="T166" s="122"/>
      <c r="U166" s="122"/>
      <c r="V166" s="122"/>
      <c r="W166" s="122"/>
      <c r="AH166" s="174"/>
      <c r="AI166" s="174"/>
      <c r="AJ166" s="174"/>
      <c r="AK166" s="175"/>
      <c r="AL166" s="175"/>
      <c r="AM166" s="175"/>
      <c r="AN166" s="175"/>
      <c r="AO166" s="175"/>
      <c r="AP166" s="175"/>
      <c r="AQ166" s="175"/>
      <c r="AR166" s="175"/>
      <c r="AS166" s="175"/>
      <c r="AT166" s="175"/>
      <c r="AU166" s="175"/>
      <c r="AV166" s="175"/>
      <c r="AW166" s="175"/>
      <c r="AX166" s="175"/>
      <c r="AY166" s="175"/>
      <c r="AZ166" s="175"/>
      <c r="BA166" s="175"/>
      <c r="BB166" s="175"/>
      <c r="BC166" s="175"/>
      <c r="BD166" s="175"/>
      <c r="BE166" s="175"/>
      <c r="BF166" s="175"/>
      <c r="BG166" s="175"/>
      <c r="BH166" s="175"/>
      <c r="BI166" s="175"/>
      <c r="BJ166" s="175"/>
      <c r="BK166" s="175"/>
      <c r="BL166" s="175"/>
      <c r="BM166" s="175"/>
      <c r="BN166" s="175"/>
      <c r="BO166" s="175"/>
      <c r="BP166" s="175"/>
      <c r="BQ166" s="175"/>
    </row>
    <row r="167" spans="1:69" s="123" customFormat="1" ht="12.95" customHeight="1" x14ac:dyDescent="0.2">
      <c r="A167" s="34"/>
      <c r="B167" s="34"/>
      <c r="C167" s="33"/>
      <c r="D167" s="33"/>
      <c r="E167" s="33"/>
      <c r="F167" s="33"/>
      <c r="G167" s="33"/>
      <c r="H167" s="32"/>
      <c r="I167" s="32"/>
      <c r="J167" s="32"/>
      <c r="K167" s="34"/>
      <c r="L167" s="34"/>
      <c r="M167" s="34"/>
      <c r="N167" s="34"/>
      <c r="O167" s="34"/>
      <c r="P167" s="122"/>
      <c r="Q167" s="122"/>
      <c r="R167" s="122"/>
      <c r="S167" s="122"/>
      <c r="T167" s="122"/>
      <c r="U167" s="122"/>
      <c r="V167" s="122"/>
      <c r="W167" s="122"/>
      <c r="AH167" s="174"/>
      <c r="AI167" s="174"/>
      <c r="AJ167" s="174"/>
      <c r="AK167" s="175"/>
      <c r="AL167" s="175"/>
      <c r="AM167" s="175"/>
      <c r="AN167" s="175"/>
      <c r="AO167" s="175"/>
      <c r="AP167" s="175"/>
      <c r="AQ167" s="175"/>
      <c r="AR167" s="175"/>
      <c r="AS167" s="175"/>
      <c r="AT167" s="175"/>
      <c r="AU167" s="175"/>
      <c r="AV167" s="175"/>
      <c r="AW167" s="175"/>
      <c r="AX167" s="175"/>
      <c r="AY167" s="175"/>
      <c r="AZ167" s="175"/>
      <c r="BA167" s="175"/>
      <c r="BB167" s="175"/>
      <c r="BC167" s="175"/>
      <c r="BD167" s="175"/>
      <c r="BE167" s="175"/>
      <c r="BF167" s="175"/>
      <c r="BG167" s="175"/>
      <c r="BH167" s="175"/>
      <c r="BI167" s="175"/>
      <c r="BJ167" s="175"/>
      <c r="BK167" s="175"/>
      <c r="BL167" s="175"/>
      <c r="BM167" s="175"/>
      <c r="BN167" s="175"/>
      <c r="BO167" s="175"/>
      <c r="BP167" s="175"/>
      <c r="BQ167" s="175"/>
    </row>
  </sheetData>
  <sheetProtection algorithmName="SHA-512" hashValue="+2xq+82jofyvrbg/vAw90WftKb064/aIyTrJoySAl7jsulPyOZgETd7ibnVwP8vsG+F7wdc1BeXwW/C6ZdJqQw==" saltValue="3cin0f+nOY0JaLluZ/RAbA==" spinCount="100000" sheet="1" objects="1" scenarios="1" selectLockedCells="1"/>
  <mergeCells count="375">
    <mergeCell ref="C114:F114"/>
    <mergeCell ref="C115:F115"/>
    <mergeCell ref="H53:I53"/>
    <mergeCell ref="L53:M53"/>
    <mergeCell ref="H54:I54"/>
    <mergeCell ref="L54:M54"/>
    <mergeCell ref="E60:F60"/>
    <mergeCell ref="G60:I60"/>
    <mergeCell ref="J60:K60"/>
    <mergeCell ref="L60:N60"/>
    <mergeCell ref="C68:D68"/>
    <mergeCell ref="C69:D69"/>
    <mergeCell ref="G89:I89"/>
    <mergeCell ref="J89:K89"/>
    <mergeCell ref="L89:N89"/>
    <mergeCell ref="E93:F93"/>
    <mergeCell ref="G93:I93"/>
    <mergeCell ref="J93:K93"/>
    <mergeCell ref="L93:N93"/>
    <mergeCell ref="E88:F88"/>
    <mergeCell ref="G88:I88"/>
    <mergeCell ref="J88:K88"/>
    <mergeCell ref="L88:N88"/>
    <mergeCell ref="L79:N79"/>
    <mergeCell ref="P87:Q87"/>
    <mergeCell ref="E87:F87"/>
    <mergeCell ref="G87:I87"/>
    <mergeCell ref="J87:K87"/>
    <mergeCell ref="L87:N87"/>
    <mergeCell ref="H38:I38"/>
    <mergeCell ref="L38:M38"/>
    <mergeCell ref="H39:I39"/>
    <mergeCell ref="L39:M39"/>
    <mergeCell ref="G44:N44"/>
    <mergeCell ref="G45:N45"/>
    <mergeCell ref="G46:N46"/>
    <mergeCell ref="G51:G52"/>
    <mergeCell ref="H51:I52"/>
    <mergeCell ref="J51:J52"/>
    <mergeCell ref="K51:N52"/>
    <mergeCell ref="E51:F52"/>
    <mergeCell ref="E53:F53"/>
    <mergeCell ref="E72:F72"/>
    <mergeCell ref="J73:K73"/>
    <mergeCell ref="E77:F77"/>
    <mergeCell ref="E86:F86"/>
    <mergeCell ref="E83:F83"/>
    <mergeCell ref="E85:F85"/>
    <mergeCell ref="L28:M28"/>
    <mergeCell ref="H29:I29"/>
    <mergeCell ref="L29:M29"/>
    <mergeCell ref="H30:I30"/>
    <mergeCell ref="L30:M30"/>
    <mergeCell ref="H31:I31"/>
    <mergeCell ref="L31:M31"/>
    <mergeCell ref="H32:I32"/>
    <mergeCell ref="L32:M32"/>
    <mergeCell ref="H33:I33"/>
    <mergeCell ref="L33:M33"/>
    <mergeCell ref="H34:I34"/>
    <mergeCell ref="L34:M34"/>
    <mergeCell ref="H35:I35"/>
    <mergeCell ref="L35:M35"/>
    <mergeCell ref="G72:I72"/>
    <mergeCell ref="J72:K72"/>
    <mergeCell ref="L72:N72"/>
    <mergeCell ref="J69:K69"/>
    <mergeCell ref="L69:N69"/>
    <mergeCell ref="J67:K67"/>
    <mergeCell ref="L67:N67"/>
    <mergeCell ref="G62:I62"/>
    <mergeCell ref="J62:K62"/>
    <mergeCell ref="L62:N62"/>
    <mergeCell ref="P88:Q88"/>
    <mergeCell ref="J101:K101"/>
    <mergeCell ref="L101:N101"/>
    <mergeCell ref="J94:K94"/>
    <mergeCell ref="D79:F79"/>
    <mergeCell ref="C77:D77"/>
    <mergeCell ref="J68:K68"/>
    <mergeCell ref="P99:Q99"/>
    <mergeCell ref="E100:F100"/>
    <mergeCell ref="G100:I100"/>
    <mergeCell ref="J100:K100"/>
    <mergeCell ref="L100:N100"/>
    <mergeCell ref="P100:Q100"/>
    <mergeCell ref="E96:F96"/>
    <mergeCell ref="G96:I96"/>
    <mergeCell ref="J96:K96"/>
    <mergeCell ref="L96:N96"/>
    <mergeCell ref="P96:Q96"/>
    <mergeCell ref="E76:F76"/>
    <mergeCell ref="G76:I76"/>
    <mergeCell ref="J76:K76"/>
    <mergeCell ref="L76:N76"/>
    <mergeCell ref="E71:F71"/>
    <mergeCell ref="G71:I71"/>
    <mergeCell ref="P107:Q107"/>
    <mergeCell ref="P106:Q106"/>
    <mergeCell ref="P103:Q103"/>
    <mergeCell ref="P104:Q104"/>
    <mergeCell ref="P105:Q105"/>
    <mergeCell ref="G95:I95"/>
    <mergeCell ref="E91:F91"/>
    <mergeCell ref="P26:P27"/>
    <mergeCell ref="Q26:S27"/>
    <mergeCell ref="J58:K59"/>
    <mergeCell ref="L58:N59"/>
    <mergeCell ref="P102:Q102"/>
    <mergeCell ref="P101:Q101"/>
    <mergeCell ref="J95:K95"/>
    <mergeCell ref="L95:N95"/>
    <mergeCell ref="P95:Q95"/>
    <mergeCell ref="J91:K91"/>
    <mergeCell ref="L91:N91"/>
    <mergeCell ref="P91:Q91"/>
    <mergeCell ref="J92:K92"/>
    <mergeCell ref="L92:N92"/>
    <mergeCell ref="P92:Q92"/>
    <mergeCell ref="J99:K99"/>
    <mergeCell ref="L99:N99"/>
    <mergeCell ref="L115:N115"/>
    <mergeCell ref="G108:I108"/>
    <mergeCell ref="J108:K108"/>
    <mergeCell ref="L108:N108"/>
    <mergeCell ref="G110:K110"/>
    <mergeCell ref="L110:N110"/>
    <mergeCell ref="L104:N104"/>
    <mergeCell ref="G106:I106"/>
    <mergeCell ref="J106:K106"/>
    <mergeCell ref="L106:N106"/>
    <mergeCell ref="G105:I105"/>
    <mergeCell ref="J105:K105"/>
    <mergeCell ref="L105:N105"/>
    <mergeCell ref="G114:N114"/>
    <mergeCell ref="G115:I115"/>
    <mergeCell ref="J115:K115"/>
    <mergeCell ref="T141:U141"/>
    <mergeCell ref="T132:U132"/>
    <mergeCell ref="T134:U134"/>
    <mergeCell ref="T135:U135"/>
    <mergeCell ref="T136:U136"/>
    <mergeCell ref="T139:U139"/>
    <mergeCell ref="T140:U140"/>
    <mergeCell ref="T124:U124"/>
    <mergeCell ref="T125:U125"/>
    <mergeCell ref="T126:U126"/>
    <mergeCell ref="T129:U129"/>
    <mergeCell ref="T130:U130"/>
    <mergeCell ref="T131:U131"/>
    <mergeCell ref="X118:Z118"/>
    <mergeCell ref="C119:F119"/>
    <mergeCell ref="G119:I119"/>
    <mergeCell ref="J119:K119"/>
    <mergeCell ref="L119:N119"/>
    <mergeCell ref="C116:F116"/>
    <mergeCell ref="G116:I116"/>
    <mergeCell ref="J116:K116"/>
    <mergeCell ref="L116:N116"/>
    <mergeCell ref="C117:F117"/>
    <mergeCell ref="G117:I117"/>
    <mergeCell ref="J117:K117"/>
    <mergeCell ref="L117:N117"/>
    <mergeCell ref="C118:F118"/>
    <mergeCell ref="G118:I118"/>
    <mergeCell ref="J118:K118"/>
    <mergeCell ref="L118:N118"/>
    <mergeCell ref="C109:D109"/>
    <mergeCell ref="J109:K109"/>
    <mergeCell ref="L109:N109"/>
    <mergeCell ref="E104:F104"/>
    <mergeCell ref="G104:I104"/>
    <mergeCell ref="J104:K104"/>
    <mergeCell ref="E102:F102"/>
    <mergeCell ref="G102:I102"/>
    <mergeCell ref="J102:K102"/>
    <mergeCell ref="L102:N102"/>
    <mergeCell ref="E103:F103"/>
    <mergeCell ref="G103:I103"/>
    <mergeCell ref="J103:K103"/>
    <mergeCell ref="L103:N103"/>
    <mergeCell ref="E106:F106"/>
    <mergeCell ref="E105:F105"/>
    <mergeCell ref="P89:Q89"/>
    <mergeCell ref="E90:F90"/>
    <mergeCell ref="G90:I90"/>
    <mergeCell ref="J90:K90"/>
    <mergeCell ref="L90:N90"/>
    <mergeCell ref="P90:Q90"/>
    <mergeCell ref="G101:I101"/>
    <mergeCell ref="E92:F92"/>
    <mergeCell ref="E89:F89"/>
    <mergeCell ref="E94:F94"/>
    <mergeCell ref="G94:I94"/>
    <mergeCell ref="P97:Q97"/>
    <mergeCell ref="P98:Q98"/>
    <mergeCell ref="L94:N94"/>
    <mergeCell ref="P94:Q94"/>
    <mergeCell ref="G99:I99"/>
    <mergeCell ref="P93:Q93"/>
    <mergeCell ref="E95:F95"/>
    <mergeCell ref="G91:I91"/>
    <mergeCell ref="G92:I92"/>
    <mergeCell ref="E70:F70"/>
    <mergeCell ref="G70:I70"/>
    <mergeCell ref="J70:K70"/>
    <mergeCell ref="L70:N70"/>
    <mergeCell ref="E73:F73"/>
    <mergeCell ref="G73:I73"/>
    <mergeCell ref="E101:F101"/>
    <mergeCell ref="E97:F97"/>
    <mergeCell ref="L68:N68"/>
    <mergeCell ref="E69:F69"/>
    <mergeCell ref="G69:I69"/>
    <mergeCell ref="J71:K71"/>
    <mergeCell ref="L71:N71"/>
    <mergeCell ref="L73:N73"/>
    <mergeCell ref="L74:N74"/>
    <mergeCell ref="G85:K85"/>
    <mergeCell ref="L85:N85"/>
    <mergeCell ref="L77:N77"/>
    <mergeCell ref="L86:N86"/>
    <mergeCell ref="H79:I79"/>
    <mergeCell ref="J79:K79"/>
    <mergeCell ref="J74:K74"/>
    <mergeCell ref="G77:I77"/>
    <mergeCell ref="J77:K77"/>
    <mergeCell ref="C63:D63"/>
    <mergeCell ref="E63:F63"/>
    <mergeCell ref="G63:I63"/>
    <mergeCell ref="J63:K63"/>
    <mergeCell ref="L63:N63"/>
    <mergeCell ref="P86:Q86"/>
    <mergeCell ref="C75:D75"/>
    <mergeCell ref="E75:F75"/>
    <mergeCell ref="G75:I75"/>
    <mergeCell ref="J75:K75"/>
    <mergeCell ref="L75:N75"/>
    <mergeCell ref="E74:F74"/>
    <mergeCell ref="G74:I74"/>
    <mergeCell ref="C66:D66"/>
    <mergeCell ref="E66:F66"/>
    <mergeCell ref="G66:I66"/>
    <mergeCell ref="J66:K66"/>
    <mergeCell ref="L66:N66"/>
    <mergeCell ref="C67:D67"/>
    <mergeCell ref="E67:F67"/>
    <mergeCell ref="G67:I67"/>
    <mergeCell ref="E68:F68"/>
    <mergeCell ref="G68:I68"/>
    <mergeCell ref="C65:D65"/>
    <mergeCell ref="E61:F61"/>
    <mergeCell ref="G61:I61"/>
    <mergeCell ref="J61:K61"/>
    <mergeCell ref="L61:N61"/>
    <mergeCell ref="E54:F54"/>
    <mergeCell ref="C55:E55"/>
    <mergeCell ref="F55:G55"/>
    <mergeCell ref="C56:D56"/>
    <mergeCell ref="E58:F59"/>
    <mergeCell ref="G58:I59"/>
    <mergeCell ref="E65:F65"/>
    <mergeCell ref="G65:I65"/>
    <mergeCell ref="J65:K65"/>
    <mergeCell ref="L65:N65"/>
    <mergeCell ref="C64:D64"/>
    <mergeCell ref="E64:F64"/>
    <mergeCell ref="G64:I64"/>
    <mergeCell ref="J64:K64"/>
    <mergeCell ref="L64:N64"/>
    <mergeCell ref="C62:D62"/>
    <mergeCell ref="E62:F62"/>
    <mergeCell ref="L24:M24"/>
    <mergeCell ref="B45:D45"/>
    <mergeCell ref="E45:F45"/>
    <mergeCell ref="B46:D46"/>
    <mergeCell ref="E46:F46"/>
    <mergeCell ref="E47:F47"/>
    <mergeCell ref="E35:F35"/>
    <mergeCell ref="E36:F36"/>
    <mergeCell ref="E37:F37"/>
    <mergeCell ref="E33:F33"/>
    <mergeCell ref="E34:F34"/>
    <mergeCell ref="E39:F39"/>
    <mergeCell ref="B43:D43"/>
    <mergeCell ref="E43:F43"/>
    <mergeCell ref="B44:D44"/>
    <mergeCell ref="E44:F44"/>
    <mergeCell ref="E38:F38"/>
    <mergeCell ref="H25:I25"/>
    <mergeCell ref="L25:M25"/>
    <mergeCell ref="H26:I26"/>
    <mergeCell ref="L26:M26"/>
    <mergeCell ref="H27:I27"/>
    <mergeCell ref="L27:M27"/>
    <mergeCell ref="H28:I28"/>
    <mergeCell ref="M5:N5"/>
    <mergeCell ref="H36:I36"/>
    <mergeCell ref="L36:M36"/>
    <mergeCell ref="H37:I37"/>
    <mergeCell ref="L37:M37"/>
    <mergeCell ref="E21:F21"/>
    <mergeCell ref="E22:F22"/>
    <mergeCell ref="E23:F23"/>
    <mergeCell ref="E30:F30"/>
    <mergeCell ref="E31:F31"/>
    <mergeCell ref="E27:F27"/>
    <mergeCell ref="E28:F28"/>
    <mergeCell ref="E29:F29"/>
    <mergeCell ref="E24:F24"/>
    <mergeCell ref="E25:F25"/>
    <mergeCell ref="E26:F26"/>
    <mergeCell ref="E32:F32"/>
    <mergeCell ref="H21:I21"/>
    <mergeCell ref="L21:M21"/>
    <mergeCell ref="H22:I22"/>
    <mergeCell ref="L22:M22"/>
    <mergeCell ref="H23:I23"/>
    <mergeCell ref="L23:M23"/>
    <mergeCell ref="H24:I24"/>
    <mergeCell ref="P14:S14"/>
    <mergeCell ref="P9:S9"/>
    <mergeCell ref="Q11:S13"/>
    <mergeCell ref="E13:F13"/>
    <mergeCell ref="E14:F14"/>
    <mergeCell ref="B11:D11"/>
    <mergeCell ref="E11:F12"/>
    <mergeCell ref="J11:J12"/>
    <mergeCell ref="G11:G12"/>
    <mergeCell ref="H11:I12"/>
    <mergeCell ref="K11:N12"/>
    <mergeCell ref="H13:I13"/>
    <mergeCell ref="L13:M13"/>
    <mergeCell ref="A14:D14"/>
    <mergeCell ref="H14:I14"/>
    <mergeCell ref="L14:M14"/>
    <mergeCell ref="E20:F20"/>
    <mergeCell ref="E15:F15"/>
    <mergeCell ref="E16:F16"/>
    <mergeCell ref="E17:F17"/>
    <mergeCell ref="E18:F18"/>
    <mergeCell ref="E19:F19"/>
    <mergeCell ref="H19:I19"/>
    <mergeCell ref="L19:M19"/>
    <mergeCell ref="H20:I20"/>
    <mergeCell ref="L20:M20"/>
    <mergeCell ref="H15:I15"/>
    <mergeCell ref="L15:M15"/>
    <mergeCell ref="H16:I16"/>
    <mergeCell ref="L16:M16"/>
    <mergeCell ref="H17:I17"/>
    <mergeCell ref="L17:M17"/>
    <mergeCell ref="H18:I18"/>
    <mergeCell ref="L18:M18"/>
    <mergeCell ref="C78:D78"/>
    <mergeCell ref="E78:F78"/>
    <mergeCell ref="G78:I78"/>
    <mergeCell ref="J78:K78"/>
    <mergeCell ref="L78:N78"/>
    <mergeCell ref="E107:F107"/>
    <mergeCell ref="G107:I107"/>
    <mergeCell ref="J107:K107"/>
    <mergeCell ref="L107:N107"/>
    <mergeCell ref="G97:I97"/>
    <mergeCell ref="J97:K97"/>
    <mergeCell ref="L97:N97"/>
    <mergeCell ref="E98:F98"/>
    <mergeCell ref="G98:I98"/>
    <mergeCell ref="J98:K98"/>
    <mergeCell ref="L98:N98"/>
    <mergeCell ref="E99:F99"/>
    <mergeCell ref="G86:I86"/>
    <mergeCell ref="J86:K86"/>
    <mergeCell ref="M81:N81"/>
    <mergeCell ref="M83:N83"/>
  </mergeCells>
  <conditionalFormatting sqref="C118">
    <cfRule type="cellIs" dxfId="307" priority="141" operator="lessThan">
      <formula>0</formula>
    </cfRule>
  </conditionalFormatting>
  <conditionalFormatting sqref="E83:F83">
    <cfRule type="expression" dxfId="306" priority="58">
      <formula>IF(ISBLANK($M$83),FALSE,TRUE)</formula>
    </cfRule>
  </conditionalFormatting>
  <conditionalFormatting sqref="L116:N118">
    <cfRule type="expression" dxfId="305" priority="56">
      <formula>IF(ISBLANK($J116),FALSE,TRUE)</formula>
    </cfRule>
  </conditionalFormatting>
  <conditionalFormatting sqref="J116:K118">
    <cfRule type="expression" dxfId="304" priority="55">
      <formula>IF($C116&lt;&gt;0,TRUE,FALSE)</formula>
    </cfRule>
  </conditionalFormatting>
  <conditionalFormatting sqref="L116:N118">
    <cfRule type="expression" dxfId="303" priority="28">
      <formula>IF(ISBLANK($J116),FALSE,TRUE)</formula>
    </cfRule>
  </conditionalFormatting>
  <conditionalFormatting sqref="J116:K118">
    <cfRule type="expression" dxfId="302" priority="27">
      <formula>IF($C116&lt;&gt;0,TRUE,FALSE)</formula>
    </cfRule>
  </conditionalFormatting>
  <conditionalFormatting sqref="A14:N14">
    <cfRule type="expression" dxfId="301" priority="155">
      <formula>$X$12</formula>
    </cfRule>
  </conditionalFormatting>
  <conditionalFormatting sqref="H21:N38 H15:J20 N15:N20">
    <cfRule type="expression" dxfId="300" priority="157">
      <formula>$X$11</formula>
    </cfRule>
  </conditionalFormatting>
  <conditionalFormatting sqref="K21:K38">
    <cfRule type="expression" dxfId="299" priority="23">
      <formula>L21&lt;&gt;0</formula>
    </cfRule>
  </conditionalFormatting>
  <conditionalFormatting sqref="C118">
    <cfRule type="cellIs" dxfId="298" priority="22" operator="lessThan">
      <formula>0</formula>
    </cfRule>
  </conditionalFormatting>
  <conditionalFormatting sqref="L116:N118">
    <cfRule type="expression" dxfId="297" priority="21">
      <formula>IF(ISBLANK($J116),FALSE,TRUE)</formula>
    </cfRule>
  </conditionalFormatting>
  <conditionalFormatting sqref="J116:K118">
    <cfRule type="expression" dxfId="296" priority="20">
      <formula>IF($C116&lt;&gt;0,TRUE,FALSE)</formula>
    </cfRule>
  </conditionalFormatting>
  <conditionalFormatting sqref="A19:G19 A22:G38">
    <cfRule type="expression" dxfId="295" priority="16">
      <formula>$X$11</formula>
    </cfRule>
  </conditionalFormatting>
  <conditionalFormatting sqref="A19:G19">
    <cfRule type="expression" dxfId="294" priority="13">
      <formula>$X$11</formula>
    </cfRule>
  </conditionalFormatting>
  <conditionalFormatting sqref="K19:M20 L15:M18">
    <cfRule type="expression" dxfId="293" priority="12">
      <formula>$X$11</formula>
    </cfRule>
  </conditionalFormatting>
  <conditionalFormatting sqref="K19:K20">
    <cfRule type="expression" dxfId="292" priority="10">
      <formula>L19&lt;&gt;0</formula>
    </cfRule>
  </conditionalFormatting>
  <conditionalFormatting sqref="L20:M20">
    <cfRule type="expression" dxfId="291" priority="9">
      <formula>$X$11</formula>
    </cfRule>
  </conditionalFormatting>
  <conditionalFormatting sqref="A15:G17">
    <cfRule type="expression" dxfId="290" priority="7">
      <formula>$X$11</formula>
    </cfRule>
  </conditionalFormatting>
  <conditionalFormatting sqref="A18:G18">
    <cfRule type="expression" dxfId="289" priority="6">
      <formula>$X$11</formula>
    </cfRule>
  </conditionalFormatting>
  <conditionalFormatting sqref="K15:K18">
    <cfRule type="expression" dxfId="288" priority="5">
      <formula>$X$11</formula>
    </cfRule>
  </conditionalFormatting>
  <conditionalFormatting sqref="K15">
    <cfRule type="expression" dxfId="287" priority="4">
      <formula>L15&lt;&gt;0</formula>
    </cfRule>
  </conditionalFormatting>
  <conditionalFormatting sqref="K16:K18">
    <cfRule type="expression" dxfId="286" priority="3">
      <formula>L16&lt;&gt;0</formula>
    </cfRule>
  </conditionalFormatting>
  <conditionalFormatting sqref="A21:G21">
    <cfRule type="expression" dxfId="285" priority="2">
      <formula>$X$11</formula>
    </cfRule>
  </conditionalFormatting>
  <conditionalFormatting sqref="A20:G20">
    <cfRule type="expression" dxfId="284" priority="1">
      <formula>$X$11</formula>
    </cfRule>
  </conditionalFormatting>
  <dataValidations count="5">
    <dataValidation type="list" allowBlank="1" showInputMessage="1" showErrorMessage="1" sqref="B11:D11" xr:uid="{00000000-0002-0000-0E00-000000000000}">
      <formula1>$U$11:$U$12</formula1>
    </dataValidation>
    <dataValidation allowBlank="1" showInputMessage="1" showErrorMessage="1" errorTitle="Fehlerhafte Eingabe" error="Auswahl der Berücksichtigung Förderbeiträge aus Drop-Down selektieren." sqref="D88" xr:uid="{00000000-0002-0000-0E00-000001000000}"/>
    <dataValidation type="custom" allowBlank="1" showErrorMessage="1" errorTitle="Gestehungskosten Überdefiniert" error="Mindestens eine der Gestehungskosten muss vom Programm automatisch berechnet werden._x000a__x000a_Es dürfen nicht alle Gestehungskosten manuell überschrieben werden._x000a_" sqref="J116:K118" xr:uid="{00000000-0002-0000-0E00-000002000000}">
      <formula1>IF(COUNTIF($J$116:$J$118,"")-1&gt;=COUNTIF($C$116:$C$118,0),TRUE,FALSE)</formula1>
    </dataValidation>
    <dataValidation type="custom" allowBlank="1" showInputMessage="1" showErrorMessage="1" errorTitle="Eingabe ausserhalb Bereich" error="Bitte wählen Sie eine Betrachtungsdauer zwischen 1 und 50 Jahren." sqref="M83:N83" xr:uid="{00000000-0002-0000-0E00-000003000000}">
      <formula1>IF(AND(M83&gt;0,M83&lt;=50),TRUE,FALSE)</formula1>
    </dataValidation>
    <dataValidation type="decimal" allowBlank="1" showInputMessage="1" showErrorMessage="1" error="Wert muss zwischen 0 und 100 liegen" sqref="C66 C68 C62 C64" xr:uid="{00000000-0002-0000-0E00-000004000000}">
      <formula1>0</formula1>
      <formula2>1</formula2>
    </dataValidation>
  </dataValidations>
  <hyperlinks>
    <hyperlink ref="G2" location="Neu_in_Version" display="i" xr:uid="{00000000-0004-0000-0E00-000000000000}"/>
  </hyperlinks>
  <printOptions horizontalCentered="1"/>
  <pageMargins left="0.55000000000000004" right="0.52" top="0.39370078740157483" bottom="0.56999999999999995" header="0.39370078740157483" footer="0.31496062992125984"/>
  <pageSetup paperSize="9" scale="84" firstPageNumber="3" fitToHeight="0" orientation="portrait" r:id="rId1"/>
  <headerFooter scaleWithDoc="0">
    <oddFooter>&amp;L&amp;8Druckdatum  &amp;D&amp;C&amp;8&amp;F/&amp;A&amp;R&amp;8Seite &amp;P / &amp;N</oddFooter>
  </headerFooter>
  <rowBreaks count="1" manualBreakCount="1">
    <brk id="79" max="13"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tabColor theme="9" tint="-0.499984740745262"/>
    <outlinePr summaryBelow="0"/>
    <pageSetUpPr fitToPage="1"/>
  </sheetPr>
  <dimension ref="A1:BP412"/>
  <sheetViews>
    <sheetView showGridLines="0" showZeros="0" zoomScaleNormal="100" zoomScaleSheetLayoutView="100" workbookViewId="0">
      <pane ySplit="13" topLeftCell="A14" activePane="bottomLeft" state="frozen"/>
      <selection activeCell="A8" sqref="A8:N8"/>
      <selection pane="bottomLeft" activeCell="B40" sqref="B40:D40"/>
    </sheetView>
  </sheetViews>
  <sheetFormatPr baseColWidth="10" defaultColWidth="11.42578125" defaultRowHeight="12.95" customHeight="1" x14ac:dyDescent="0.2"/>
  <cols>
    <col min="1" max="1" width="25.42578125" style="34" customWidth="1"/>
    <col min="2" max="2" width="12.42578125" style="33" customWidth="1"/>
    <col min="3" max="4" width="5.7109375" style="33" customWidth="1"/>
    <col min="5" max="5" width="6.85546875" style="33" customWidth="1"/>
    <col min="6" max="6" width="7.7109375" style="33" customWidth="1"/>
    <col min="7" max="8" width="4.85546875" style="32" customWidth="1"/>
    <col min="9" max="9" width="7.7109375" style="32" customWidth="1"/>
    <col min="10" max="10" width="9.7109375" style="34" customWidth="1"/>
    <col min="11" max="12" width="3.42578125" style="34" customWidth="1"/>
    <col min="13" max="13" width="9.7109375" style="34" customWidth="1"/>
    <col min="14" max="15" width="11.7109375" style="34" customWidth="1"/>
    <col min="16" max="16" width="7.42578125" style="123" customWidth="1"/>
    <col min="17" max="17" width="7.28515625" style="123" customWidth="1"/>
    <col min="18" max="18" width="8.28515625" style="123" customWidth="1"/>
    <col min="19" max="19" width="12.140625" style="127" customWidth="1"/>
    <col min="20" max="20" width="11.5703125" style="123" customWidth="1"/>
    <col min="21" max="21" width="10.140625" style="123" customWidth="1"/>
    <col min="22" max="22" width="11.5703125" style="123" customWidth="1"/>
    <col min="23" max="23" width="11" style="123" customWidth="1"/>
    <col min="24" max="24" width="10.140625" style="123" customWidth="1"/>
    <col min="25" max="25" width="8.5703125" style="123" customWidth="1"/>
    <col min="26" max="26" width="10.140625" style="123" customWidth="1"/>
    <col min="27" max="32" width="8.5703125" style="123" customWidth="1"/>
    <col min="33" max="35" width="8.5703125" style="174" customWidth="1"/>
    <col min="36" max="68" width="8.5703125" style="175" customWidth="1"/>
    <col min="69" max="69" width="5" style="32" customWidth="1"/>
    <col min="70" max="16384" width="11.42578125" style="32"/>
  </cols>
  <sheetData>
    <row r="1" spans="1:68" s="1571" customFormat="1" ht="54" customHeight="1" x14ac:dyDescent="0.2">
      <c r="D1" s="1556"/>
      <c r="E1" s="1556"/>
      <c r="F1" s="1556"/>
      <c r="G1" s="67"/>
      <c r="H1" s="67"/>
      <c r="I1" s="67"/>
    </row>
    <row r="2" spans="1:68" s="1571" customFormat="1" ht="15" customHeight="1" x14ac:dyDescent="0.25">
      <c r="A2" s="1565" t="str">
        <f>CONCATENATE("Variantenvergleich Energiesysteme - Version ",Versionsinfo!$B$4)</f>
        <v>Variantenvergleich Energiesysteme - Version 3.0</v>
      </c>
      <c r="B2" s="716"/>
      <c r="C2" s="716"/>
      <c r="D2" s="717"/>
      <c r="E2" s="651"/>
      <c r="F2" s="652" t="s">
        <v>586</v>
      </c>
      <c r="I2" s="67"/>
      <c r="L2" s="1376"/>
    </row>
    <row r="3" spans="1:68" s="425" customFormat="1" ht="12.75" customHeight="1" x14ac:dyDescent="0.2">
      <c r="A3" s="1557" t="s">
        <v>781</v>
      </c>
      <c r="D3" s="427"/>
      <c r="E3" s="427"/>
      <c r="F3" s="427"/>
      <c r="H3" s="903">
        <f>Projektdaten!$C$8</f>
        <v>0</v>
      </c>
      <c r="I3" s="903"/>
      <c r="J3" s="903"/>
      <c r="K3" s="903"/>
      <c r="L3" s="903"/>
      <c r="M3" s="903"/>
      <c r="N3" s="428"/>
    </row>
    <row r="4" spans="1:68" s="425" customFormat="1" ht="16.5" customHeight="1" x14ac:dyDescent="0.2">
      <c r="A4" s="430"/>
      <c r="H4" s="903">
        <f>Projektdaten!$J$8</f>
        <v>0</v>
      </c>
      <c r="I4" s="903"/>
      <c r="J4" s="904"/>
      <c r="K4" s="905"/>
      <c r="L4" s="905"/>
      <c r="M4" s="905"/>
    </row>
    <row r="5" spans="1:68" s="50" customFormat="1" ht="16.5" customHeight="1" x14ac:dyDescent="0.25">
      <c r="A5" s="1581" t="s">
        <v>716</v>
      </c>
      <c r="B5" s="601"/>
      <c r="H5" s="1435" t="str">
        <f>CONCATENATE("Version: ",Projektdaten!$F$13)</f>
        <v>Version: 1</v>
      </c>
      <c r="I5" s="1435"/>
      <c r="J5" s="1435"/>
      <c r="K5" s="1435"/>
      <c r="L5" s="2199">
        <f ca="1">Projektdaten!$F$15</f>
        <v>45372</v>
      </c>
      <c r="M5" s="2199"/>
      <c r="N5" s="901"/>
      <c r="O5" s="145"/>
      <c r="P5" s="123"/>
      <c r="Q5" s="126"/>
      <c r="R5" s="1376"/>
      <c r="S5" s="127"/>
      <c r="T5" s="123"/>
      <c r="U5" s="123"/>
      <c r="V5" s="123"/>
      <c r="W5" s="123"/>
      <c r="X5" s="123"/>
      <c r="Y5" s="123"/>
      <c r="Z5" s="123"/>
      <c r="AA5" s="123"/>
      <c r="AB5" s="123"/>
      <c r="AC5" s="123"/>
      <c r="AD5" s="123"/>
      <c r="AE5" s="123"/>
      <c r="AF5" s="123"/>
      <c r="AG5" s="174"/>
      <c r="AH5" s="174"/>
      <c r="AI5" s="174"/>
      <c r="AJ5" s="175"/>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c r="BN5" s="175"/>
      <c r="BO5" s="175"/>
      <c r="BP5" s="175"/>
    </row>
    <row r="6" spans="1:68" ht="13.5" customHeight="1" x14ac:dyDescent="0.2">
      <c r="B6" s="34"/>
    </row>
    <row r="7" spans="1:68" s="48" customFormat="1" ht="15" customHeight="1" x14ac:dyDescent="0.25">
      <c r="A7" s="280" t="s">
        <v>19</v>
      </c>
      <c r="B7" s="78">
        <f>EV_Var4!$C$7</f>
        <v>0</v>
      </c>
      <c r="C7" s="696"/>
      <c r="D7" s="167"/>
      <c r="E7" s="167"/>
      <c r="F7" s="1582">
        <f>EV_Var4!$J$7</f>
        <v>0</v>
      </c>
      <c r="G7" s="1582"/>
      <c r="H7" s="517"/>
      <c r="I7" s="517"/>
      <c r="J7" s="518"/>
      <c r="K7" s="518"/>
      <c r="L7" s="518"/>
      <c r="M7" s="518"/>
      <c r="O7" s="146"/>
      <c r="P7" s="144"/>
      <c r="Q7" s="128"/>
      <c r="R7" s="216"/>
      <c r="S7" s="125"/>
      <c r="T7" s="217"/>
      <c r="U7" s="183"/>
      <c r="V7" s="217"/>
      <c r="W7" s="217"/>
      <c r="X7" s="217"/>
      <c r="Y7" s="217"/>
      <c r="Z7" s="217"/>
      <c r="AA7" s="218"/>
      <c r="AB7" s="218"/>
      <c r="AC7" s="218"/>
      <c r="AD7" s="218"/>
      <c r="AE7" s="218"/>
      <c r="AF7" s="218"/>
      <c r="AG7" s="219"/>
      <c r="AH7" s="219"/>
      <c r="AI7" s="219"/>
      <c r="AJ7" s="220"/>
      <c r="AK7" s="220"/>
      <c r="AL7" s="221"/>
      <c r="AM7" s="221"/>
      <c r="AN7" s="221"/>
      <c r="AO7" s="221"/>
      <c r="AP7" s="221"/>
      <c r="AQ7" s="221"/>
      <c r="AR7" s="221"/>
      <c r="AS7" s="221"/>
      <c r="AT7" s="221"/>
      <c r="AU7" s="221"/>
      <c r="AV7" s="221"/>
      <c r="AW7" s="221"/>
      <c r="AX7" s="221"/>
      <c r="AY7" s="221"/>
      <c r="AZ7" s="221"/>
      <c r="BA7" s="221"/>
      <c r="BB7" s="221"/>
      <c r="BC7" s="221"/>
      <c r="BD7" s="221"/>
      <c r="BE7" s="221"/>
      <c r="BF7" s="221"/>
      <c r="BG7" s="221"/>
      <c r="BH7" s="221"/>
      <c r="BI7" s="221"/>
      <c r="BJ7" s="221"/>
      <c r="BK7" s="221"/>
      <c r="BL7" s="221"/>
      <c r="BM7" s="221"/>
      <c r="BN7" s="221"/>
      <c r="BO7" s="221"/>
      <c r="BP7" s="221"/>
    </row>
    <row r="8" spans="1:68" s="46" customFormat="1" ht="6" customHeight="1" x14ac:dyDescent="0.25">
      <c r="A8" s="47"/>
      <c r="G8" s="23" t="s">
        <v>11</v>
      </c>
      <c r="H8" s="23"/>
      <c r="I8" s="33"/>
      <c r="J8" s="33"/>
      <c r="K8" s="33"/>
      <c r="L8" s="33"/>
      <c r="M8" s="33"/>
      <c r="N8" s="33"/>
      <c r="O8" s="33"/>
      <c r="P8" s="123"/>
      <c r="Q8" s="129"/>
      <c r="R8" s="130"/>
      <c r="S8" s="125"/>
      <c r="T8" s="124"/>
      <c r="U8" s="124"/>
      <c r="V8" s="124"/>
      <c r="W8" s="124"/>
      <c r="X8" s="124"/>
      <c r="Y8" s="124"/>
      <c r="Z8" s="124"/>
      <c r="AA8" s="123"/>
      <c r="AB8" s="123"/>
      <c r="AC8" s="123"/>
      <c r="AD8" s="123"/>
      <c r="AE8" s="123"/>
      <c r="AF8" s="123"/>
      <c r="AG8" s="174"/>
      <c r="AH8" s="174"/>
      <c r="AI8" s="174"/>
      <c r="AJ8" s="175"/>
      <c r="AK8" s="175"/>
      <c r="AL8" s="175"/>
      <c r="AM8" s="175"/>
      <c r="AN8" s="175"/>
      <c r="AO8" s="175"/>
      <c r="AP8" s="175"/>
      <c r="AQ8" s="175"/>
      <c r="AR8" s="175"/>
      <c r="AS8" s="175"/>
      <c r="AT8" s="175"/>
      <c r="AU8" s="175"/>
      <c r="AV8" s="175"/>
      <c r="AW8" s="175"/>
      <c r="AX8" s="175"/>
      <c r="AY8" s="175"/>
      <c r="AZ8" s="175"/>
      <c r="BA8" s="175"/>
      <c r="BB8" s="175"/>
      <c r="BC8" s="175"/>
      <c r="BD8" s="175"/>
      <c r="BE8" s="175"/>
      <c r="BF8" s="175"/>
      <c r="BG8" s="175"/>
      <c r="BH8" s="175"/>
      <c r="BI8" s="175"/>
      <c r="BJ8" s="175"/>
      <c r="BK8" s="175"/>
      <c r="BL8" s="175"/>
      <c r="BM8" s="175"/>
      <c r="BN8" s="175"/>
      <c r="BO8" s="175"/>
      <c r="BP8" s="175"/>
    </row>
    <row r="9" spans="1:68" ht="17.25" customHeight="1" x14ac:dyDescent="0.25">
      <c r="A9" s="504" t="s">
        <v>629</v>
      </c>
      <c r="H9" s="148" t="s">
        <v>651</v>
      </c>
      <c r="I9" s="149">
        <f>IF(ISBLANK(Grunddaten!$O$8),Grunddaten!$N$8,Grunddaten!$O$8)</f>
        <v>2.2499999999999999E-2</v>
      </c>
      <c r="J9" s="510" t="s">
        <v>494</v>
      </c>
      <c r="K9" s="45"/>
      <c r="L9" s="45"/>
      <c r="M9" s="45"/>
      <c r="N9" s="45"/>
      <c r="O9" s="45"/>
      <c r="P9" s="131"/>
      <c r="Q9" s="124"/>
      <c r="R9" s="132"/>
      <c r="S9" s="125"/>
      <c r="T9" s="124"/>
      <c r="U9" s="124"/>
      <c r="V9" s="124"/>
      <c r="W9" s="124"/>
      <c r="X9" s="124"/>
      <c r="Y9" s="124"/>
      <c r="Z9" s="124"/>
    </row>
    <row r="10" spans="1:68" ht="2.25" customHeight="1" x14ac:dyDescent="0.2">
      <c r="N10" s="624"/>
      <c r="O10" s="623"/>
      <c r="P10" s="623"/>
      <c r="Q10" s="124"/>
      <c r="R10" s="124"/>
      <c r="S10" s="125"/>
      <c r="T10" s="124"/>
      <c r="U10" s="124"/>
      <c r="V10" s="124"/>
      <c r="W10" s="124"/>
      <c r="X10" s="124"/>
      <c r="Y10" s="124"/>
      <c r="Z10" s="124"/>
    </row>
    <row r="11" spans="1:68" s="176" customFormat="1" ht="11.25" customHeight="1" x14ac:dyDescent="0.2">
      <c r="A11" s="1049" t="s">
        <v>258</v>
      </c>
      <c r="B11" s="1108" t="s">
        <v>259</v>
      </c>
      <c r="C11" s="1100"/>
      <c r="D11" s="1109"/>
      <c r="E11" s="2378" t="s">
        <v>563</v>
      </c>
      <c r="F11" s="2379"/>
      <c r="G11" s="2378" t="s">
        <v>565</v>
      </c>
      <c r="H11" s="2379"/>
      <c r="I11" s="2376" t="s">
        <v>566</v>
      </c>
      <c r="J11" s="2376" t="s">
        <v>630</v>
      </c>
      <c r="K11" s="2697" t="s">
        <v>641</v>
      </c>
      <c r="L11" s="2698"/>
      <c r="M11" s="2699"/>
      <c r="N11" s="624"/>
      <c r="O11" s="623"/>
      <c r="P11" s="623"/>
      <c r="Q11" s="134"/>
      <c r="R11" s="134"/>
      <c r="S11" s="129"/>
      <c r="T11" s="124"/>
      <c r="U11" s="124"/>
      <c r="V11" s="124"/>
      <c r="W11" s="124"/>
      <c r="X11" s="124"/>
      <c r="Y11" s="124"/>
      <c r="Z11" s="123"/>
      <c r="AA11" s="123"/>
      <c r="AB11" s="123"/>
      <c r="AC11" s="123"/>
      <c r="AD11" s="123"/>
      <c r="AE11" s="123"/>
      <c r="AF11" s="174"/>
      <c r="AG11" s="174"/>
      <c r="AH11" s="174"/>
      <c r="AI11" s="175"/>
      <c r="AJ11" s="175"/>
    </row>
    <row r="12" spans="1:68" s="176" customFormat="1" ht="11.25" customHeight="1" x14ac:dyDescent="0.2">
      <c r="A12" s="1050"/>
      <c r="B12" s="1110"/>
      <c r="C12" s="1101"/>
      <c r="D12" s="1111"/>
      <c r="E12" s="2380"/>
      <c r="F12" s="2381"/>
      <c r="G12" s="2380"/>
      <c r="H12" s="2381"/>
      <c r="I12" s="2377"/>
      <c r="J12" s="2377"/>
      <c r="K12" s="2700"/>
      <c r="L12" s="2701"/>
      <c r="M12" s="2702"/>
      <c r="N12" s="624"/>
      <c r="O12" s="623"/>
      <c r="P12" s="623"/>
      <c r="Q12" s="134"/>
      <c r="R12" s="134"/>
      <c r="S12" s="129"/>
      <c r="T12" s="124"/>
      <c r="U12" s="124"/>
      <c r="V12" s="124"/>
      <c r="W12" s="124"/>
      <c r="X12" s="124"/>
      <c r="Y12" s="124"/>
      <c r="Z12" s="123"/>
      <c r="AA12" s="123"/>
      <c r="AB12" s="123"/>
      <c r="AC12" s="123"/>
      <c r="AD12" s="123"/>
      <c r="AE12" s="123"/>
      <c r="AF12" s="174"/>
      <c r="AG12" s="174"/>
      <c r="AH12" s="174"/>
      <c r="AI12" s="175"/>
      <c r="AJ12" s="175"/>
    </row>
    <row r="13" spans="1:68" s="176" customFormat="1" ht="11.25" customHeight="1" x14ac:dyDescent="0.2">
      <c r="A13" s="1053"/>
      <c r="B13" s="1112"/>
      <c r="C13" s="1054"/>
      <c r="D13" s="1113"/>
      <c r="E13" s="2483" t="s">
        <v>564</v>
      </c>
      <c r="F13" s="2484"/>
      <c r="G13" s="2483" t="s">
        <v>20</v>
      </c>
      <c r="H13" s="2484"/>
      <c r="I13" s="2696"/>
      <c r="J13" s="1114" t="s">
        <v>567</v>
      </c>
      <c r="K13" s="2483" t="s">
        <v>580</v>
      </c>
      <c r="L13" s="2349"/>
      <c r="M13" s="1102" t="s">
        <v>567</v>
      </c>
      <c r="N13" s="624"/>
      <c r="O13" s="623"/>
      <c r="P13" s="623"/>
      <c r="Q13" s="134"/>
      <c r="R13" s="134"/>
      <c r="S13" s="129"/>
      <c r="T13" s="124"/>
      <c r="U13" s="124"/>
      <c r="V13" s="124"/>
      <c r="W13" s="124"/>
      <c r="X13" s="124"/>
      <c r="Y13" s="124"/>
      <c r="Z13" s="123"/>
      <c r="AA13" s="123"/>
      <c r="AB13" s="123"/>
      <c r="AC13" s="123"/>
      <c r="AD13" s="123"/>
      <c r="AE13" s="123"/>
      <c r="AF13" s="174"/>
      <c r="AG13" s="174"/>
      <c r="AH13" s="174"/>
      <c r="AI13" s="175"/>
      <c r="AJ13" s="175"/>
    </row>
    <row r="14" spans="1:68" s="176" customFormat="1" ht="0.75" customHeight="1" x14ac:dyDescent="0.2">
      <c r="A14" s="1051"/>
      <c r="B14" s="1340"/>
      <c r="C14" s="1340"/>
      <c r="D14" s="1340"/>
      <c r="E14" s="1193"/>
      <c r="F14" s="1193"/>
      <c r="G14" s="1193"/>
      <c r="H14" s="1193"/>
      <c r="I14" s="1194"/>
      <c r="J14" s="1193"/>
      <c r="K14" s="1193"/>
      <c r="L14" s="1193"/>
      <c r="M14" s="1195"/>
      <c r="N14" s="1344"/>
      <c r="O14" s="722"/>
      <c r="P14" s="722"/>
      <c r="Q14" s="134"/>
      <c r="R14" s="134"/>
      <c r="S14" s="129"/>
      <c r="T14" s="124"/>
      <c r="U14" s="124"/>
      <c r="V14" s="124"/>
      <c r="W14" s="124"/>
      <c r="X14" s="124"/>
      <c r="Y14" s="124"/>
      <c r="Z14" s="123"/>
      <c r="AA14" s="123"/>
      <c r="AB14" s="123"/>
      <c r="AC14" s="123"/>
      <c r="AD14" s="123"/>
      <c r="AE14" s="123"/>
      <c r="AF14" s="174"/>
      <c r="AG14" s="174"/>
      <c r="AH14" s="174"/>
      <c r="AI14" s="175"/>
      <c r="AJ14" s="175"/>
    </row>
    <row r="15" spans="1:68" s="176" customFormat="1" ht="13.5" customHeight="1" x14ac:dyDescent="0.2">
      <c r="A15" s="2680" t="s">
        <v>554</v>
      </c>
      <c r="B15" s="2681"/>
      <c r="C15" s="2681"/>
      <c r="D15" s="2681"/>
      <c r="E15" s="2681"/>
      <c r="F15" s="2681"/>
      <c r="G15" s="2681"/>
      <c r="H15" s="2681"/>
      <c r="I15" s="2681"/>
      <c r="J15" s="2681"/>
      <c r="K15" s="2681"/>
      <c r="L15" s="2681"/>
      <c r="M15" s="2682"/>
      <c r="N15" s="624"/>
      <c r="O15" s="623"/>
      <c r="P15" s="623"/>
      <c r="Q15" s="134"/>
      <c r="R15" s="134"/>
      <c r="S15" s="129"/>
      <c r="T15" s="124"/>
      <c r="U15" s="124"/>
      <c r="V15" s="124"/>
      <c r="W15" s="124"/>
      <c r="X15" s="124"/>
      <c r="Y15" s="124"/>
      <c r="Z15" s="123"/>
      <c r="AA15" s="123"/>
      <c r="AB15" s="123"/>
      <c r="AC15" s="123"/>
      <c r="AD15" s="123"/>
      <c r="AE15" s="123"/>
      <c r="AF15" s="174"/>
      <c r="AG15" s="174"/>
      <c r="AH15" s="174"/>
      <c r="AI15" s="175"/>
      <c r="AJ15" s="175"/>
    </row>
    <row r="16" spans="1:68" s="36" customFormat="1" ht="12" customHeight="1" x14ac:dyDescent="0.2">
      <c r="A16" s="1042" t="str">
        <f>A40</f>
        <v>1. Wärmequelle Baumeister</v>
      </c>
      <c r="B16" s="2693">
        <f>B40</f>
        <v>0</v>
      </c>
      <c r="C16" s="2694">
        <f>C40</f>
        <v>0</v>
      </c>
      <c r="D16" s="2695">
        <f>D40</f>
        <v>0</v>
      </c>
      <c r="E16" s="2627">
        <f>E40</f>
        <v>0</v>
      </c>
      <c r="F16" s="2628"/>
      <c r="G16" s="1067"/>
      <c r="H16" s="1068"/>
      <c r="I16" s="1069"/>
      <c r="J16" s="982">
        <f>J40</f>
        <v>0</v>
      </c>
      <c r="K16" s="2705" t="str">
        <f t="shared" ref="K16:K38" si="0">IF(E16=0,"",M16/E16*100)</f>
        <v/>
      </c>
      <c r="L16" s="2706"/>
      <c r="M16" s="1064">
        <f>M40</f>
        <v>0</v>
      </c>
      <c r="N16" s="599"/>
      <c r="O16" s="598"/>
      <c r="P16" s="598"/>
      <c r="Q16" s="598"/>
      <c r="R16" s="136"/>
      <c r="S16" s="129"/>
      <c r="T16" s="129"/>
      <c r="U16" s="129"/>
      <c r="V16" s="129"/>
      <c r="W16" s="129"/>
      <c r="X16" s="129"/>
      <c r="Y16" s="129"/>
      <c r="Z16" s="133"/>
      <c r="AA16" s="133"/>
      <c r="AB16" s="133"/>
      <c r="AC16" s="133"/>
      <c r="AD16" s="133"/>
      <c r="AE16" s="133"/>
      <c r="AF16" s="222"/>
      <c r="AG16" s="222"/>
      <c r="AH16" s="222"/>
      <c r="AI16" s="176"/>
      <c r="AJ16" s="176"/>
      <c r="AK16" s="176"/>
      <c r="AL16" s="176"/>
      <c r="AM16" s="176"/>
      <c r="AN16" s="176"/>
      <c r="AO16" s="176"/>
      <c r="AP16" s="176"/>
      <c r="AQ16" s="176"/>
      <c r="AR16" s="176"/>
      <c r="AS16" s="176"/>
      <c r="AT16" s="176"/>
      <c r="AU16" s="176"/>
      <c r="AV16" s="176"/>
      <c r="AW16" s="176"/>
      <c r="AX16" s="176"/>
      <c r="AY16" s="176"/>
      <c r="AZ16" s="176"/>
      <c r="BA16" s="176"/>
      <c r="BB16" s="176"/>
      <c r="BC16" s="176"/>
      <c r="BD16" s="176"/>
      <c r="BE16" s="176"/>
      <c r="BF16" s="176"/>
      <c r="BG16" s="176"/>
      <c r="BH16" s="176"/>
      <c r="BI16" s="176"/>
      <c r="BJ16" s="176"/>
      <c r="BK16" s="176"/>
      <c r="BL16" s="176"/>
      <c r="BM16" s="176"/>
      <c r="BN16" s="176"/>
      <c r="BO16" s="176"/>
    </row>
    <row r="17" spans="1:67" s="36" customFormat="1" ht="12" customHeight="1" x14ac:dyDescent="0.2">
      <c r="A17" s="1043" t="str">
        <f>A55</f>
        <v>2. Wärmequelle Technisch</v>
      </c>
      <c r="B17" s="2638">
        <f>B55</f>
        <v>0</v>
      </c>
      <c r="C17" s="2639"/>
      <c r="D17" s="2640"/>
      <c r="E17" s="2599">
        <f>E55</f>
        <v>0</v>
      </c>
      <c r="F17" s="2600"/>
      <c r="G17" s="1070"/>
      <c r="H17" s="1071"/>
      <c r="I17" s="1072"/>
      <c r="J17" s="989">
        <f>J55</f>
        <v>0</v>
      </c>
      <c r="K17" s="2703" t="str">
        <f t="shared" si="0"/>
        <v/>
      </c>
      <c r="L17" s="2704"/>
      <c r="M17" s="1065">
        <f>M55</f>
        <v>0</v>
      </c>
      <c r="N17" s="599"/>
      <c r="O17" s="598"/>
      <c r="P17" s="598"/>
      <c r="Q17" s="598"/>
      <c r="R17" s="136"/>
      <c r="S17" s="129"/>
      <c r="T17" s="129"/>
      <c r="U17" s="129"/>
      <c r="V17" s="129"/>
      <c r="W17" s="129"/>
      <c r="X17" s="129"/>
      <c r="Y17" s="129"/>
      <c r="Z17" s="133"/>
      <c r="AA17" s="133"/>
      <c r="AB17" s="133"/>
      <c r="AC17" s="133"/>
      <c r="AD17" s="133"/>
      <c r="AE17" s="133"/>
      <c r="AF17" s="222"/>
      <c r="AG17" s="222"/>
      <c r="AH17" s="222"/>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36" customFormat="1" ht="12" customHeight="1" x14ac:dyDescent="0.2">
      <c r="A18" s="1043" t="str">
        <f>A70</f>
        <v>3. Energiezulieferung</v>
      </c>
      <c r="B18" s="2638">
        <f>B70</f>
        <v>0</v>
      </c>
      <c r="C18" s="2639"/>
      <c r="D18" s="2640"/>
      <c r="E18" s="2599">
        <f>E70</f>
        <v>0</v>
      </c>
      <c r="F18" s="2600"/>
      <c r="G18" s="1070"/>
      <c r="H18" s="1071"/>
      <c r="I18" s="1072"/>
      <c r="J18" s="989">
        <f>J70</f>
        <v>0</v>
      </c>
      <c r="K18" s="2703" t="str">
        <f t="shared" si="0"/>
        <v/>
      </c>
      <c r="L18" s="2704"/>
      <c r="M18" s="1065">
        <f>M70</f>
        <v>0</v>
      </c>
      <c r="N18" s="599"/>
      <c r="O18" s="598"/>
      <c r="P18" s="598"/>
      <c r="Q18" s="598"/>
      <c r="R18" s="136"/>
      <c r="S18" s="129"/>
      <c r="T18" s="129"/>
      <c r="U18" s="129"/>
      <c r="V18" s="129"/>
      <c r="W18" s="129"/>
      <c r="X18" s="129"/>
      <c r="Y18" s="129"/>
      <c r="Z18" s="133"/>
      <c r="AA18" s="133"/>
      <c r="AB18" s="133"/>
      <c r="AC18" s="133"/>
      <c r="AD18" s="133"/>
      <c r="AE18" s="133"/>
      <c r="AF18" s="222"/>
      <c r="AG18" s="222"/>
      <c r="AH18" s="222"/>
      <c r="AI18" s="176"/>
      <c r="AJ18" s="176"/>
      <c r="AK18" s="176"/>
      <c r="AL18" s="176"/>
      <c r="AM18" s="176"/>
      <c r="AN18" s="176"/>
      <c r="AO18" s="176"/>
      <c r="AP18" s="176"/>
      <c r="AQ18" s="176"/>
      <c r="AR18" s="176"/>
      <c r="AS18" s="176"/>
      <c r="AT18" s="176"/>
      <c r="AU18" s="176"/>
      <c r="AV18" s="176"/>
      <c r="AW18" s="176"/>
      <c r="AX18" s="176"/>
      <c r="AY18" s="176"/>
      <c r="AZ18" s="176"/>
      <c r="BA18" s="176"/>
      <c r="BB18" s="176"/>
      <c r="BC18" s="176"/>
      <c r="BD18" s="176"/>
      <c r="BE18" s="176"/>
      <c r="BF18" s="176"/>
      <c r="BG18" s="176"/>
      <c r="BH18" s="176"/>
      <c r="BI18" s="176"/>
      <c r="BJ18" s="176"/>
      <c r="BK18" s="176"/>
      <c r="BL18" s="176"/>
      <c r="BM18" s="176"/>
      <c r="BN18" s="176"/>
      <c r="BO18" s="176"/>
    </row>
    <row r="19" spans="1:67" s="36" customFormat="1" ht="12" customHeight="1" x14ac:dyDescent="0.2">
      <c r="A19" s="1043" t="str">
        <f>A85</f>
        <v>4. Wärme- / Kälteerzeugung</v>
      </c>
      <c r="B19" s="2638">
        <f>B85</f>
        <v>0</v>
      </c>
      <c r="C19" s="2639"/>
      <c r="D19" s="2640"/>
      <c r="E19" s="2599">
        <f>E85</f>
        <v>0</v>
      </c>
      <c r="F19" s="2600"/>
      <c r="G19" s="1070"/>
      <c r="H19" s="1071"/>
      <c r="I19" s="1072"/>
      <c r="J19" s="989">
        <f>J85</f>
        <v>0</v>
      </c>
      <c r="K19" s="2703" t="str">
        <f t="shared" si="0"/>
        <v/>
      </c>
      <c r="L19" s="2704"/>
      <c r="M19" s="1065">
        <f>M85</f>
        <v>0</v>
      </c>
      <c r="N19" s="599"/>
      <c r="O19" s="598"/>
      <c r="P19" s="598"/>
      <c r="Q19" s="598"/>
      <c r="R19" s="136"/>
      <c r="S19" s="129"/>
      <c r="T19" s="129"/>
      <c r="U19" s="129"/>
      <c r="V19" s="129"/>
      <c r="W19" s="129"/>
      <c r="X19" s="129"/>
      <c r="Y19" s="129"/>
      <c r="Z19" s="133"/>
      <c r="AA19" s="133"/>
      <c r="AB19" s="133"/>
      <c r="AC19" s="133"/>
      <c r="AD19" s="133"/>
      <c r="AE19" s="133"/>
      <c r="AF19" s="222"/>
      <c r="AG19" s="222"/>
      <c r="AH19" s="222"/>
      <c r="AI19" s="176"/>
      <c r="AJ19" s="176"/>
      <c r="AK19" s="176"/>
      <c r="AL19" s="176"/>
      <c r="AM19" s="176"/>
      <c r="AN19" s="176"/>
      <c r="AO19" s="176"/>
      <c r="AP19" s="176"/>
      <c r="AQ19" s="176"/>
      <c r="AR19" s="176"/>
      <c r="AS19" s="176"/>
      <c r="AT19" s="176"/>
      <c r="AU19" s="176"/>
      <c r="AV19" s="176"/>
      <c r="AW19" s="176"/>
      <c r="AX19" s="176"/>
      <c r="AY19" s="176"/>
      <c r="AZ19" s="176"/>
      <c r="BA19" s="176"/>
      <c r="BB19" s="176"/>
      <c r="BC19" s="176"/>
      <c r="BD19" s="176"/>
      <c r="BE19" s="176"/>
      <c r="BF19" s="176"/>
      <c r="BG19" s="176"/>
      <c r="BH19" s="176"/>
      <c r="BI19" s="176"/>
      <c r="BJ19" s="176"/>
      <c r="BK19" s="176"/>
      <c r="BL19" s="176"/>
      <c r="BM19" s="176"/>
      <c r="BN19" s="176"/>
      <c r="BO19" s="176"/>
    </row>
    <row r="20" spans="1:67" s="36" customFormat="1" ht="12" customHeight="1" x14ac:dyDescent="0.2">
      <c r="A20" s="1043" t="str">
        <f>A102</f>
        <v>5. Kaminanlage</v>
      </c>
      <c r="B20" s="2638">
        <f>B102</f>
        <v>0</v>
      </c>
      <c r="C20" s="2639"/>
      <c r="D20" s="2640"/>
      <c r="E20" s="2599">
        <f>E102</f>
        <v>0</v>
      </c>
      <c r="F20" s="2600"/>
      <c r="G20" s="1070"/>
      <c r="H20" s="1071"/>
      <c r="I20" s="1072"/>
      <c r="J20" s="989">
        <f>J102</f>
        <v>0</v>
      </c>
      <c r="K20" s="2703" t="str">
        <f t="shared" si="0"/>
        <v/>
      </c>
      <c r="L20" s="2704"/>
      <c r="M20" s="1065">
        <f>M102</f>
        <v>0</v>
      </c>
      <c r="N20" s="599"/>
      <c r="O20" s="598"/>
      <c r="P20" s="598"/>
      <c r="Q20" s="598"/>
      <c r="R20" s="136"/>
      <c r="S20" s="129"/>
      <c r="T20" s="129"/>
      <c r="U20" s="129"/>
      <c r="V20" s="129"/>
      <c r="W20" s="129"/>
      <c r="X20" s="129"/>
      <c r="Y20" s="129"/>
      <c r="Z20" s="133"/>
      <c r="AA20" s="133"/>
      <c r="AB20" s="133"/>
      <c r="AC20" s="133"/>
      <c r="AD20" s="133"/>
      <c r="AE20" s="133"/>
      <c r="AF20" s="222"/>
      <c r="AG20" s="222"/>
      <c r="AH20" s="222"/>
      <c r="AI20" s="176"/>
      <c r="AJ20" s="176"/>
      <c r="AK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BG20" s="176"/>
      <c r="BH20" s="176"/>
      <c r="BI20" s="176"/>
      <c r="BJ20" s="176"/>
      <c r="BK20" s="176"/>
      <c r="BL20" s="176"/>
      <c r="BM20" s="176"/>
      <c r="BN20" s="176"/>
      <c r="BO20" s="176"/>
    </row>
    <row r="21" spans="1:67" s="36" customFormat="1" ht="12" customHeight="1" x14ac:dyDescent="0.2">
      <c r="A21" s="1043" t="str">
        <f>A117</f>
        <v>6. Wärmeverteilung</v>
      </c>
      <c r="B21" s="2638">
        <f>B117</f>
        <v>0</v>
      </c>
      <c r="C21" s="2639"/>
      <c r="D21" s="2640"/>
      <c r="E21" s="2599">
        <f>E117</f>
        <v>0</v>
      </c>
      <c r="F21" s="2600"/>
      <c r="G21" s="1070"/>
      <c r="H21" s="1071"/>
      <c r="I21" s="1072"/>
      <c r="J21" s="989">
        <f>J117</f>
        <v>0</v>
      </c>
      <c r="K21" s="2703" t="str">
        <f t="shared" si="0"/>
        <v/>
      </c>
      <c r="L21" s="2704"/>
      <c r="M21" s="1065">
        <f>M117</f>
        <v>0</v>
      </c>
      <c r="N21" s="599"/>
      <c r="O21" s="598"/>
      <c r="P21" s="598"/>
      <c r="Q21" s="598"/>
      <c r="R21" s="136"/>
      <c r="S21" s="129"/>
      <c r="T21" s="129"/>
      <c r="U21" s="129"/>
      <c r="V21" s="129"/>
      <c r="W21" s="129"/>
      <c r="X21" s="129"/>
      <c r="Y21" s="129"/>
      <c r="Z21" s="133"/>
      <c r="AA21" s="133"/>
      <c r="AB21" s="133"/>
      <c r="AC21" s="133"/>
      <c r="AD21" s="133"/>
      <c r="AE21" s="133"/>
      <c r="AF21" s="222"/>
      <c r="AG21" s="222"/>
      <c r="AH21" s="222"/>
      <c r="AI21" s="176"/>
      <c r="AJ21" s="176"/>
      <c r="AK21" s="176"/>
      <c r="AL21" s="176"/>
      <c r="AM21" s="176"/>
      <c r="AN21" s="176"/>
      <c r="AO21" s="176"/>
      <c r="AP21" s="176"/>
      <c r="AQ21" s="176"/>
      <c r="AR21" s="176"/>
      <c r="AS21" s="176"/>
      <c r="AT21" s="176"/>
      <c r="AU21" s="176"/>
      <c r="AV21" s="176"/>
      <c r="AW21" s="176"/>
      <c r="AX21" s="176"/>
      <c r="AY21" s="176"/>
      <c r="AZ21" s="176"/>
      <c r="BA21" s="176"/>
      <c r="BB21" s="176"/>
      <c r="BC21" s="176"/>
      <c r="BD21" s="176"/>
      <c r="BE21" s="176"/>
      <c r="BF21" s="176"/>
      <c r="BG21" s="176"/>
      <c r="BH21" s="176"/>
      <c r="BI21" s="176"/>
      <c r="BJ21" s="176"/>
      <c r="BK21" s="176"/>
      <c r="BL21" s="176"/>
      <c r="BM21" s="176"/>
      <c r="BN21" s="176"/>
      <c r="BO21" s="176"/>
    </row>
    <row r="22" spans="1:67" s="36" customFormat="1" ht="12" customHeight="1" x14ac:dyDescent="0.2">
      <c r="A22" s="1043" t="str">
        <f>A132</f>
        <v>7. Wärme- / Kälteabgabe</v>
      </c>
      <c r="B22" s="2638">
        <f>B132</f>
        <v>0</v>
      </c>
      <c r="C22" s="2639"/>
      <c r="D22" s="2640"/>
      <c r="E22" s="2599">
        <f>E132</f>
        <v>0</v>
      </c>
      <c r="F22" s="2600"/>
      <c r="G22" s="1070"/>
      <c r="H22" s="1071"/>
      <c r="I22" s="1072"/>
      <c r="J22" s="989">
        <f>J132</f>
        <v>0</v>
      </c>
      <c r="K22" s="2703" t="str">
        <f t="shared" si="0"/>
        <v/>
      </c>
      <c r="L22" s="2704"/>
      <c r="M22" s="1065">
        <f>M132</f>
        <v>0</v>
      </c>
      <c r="N22" s="599"/>
      <c r="O22" s="598"/>
      <c r="P22" s="598"/>
      <c r="Q22" s="598"/>
      <c r="R22" s="136"/>
      <c r="S22" s="129"/>
      <c r="T22" s="129"/>
      <c r="U22" s="129"/>
      <c r="V22" s="129"/>
      <c r="W22" s="129"/>
      <c r="X22" s="129"/>
      <c r="Y22" s="129"/>
      <c r="Z22" s="133"/>
      <c r="AA22" s="133"/>
      <c r="AB22" s="133"/>
      <c r="AC22" s="133"/>
      <c r="AD22" s="133"/>
      <c r="AE22" s="133"/>
      <c r="AF22" s="222"/>
      <c r="AG22" s="222"/>
      <c r="AH22" s="222"/>
      <c r="AI22" s="176"/>
      <c r="AJ22" s="176"/>
      <c r="AK22" s="176"/>
      <c r="AL22" s="176"/>
      <c r="AM22" s="176"/>
      <c r="AN22" s="176"/>
      <c r="AO22" s="176"/>
      <c r="AP22" s="176"/>
      <c r="AQ22" s="176"/>
      <c r="AR22" s="176"/>
      <c r="AS22" s="176"/>
      <c r="AT22" s="176"/>
      <c r="AU22" s="176"/>
      <c r="AV22" s="176"/>
      <c r="AW22" s="176"/>
      <c r="AX22" s="176"/>
      <c r="AY22" s="176"/>
      <c r="AZ22" s="176"/>
      <c r="BA22" s="176"/>
      <c r="BB22" s="176"/>
      <c r="BC22" s="176"/>
      <c r="BD22" s="176"/>
      <c r="BE22" s="176"/>
      <c r="BF22" s="176"/>
      <c r="BG22" s="176"/>
      <c r="BH22" s="176"/>
      <c r="BI22" s="176"/>
      <c r="BJ22" s="176"/>
      <c r="BK22" s="176"/>
      <c r="BL22" s="176"/>
      <c r="BM22" s="176"/>
      <c r="BN22" s="176"/>
      <c r="BO22" s="176"/>
    </row>
    <row r="23" spans="1:67" s="36" customFormat="1" ht="12" customHeight="1" x14ac:dyDescent="0.2">
      <c r="A23" s="1043" t="str">
        <f>A147</f>
        <v>8. Sicherheit</v>
      </c>
      <c r="B23" s="2638">
        <f>B147</f>
        <v>0</v>
      </c>
      <c r="C23" s="2639"/>
      <c r="D23" s="2640"/>
      <c r="E23" s="2599">
        <f>E147</f>
        <v>0</v>
      </c>
      <c r="F23" s="2600"/>
      <c r="G23" s="1070"/>
      <c r="H23" s="1071"/>
      <c r="I23" s="1072"/>
      <c r="J23" s="989">
        <f>J147</f>
        <v>0</v>
      </c>
      <c r="K23" s="2703" t="str">
        <f t="shared" si="0"/>
        <v/>
      </c>
      <c r="L23" s="2704"/>
      <c r="M23" s="1065">
        <f>M147</f>
        <v>0</v>
      </c>
      <c r="N23" s="599"/>
      <c r="O23" s="598"/>
      <c r="P23" s="598"/>
      <c r="Q23" s="598"/>
      <c r="R23" s="136"/>
      <c r="S23" s="129"/>
      <c r="T23" s="129"/>
      <c r="U23" s="129"/>
      <c r="V23" s="129"/>
      <c r="W23" s="129"/>
      <c r="X23" s="129"/>
      <c r="Y23" s="129"/>
      <c r="Z23" s="133"/>
      <c r="AA23" s="133"/>
      <c r="AB23" s="133"/>
      <c r="AC23" s="133"/>
      <c r="AD23" s="133"/>
      <c r="AE23" s="133"/>
      <c r="AF23" s="222"/>
      <c r="AG23" s="222"/>
      <c r="AH23" s="222"/>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row>
    <row r="24" spans="1:67" s="36" customFormat="1" ht="12" customHeight="1" x14ac:dyDescent="0.2">
      <c r="A24" s="1043" t="str">
        <f>A162</f>
        <v>9. Sanitär</v>
      </c>
      <c r="B24" s="2638">
        <f>B162</f>
        <v>0</v>
      </c>
      <c r="C24" s="2639"/>
      <c r="D24" s="2640"/>
      <c r="E24" s="2599">
        <f>E162</f>
        <v>0</v>
      </c>
      <c r="F24" s="2600"/>
      <c r="G24" s="1070"/>
      <c r="H24" s="1071"/>
      <c r="I24" s="1072"/>
      <c r="J24" s="989">
        <f>J162</f>
        <v>0</v>
      </c>
      <c r="K24" s="2703" t="str">
        <f t="shared" si="0"/>
        <v/>
      </c>
      <c r="L24" s="2704"/>
      <c r="M24" s="1065">
        <f>M162</f>
        <v>0</v>
      </c>
      <c r="N24" s="599"/>
      <c r="O24" s="598"/>
      <c r="P24" s="598"/>
      <c r="Q24" s="598"/>
      <c r="R24" s="136"/>
      <c r="S24" s="129"/>
      <c r="T24" s="129"/>
      <c r="U24" s="129"/>
      <c r="V24" s="129"/>
      <c r="W24" s="129"/>
      <c r="X24" s="129"/>
      <c r="Y24" s="129"/>
      <c r="Z24" s="133"/>
      <c r="AA24" s="133"/>
      <c r="AB24" s="133"/>
      <c r="AC24" s="133"/>
      <c r="AD24" s="133"/>
      <c r="AE24" s="133"/>
      <c r="AF24" s="222"/>
      <c r="AG24" s="222"/>
      <c r="AH24" s="222"/>
      <c r="AI24" s="176"/>
      <c r="AJ24" s="176"/>
      <c r="AK24" s="176"/>
      <c r="AL24" s="176"/>
      <c r="AM24" s="176"/>
      <c r="AN24" s="176"/>
      <c r="AO24" s="176"/>
      <c r="AP24" s="176"/>
      <c r="AQ24" s="176"/>
      <c r="AR24" s="176"/>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row>
    <row r="25" spans="1:67" s="36" customFormat="1" ht="12" customHeight="1" x14ac:dyDescent="0.2">
      <c r="A25" s="1043" t="str">
        <f>A177</f>
        <v>10. Lüftung</v>
      </c>
      <c r="B25" s="2638">
        <f>B177</f>
        <v>0</v>
      </c>
      <c r="C25" s="2639"/>
      <c r="D25" s="2640"/>
      <c r="E25" s="2599">
        <f>E177</f>
        <v>0</v>
      </c>
      <c r="F25" s="2600"/>
      <c r="G25" s="1070"/>
      <c r="H25" s="1071"/>
      <c r="I25" s="1072"/>
      <c r="J25" s="989">
        <f>J177</f>
        <v>0</v>
      </c>
      <c r="K25" s="2703" t="str">
        <f t="shared" si="0"/>
        <v/>
      </c>
      <c r="L25" s="2704"/>
      <c r="M25" s="1065">
        <f>M177</f>
        <v>0</v>
      </c>
      <c r="N25" s="599"/>
      <c r="O25" s="598"/>
      <c r="P25" s="598"/>
      <c r="Q25" s="598"/>
      <c r="R25" s="136"/>
      <c r="S25" s="129"/>
      <c r="T25" s="129"/>
      <c r="U25" s="129"/>
      <c r="V25" s="129"/>
      <c r="W25" s="129"/>
      <c r="X25" s="129"/>
      <c r="Y25" s="129"/>
      <c r="Z25" s="133"/>
      <c r="AA25" s="133"/>
      <c r="AB25" s="133"/>
      <c r="AC25" s="133"/>
      <c r="AD25" s="133"/>
      <c r="AE25" s="133"/>
      <c r="AF25" s="222"/>
      <c r="AG25" s="222"/>
      <c r="AH25" s="222"/>
      <c r="AI25" s="176"/>
      <c r="AJ25" s="176"/>
      <c r="AK25" s="176"/>
      <c r="AL25" s="176"/>
      <c r="AM25" s="176"/>
      <c r="AN25" s="176"/>
      <c r="AO25" s="176"/>
      <c r="AP25" s="176"/>
      <c r="AQ25" s="176"/>
      <c r="AR25" s="176"/>
      <c r="AS25" s="176"/>
      <c r="AT25" s="176"/>
      <c r="AU25" s="176"/>
      <c r="AV25" s="176"/>
      <c r="AW25" s="176"/>
      <c r="AX25" s="176"/>
      <c r="AY25" s="176"/>
      <c r="AZ25" s="176"/>
      <c r="BA25" s="176"/>
      <c r="BB25" s="176"/>
      <c r="BC25" s="176"/>
      <c r="BD25" s="176"/>
      <c r="BE25" s="176"/>
      <c r="BF25" s="176"/>
      <c r="BG25" s="176"/>
      <c r="BH25" s="176"/>
      <c r="BI25" s="176"/>
      <c r="BJ25" s="176"/>
      <c r="BK25" s="176"/>
      <c r="BL25" s="176"/>
      <c r="BM25" s="176"/>
      <c r="BN25" s="176"/>
      <c r="BO25" s="176"/>
    </row>
    <row r="26" spans="1:67" s="36" customFormat="1" ht="12" customHeight="1" x14ac:dyDescent="0.2">
      <c r="A26" s="1043" t="str">
        <f>A192</f>
        <v>11. Metallbauarbeiten</v>
      </c>
      <c r="B26" s="2638">
        <f>B192</f>
        <v>0</v>
      </c>
      <c r="C26" s="2639"/>
      <c r="D26" s="2640"/>
      <c r="E26" s="2599">
        <f>E192</f>
        <v>0</v>
      </c>
      <c r="F26" s="2600"/>
      <c r="G26" s="1070"/>
      <c r="H26" s="1071"/>
      <c r="I26" s="1072"/>
      <c r="J26" s="989">
        <f>J192</f>
        <v>0</v>
      </c>
      <c r="K26" s="2703" t="str">
        <f t="shared" si="0"/>
        <v/>
      </c>
      <c r="L26" s="2704"/>
      <c r="M26" s="1065">
        <f>M192</f>
        <v>0</v>
      </c>
      <c r="N26" s="599"/>
      <c r="O26" s="598"/>
      <c r="P26" s="598"/>
      <c r="Q26" s="598"/>
      <c r="R26" s="136"/>
      <c r="S26" s="129"/>
      <c r="T26" s="129"/>
      <c r="U26" s="129"/>
      <c r="V26" s="129"/>
      <c r="W26" s="129"/>
      <c r="X26" s="129"/>
      <c r="Y26" s="129"/>
      <c r="Z26" s="133"/>
      <c r="AA26" s="133"/>
      <c r="AB26" s="133"/>
      <c r="AC26" s="133"/>
      <c r="AD26" s="133"/>
      <c r="AE26" s="133"/>
      <c r="AF26" s="222"/>
      <c r="AG26" s="222"/>
      <c r="AH26" s="222"/>
      <c r="AI26" s="176"/>
      <c r="AJ26" s="176"/>
      <c r="AK26" s="176"/>
      <c r="AL26" s="176"/>
      <c r="AM26" s="176"/>
      <c r="AN26" s="176"/>
      <c r="AO26" s="176"/>
      <c r="AP26" s="176"/>
      <c r="AQ26" s="176"/>
      <c r="AR26" s="176"/>
      <c r="AS26" s="176"/>
      <c r="AT26" s="176"/>
      <c r="AU26" s="176"/>
      <c r="AV26" s="176"/>
      <c r="AW26" s="176"/>
      <c r="AX26" s="176"/>
      <c r="AY26" s="176"/>
      <c r="AZ26" s="176"/>
      <c r="BA26" s="176"/>
      <c r="BB26" s="176"/>
      <c r="BC26" s="176"/>
      <c r="BD26" s="176"/>
      <c r="BE26" s="176"/>
      <c r="BF26" s="176"/>
      <c r="BG26" s="176"/>
      <c r="BH26" s="176"/>
      <c r="BI26" s="176"/>
      <c r="BJ26" s="176"/>
      <c r="BK26" s="176"/>
      <c r="BL26" s="176"/>
      <c r="BM26" s="176"/>
      <c r="BN26" s="176"/>
      <c r="BO26" s="176"/>
    </row>
    <row r="27" spans="1:67" s="36" customFormat="1" ht="12" customHeight="1" x14ac:dyDescent="0.2">
      <c r="A27" s="1043" t="str">
        <f>A207</f>
        <v>12. Bauliches Zentrale</v>
      </c>
      <c r="B27" s="2638">
        <f>B207</f>
        <v>0</v>
      </c>
      <c r="C27" s="2639"/>
      <c r="D27" s="2640"/>
      <c r="E27" s="2599">
        <f>E207</f>
        <v>0</v>
      </c>
      <c r="F27" s="2600"/>
      <c r="G27" s="1070"/>
      <c r="H27" s="1071"/>
      <c r="I27" s="1072"/>
      <c r="J27" s="989">
        <f>J207</f>
        <v>0</v>
      </c>
      <c r="K27" s="2703" t="str">
        <f t="shared" si="0"/>
        <v/>
      </c>
      <c r="L27" s="2704"/>
      <c r="M27" s="1065">
        <f>M207</f>
        <v>0</v>
      </c>
      <c r="N27" s="599"/>
      <c r="O27" s="598"/>
      <c r="P27" s="598"/>
      <c r="Q27" s="598"/>
      <c r="R27" s="136"/>
      <c r="S27" s="129"/>
      <c r="T27" s="129"/>
      <c r="U27" s="129"/>
      <c r="V27" s="129"/>
      <c r="W27" s="129"/>
      <c r="X27" s="129"/>
      <c r="Y27" s="129"/>
      <c r="Z27" s="133"/>
      <c r="AA27" s="133"/>
      <c r="AB27" s="133"/>
      <c r="AC27" s="133"/>
      <c r="AD27" s="133"/>
      <c r="AE27" s="133"/>
      <c r="AF27" s="222"/>
      <c r="AG27" s="222"/>
      <c r="AH27" s="222"/>
      <c r="AI27" s="176"/>
      <c r="AJ27" s="176"/>
      <c r="AK27" s="176"/>
      <c r="AL27" s="176"/>
      <c r="AM27" s="176"/>
      <c r="AN27" s="176"/>
      <c r="AO27" s="176"/>
      <c r="AP27" s="176"/>
      <c r="AQ27" s="176"/>
      <c r="AR27" s="176"/>
      <c r="AS27" s="176"/>
      <c r="AT27" s="176"/>
      <c r="AU27" s="176"/>
      <c r="AV27" s="176"/>
      <c r="AW27" s="176"/>
      <c r="AX27" s="176"/>
      <c r="AY27" s="176"/>
      <c r="AZ27" s="176"/>
      <c r="BA27" s="176"/>
      <c r="BB27" s="176"/>
      <c r="BC27" s="176"/>
      <c r="BD27" s="176"/>
      <c r="BE27" s="176"/>
      <c r="BF27" s="176"/>
      <c r="BG27" s="176"/>
      <c r="BH27" s="176"/>
      <c r="BI27" s="176"/>
      <c r="BJ27" s="176"/>
      <c r="BK27" s="176"/>
      <c r="BL27" s="176"/>
      <c r="BM27" s="176"/>
      <c r="BN27" s="176"/>
      <c r="BO27" s="176"/>
    </row>
    <row r="28" spans="1:67" s="36" customFormat="1" ht="12" customHeight="1" x14ac:dyDescent="0.2">
      <c r="A28" s="1043" t="str">
        <f>A222</f>
        <v>13. Wärmeverbund Baumeister</v>
      </c>
      <c r="B28" s="2638">
        <f>B222</f>
        <v>0</v>
      </c>
      <c r="C28" s="2639"/>
      <c r="D28" s="2640"/>
      <c r="E28" s="2599">
        <f>E222</f>
        <v>0</v>
      </c>
      <c r="F28" s="2600"/>
      <c r="G28" s="1070"/>
      <c r="H28" s="1071"/>
      <c r="I28" s="1072"/>
      <c r="J28" s="989">
        <f>J222</f>
        <v>0</v>
      </c>
      <c r="K28" s="2703" t="str">
        <f t="shared" si="0"/>
        <v/>
      </c>
      <c r="L28" s="2704"/>
      <c r="M28" s="1065">
        <f>M222</f>
        <v>0</v>
      </c>
      <c r="N28" s="599"/>
      <c r="O28" s="598"/>
      <c r="P28" s="598"/>
      <c r="Q28" s="598"/>
      <c r="R28" s="136"/>
      <c r="S28" s="129"/>
      <c r="T28" s="129"/>
      <c r="U28" s="129"/>
      <c r="V28" s="129"/>
      <c r="W28" s="129"/>
      <c r="X28" s="129"/>
      <c r="Y28" s="129"/>
      <c r="Z28" s="133"/>
      <c r="AA28" s="133"/>
      <c r="AB28" s="133"/>
      <c r="AC28" s="133"/>
      <c r="AD28" s="133"/>
      <c r="AE28" s="133"/>
      <c r="AF28" s="222"/>
      <c r="AG28" s="222"/>
      <c r="AH28" s="222"/>
      <c r="AI28" s="176"/>
      <c r="AJ28" s="176"/>
      <c r="AK28" s="176"/>
      <c r="AL28" s="176"/>
      <c r="AM28" s="176"/>
      <c r="AN28" s="176"/>
      <c r="AO28" s="176"/>
      <c r="AP28" s="176"/>
      <c r="AQ28" s="176"/>
      <c r="AR28" s="176"/>
      <c r="AS28" s="176"/>
      <c r="AT28" s="176"/>
      <c r="AU28" s="176"/>
      <c r="AV28" s="176"/>
      <c r="AW28" s="176"/>
      <c r="AX28" s="176"/>
      <c r="AY28" s="176"/>
      <c r="AZ28" s="176"/>
      <c r="BA28" s="176"/>
      <c r="BB28" s="176"/>
      <c r="BC28" s="176"/>
      <c r="BD28" s="176"/>
      <c r="BE28" s="176"/>
      <c r="BF28" s="176"/>
      <c r="BG28" s="176"/>
      <c r="BH28" s="176"/>
      <c r="BI28" s="176"/>
      <c r="BJ28" s="176"/>
      <c r="BK28" s="176"/>
      <c r="BL28" s="176"/>
      <c r="BM28" s="176"/>
      <c r="BN28" s="176"/>
      <c r="BO28" s="176"/>
    </row>
    <row r="29" spans="1:67" s="36" customFormat="1" ht="12" customHeight="1" x14ac:dyDescent="0.2">
      <c r="A29" s="1043" t="str">
        <f>A237</f>
        <v>14. Wärmeverbund Leitungen</v>
      </c>
      <c r="B29" s="2638">
        <f>B237</f>
        <v>0</v>
      </c>
      <c r="C29" s="2639"/>
      <c r="D29" s="2640"/>
      <c r="E29" s="2599">
        <f>E237</f>
        <v>0</v>
      </c>
      <c r="F29" s="2600"/>
      <c r="G29" s="1070"/>
      <c r="H29" s="1071"/>
      <c r="I29" s="1072"/>
      <c r="J29" s="989">
        <f>J237</f>
        <v>0</v>
      </c>
      <c r="K29" s="2703" t="str">
        <f t="shared" si="0"/>
        <v/>
      </c>
      <c r="L29" s="2704"/>
      <c r="M29" s="1065">
        <f>M237</f>
        <v>0</v>
      </c>
      <c r="N29" s="599"/>
      <c r="O29" s="598"/>
      <c r="P29" s="598"/>
      <c r="Q29" s="598"/>
      <c r="R29" s="136"/>
      <c r="S29" s="129"/>
      <c r="T29" s="129"/>
      <c r="U29" s="129"/>
      <c r="V29" s="129"/>
      <c r="W29" s="129"/>
      <c r="X29" s="129"/>
      <c r="Y29" s="129"/>
      <c r="Z29" s="133"/>
      <c r="AA29" s="133"/>
      <c r="AB29" s="133"/>
      <c r="AC29" s="133"/>
      <c r="AD29" s="133"/>
      <c r="AE29" s="133"/>
      <c r="AF29" s="222"/>
      <c r="AG29" s="222"/>
      <c r="AH29" s="222"/>
      <c r="AI29" s="176"/>
      <c r="AJ29" s="176"/>
      <c r="AK29" s="176"/>
      <c r="AL29" s="176"/>
      <c r="AM29" s="176"/>
      <c r="AN29" s="176"/>
      <c r="AO29" s="176"/>
      <c r="AP29" s="176"/>
      <c r="AQ29" s="176"/>
      <c r="AR29" s="176"/>
      <c r="AS29" s="176"/>
      <c r="AT29" s="176"/>
      <c r="AU29" s="176"/>
      <c r="AV29" s="176"/>
      <c r="AW29" s="176"/>
      <c r="AX29" s="176"/>
      <c r="AY29" s="176"/>
      <c r="AZ29" s="176"/>
      <c r="BA29" s="176"/>
      <c r="BB29" s="176"/>
      <c r="BC29" s="176"/>
      <c r="BD29" s="176"/>
      <c r="BE29" s="176"/>
      <c r="BF29" s="176"/>
      <c r="BG29" s="176"/>
      <c r="BH29" s="176"/>
      <c r="BI29" s="176"/>
      <c r="BJ29" s="176"/>
      <c r="BK29" s="176"/>
      <c r="BL29" s="176"/>
      <c r="BM29" s="176"/>
      <c r="BN29" s="176"/>
      <c r="BO29" s="176"/>
    </row>
    <row r="30" spans="1:67" s="36" customFormat="1" ht="12" customHeight="1" x14ac:dyDescent="0.2">
      <c r="A30" s="1043" t="str">
        <f>A252</f>
        <v>15. MSRL</v>
      </c>
      <c r="B30" s="2638">
        <f>B252</f>
        <v>0</v>
      </c>
      <c r="C30" s="2639"/>
      <c r="D30" s="2640"/>
      <c r="E30" s="2599">
        <f>E252</f>
        <v>0</v>
      </c>
      <c r="F30" s="2600"/>
      <c r="G30" s="1070"/>
      <c r="H30" s="1071"/>
      <c r="I30" s="1072"/>
      <c r="J30" s="989">
        <f>J252</f>
        <v>0</v>
      </c>
      <c r="K30" s="2703" t="str">
        <f t="shared" si="0"/>
        <v/>
      </c>
      <c r="L30" s="2704"/>
      <c r="M30" s="1065">
        <f>M252</f>
        <v>0</v>
      </c>
      <c r="N30" s="599"/>
      <c r="O30" s="598"/>
      <c r="P30" s="598"/>
      <c r="Q30" s="598"/>
      <c r="R30" s="136"/>
      <c r="S30" s="129"/>
      <c r="T30" s="129"/>
      <c r="U30" s="129"/>
      <c r="V30" s="129"/>
      <c r="W30" s="129"/>
      <c r="X30" s="129"/>
      <c r="Y30" s="129"/>
      <c r="Z30" s="133"/>
      <c r="AA30" s="133"/>
      <c r="AB30" s="133"/>
      <c r="AC30" s="133"/>
      <c r="AD30" s="133"/>
      <c r="AE30" s="133"/>
      <c r="AF30" s="222"/>
      <c r="AG30" s="222"/>
      <c r="AH30" s="222"/>
      <c r="AI30" s="176"/>
      <c r="AJ30" s="176"/>
      <c r="AK30" s="176"/>
      <c r="AL30" s="176"/>
      <c r="AM30" s="176"/>
      <c r="AN30" s="176"/>
      <c r="AO30" s="176"/>
      <c r="AP30" s="176"/>
      <c r="AQ30" s="176"/>
      <c r="AR30" s="176"/>
      <c r="AS30" s="176"/>
      <c r="AT30" s="176"/>
      <c r="AU30" s="176"/>
      <c r="AV30" s="176"/>
      <c r="AW30" s="176"/>
      <c r="AX30" s="176"/>
      <c r="AY30" s="176"/>
      <c r="AZ30" s="176"/>
      <c r="BA30" s="176"/>
      <c r="BB30" s="176"/>
      <c r="BC30" s="176"/>
      <c r="BD30" s="176"/>
      <c r="BE30" s="176"/>
      <c r="BF30" s="176"/>
      <c r="BG30" s="176"/>
      <c r="BH30" s="176"/>
      <c r="BI30" s="176"/>
      <c r="BJ30" s="176"/>
      <c r="BK30" s="176"/>
      <c r="BL30" s="176"/>
      <c r="BM30" s="176"/>
      <c r="BN30" s="176"/>
      <c r="BO30" s="176"/>
    </row>
    <row r="31" spans="1:67" s="36" customFormat="1" ht="12" customHeight="1" x14ac:dyDescent="0.2">
      <c r="A31" s="1043" t="str">
        <f>A267</f>
        <v>16. Elektro</v>
      </c>
      <c r="B31" s="2638">
        <f>B267</f>
        <v>0</v>
      </c>
      <c r="C31" s="2639"/>
      <c r="D31" s="2640"/>
      <c r="E31" s="2599">
        <f>E267</f>
        <v>0</v>
      </c>
      <c r="F31" s="2600"/>
      <c r="G31" s="1070"/>
      <c r="H31" s="1071"/>
      <c r="I31" s="1072"/>
      <c r="J31" s="989">
        <f>J267</f>
        <v>0</v>
      </c>
      <c r="K31" s="2703" t="str">
        <f t="shared" si="0"/>
        <v/>
      </c>
      <c r="L31" s="2704"/>
      <c r="M31" s="1065">
        <f>M267</f>
        <v>0</v>
      </c>
      <c r="N31" s="599"/>
      <c r="O31" s="598"/>
      <c r="P31" s="598"/>
      <c r="Q31" s="598"/>
      <c r="R31" s="136"/>
      <c r="S31" s="129"/>
      <c r="T31" s="129"/>
      <c r="U31" s="129"/>
      <c r="V31" s="129"/>
      <c r="W31" s="129"/>
      <c r="X31" s="129"/>
      <c r="Y31" s="129"/>
      <c r="Z31" s="133"/>
      <c r="AA31" s="133"/>
      <c r="AB31" s="133"/>
      <c r="AC31" s="133"/>
      <c r="AD31" s="133"/>
      <c r="AE31" s="133"/>
      <c r="AF31" s="222"/>
      <c r="AG31" s="222"/>
      <c r="AH31" s="222"/>
      <c r="AI31" s="176"/>
      <c r="AJ31" s="176"/>
      <c r="AK31" s="176"/>
      <c r="AL31" s="176"/>
      <c r="AM31" s="176"/>
      <c r="AN31" s="176"/>
      <c r="AO31" s="176"/>
      <c r="AP31" s="176"/>
      <c r="AQ31" s="176"/>
      <c r="AR31" s="176"/>
      <c r="AS31" s="176"/>
      <c r="AT31" s="176"/>
      <c r="AU31" s="176"/>
      <c r="AV31" s="176"/>
      <c r="AW31" s="176"/>
      <c r="AX31" s="176"/>
      <c r="AY31" s="176"/>
      <c r="AZ31" s="176"/>
      <c r="BA31" s="176"/>
      <c r="BB31" s="176"/>
      <c r="BC31" s="176"/>
      <c r="BD31" s="176"/>
      <c r="BE31" s="176"/>
      <c r="BF31" s="176"/>
      <c r="BG31" s="176"/>
      <c r="BH31" s="176"/>
      <c r="BI31" s="176"/>
      <c r="BJ31" s="176"/>
      <c r="BK31" s="176"/>
      <c r="BL31" s="176"/>
      <c r="BM31" s="176"/>
      <c r="BN31" s="176"/>
      <c r="BO31" s="176"/>
    </row>
    <row r="32" spans="1:67" s="36" customFormat="1" ht="12" customHeight="1" x14ac:dyDescent="0.2">
      <c r="A32" s="1043" t="str">
        <f>+A282</f>
        <v>17. Baumeister</v>
      </c>
      <c r="B32" s="2683">
        <f>+B282</f>
        <v>0</v>
      </c>
      <c r="C32" s="2684"/>
      <c r="D32" s="2685"/>
      <c r="E32" s="2599">
        <f>+E282</f>
        <v>0</v>
      </c>
      <c r="F32" s="2600"/>
      <c r="G32" s="1070"/>
      <c r="H32" s="1071"/>
      <c r="I32" s="1072"/>
      <c r="J32" s="989">
        <f>+J282</f>
        <v>0</v>
      </c>
      <c r="K32" s="2703" t="str">
        <f t="shared" si="0"/>
        <v/>
      </c>
      <c r="L32" s="2704"/>
      <c r="M32" s="1065">
        <f>+M282</f>
        <v>0</v>
      </c>
      <c r="N32" s="599"/>
      <c r="O32" s="598"/>
      <c r="P32" s="598"/>
      <c r="Q32" s="598"/>
      <c r="R32" s="136"/>
      <c r="S32" s="129"/>
      <c r="T32" s="129"/>
      <c r="U32" s="129"/>
      <c r="V32" s="129"/>
      <c r="W32" s="129"/>
      <c r="X32" s="129"/>
      <c r="Y32" s="129"/>
      <c r="Z32" s="133"/>
      <c r="AA32" s="133"/>
      <c r="AB32" s="133"/>
      <c r="AC32" s="133"/>
      <c r="AD32" s="133"/>
      <c r="AE32" s="133"/>
      <c r="AF32" s="222"/>
      <c r="AG32" s="222"/>
      <c r="AH32" s="222"/>
      <c r="AI32" s="176"/>
      <c r="AJ32" s="176"/>
      <c r="AK32" s="176"/>
      <c r="AL32" s="176"/>
      <c r="AM32" s="176"/>
      <c r="AN32" s="176"/>
      <c r="AO32" s="176"/>
      <c r="AP32" s="176"/>
      <c r="AQ32" s="176"/>
      <c r="AR32" s="176"/>
      <c r="AS32" s="176"/>
      <c r="AT32" s="176"/>
      <c r="AU32" s="176"/>
      <c r="AV32" s="176"/>
      <c r="AW32" s="176"/>
      <c r="AX32" s="176"/>
      <c r="AY32" s="176"/>
      <c r="AZ32" s="176"/>
      <c r="BA32" s="176"/>
      <c r="BB32" s="176"/>
      <c r="BC32" s="176"/>
      <c r="BD32" s="176"/>
      <c r="BE32" s="176"/>
      <c r="BF32" s="176"/>
      <c r="BG32" s="176"/>
      <c r="BH32" s="176"/>
      <c r="BI32" s="176"/>
      <c r="BJ32" s="176"/>
      <c r="BK32" s="176"/>
      <c r="BL32" s="176"/>
      <c r="BM32" s="176"/>
      <c r="BN32" s="176"/>
      <c r="BO32" s="176"/>
    </row>
    <row r="33" spans="1:67" s="36" customFormat="1" ht="12" customHeight="1" x14ac:dyDescent="0.2">
      <c r="A33" s="1043" t="str">
        <f>A297</f>
        <v>18. Weiteres (ohne Baumeister)</v>
      </c>
      <c r="B33" s="2638">
        <f>B297</f>
        <v>0</v>
      </c>
      <c r="C33" s="2639"/>
      <c r="D33" s="2640"/>
      <c r="E33" s="2599">
        <f>E297</f>
        <v>0</v>
      </c>
      <c r="F33" s="2600"/>
      <c r="G33" s="1070"/>
      <c r="H33" s="1071"/>
      <c r="I33" s="1072"/>
      <c r="J33" s="989">
        <f>J297</f>
        <v>0</v>
      </c>
      <c r="K33" s="2703" t="str">
        <f t="shared" si="0"/>
        <v/>
      </c>
      <c r="L33" s="2704"/>
      <c r="M33" s="1065">
        <f>M297</f>
        <v>0</v>
      </c>
      <c r="N33" s="599"/>
      <c r="O33" s="598"/>
      <c r="P33" s="598"/>
      <c r="Q33" s="598"/>
      <c r="R33" s="136"/>
      <c r="S33" s="129"/>
      <c r="T33" s="129"/>
      <c r="U33" s="129"/>
      <c r="V33" s="129"/>
      <c r="W33" s="129"/>
      <c r="X33" s="129"/>
      <c r="Y33" s="129"/>
      <c r="Z33" s="133"/>
      <c r="AA33" s="133"/>
      <c r="AB33" s="133"/>
      <c r="AC33" s="133"/>
      <c r="AD33" s="133"/>
      <c r="AE33" s="133"/>
      <c r="AF33" s="222"/>
      <c r="AG33" s="222"/>
      <c r="AH33" s="222"/>
      <c r="AI33" s="176"/>
      <c r="AJ33" s="176"/>
      <c r="AK33" s="176"/>
      <c r="AL33" s="176"/>
      <c r="AM33" s="176"/>
      <c r="AN33" s="176"/>
      <c r="AO33" s="176"/>
      <c r="AP33" s="176"/>
      <c r="AQ33" s="176"/>
      <c r="AR33" s="176"/>
      <c r="AS33" s="176"/>
      <c r="AT33" s="176"/>
      <c r="AU33" s="176"/>
      <c r="AV33" s="176"/>
      <c r="AW33" s="176"/>
      <c r="AX33" s="176"/>
      <c r="AY33" s="176"/>
      <c r="AZ33" s="176"/>
      <c r="BA33" s="176"/>
      <c r="BB33" s="176"/>
      <c r="BC33" s="176"/>
      <c r="BD33" s="176"/>
      <c r="BE33" s="176"/>
      <c r="BF33" s="176"/>
      <c r="BG33" s="176"/>
      <c r="BH33" s="176"/>
      <c r="BI33" s="176"/>
      <c r="BJ33" s="176"/>
      <c r="BK33" s="176"/>
      <c r="BL33" s="176"/>
      <c r="BM33" s="176"/>
      <c r="BN33" s="176"/>
      <c r="BO33" s="176"/>
    </row>
    <row r="34" spans="1:67" s="36" customFormat="1" ht="12" customHeight="1" x14ac:dyDescent="0.2">
      <c r="A34" s="1043" t="str">
        <f>A312</f>
        <v>19. Baunebenkosten</v>
      </c>
      <c r="B34" s="2638">
        <f>B312</f>
        <v>0</v>
      </c>
      <c r="C34" s="2639"/>
      <c r="D34" s="2640"/>
      <c r="E34" s="2599">
        <f>E312</f>
        <v>0</v>
      </c>
      <c r="F34" s="2600"/>
      <c r="G34" s="1070"/>
      <c r="H34" s="1071"/>
      <c r="I34" s="1072"/>
      <c r="J34" s="989">
        <f>J312</f>
        <v>0</v>
      </c>
      <c r="K34" s="2703" t="str">
        <f t="shared" si="0"/>
        <v/>
      </c>
      <c r="L34" s="2704"/>
      <c r="M34" s="1065">
        <f>M312</f>
        <v>0</v>
      </c>
      <c r="N34" s="599"/>
      <c r="O34" s="598"/>
      <c r="P34" s="598"/>
      <c r="Q34" s="598"/>
      <c r="R34" s="136"/>
      <c r="S34" s="129"/>
      <c r="T34" s="129"/>
      <c r="U34" s="129"/>
      <c r="V34" s="129"/>
      <c r="W34" s="129"/>
      <c r="X34" s="129"/>
      <c r="Y34" s="129"/>
      <c r="Z34" s="133"/>
      <c r="AA34" s="133"/>
      <c r="AB34" s="133"/>
      <c r="AC34" s="133"/>
      <c r="AD34" s="133"/>
      <c r="AE34" s="133"/>
      <c r="AF34" s="222"/>
      <c r="AG34" s="222"/>
      <c r="AH34" s="222"/>
      <c r="AI34" s="176"/>
      <c r="AJ34" s="176"/>
      <c r="AK34" s="176"/>
      <c r="AL34" s="176"/>
      <c r="AM34" s="176"/>
      <c r="AN34" s="176"/>
      <c r="AO34" s="176"/>
      <c r="AP34" s="176"/>
      <c r="AQ34" s="176"/>
      <c r="AR34" s="176"/>
      <c r="AS34" s="176"/>
      <c r="AT34" s="176"/>
      <c r="AU34" s="176"/>
      <c r="AV34" s="176"/>
      <c r="AW34" s="176"/>
      <c r="AX34" s="176"/>
      <c r="AY34" s="176"/>
      <c r="AZ34" s="176"/>
      <c r="BA34" s="176"/>
      <c r="BB34" s="176"/>
      <c r="BC34" s="176"/>
      <c r="BD34" s="176"/>
      <c r="BE34" s="176"/>
      <c r="BF34" s="176"/>
      <c r="BG34" s="176"/>
      <c r="BH34" s="176"/>
      <c r="BI34" s="176"/>
      <c r="BJ34" s="176"/>
      <c r="BK34" s="176"/>
      <c r="BL34" s="176"/>
      <c r="BM34" s="176"/>
      <c r="BN34" s="176"/>
      <c r="BO34" s="176"/>
    </row>
    <row r="35" spans="1:67" s="36" customFormat="1" ht="12" customHeight="1" x14ac:dyDescent="0.2">
      <c r="A35" s="1043" t="str">
        <f>A327</f>
        <v>20. Unvorhergesehenes</v>
      </c>
      <c r="B35" s="2638">
        <f>B327</f>
        <v>0</v>
      </c>
      <c r="C35" s="2639"/>
      <c r="D35" s="2640"/>
      <c r="E35" s="2599">
        <f>E327</f>
        <v>0</v>
      </c>
      <c r="F35" s="2600"/>
      <c r="G35" s="1070"/>
      <c r="H35" s="1071"/>
      <c r="I35" s="1072"/>
      <c r="J35" s="989">
        <f>J327</f>
        <v>0</v>
      </c>
      <c r="K35" s="2703" t="str">
        <f t="shared" si="0"/>
        <v/>
      </c>
      <c r="L35" s="2704"/>
      <c r="M35" s="1065">
        <f>M327</f>
        <v>0</v>
      </c>
      <c r="N35" s="599"/>
      <c r="O35" s="598"/>
      <c r="P35" s="598"/>
      <c r="Q35" s="598"/>
      <c r="R35" s="136"/>
      <c r="S35" s="129"/>
      <c r="T35" s="129"/>
      <c r="U35" s="129"/>
      <c r="V35" s="129"/>
      <c r="W35" s="129"/>
      <c r="X35" s="129"/>
      <c r="Y35" s="129"/>
      <c r="Z35" s="133"/>
      <c r="AA35" s="133"/>
      <c r="AB35" s="133"/>
      <c r="AC35" s="133"/>
      <c r="AD35" s="133"/>
      <c r="AE35" s="133"/>
      <c r="AF35" s="222"/>
      <c r="AG35" s="222"/>
      <c r="AH35" s="222"/>
      <c r="AI35" s="176"/>
      <c r="AJ35" s="176"/>
      <c r="AK35" s="176"/>
      <c r="AL35" s="176"/>
      <c r="AM35" s="176"/>
      <c r="AN35" s="176"/>
      <c r="AO35" s="176"/>
      <c r="AP35" s="176"/>
      <c r="AQ35" s="176"/>
      <c r="AR35" s="176"/>
      <c r="AS35" s="176"/>
      <c r="AT35" s="176"/>
      <c r="AU35" s="176"/>
      <c r="AV35" s="176"/>
      <c r="AW35" s="176"/>
      <c r="AX35" s="176"/>
      <c r="AY35" s="176"/>
      <c r="AZ35" s="176"/>
      <c r="BA35" s="176"/>
      <c r="BB35" s="176"/>
      <c r="BC35" s="176"/>
      <c r="BD35" s="176"/>
      <c r="BE35" s="176"/>
      <c r="BF35" s="176"/>
      <c r="BG35" s="176"/>
      <c r="BH35" s="176"/>
      <c r="BI35" s="176"/>
      <c r="BJ35" s="176"/>
      <c r="BK35" s="176"/>
      <c r="BL35" s="176"/>
      <c r="BM35" s="176"/>
      <c r="BN35" s="176"/>
      <c r="BO35" s="176"/>
    </row>
    <row r="36" spans="1:67" s="36" customFormat="1" ht="12" customHeight="1" x14ac:dyDescent="0.2">
      <c r="A36" s="1043" t="str">
        <f>A341</f>
        <v>21. Honorare / Nebenkosten</v>
      </c>
      <c r="B36" s="2638">
        <f>B341</f>
        <v>0</v>
      </c>
      <c r="C36" s="2639"/>
      <c r="D36" s="2640"/>
      <c r="E36" s="2599">
        <f>E341</f>
        <v>0</v>
      </c>
      <c r="F36" s="2600"/>
      <c r="G36" s="1070"/>
      <c r="H36" s="1071"/>
      <c r="I36" s="1072"/>
      <c r="J36" s="989">
        <f>J341</f>
        <v>0</v>
      </c>
      <c r="K36" s="2703" t="str">
        <f t="shared" si="0"/>
        <v/>
      </c>
      <c r="L36" s="2704"/>
      <c r="M36" s="1065">
        <f>M341</f>
        <v>0</v>
      </c>
      <c r="N36" s="599"/>
      <c r="O36" s="598"/>
      <c r="P36" s="598"/>
      <c r="Q36" s="598"/>
      <c r="R36" s="136"/>
      <c r="S36" s="129"/>
      <c r="T36" s="129"/>
      <c r="U36" s="129"/>
      <c r="V36" s="129"/>
      <c r="W36" s="129"/>
      <c r="X36" s="129"/>
      <c r="Y36" s="129"/>
      <c r="Z36" s="133"/>
      <c r="AA36" s="133"/>
      <c r="AB36" s="133"/>
      <c r="AC36" s="133"/>
      <c r="AD36" s="133"/>
      <c r="AE36" s="133"/>
      <c r="AF36" s="222"/>
      <c r="AG36" s="222"/>
      <c r="AH36" s="222"/>
      <c r="AI36" s="176"/>
      <c r="AJ36" s="176"/>
      <c r="AK36" s="176"/>
      <c r="AL36" s="176"/>
      <c r="AM36" s="176"/>
      <c r="AN36" s="176"/>
      <c r="AO36" s="176"/>
      <c r="AP36" s="176"/>
      <c r="AQ36" s="176"/>
      <c r="AR36" s="176"/>
      <c r="AS36" s="176"/>
      <c r="AT36" s="176"/>
      <c r="AU36" s="176"/>
      <c r="AV36" s="176"/>
      <c r="AW36" s="176"/>
      <c r="AX36" s="176"/>
      <c r="AY36" s="176"/>
      <c r="AZ36" s="176"/>
      <c r="BA36" s="176"/>
      <c r="BB36" s="176"/>
      <c r="BC36" s="176"/>
      <c r="BD36" s="176"/>
      <c r="BE36" s="176"/>
      <c r="BF36" s="176"/>
      <c r="BG36" s="176"/>
      <c r="BH36" s="176"/>
      <c r="BI36" s="176"/>
      <c r="BJ36" s="176"/>
      <c r="BK36" s="176"/>
      <c r="BL36" s="176"/>
      <c r="BM36" s="176"/>
      <c r="BN36" s="176"/>
      <c r="BO36" s="176"/>
    </row>
    <row r="37" spans="1:67" s="36" customFormat="1" ht="12" customHeight="1" x14ac:dyDescent="0.2">
      <c r="A37" s="1044" t="str">
        <f>A398</f>
        <v>22. Betriebsführung</v>
      </c>
      <c r="B37" s="2608">
        <f>B398</f>
        <v>0</v>
      </c>
      <c r="C37" s="2609"/>
      <c r="D37" s="2610"/>
      <c r="E37" s="2601">
        <f>E398</f>
        <v>0</v>
      </c>
      <c r="F37" s="2602"/>
      <c r="G37" s="1073"/>
      <c r="H37" s="1074"/>
      <c r="I37" s="1075"/>
      <c r="J37" s="997">
        <f>J398</f>
        <v>0</v>
      </c>
      <c r="K37" s="2688" t="str">
        <f t="shared" si="0"/>
        <v/>
      </c>
      <c r="L37" s="2689"/>
      <c r="M37" s="1066">
        <f>M398</f>
        <v>0</v>
      </c>
      <c r="N37" s="599"/>
      <c r="O37" s="598"/>
      <c r="P37" s="598"/>
      <c r="Q37" s="598"/>
      <c r="R37" s="136"/>
      <c r="S37" s="129"/>
      <c r="T37" s="129"/>
      <c r="U37" s="129"/>
      <c r="V37" s="129"/>
      <c r="W37" s="129"/>
      <c r="X37" s="129"/>
      <c r="Y37" s="129"/>
      <c r="Z37" s="133"/>
      <c r="AA37" s="133"/>
      <c r="AB37" s="133"/>
      <c r="AC37" s="133"/>
      <c r="AD37" s="133"/>
      <c r="AE37" s="133"/>
      <c r="AF37" s="222"/>
      <c r="AG37" s="222"/>
      <c r="AH37" s="222"/>
      <c r="AI37" s="176"/>
      <c r="AJ37" s="176"/>
      <c r="AK37" s="176"/>
      <c r="AL37" s="176"/>
      <c r="AM37" s="176"/>
      <c r="AN37" s="176"/>
      <c r="AO37" s="176"/>
      <c r="AP37" s="176"/>
      <c r="AQ37" s="176"/>
      <c r="AR37" s="176"/>
      <c r="AS37" s="176"/>
      <c r="AT37" s="176"/>
      <c r="AU37" s="176"/>
      <c r="AV37" s="176"/>
      <c r="AW37" s="176"/>
      <c r="AX37" s="176"/>
      <c r="AY37" s="176"/>
      <c r="AZ37" s="176"/>
      <c r="BA37" s="176"/>
      <c r="BB37" s="176"/>
      <c r="BC37" s="176"/>
      <c r="BD37" s="176"/>
      <c r="BE37" s="176"/>
      <c r="BF37" s="176"/>
      <c r="BG37" s="176"/>
      <c r="BH37" s="176"/>
      <c r="BI37" s="176"/>
      <c r="BJ37" s="176"/>
      <c r="BK37" s="176"/>
      <c r="BL37" s="176"/>
      <c r="BM37" s="176"/>
      <c r="BN37" s="176"/>
      <c r="BO37" s="176"/>
    </row>
    <row r="38" spans="1:67" s="39" customFormat="1" ht="14.1" customHeight="1" x14ac:dyDescent="0.2">
      <c r="A38" s="1103" t="s">
        <v>525</v>
      </c>
      <c r="B38" s="1104"/>
      <c r="C38" s="1105"/>
      <c r="D38" s="1106"/>
      <c r="E38" s="2614">
        <f>E404</f>
        <v>0</v>
      </c>
      <c r="F38" s="2615"/>
      <c r="G38" s="1076"/>
      <c r="H38" s="1077"/>
      <c r="I38" s="1078"/>
      <c r="J38" s="1052">
        <f>J404</f>
        <v>0</v>
      </c>
      <c r="K38" s="2709" t="str">
        <f t="shared" si="0"/>
        <v/>
      </c>
      <c r="L38" s="2710"/>
      <c r="M38" s="1107">
        <f>M404</f>
        <v>0</v>
      </c>
      <c r="N38" s="410"/>
      <c r="O38" s="68"/>
      <c r="P38" s="68"/>
      <c r="Q38" s="68"/>
      <c r="R38" s="602"/>
      <c r="S38" s="130"/>
      <c r="T38" s="130"/>
      <c r="U38" s="130"/>
      <c r="V38" s="130"/>
      <c r="W38" s="130"/>
      <c r="X38" s="130"/>
      <c r="Y38" s="130"/>
      <c r="Z38" s="603"/>
      <c r="AA38" s="603"/>
      <c r="AB38" s="603"/>
      <c r="AC38" s="603"/>
      <c r="AD38" s="603"/>
      <c r="AE38" s="603"/>
      <c r="AF38" s="604"/>
      <c r="AG38" s="604"/>
      <c r="AH38" s="604"/>
    </row>
    <row r="39" spans="1:67" s="36" customFormat="1" ht="10.5" customHeight="1" x14ac:dyDescent="0.2">
      <c r="A39" s="1348"/>
      <c r="B39" s="2690"/>
      <c r="C39" s="2691"/>
      <c r="D39" s="2692"/>
      <c r="E39" s="2601"/>
      <c r="F39" s="2602"/>
      <c r="G39" s="1088" t="s">
        <v>11</v>
      </c>
      <c r="H39" s="1089"/>
      <c r="I39" s="1083"/>
      <c r="J39" s="1084"/>
      <c r="K39" s="1087"/>
      <c r="L39" s="1307"/>
      <c r="M39" s="1317"/>
      <c r="N39" s="410"/>
      <c r="O39" s="68"/>
      <c r="P39" s="68"/>
      <c r="Q39" s="135"/>
      <c r="R39" s="136"/>
      <c r="S39" s="129"/>
      <c r="T39" s="129"/>
      <c r="U39" s="129"/>
      <c r="V39" s="129"/>
      <c r="W39" s="129"/>
      <c r="X39" s="129"/>
      <c r="Y39" s="129"/>
      <c r="Z39" s="133"/>
      <c r="AA39" s="133"/>
      <c r="AB39" s="133"/>
      <c r="AC39" s="133"/>
      <c r="AD39" s="133"/>
      <c r="AE39" s="133"/>
      <c r="AF39" s="222"/>
      <c r="AG39" s="222"/>
      <c r="AH39" s="222"/>
      <c r="AI39" s="176"/>
      <c r="AJ39" s="176"/>
      <c r="AK39" s="176"/>
      <c r="AL39" s="176"/>
      <c r="AM39" s="176"/>
      <c r="AN39" s="176"/>
      <c r="AO39" s="176"/>
      <c r="AP39" s="176"/>
      <c r="AQ39" s="176"/>
      <c r="AR39" s="176"/>
      <c r="AS39" s="176"/>
      <c r="AT39" s="176"/>
      <c r="AU39" s="176"/>
      <c r="AV39" s="176"/>
      <c r="AW39" s="176"/>
      <c r="AX39" s="176"/>
      <c r="AY39" s="176"/>
      <c r="AZ39" s="176"/>
      <c r="BA39" s="176"/>
      <c r="BB39" s="176"/>
      <c r="BC39" s="176"/>
      <c r="BD39" s="176"/>
      <c r="BE39" s="176"/>
      <c r="BF39" s="176"/>
      <c r="BG39" s="176"/>
      <c r="BH39" s="176"/>
      <c r="BI39" s="176"/>
      <c r="BJ39" s="176"/>
      <c r="BK39" s="176"/>
      <c r="BL39" s="176"/>
      <c r="BM39" s="176"/>
      <c r="BN39" s="176"/>
      <c r="BO39" s="176"/>
    </row>
    <row r="40" spans="1:67" s="36" customFormat="1" ht="10.5" customHeight="1" x14ac:dyDescent="0.2">
      <c r="A40" s="1115" t="s">
        <v>260</v>
      </c>
      <c r="B40" s="2611"/>
      <c r="C40" s="2612"/>
      <c r="D40" s="2613"/>
      <c r="E40" s="2676">
        <f>SUM(E41:E53)</f>
        <v>0</v>
      </c>
      <c r="F40" s="2677"/>
      <c r="G40" s="2678"/>
      <c r="H40" s="2679"/>
      <c r="I40" s="1116">
        <f>IF(E40=0,0,J40/E40)</f>
        <v>0</v>
      </c>
      <c r="J40" s="1117">
        <f>SUM(J41:J53)</f>
        <v>0</v>
      </c>
      <c r="K40" s="2686">
        <f>IF(E40=0,0,M40/E40*100)</f>
        <v>0</v>
      </c>
      <c r="L40" s="2687"/>
      <c r="M40" s="1118">
        <f>SUM(M41:M53)</f>
        <v>0</v>
      </c>
      <c r="N40" s="506"/>
      <c r="O40" s="177">
        <f t="shared" ref="O40:O54" si="1">IF(ISBLANK(H40),G40,H40)</f>
        <v>0</v>
      </c>
      <c r="P40" s="366"/>
      <c r="Q40" s="135"/>
      <c r="R40" s="136"/>
      <c r="S40" s="129"/>
      <c r="T40" s="129"/>
      <c r="U40" s="129"/>
      <c r="V40" s="129"/>
      <c r="W40" s="129"/>
      <c r="X40" s="129"/>
      <c r="Y40" s="129"/>
      <c r="Z40" s="133"/>
      <c r="AA40" s="133"/>
      <c r="AB40" s="133"/>
      <c r="AC40" s="133"/>
      <c r="AD40" s="133"/>
      <c r="AE40" s="133"/>
      <c r="AF40" s="222"/>
      <c r="AG40" s="222"/>
      <c r="AH40" s="222"/>
      <c r="AI40" s="176"/>
      <c r="AJ40" s="176"/>
      <c r="AK40" s="176"/>
      <c r="AL40" s="176"/>
      <c r="AM40" s="176"/>
      <c r="AN40" s="176"/>
      <c r="AO40" s="176"/>
      <c r="AP40" s="176"/>
      <c r="AQ40" s="176"/>
      <c r="AR40" s="176"/>
      <c r="AS40" s="176"/>
      <c r="AT40" s="176"/>
      <c r="AU40" s="176"/>
      <c r="AV40" s="176"/>
      <c r="AW40" s="176"/>
      <c r="AX40" s="176"/>
      <c r="AY40" s="176"/>
      <c r="AZ40" s="176"/>
      <c r="BA40" s="176"/>
      <c r="BB40" s="176"/>
      <c r="BC40" s="176"/>
      <c r="BD40" s="176"/>
      <c r="BE40" s="176"/>
      <c r="BF40" s="176"/>
      <c r="BG40" s="176"/>
      <c r="BH40" s="176"/>
      <c r="BI40" s="176"/>
      <c r="BJ40" s="176"/>
      <c r="BK40" s="176"/>
      <c r="BL40" s="176"/>
      <c r="BM40" s="176"/>
      <c r="BN40" s="176"/>
      <c r="BO40" s="176"/>
    </row>
    <row r="41" spans="1:67" s="36" customFormat="1" ht="10.5" customHeight="1" x14ac:dyDescent="0.2">
      <c r="A41" s="1359" t="s">
        <v>261</v>
      </c>
      <c r="B41" s="2743"/>
      <c r="C41" s="2744"/>
      <c r="D41" s="2745"/>
      <c r="E41" s="2746"/>
      <c r="F41" s="2788"/>
      <c r="G41" s="1056">
        <v>30</v>
      </c>
      <c r="H41" s="1057"/>
      <c r="I41" s="1079">
        <f t="shared" ref="I41:I54" si="2">IF($O41&gt;0,-PMT(($I$9),$O41,1),0)</f>
        <v>4.6199342169092869E-2</v>
      </c>
      <c r="J41" s="1080">
        <f t="shared" ref="J41:J53" si="3">ROUND(E41*I41,0)</f>
        <v>0</v>
      </c>
      <c r="K41" s="1060">
        <v>1.5</v>
      </c>
      <c r="L41" s="1304"/>
      <c r="M41" s="1085">
        <f t="shared" ref="M41:M54" si="4">ROUND(E41/100*IF(ISBLANK(L41),K41,L41),0)</f>
        <v>0</v>
      </c>
      <c r="N41" s="506"/>
      <c r="O41" s="365">
        <f t="shared" si="1"/>
        <v>30</v>
      </c>
      <c r="P41" s="366"/>
      <c r="Q41" s="135"/>
      <c r="R41" s="136"/>
      <c r="S41" s="129"/>
      <c r="T41" s="129"/>
      <c r="U41" s="129"/>
      <c r="V41" s="129"/>
      <c r="W41" s="129"/>
      <c r="X41" s="129"/>
      <c r="Y41" s="129"/>
      <c r="Z41" s="133"/>
      <c r="AA41" s="133"/>
      <c r="AB41" s="133"/>
      <c r="AC41" s="133"/>
      <c r="AD41" s="133"/>
      <c r="AE41" s="133"/>
      <c r="AF41" s="222"/>
      <c r="AG41" s="222"/>
      <c r="AH41" s="222"/>
      <c r="AI41" s="176"/>
      <c r="AJ41" s="176"/>
      <c r="AK41" s="176"/>
      <c r="AL41" s="176"/>
      <c r="AM41" s="176"/>
      <c r="AN41" s="176"/>
      <c r="AO41" s="176"/>
      <c r="AP41" s="176"/>
      <c r="AQ41" s="176"/>
      <c r="AR41" s="176"/>
      <c r="AS41" s="176"/>
      <c r="AT41" s="176"/>
      <c r="AU41" s="176"/>
      <c r="AV41" s="176"/>
      <c r="AW41" s="176"/>
      <c r="AX41" s="176"/>
      <c r="AY41" s="176"/>
      <c r="AZ41" s="176"/>
      <c r="BA41" s="176"/>
      <c r="BB41" s="176"/>
      <c r="BC41" s="176"/>
      <c r="BD41" s="176"/>
      <c r="BE41" s="176"/>
      <c r="BF41" s="176"/>
      <c r="BG41" s="176"/>
      <c r="BH41" s="176"/>
      <c r="BI41" s="176"/>
      <c r="BJ41" s="176"/>
      <c r="BK41" s="176"/>
      <c r="BL41" s="176"/>
      <c r="BM41" s="176"/>
      <c r="BN41" s="176"/>
      <c r="BO41" s="176"/>
    </row>
    <row r="42" spans="1:67" s="36" customFormat="1" ht="10.5" customHeight="1" x14ac:dyDescent="0.2">
      <c r="A42" s="1043" t="s">
        <v>262</v>
      </c>
      <c r="B42" s="2594"/>
      <c r="C42" s="2595"/>
      <c r="D42" s="2596"/>
      <c r="E42" s="2395"/>
      <c r="F42" s="2789"/>
      <c r="G42" s="1058">
        <v>30</v>
      </c>
      <c r="H42" s="1059"/>
      <c r="I42" s="1081">
        <f t="shared" si="2"/>
        <v>4.6199342169092869E-2</v>
      </c>
      <c r="J42" s="1082">
        <f t="shared" si="3"/>
        <v>0</v>
      </c>
      <c r="K42" s="1061">
        <v>2</v>
      </c>
      <c r="L42" s="1305"/>
      <c r="M42" s="1086">
        <f t="shared" si="4"/>
        <v>0</v>
      </c>
      <c r="N42" s="506"/>
      <c r="O42" s="365">
        <f t="shared" si="1"/>
        <v>30</v>
      </c>
      <c r="P42" s="366"/>
      <c r="Q42" s="135"/>
      <c r="R42" s="136"/>
      <c r="S42" s="129"/>
      <c r="T42" s="129"/>
      <c r="U42" s="129"/>
      <c r="V42" s="129"/>
      <c r="W42" s="129"/>
      <c r="X42" s="129"/>
      <c r="Y42" s="129"/>
      <c r="Z42" s="133"/>
      <c r="AA42" s="133"/>
      <c r="AB42" s="133"/>
      <c r="AC42" s="133"/>
      <c r="AD42" s="133"/>
      <c r="AE42" s="133"/>
      <c r="AF42" s="222"/>
      <c r="AG42" s="222"/>
      <c r="AH42" s="222"/>
      <c r="AI42" s="176"/>
      <c r="AJ42" s="176"/>
      <c r="AK42" s="176"/>
      <c r="AL42" s="176"/>
      <c r="AM42" s="176"/>
      <c r="AN42" s="176"/>
      <c r="AO42" s="176"/>
      <c r="AP42" s="176"/>
      <c r="AQ42" s="176"/>
      <c r="AR42" s="176"/>
      <c r="AS42" s="176"/>
      <c r="AT42" s="176"/>
      <c r="AU42" s="176"/>
      <c r="AV42" s="176"/>
      <c r="AW42" s="176"/>
      <c r="AX42" s="176"/>
      <c r="AY42" s="176"/>
      <c r="AZ42" s="176"/>
      <c r="BA42" s="176"/>
      <c r="BB42" s="176"/>
      <c r="BC42" s="176"/>
      <c r="BD42" s="176"/>
      <c r="BE42" s="176"/>
      <c r="BF42" s="176"/>
      <c r="BG42" s="176"/>
      <c r="BH42" s="176"/>
      <c r="BI42" s="176"/>
      <c r="BJ42" s="176"/>
      <c r="BK42" s="176"/>
      <c r="BL42" s="176"/>
      <c r="BM42" s="176"/>
      <c r="BN42" s="176"/>
      <c r="BO42" s="176"/>
    </row>
    <row r="43" spans="1:67" s="36" customFormat="1" ht="10.5" customHeight="1" x14ac:dyDescent="0.2">
      <c r="A43" s="1043" t="s">
        <v>394</v>
      </c>
      <c r="B43" s="2594"/>
      <c r="C43" s="2595"/>
      <c r="D43" s="2596"/>
      <c r="E43" s="2395"/>
      <c r="F43" s="2789"/>
      <c r="G43" s="1058">
        <v>30</v>
      </c>
      <c r="H43" s="1059"/>
      <c r="I43" s="1081">
        <f t="shared" si="2"/>
        <v>4.6199342169092869E-2</v>
      </c>
      <c r="J43" s="1082">
        <f t="shared" si="3"/>
        <v>0</v>
      </c>
      <c r="K43" s="1061">
        <v>2</v>
      </c>
      <c r="L43" s="1305"/>
      <c r="M43" s="1086">
        <f t="shared" si="4"/>
        <v>0</v>
      </c>
      <c r="N43" s="506"/>
      <c r="O43" s="365">
        <f t="shared" si="1"/>
        <v>30</v>
      </c>
      <c r="P43" s="366"/>
      <c r="Q43" s="135"/>
      <c r="R43" s="136"/>
      <c r="S43" s="129"/>
      <c r="T43" s="129"/>
      <c r="U43" s="129"/>
      <c r="V43" s="129"/>
      <c r="W43" s="129"/>
      <c r="X43" s="129"/>
      <c r="Y43" s="129"/>
      <c r="Z43" s="133"/>
      <c r="AA43" s="133"/>
      <c r="AB43" s="133"/>
      <c r="AC43" s="133"/>
      <c r="AD43" s="133"/>
      <c r="AE43" s="133"/>
      <c r="AF43" s="222"/>
      <c r="AG43" s="222"/>
      <c r="AH43" s="222"/>
      <c r="AI43" s="176"/>
      <c r="AJ43" s="176"/>
      <c r="AK43" s="176"/>
      <c r="AL43" s="176"/>
      <c r="AM43" s="176"/>
      <c r="AN43" s="176"/>
      <c r="AO43" s="176"/>
      <c r="AP43" s="176"/>
      <c r="AQ43" s="176"/>
      <c r="AR43" s="176"/>
      <c r="AS43" s="176"/>
      <c r="AT43" s="176"/>
      <c r="AU43" s="176"/>
      <c r="AV43" s="176"/>
      <c r="AW43" s="176"/>
      <c r="AX43" s="176"/>
      <c r="AY43" s="176"/>
      <c r="AZ43" s="176"/>
      <c r="BA43" s="176"/>
      <c r="BB43" s="176"/>
      <c r="BC43" s="176"/>
      <c r="BD43" s="176"/>
      <c r="BE43" s="176"/>
      <c r="BF43" s="176"/>
      <c r="BG43" s="176"/>
      <c r="BH43" s="176"/>
      <c r="BI43" s="176"/>
      <c r="BJ43" s="176"/>
      <c r="BK43" s="176"/>
      <c r="BL43" s="176"/>
      <c r="BM43" s="176"/>
      <c r="BN43" s="176"/>
      <c r="BO43" s="176"/>
    </row>
    <row r="44" spans="1:67" s="36" customFormat="1" ht="10.5" customHeight="1" x14ac:dyDescent="0.2">
      <c r="A44" s="1043" t="s">
        <v>671</v>
      </c>
      <c r="B44" s="2594"/>
      <c r="C44" s="2595"/>
      <c r="D44" s="2596"/>
      <c r="E44" s="2395"/>
      <c r="F44" s="2789"/>
      <c r="G44" s="1058">
        <v>30</v>
      </c>
      <c r="H44" s="1059"/>
      <c r="I44" s="1081">
        <f t="shared" si="2"/>
        <v>4.6199342169092869E-2</v>
      </c>
      <c r="J44" s="1082">
        <f t="shared" si="3"/>
        <v>0</v>
      </c>
      <c r="K44" s="1061">
        <v>0.5</v>
      </c>
      <c r="L44" s="1305"/>
      <c r="M44" s="1086">
        <f t="shared" si="4"/>
        <v>0</v>
      </c>
      <c r="N44" s="506"/>
      <c r="O44" s="365">
        <f t="shared" si="1"/>
        <v>30</v>
      </c>
      <c r="P44" s="366"/>
      <c r="Q44" s="135"/>
      <c r="R44" s="136"/>
      <c r="S44" s="129"/>
      <c r="T44" s="129"/>
      <c r="U44" s="129"/>
      <c r="V44" s="129"/>
      <c r="W44" s="129"/>
      <c r="X44" s="129"/>
      <c r="Y44" s="129"/>
      <c r="Z44" s="133"/>
      <c r="AA44" s="133"/>
      <c r="AB44" s="133"/>
      <c r="AC44" s="133"/>
      <c r="AD44" s="133"/>
      <c r="AE44" s="133"/>
      <c r="AF44" s="222"/>
      <c r="AG44" s="222"/>
      <c r="AH44" s="222"/>
      <c r="AI44" s="176"/>
      <c r="AJ44" s="176"/>
      <c r="AK44" s="176"/>
      <c r="AL44" s="176"/>
      <c r="AM44" s="176"/>
      <c r="AN44" s="176"/>
      <c r="AO44" s="176"/>
      <c r="AP44" s="176"/>
      <c r="AQ44" s="176"/>
      <c r="AR44" s="176"/>
      <c r="AS44" s="176"/>
      <c r="AT44" s="176"/>
      <c r="AU44" s="176"/>
      <c r="AV44" s="176"/>
      <c r="AW44" s="176"/>
      <c r="AX44" s="176"/>
      <c r="AY44" s="176"/>
      <c r="AZ44" s="176"/>
      <c r="BA44" s="176"/>
      <c r="BB44" s="176"/>
      <c r="BC44" s="176"/>
      <c r="BD44" s="176"/>
      <c r="BE44" s="176"/>
      <c r="BF44" s="176"/>
      <c r="BG44" s="176"/>
      <c r="BH44" s="176"/>
      <c r="BI44" s="176"/>
      <c r="BJ44" s="176"/>
      <c r="BK44" s="176"/>
      <c r="BL44" s="176"/>
      <c r="BM44" s="176"/>
      <c r="BN44" s="176"/>
      <c r="BO44" s="176"/>
    </row>
    <row r="45" spans="1:67" s="36" customFormat="1" ht="10.5" customHeight="1" x14ac:dyDescent="0.2">
      <c r="A45" s="1043" t="s">
        <v>395</v>
      </c>
      <c r="B45" s="2594"/>
      <c r="C45" s="2595"/>
      <c r="D45" s="2596"/>
      <c r="E45" s="2395"/>
      <c r="F45" s="2789"/>
      <c r="G45" s="1058">
        <v>30</v>
      </c>
      <c r="H45" s="1059"/>
      <c r="I45" s="1081">
        <f t="shared" si="2"/>
        <v>4.6199342169092869E-2</v>
      </c>
      <c r="J45" s="1082">
        <f t="shared" si="3"/>
        <v>0</v>
      </c>
      <c r="K45" s="1061">
        <v>0</v>
      </c>
      <c r="L45" s="1305"/>
      <c r="M45" s="1086">
        <f t="shared" si="4"/>
        <v>0</v>
      </c>
      <c r="N45" s="506"/>
      <c r="O45" s="365">
        <f t="shared" si="1"/>
        <v>30</v>
      </c>
      <c r="P45" s="366"/>
      <c r="Q45" s="135"/>
      <c r="R45" s="136"/>
      <c r="S45" s="129"/>
      <c r="T45" s="129"/>
      <c r="U45" s="129"/>
      <c r="V45" s="129"/>
      <c r="W45" s="129"/>
      <c r="X45" s="129"/>
      <c r="Y45" s="129"/>
      <c r="Z45" s="133"/>
      <c r="AA45" s="133"/>
      <c r="AB45" s="133"/>
      <c r="AC45" s="133"/>
      <c r="AD45" s="133"/>
      <c r="AE45" s="133"/>
      <c r="AF45" s="222"/>
      <c r="AG45" s="222"/>
      <c r="AH45" s="222"/>
      <c r="AI45" s="176"/>
      <c r="AJ45" s="176"/>
      <c r="AK45" s="176"/>
      <c r="AL45" s="176"/>
      <c r="AM45" s="176"/>
      <c r="AN45" s="176"/>
      <c r="AO45" s="176"/>
      <c r="AP45" s="176"/>
      <c r="AQ45" s="176"/>
      <c r="AR45" s="176"/>
      <c r="AS45" s="176"/>
      <c r="AT45" s="176"/>
      <c r="AU45" s="176"/>
      <c r="AV45" s="176"/>
      <c r="AW45" s="176"/>
      <c r="AX45" s="176"/>
      <c r="AY45" s="176"/>
      <c r="AZ45" s="176"/>
      <c r="BA45" s="176"/>
      <c r="BB45" s="176"/>
      <c r="BC45" s="176"/>
      <c r="BD45" s="176"/>
      <c r="BE45" s="176"/>
      <c r="BF45" s="176"/>
      <c r="BG45" s="176"/>
      <c r="BH45" s="176"/>
      <c r="BI45" s="176"/>
      <c r="BJ45" s="176"/>
      <c r="BK45" s="176"/>
      <c r="BL45" s="176"/>
      <c r="BM45" s="176"/>
      <c r="BN45" s="176"/>
      <c r="BO45" s="176"/>
    </row>
    <row r="46" spans="1:67" s="36" customFormat="1" ht="10.5" customHeight="1" x14ac:dyDescent="0.2">
      <c r="A46" s="1043" t="s">
        <v>263</v>
      </c>
      <c r="B46" s="2594"/>
      <c r="C46" s="2595"/>
      <c r="D46" s="2596"/>
      <c r="E46" s="2395"/>
      <c r="F46" s="2789"/>
      <c r="G46" s="1058">
        <v>30</v>
      </c>
      <c r="H46" s="1059"/>
      <c r="I46" s="1081">
        <f t="shared" si="2"/>
        <v>4.6199342169092869E-2</v>
      </c>
      <c r="J46" s="1082">
        <f t="shared" si="3"/>
        <v>0</v>
      </c>
      <c r="K46" s="1061">
        <v>1.5</v>
      </c>
      <c r="L46" s="1305"/>
      <c r="M46" s="1086">
        <f t="shared" si="4"/>
        <v>0</v>
      </c>
      <c r="N46" s="506"/>
      <c r="O46" s="365">
        <f t="shared" si="1"/>
        <v>30</v>
      </c>
      <c r="P46" s="366"/>
      <c r="Q46" s="135"/>
      <c r="R46" s="136"/>
      <c r="S46" s="129"/>
      <c r="T46" s="129"/>
      <c r="U46" s="129"/>
      <c r="V46" s="129"/>
      <c r="W46" s="129"/>
      <c r="X46" s="129"/>
      <c r="Y46" s="129"/>
      <c r="Z46" s="133"/>
      <c r="AA46" s="133"/>
      <c r="AB46" s="133"/>
      <c r="AC46" s="133"/>
      <c r="AD46" s="133"/>
      <c r="AE46" s="133"/>
      <c r="AF46" s="222"/>
      <c r="AG46" s="222"/>
      <c r="AH46" s="222"/>
      <c r="AI46" s="176"/>
      <c r="AJ46" s="176"/>
      <c r="AK46" s="176"/>
      <c r="AL46" s="176"/>
      <c r="AM46" s="176"/>
      <c r="AN46" s="176"/>
      <c r="AO46" s="176"/>
      <c r="AP46" s="176"/>
      <c r="AQ46" s="176"/>
      <c r="AR46" s="176"/>
      <c r="AS46" s="176"/>
      <c r="AT46" s="176"/>
      <c r="AU46" s="176"/>
      <c r="AV46" s="176"/>
      <c r="AW46" s="176"/>
      <c r="AX46" s="176"/>
      <c r="AY46" s="176"/>
      <c r="AZ46" s="176"/>
      <c r="BA46" s="176"/>
      <c r="BB46" s="176"/>
      <c r="BC46" s="176"/>
      <c r="BD46" s="176"/>
      <c r="BE46" s="176"/>
      <c r="BF46" s="176"/>
      <c r="BG46" s="176"/>
      <c r="BH46" s="176"/>
      <c r="BI46" s="176"/>
      <c r="BJ46" s="176"/>
      <c r="BK46" s="176"/>
      <c r="BL46" s="176"/>
      <c r="BM46" s="176"/>
      <c r="BN46" s="176"/>
      <c r="BO46" s="176"/>
    </row>
    <row r="47" spans="1:67" s="36" customFormat="1" ht="10.5" customHeight="1" x14ac:dyDescent="0.2">
      <c r="A47" s="1043" t="s">
        <v>672</v>
      </c>
      <c r="B47" s="2594"/>
      <c r="C47" s="2595"/>
      <c r="D47" s="2596"/>
      <c r="E47" s="2395"/>
      <c r="F47" s="2789"/>
      <c r="G47" s="1058">
        <v>30</v>
      </c>
      <c r="H47" s="1059"/>
      <c r="I47" s="1081">
        <f t="shared" si="2"/>
        <v>4.6199342169092869E-2</v>
      </c>
      <c r="J47" s="1082">
        <f t="shared" si="3"/>
        <v>0</v>
      </c>
      <c r="K47" s="1061">
        <v>2.5</v>
      </c>
      <c r="L47" s="1305"/>
      <c r="M47" s="1086">
        <f t="shared" si="4"/>
        <v>0</v>
      </c>
      <c r="N47" s="506"/>
      <c r="O47" s="365">
        <f t="shared" si="1"/>
        <v>30</v>
      </c>
      <c r="P47" s="366"/>
      <c r="Q47" s="135"/>
      <c r="R47" s="136"/>
      <c r="S47" s="129"/>
      <c r="T47" s="129"/>
      <c r="U47" s="129"/>
      <c r="V47" s="129"/>
      <c r="W47" s="129"/>
      <c r="X47" s="129"/>
      <c r="Y47" s="129"/>
      <c r="Z47" s="133"/>
      <c r="AA47" s="133"/>
      <c r="AB47" s="133"/>
      <c r="AC47" s="133"/>
      <c r="AD47" s="133"/>
      <c r="AE47" s="133"/>
      <c r="AF47" s="222"/>
      <c r="AG47" s="222"/>
      <c r="AH47" s="222"/>
      <c r="AI47" s="176"/>
      <c r="AJ47" s="176"/>
      <c r="AK47" s="176"/>
      <c r="AL47" s="176"/>
      <c r="AM47" s="176"/>
      <c r="AN47" s="176"/>
      <c r="AO47" s="176"/>
      <c r="AP47" s="176"/>
      <c r="AQ47" s="176"/>
      <c r="AR47" s="176"/>
      <c r="AS47" s="176"/>
      <c r="AT47" s="176"/>
      <c r="AU47" s="176"/>
      <c r="AV47" s="176"/>
      <c r="AW47" s="176"/>
      <c r="AX47" s="176"/>
      <c r="AY47" s="176"/>
      <c r="AZ47" s="176"/>
      <c r="BA47" s="176"/>
      <c r="BB47" s="176"/>
      <c r="BC47" s="176"/>
      <c r="BD47" s="176"/>
      <c r="BE47" s="176"/>
      <c r="BF47" s="176"/>
      <c r="BG47" s="176"/>
      <c r="BH47" s="176"/>
      <c r="BI47" s="176"/>
      <c r="BJ47" s="176"/>
      <c r="BK47" s="176"/>
      <c r="BL47" s="176"/>
      <c r="BM47" s="176"/>
      <c r="BN47" s="176"/>
      <c r="BO47" s="176"/>
    </row>
    <row r="48" spans="1:67" s="36" customFormat="1" ht="10.5" customHeight="1" x14ac:dyDescent="0.2">
      <c r="A48" s="1055"/>
      <c r="B48" s="2594"/>
      <c r="C48" s="2595"/>
      <c r="D48" s="2596"/>
      <c r="E48" s="2395"/>
      <c r="F48" s="2396"/>
      <c r="G48" s="2748"/>
      <c r="H48" s="2749"/>
      <c r="I48" s="1127">
        <f t="shared" si="2"/>
        <v>0</v>
      </c>
      <c r="J48" s="1128">
        <f t="shared" si="3"/>
        <v>0</v>
      </c>
      <c r="K48" s="2760"/>
      <c r="L48" s="2761"/>
      <c r="M48" s="1319">
        <f t="shared" si="4"/>
        <v>0</v>
      </c>
      <c r="N48" s="506"/>
      <c r="O48" s="365">
        <f t="shared" si="1"/>
        <v>0</v>
      </c>
      <c r="P48" s="366"/>
      <c r="Q48" s="135"/>
      <c r="R48" s="136"/>
      <c r="S48" s="129"/>
      <c r="T48" s="129"/>
      <c r="U48" s="129"/>
      <c r="V48" s="129"/>
      <c r="W48" s="129"/>
      <c r="X48" s="129"/>
      <c r="Y48" s="129"/>
      <c r="Z48" s="133"/>
      <c r="AA48" s="133"/>
      <c r="AB48" s="133"/>
      <c r="AC48" s="133"/>
      <c r="AD48" s="133"/>
      <c r="AE48" s="133"/>
      <c r="AF48" s="222"/>
      <c r="AG48" s="222"/>
      <c r="AH48" s="222"/>
      <c r="AI48" s="176"/>
      <c r="AJ48" s="176"/>
      <c r="AK48" s="176"/>
      <c r="AL48" s="176"/>
      <c r="AM48" s="176"/>
      <c r="AN48" s="176"/>
      <c r="AO48" s="176"/>
      <c r="AP48" s="176"/>
      <c r="AQ48" s="176"/>
      <c r="AR48" s="176"/>
      <c r="AS48" s="176"/>
      <c r="AT48" s="176"/>
      <c r="AU48" s="176"/>
      <c r="AV48" s="176"/>
      <c r="AW48" s="176"/>
      <c r="AX48" s="176"/>
      <c r="AY48" s="176"/>
      <c r="AZ48" s="176"/>
      <c r="BA48" s="176"/>
      <c r="BB48" s="176"/>
      <c r="BC48" s="176"/>
      <c r="BD48" s="176"/>
      <c r="BE48" s="176"/>
      <c r="BF48" s="176"/>
      <c r="BG48" s="176"/>
      <c r="BH48" s="176"/>
      <c r="BI48" s="176"/>
      <c r="BJ48" s="176"/>
      <c r="BK48" s="176"/>
      <c r="BL48" s="176"/>
      <c r="BM48" s="176"/>
      <c r="BN48" s="176"/>
      <c r="BO48" s="176"/>
    </row>
    <row r="49" spans="1:67" s="36" customFormat="1" ht="10.5" customHeight="1" x14ac:dyDescent="0.2">
      <c r="A49" s="1055"/>
      <c r="B49" s="2594"/>
      <c r="C49" s="2595"/>
      <c r="D49" s="2596"/>
      <c r="E49" s="2395"/>
      <c r="F49" s="2396"/>
      <c r="G49" s="2590"/>
      <c r="H49" s="2591"/>
      <c r="I49" s="1081">
        <f t="shared" si="2"/>
        <v>0</v>
      </c>
      <c r="J49" s="1082">
        <f t="shared" si="3"/>
        <v>0</v>
      </c>
      <c r="K49" s="2588"/>
      <c r="L49" s="2589"/>
      <c r="M49" s="1086">
        <f t="shared" si="4"/>
        <v>0</v>
      </c>
      <c r="N49" s="506"/>
      <c r="O49" s="365">
        <f t="shared" si="1"/>
        <v>0</v>
      </c>
      <c r="P49" s="366"/>
      <c r="Q49" s="135"/>
      <c r="R49" s="136"/>
      <c r="S49" s="129"/>
      <c r="T49" s="129"/>
      <c r="U49" s="129"/>
      <c r="V49" s="129"/>
      <c r="W49" s="129"/>
      <c r="X49" s="129"/>
      <c r="Y49" s="129"/>
      <c r="Z49" s="133"/>
      <c r="AA49" s="133"/>
      <c r="AB49" s="133"/>
      <c r="AC49" s="133"/>
      <c r="AD49" s="133"/>
      <c r="AE49" s="133"/>
      <c r="AF49" s="222"/>
      <c r="AG49" s="222"/>
      <c r="AH49" s="222"/>
      <c r="AI49" s="176"/>
      <c r="AJ49" s="176"/>
      <c r="AK49" s="176"/>
      <c r="AL49" s="176"/>
      <c r="AM49" s="176"/>
      <c r="AN49" s="176"/>
      <c r="AO49" s="176"/>
      <c r="AP49" s="176"/>
      <c r="AQ49" s="176"/>
      <c r="AR49" s="176"/>
      <c r="AS49" s="176"/>
      <c r="AT49" s="176"/>
      <c r="AU49" s="176"/>
      <c r="AV49" s="176"/>
      <c r="AW49" s="176"/>
      <c r="AX49" s="176"/>
      <c r="AY49" s="176"/>
      <c r="AZ49" s="176"/>
      <c r="BA49" s="176"/>
      <c r="BB49" s="176"/>
      <c r="BC49" s="176"/>
      <c r="BD49" s="176"/>
      <c r="BE49" s="176"/>
      <c r="BF49" s="176"/>
      <c r="BG49" s="176"/>
      <c r="BH49" s="176"/>
      <c r="BI49" s="176"/>
      <c r="BJ49" s="176"/>
      <c r="BK49" s="176"/>
      <c r="BL49" s="176"/>
      <c r="BM49" s="176"/>
      <c r="BN49" s="176"/>
      <c r="BO49" s="176"/>
    </row>
    <row r="50" spans="1:67" s="36" customFormat="1" ht="10.5" customHeight="1" x14ac:dyDescent="0.2">
      <c r="A50" s="1055"/>
      <c r="B50" s="2594"/>
      <c r="C50" s="2595"/>
      <c r="D50" s="2596"/>
      <c r="E50" s="2395"/>
      <c r="F50" s="2396"/>
      <c r="G50" s="2590"/>
      <c r="H50" s="2591"/>
      <c r="I50" s="1081">
        <f t="shared" si="2"/>
        <v>0</v>
      </c>
      <c r="J50" s="1082">
        <f t="shared" si="3"/>
        <v>0</v>
      </c>
      <c r="K50" s="2588"/>
      <c r="L50" s="2589"/>
      <c r="M50" s="1086">
        <f t="shared" si="4"/>
        <v>0</v>
      </c>
      <c r="N50" s="506"/>
      <c r="O50" s="365">
        <f t="shared" si="1"/>
        <v>0</v>
      </c>
      <c r="P50" s="366"/>
      <c r="Q50" s="135"/>
      <c r="R50" s="136"/>
      <c r="S50" s="129"/>
      <c r="T50" s="129"/>
      <c r="U50" s="129"/>
      <c r="V50" s="129"/>
      <c r="W50" s="129"/>
      <c r="X50" s="129"/>
      <c r="Y50" s="129"/>
      <c r="Z50" s="133"/>
      <c r="AA50" s="133"/>
      <c r="AB50" s="133"/>
      <c r="AC50" s="133"/>
      <c r="AD50" s="133"/>
      <c r="AE50" s="133"/>
      <c r="AF50" s="222"/>
      <c r="AG50" s="222"/>
      <c r="AH50" s="222"/>
      <c r="AI50" s="176"/>
      <c r="AJ50" s="176"/>
      <c r="AK50" s="176"/>
      <c r="AL50" s="176"/>
      <c r="AM50" s="176"/>
      <c r="AN50" s="176"/>
      <c r="AO50" s="176"/>
      <c r="AP50" s="176"/>
      <c r="AQ50" s="176"/>
      <c r="AR50" s="176"/>
      <c r="AS50" s="176"/>
      <c r="AT50" s="176"/>
      <c r="AU50" s="176"/>
      <c r="AV50" s="176"/>
      <c r="AW50" s="176"/>
      <c r="AX50" s="176"/>
      <c r="AY50" s="176"/>
      <c r="AZ50" s="176"/>
      <c r="BA50" s="176"/>
      <c r="BB50" s="176"/>
      <c r="BC50" s="176"/>
      <c r="BD50" s="176"/>
      <c r="BE50" s="176"/>
      <c r="BF50" s="176"/>
      <c r="BG50" s="176"/>
      <c r="BH50" s="176"/>
      <c r="BI50" s="176"/>
      <c r="BJ50" s="176"/>
      <c r="BK50" s="176"/>
      <c r="BL50" s="176"/>
      <c r="BM50" s="176"/>
      <c r="BN50" s="176"/>
      <c r="BO50" s="176"/>
    </row>
    <row r="51" spans="1:67" s="36" customFormat="1" ht="10.5" customHeight="1" x14ac:dyDescent="0.2">
      <c r="A51" s="1055"/>
      <c r="B51" s="2594"/>
      <c r="C51" s="2595"/>
      <c r="D51" s="2596"/>
      <c r="E51" s="2395"/>
      <c r="F51" s="2396"/>
      <c r="G51" s="2590"/>
      <c r="H51" s="2591"/>
      <c r="I51" s="1081">
        <f t="shared" si="2"/>
        <v>0</v>
      </c>
      <c r="J51" s="1082">
        <f t="shared" si="3"/>
        <v>0</v>
      </c>
      <c r="K51" s="2588"/>
      <c r="L51" s="2589"/>
      <c r="M51" s="1086">
        <f t="shared" si="4"/>
        <v>0</v>
      </c>
      <c r="N51" s="506"/>
      <c r="O51" s="365">
        <f t="shared" si="1"/>
        <v>0</v>
      </c>
      <c r="P51" s="366"/>
      <c r="Q51" s="135"/>
      <c r="R51" s="136"/>
      <c r="S51" s="129"/>
      <c r="T51" s="129"/>
      <c r="U51" s="129"/>
      <c r="V51" s="129"/>
      <c r="W51" s="129"/>
      <c r="X51" s="129"/>
      <c r="Y51" s="129"/>
      <c r="Z51" s="133"/>
      <c r="AA51" s="133"/>
      <c r="AB51" s="133"/>
      <c r="AC51" s="133"/>
      <c r="AD51" s="133"/>
      <c r="AE51" s="133"/>
      <c r="AF51" s="222"/>
      <c r="AG51" s="222"/>
      <c r="AH51" s="222"/>
      <c r="AI51" s="176"/>
      <c r="AJ51" s="176"/>
      <c r="AK51" s="176"/>
      <c r="AL51" s="176"/>
      <c r="AM51" s="176"/>
      <c r="AN51" s="176"/>
      <c r="AO51" s="176"/>
      <c r="AP51" s="176"/>
      <c r="AQ51" s="176"/>
      <c r="AR51" s="176"/>
      <c r="AS51" s="176"/>
      <c r="AT51" s="176"/>
      <c r="AU51" s="176"/>
      <c r="AV51" s="176"/>
      <c r="AW51" s="176"/>
      <c r="AX51" s="176"/>
      <c r="AY51" s="176"/>
      <c r="AZ51" s="176"/>
      <c r="BA51" s="176"/>
      <c r="BB51" s="176"/>
      <c r="BC51" s="176"/>
      <c r="BD51" s="176"/>
      <c r="BE51" s="176"/>
      <c r="BF51" s="176"/>
      <c r="BG51" s="176"/>
      <c r="BH51" s="176"/>
      <c r="BI51" s="176"/>
      <c r="BJ51" s="176"/>
      <c r="BK51" s="176"/>
      <c r="BL51" s="176"/>
      <c r="BM51" s="176"/>
      <c r="BN51" s="176"/>
      <c r="BO51" s="176"/>
    </row>
    <row r="52" spans="1:67" s="36" customFormat="1" ht="10.5" customHeight="1" x14ac:dyDescent="0.2">
      <c r="A52" s="1055"/>
      <c r="B52" s="2594"/>
      <c r="C52" s="2595"/>
      <c r="D52" s="2596"/>
      <c r="E52" s="2395"/>
      <c r="F52" s="2396"/>
      <c r="G52" s="2590"/>
      <c r="H52" s="2591"/>
      <c r="I52" s="1081">
        <f t="shared" si="2"/>
        <v>0</v>
      </c>
      <c r="J52" s="1082">
        <f t="shared" si="3"/>
        <v>0</v>
      </c>
      <c r="K52" s="2588"/>
      <c r="L52" s="2589"/>
      <c r="M52" s="1086">
        <f t="shared" si="4"/>
        <v>0</v>
      </c>
      <c r="N52" s="506"/>
      <c r="O52" s="365">
        <f t="shared" si="1"/>
        <v>0</v>
      </c>
      <c r="P52" s="366"/>
      <c r="Q52" s="135"/>
      <c r="R52" s="136"/>
      <c r="S52" s="129"/>
      <c r="T52" s="129"/>
      <c r="U52" s="129"/>
      <c r="V52" s="129"/>
      <c r="W52" s="129"/>
      <c r="X52" s="129"/>
      <c r="Y52" s="129"/>
      <c r="Z52" s="133"/>
      <c r="AA52" s="133"/>
      <c r="AB52" s="133"/>
      <c r="AC52" s="133"/>
      <c r="AD52" s="133"/>
      <c r="AE52" s="133"/>
      <c r="AF52" s="222"/>
      <c r="AG52" s="222"/>
      <c r="AH52" s="222"/>
      <c r="AI52" s="176"/>
      <c r="AJ52" s="176"/>
      <c r="AK52" s="176"/>
      <c r="AL52" s="176"/>
      <c r="AM52" s="176"/>
      <c r="AN52" s="176"/>
      <c r="AO52" s="176"/>
      <c r="AP52" s="176"/>
      <c r="AQ52" s="176"/>
      <c r="AR52" s="176"/>
      <c r="AS52" s="176"/>
      <c r="AT52" s="176"/>
      <c r="AU52" s="176"/>
      <c r="AV52" s="176"/>
      <c r="AW52" s="176"/>
      <c r="AX52" s="176"/>
      <c r="AY52" s="176"/>
      <c r="AZ52" s="176"/>
      <c r="BA52" s="176"/>
      <c r="BB52" s="176"/>
      <c r="BC52" s="176"/>
      <c r="BD52" s="176"/>
      <c r="BE52" s="176"/>
      <c r="BF52" s="176"/>
      <c r="BG52" s="176"/>
      <c r="BH52" s="176"/>
      <c r="BI52" s="176"/>
      <c r="BJ52" s="176"/>
      <c r="BK52" s="176"/>
      <c r="BL52" s="176"/>
      <c r="BM52" s="176"/>
      <c r="BN52" s="176"/>
      <c r="BO52" s="176"/>
    </row>
    <row r="53" spans="1:67" s="36" customFormat="1" ht="10.5" customHeight="1" x14ac:dyDescent="0.2">
      <c r="A53" s="1055"/>
      <c r="B53" s="2594"/>
      <c r="C53" s="2595"/>
      <c r="D53" s="2596"/>
      <c r="E53" s="2395"/>
      <c r="F53" s="2396"/>
      <c r="G53" s="2590"/>
      <c r="H53" s="2591"/>
      <c r="I53" s="1081">
        <f t="shared" si="2"/>
        <v>0</v>
      </c>
      <c r="J53" s="1082">
        <f t="shared" si="3"/>
        <v>0</v>
      </c>
      <c r="K53" s="2588"/>
      <c r="L53" s="2589"/>
      <c r="M53" s="1086">
        <f t="shared" si="4"/>
        <v>0</v>
      </c>
      <c r="N53" s="506"/>
      <c r="O53" s="365">
        <f t="shared" si="1"/>
        <v>0</v>
      </c>
      <c r="P53" s="366"/>
      <c r="Q53" s="135"/>
      <c r="R53" s="136"/>
      <c r="S53" s="129"/>
      <c r="T53" s="129"/>
      <c r="U53" s="129"/>
      <c r="V53" s="129"/>
      <c r="W53" s="129"/>
      <c r="X53" s="129"/>
      <c r="Y53" s="129"/>
      <c r="Z53" s="133"/>
      <c r="AA53" s="133"/>
      <c r="AB53" s="133"/>
      <c r="AC53" s="133"/>
      <c r="AD53" s="133"/>
      <c r="AE53" s="133"/>
      <c r="AF53" s="222"/>
      <c r="AG53" s="222"/>
      <c r="AH53" s="222"/>
      <c r="AI53" s="176"/>
      <c r="AJ53" s="176"/>
      <c r="AK53" s="176"/>
      <c r="AL53" s="176"/>
      <c r="AM53" s="176"/>
      <c r="AN53" s="176"/>
      <c r="AO53" s="176"/>
      <c r="AP53" s="176"/>
      <c r="AQ53" s="176"/>
      <c r="AR53" s="176"/>
      <c r="AS53" s="176"/>
      <c r="AT53" s="176"/>
      <c r="AU53" s="176"/>
      <c r="AV53" s="176"/>
      <c r="AW53" s="176"/>
      <c r="AX53" s="176"/>
      <c r="AY53" s="176"/>
      <c r="AZ53" s="176"/>
      <c r="BA53" s="176"/>
      <c r="BB53" s="176"/>
      <c r="BC53" s="176"/>
      <c r="BD53" s="176"/>
      <c r="BE53" s="176"/>
      <c r="BF53" s="176"/>
      <c r="BG53" s="176"/>
      <c r="BH53" s="176"/>
      <c r="BI53" s="176"/>
      <c r="BJ53" s="176"/>
      <c r="BK53" s="176"/>
      <c r="BL53" s="176"/>
      <c r="BM53" s="176"/>
      <c r="BN53" s="176"/>
      <c r="BO53" s="176"/>
    </row>
    <row r="54" spans="1:67" s="36" customFormat="1" ht="10.5" customHeight="1" x14ac:dyDescent="0.2">
      <c r="A54" s="1348"/>
      <c r="B54" s="2690"/>
      <c r="C54" s="2691"/>
      <c r="D54" s="2692"/>
      <c r="E54" s="2601"/>
      <c r="F54" s="2602"/>
      <c r="G54" s="1088"/>
      <c r="H54" s="1089"/>
      <c r="I54" s="1083">
        <f t="shared" si="2"/>
        <v>0</v>
      </c>
      <c r="J54" s="1084"/>
      <c r="K54" s="1087"/>
      <c r="L54" s="1307"/>
      <c r="M54" s="1317">
        <f t="shared" si="4"/>
        <v>0</v>
      </c>
      <c r="N54" s="506"/>
      <c r="O54" s="365">
        <f t="shared" si="1"/>
        <v>0</v>
      </c>
      <c r="P54" s="366"/>
      <c r="Q54" s="135"/>
      <c r="R54" s="136"/>
      <c r="S54" s="129"/>
      <c r="T54" s="129"/>
      <c r="U54" s="129"/>
      <c r="V54" s="129"/>
      <c r="W54" s="129"/>
      <c r="X54" s="129"/>
      <c r="Y54" s="129"/>
      <c r="Z54" s="133"/>
      <c r="AA54" s="133"/>
      <c r="AB54" s="133"/>
      <c r="AC54" s="133"/>
      <c r="AD54" s="133"/>
      <c r="AE54" s="133"/>
      <c r="AF54" s="222"/>
      <c r="AG54" s="222"/>
      <c r="AH54" s="222"/>
      <c r="AI54" s="176"/>
      <c r="AJ54" s="176"/>
      <c r="AK54" s="176"/>
      <c r="AL54" s="176"/>
      <c r="AM54" s="176"/>
      <c r="AN54" s="176"/>
      <c r="AO54" s="176"/>
      <c r="AP54" s="176"/>
      <c r="AQ54" s="176"/>
      <c r="AR54" s="176"/>
      <c r="AS54" s="176"/>
      <c r="AT54" s="176"/>
      <c r="AU54" s="176"/>
      <c r="AV54" s="176"/>
      <c r="AW54" s="176"/>
      <c r="AX54" s="176"/>
      <c r="AY54" s="176"/>
      <c r="AZ54" s="176"/>
      <c r="BA54" s="176"/>
      <c r="BB54" s="176"/>
      <c r="BC54" s="176"/>
      <c r="BD54" s="176"/>
      <c r="BE54" s="176"/>
      <c r="BF54" s="176"/>
      <c r="BG54" s="176"/>
      <c r="BH54" s="176"/>
      <c r="BI54" s="176"/>
      <c r="BJ54" s="176"/>
      <c r="BK54" s="176"/>
      <c r="BL54" s="176"/>
      <c r="BM54" s="176"/>
      <c r="BN54" s="176"/>
      <c r="BO54" s="176"/>
    </row>
    <row r="55" spans="1:67" s="36" customFormat="1" ht="10.5" customHeight="1" x14ac:dyDescent="0.2">
      <c r="A55" s="1115" t="s">
        <v>264</v>
      </c>
      <c r="B55" s="2611"/>
      <c r="C55" s="2612"/>
      <c r="D55" s="2613"/>
      <c r="E55" s="2676">
        <f>SUM(E56:E68)</f>
        <v>0</v>
      </c>
      <c r="F55" s="2677"/>
      <c r="G55" s="2678"/>
      <c r="H55" s="2679"/>
      <c r="I55" s="1116">
        <f>IF(E55=0,0,J55/E55)</f>
        <v>0</v>
      </c>
      <c r="J55" s="1117">
        <f>SUM(J56:J68)</f>
        <v>0</v>
      </c>
      <c r="K55" s="2686">
        <f>IF(E55=0,0,M55/E55*100)</f>
        <v>0</v>
      </c>
      <c r="L55" s="2687"/>
      <c r="M55" s="1118">
        <f>SUM(M56:M68)</f>
        <v>0</v>
      </c>
      <c r="N55" s="506"/>
      <c r="O55" s="178">
        <f>IF(H55="",G55,H55)</f>
        <v>0</v>
      </c>
      <c r="P55" s="366"/>
      <c r="Q55" s="135"/>
      <c r="R55" s="136"/>
      <c r="S55" s="129"/>
      <c r="T55" s="129"/>
      <c r="U55" s="129"/>
      <c r="V55" s="129"/>
      <c r="W55" s="129"/>
      <c r="X55" s="129"/>
      <c r="Y55" s="129"/>
      <c r="Z55" s="133"/>
      <c r="AA55" s="133"/>
      <c r="AB55" s="133"/>
      <c r="AC55" s="133"/>
      <c r="AD55" s="133"/>
      <c r="AE55" s="133"/>
      <c r="AF55" s="222"/>
      <c r="AG55" s="222"/>
      <c r="AH55" s="222"/>
      <c r="AI55" s="176"/>
      <c r="AJ55" s="176"/>
      <c r="AK55" s="176"/>
      <c r="AL55" s="176"/>
      <c r="AM55" s="176"/>
      <c r="AN55" s="176"/>
      <c r="AO55" s="176"/>
      <c r="AP55" s="176"/>
      <c r="AQ55" s="176"/>
      <c r="AR55" s="176"/>
      <c r="AS55" s="176"/>
      <c r="AT55" s="176"/>
      <c r="AU55" s="176"/>
      <c r="AV55" s="176"/>
      <c r="AW55" s="176"/>
      <c r="AX55" s="176"/>
      <c r="AY55" s="176"/>
      <c r="AZ55" s="176"/>
      <c r="BA55" s="176"/>
      <c r="BB55" s="176"/>
      <c r="BC55" s="176"/>
      <c r="BD55" s="176"/>
      <c r="BE55" s="176"/>
      <c r="BF55" s="176"/>
      <c r="BG55" s="176"/>
      <c r="BH55" s="176"/>
      <c r="BI55" s="176"/>
      <c r="BJ55" s="176"/>
      <c r="BK55" s="176"/>
      <c r="BL55" s="176"/>
      <c r="BM55" s="176"/>
      <c r="BN55" s="176"/>
      <c r="BO55" s="176"/>
    </row>
    <row r="56" spans="1:67" s="36" customFormat="1" ht="10.5" customHeight="1" x14ac:dyDescent="0.2">
      <c r="A56" s="1359" t="s">
        <v>265</v>
      </c>
      <c r="B56" s="2743"/>
      <c r="C56" s="2744"/>
      <c r="D56" s="2745"/>
      <c r="E56" s="2746"/>
      <c r="F56" s="2788"/>
      <c r="G56" s="1056">
        <v>50</v>
      </c>
      <c r="H56" s="1057"/>
      <c r="I56" s="1079">
        <f t="shared" ref="I56:I69" si="5">IF($O56&gt;0,-PMT(($I$9),$O56,1),0)</f>
        <v>3.3518358840153369E-2</v>
      </c>
      <c r="J56" s="1080">
        <f t="shared" ref="J56:J68" si="6">ROUND(E56*I56,0)</f>
        <v>0</v>
      </c>
      <c r="K56" s="1060">
        <v>0</v>
      </c>
      <c r="L56" s="1304"/>
      <c r="M56" s="1085">
        <f t="shared" ref="M56:M69" si="7">ROUND(E56/100*IF(ISBLANK(L56),K56,L56),0)</f>
        <v>0</v>
      </c>
      <c r="N56" s="506"/>
      <c r="O56" s="365">
        <f t="shared" ref="O56:O69" si="8">IF(ISBLANK(H56),G56,H56)</f>
        <v>50</v>
      </c>
      <c r="P56" s="366"/>
      <c r="Q56" s="135"/>
      <c r="R56" s="136"/>
      <c r="S56" s="129"/>
      <c r="T56" s="129"/>
      <c r="U56" s="129"/>
      <c r="V56" s="129"/>
      <c r="W56" s="129"/>
      <c r="X56" s="129"/>
      <c r="Y56" s="129"/>
      <c r="Z56" s="133"/>
      <c r="AA56" s="133"/>
      <c r="AB56" s="133"/>
      <c r="AC56" s="133"/>
      <c r="AD56" s="133"/>
      <c r="AE56" s="133"/>
      <c r="AF56" s="222"/>
      <c r="AG56" s="222"/>
      <c r="AH56" s="222"/>
      <c r="AI56" s="176"/>
      <c r="AJ56" s="176"/>
      <c r="AK56" s="176"/>
      <c r="AL56" s="176"/>
      <c r="AM56" s="176"/>
      <c r="AN56" s="176"/>
      <c r="AO56" s="176"/>
      <c r="AP56" s="176"/>
      <c r="AQ56" s="176"/>
      <c r="AR56" s="176"/>
      <c r="AS56" s="176"/>
      <c r="AT56" s="176"/>
      <c r="AU56" s="176"/>
      <c r="AV56" s="176"/>
      <c r="AW56" s="176"/>
      <c r="AX56" s="176"/>
      <c r="AY56" s="176"/>
      <c r="AZ56" s="176"/>
      <c r="BA56" s="176"/>
      <c r="BB56" s="176"/>
      <c r="BC56" s="176"/>
      <c r="BD56" s="176"/>
      <c r="BE56" s="176"/>
      <c r="BF56" s="176"/>
      <c r="BG56" s="176"/>
      <c r="BH56" s="176"/>
      <c r="BI56" s="176"/>
      <c r="BJ56" s="176"/>
      <c r="BK56" s="176"/>
      <c r="BL56" s="176"/>
      <c r="BM56" s="176"/>
      <c r="BN56" s="176"/>
      <c r="BO56" s="176"/>
    </row>
    <row r="57" spans="1:67" s="36" customFormat="1" ht="10.5" customHeight="1" x14ac:dyDescent="0.2">
      <c r="A57" s="1043" t="s">
        <v>266</v>
      </c>
      <c r="B57" s="2594"/>
      <c r="C57" s="2595"/>
      <c r="D57" s="2596"/>
      <c r="E57" s="2395"/>
      <c r="F57" s="2789"/>
      <c r="G57" s="1058">
        <v>30</v>
      </c>
      <c r="H57" s="1059"/>
      <c r="I57" s="1081">
        <f t="shared" si="5"/>
        <v>4.6199342169092869E-2</v>
      </c>
      <c r="J57" s="1082">
        <f t="shared" si="6"/>
        <v>0</v>
      </c>
      <c r="K57" s="1061"/>
      <c r="L57" s="1305"/>
      <c r="M57" s="1086">
        <f t="shared" si="7"/>
        <v>0</v>
      </c>
      <c r="N57" s="506"/>
      <c r="O57" s="365">
        <f t="shared" si="8"/>
        <v>30</v>
      </c>
      <c r="P57" s="366"/>
      <c r="Q57" s="135"/>
      <c r="R57" s="136"/>
      <c r="S57" s="129"/>
      <c r="T57" s="129"/>
      <c r="U57" s="129"/>
      <c r="V57" s="129"/>
      <c r="W57" s="129"/>
      <c r="X57" s="129"/>
      <c r="Y57" s="129"/>
      <c r="Z57" s="133"/>
      <c r="AA57" s="133"/>
      <c r="AB57" s="133"/>
      <c r="AC57" s="133"/>
      <c r="AD57" s="133"/>
      <c r="AE57" s="133"/>
      <c r="AF57" s="222"/>
      <c r="AG57" s="222"/>
      <c r="AH57" s="222"/>
      <c r="AI57" s="176"/>
      <c r="AJ57" s="176"/>
      <c r="AK57" s="176"/>
      <c r="AL57" s="176"/>
      <c r="AM57" s="176"/>
      <c r="AN57" s="176"/>
      <c r="AO57" s="176"/>
      <c r="AP57" s="176"/>
      <c r="AQ57" s="176"/>
      <c r="AR57" s="176"/>
      <c r="AS57" s="176"/>
      <c r="AT57" s="176"/>
      <c r="AU57" s="176"/>
      <c r="AV57" s="176"/>
      <c r="AW57" s="176"/>
      <c r="AX57" s="176"/>
      <c r="AY57" s="176"/>
      <c r="AZ57" s="176"/>
      <c r="BA57" s="176"/>
      <c r="BB57" s="176"/>
      <c r="BC57" s="176"/>
      <c r="BD57" s="176"/>
      <c r="BE57" s="176"/>
      <c r="BF57" s="176"/>
      <c r="BG57" s="176"/>
      <c r="BH57" s="176"/>
      <c r="BI57" s="176"/>
      <c r="BJ57" s="176"/>
      <c r="BK57" s="176"/>
      <c r="BL57" s="176"/>
      <c r="BM57" s="176"/>
      <c r="BN57" s="176"/>
      <c r="BO57" s="176"/>
    </row>
    <row r="58" spans="1:67" s="36" customFormat="1" ht="10.5" customHeight="1" x14ac:dyDescent="0.2">
      <c r="A58" s="1043" t="s">
        <v>396</v>
      </c>
      <c r="B58" s="2594"/>
      <c r="C58" s="2595"/>
      <c r="D58" s="2596"/>
      <c r="E58" s="2395"/>
      <c r="F58" s="2789"/>
      <c r="G58" s="1058">
        <v>20</v>
      </c>
      <c r="H58" s="1059"/>
      <c r="I58" s="1081">
        <f t="shared" si="5"/>
        <v>6.2642070767998229E-2</v>
      </c>
      <c r="J58" s="1082">
        <f t="shared" si="6"/>
        <v>0</v>
      </c>
      <c r="K58" s="1061">
        <v>2.5</v>
      </c>
      <c r="L58" s="1305"/>
      <c r="M58" s="1086">
        <f t="shared" si="7"/>
        <v>0</v>
      </c>
      <c r="N58" s="506"/>
      <c r="O58" s="365">
        <f t="shared" si="8"/>
        <v>20</v>
      </c>
      <c r="P58" s="366"/>
      <c r="Q58" s="135"/>
      <c r="R58" s="136"/>
      <c r="S58" s="129"/>
      <c r="T58" s="129"/>
      <c r="U58" s="129"/>
      <c r="V58" s="129"/>
      <c r="W58" s="129"/>
      <c r="X58" s="129"/>
      <c r="Y58" s="129"/>
      <c r="Z58" s="133"/>
      <c r="AA58" s="133"/>
      <c r="AB58" s="133"/>
      <c r="AC58" s="133"/>
      <c r="AD58" s="133"/>
      <c r="AE58" s="133"/>
      <c r="AF58" s="222"/>
      <c r="AG58" s="222"/>
      <c r="AH58" s="222"/>
      <c r="AI58" s="176"/>
      <c r="AJ58" s="176"/>
      <c r="AK58" s="176"/>
      <c r="AL58" s="176"/>
      <c r="AM58" s="176"/>
      <c r="AN58" s="176"/>
      <c r="AO58" s="176"/>
      <c r="AP58" s="176"/>
      <c r="AQ58" s="176"/>
      <c r="AR58" s="176"/>
      <c r="AS58" s="176"/>
      <c r="AT58" s="176"/>
      <c r="AU58" s="176"/>
      <c r="AV58" s="176"/>
      <c r="AW58" s="176"/>
      <c r="AX58" s="176"/>
      <c r="AY58" s="176"/>
      <c r="AZ58" s="176"/>
      <c r="BA58" s="176"/>
      <c r="BB58" s="176"/>
      <c r="BC58" s="176"/>
      <c r="BD58" s="176"/>
      <c r="BE58" s="176"/>
      <c r="BF58" s="176"/>
      <c r="BG58" s="176"/>
      <c r="BH58" s="176"/>
      <c r="BI58" s="176"/>
      <c r="BJ58" s="176"/>
      <c r="BK58" s="176"/>
      <c r="BL58" s="176"/>
      <c r="BM58" s="176"/>
      <c r="BN58" s="176"/>
      <c r="BO58" s="176"/>
    </row>
    <row r="59" spans="1:67" s="36" customFormat="1" ht="10.5" customHeight="1" x14ac:dyDescent="0.2">
      <c r="A59" s="1043" t="s">
        <v>267</v>
      </c>
      <c r="B59" s="2594"/>
      <c r="C59" s="2595"/>
      <c r="D59" s="2596"/>
      <c r="E59" s="2395"/>
      <c r="F59" s="2789"/>
      <c r="G59" s="1058">
        <v>20</v>
      </c>
      <c r="H59" s="1059"/>
      <c r="I59" s="1081">
        <f t="shared" si="5"/>
        <v>6.2642070767998229E-2</v>
      </c>
      <c r="J59" s="1082">
        <f t="shared" si="6"/>
        <v>0</v>
      </c>
      <c r="K59" s="1061">
        <v>3.5</v>
      </c>
      <c r="L59" s="1305"/>
      <c r="M59" s="1086">
        <f t="shared" si="7"/>
        <v>0</v>
      </c>
      <c r="N59" s="506"/>
      <c r="O59" s="365">
        <f t="shared" si="8"/>
        <v>20</v>
      </c>
      <c r="P59" s="366"/>
      <c r="Q59" s="135"/>
      <c r="R59" s="136"/>
      <c r="S59" s="129"/>
      <c r="T59" s="129"/>
      <c r="U59" s="129"/>
      <c r="V59" s="129"/>
      <c r="W59" s="129"/>
      <c r="X59" s="129"/>
      <c r="Y59" s="129"/>
      <c r="Z59" s="133"/>
      <c r="AA59" s="133"/>
      <c r="AB59" s="133"/>
      <c r="AC59" s="133"/>
      <c r="AD59" s="133"/>
      <c r="AE59" s="133"/>
      <c r="AF59" s="222"/>
      <c r="AG59" s="222"/>
      <c r="AH59" s="222"/>
      <c r="AI59" s="176"/>
      <c r="AJ59" s="176"/>
      <c r="AK59" s="176"/>
      <c r="AL59" s="176"/>
      <c r="AM59" s="176"/>
      <c r="AN59" s="176"/>
      <c r="AO59" s="176"/>
      <c r="AP59" s="176"/>
      <c r="AQ59" s="176"/>
      <c r="AR59" s="176"/>
      <c r="AS59" s="176"/>
      <c r="AT59" s="176"/>
      <c r="AU59" s="176"/>
      <c r="AV59" s="176"/>
      <c r="AW59" s="176"/>
      <c r="AX59" s="176"/>
      <c r="AY59" s="176"/>
      <c r="AZ59" s="176"/>
      <c r="BA59" s="176"/>
      <c r="BB59" s="176"/>
      <c r="BC59" s="176"/>
      <c r="BD59" s="176"/>
      <c r="BE59" s="176"/>
      <c r="BF59" s="176"/>
      <c r="BG59" s="176"/>
      <c r="BH59" s="176"/>
      <c r="BI59" s="176"/>
      <c r="BJ59" s="176"/>
      <c r="BK59" s="176"/>
      <c r="BL59" s="176"/>
      <c r="BM59" s="176"/>
      <c r="BN59" s="176"/>
      <c r="BO59" s="176"/>
    </row>
    <row r="60" spans="1:67" s="36" customFormat="1" ht="10.5" customHeight="1" x14ac:dyDescent="0.2">
      <c r="A60" s="1043" t="s">
        <v>268</v>
      </c>
      <c r="B60" s="2594"/>
      <c r="C60" s="2595"/>
      <c r="D60" s="2596"/>
      <c r="E60" s="2395"/>
      <c r="F60" s="2789"/>
      <c r="G60" s="1058">
        <v>20</v>
      </c>
      <c r="H60" s="1059"/>
      <c r="I60" s="1081">
        <f t="shared" si="5"/>
        <v>6.2642070767998229E-2</v>
      </c>
      <c r="J60" s="1082">
        <f t="shared" si="6"/>
        <v>0</v>
      </c>
      <c r="K60" s="1061">
        <v>3</v>
      </c>
      <c r="L60" s="1305"/>
      <c r="M60" s="1086">
        <f t="shared" si="7"/>
        <v>0</v>
      </c>
      <c r="N60" s="506"/>
      <c r="O60" s="365">
        <f t="shared" si="8"/>
        <v>20</v>
      </c>
      <c r="P60" s="366"/>
      <c r="Q60" s="135"/>
      <c r="R60" s="136"/>
      <c r="S60" s="129"/>
      <c r="T60" s="129"/>
      <c r="U60" s="129"/>
      <c r="V60" s="129"/>
      <c r="W60" s="129"/>
      <c r="X60" s="129"/>
      <c r="Y60" s="129"/>
      <c r="Z60" s="133"/>
      <c r="AA60" s="133"/>
      <c r="AB60" s="133"/>
      <c r="AC60" s="133"/>
      <c r="AD60" s="133"/>
      <c r="AE60" s="133"/>
      <c r="AF60" s="222"/>
      <c r="AG60" s="222"/>
      <c r="AH60" s="222"/>
      <c r="AI60" s="176"/>
      <c r="AJ60" s="176"/>
      <c r="AK60" s="176"/>
      <c r="AL60" s="176"/>
      <c r="AM60" s="176"/>
      <c r="AN60" s="176"/>
      <c r="AO60" s="176"/>
      <c r="AP60" s="176"/>
      <c r="AQ60" s="176"/>
      <c r="AR60" s="176"/>
      <c r="AS60" s="176"/>
      <c r="AT60" s="176"/>
      <c r="AU60" s="176"/>
      <c r="AV60" s="176"/>
      <c r="AW60" s="176"/>
      <c r="AX60" s="176"/>
      <c r="AY60" s="176"/>
      <c r="AZ60" s="176"/>
      <c r="BA60" s="176"/>
      <c r="BB60" s="176"/>
      <c r="BC60" s="176"/>
      <c r="BD60" s="176"/>
      <c r="BE60" s="176"/>
      <c r="BF60" s="176"/>
      <c r="BG60" s="176"/>
      <c r="BH60" s="176"/>
      <c r="BI60" s="176"/>
      <c r="BJ60" s="176"/>
      <c r="BK60" s="176"/>
      <c r="BL60" s="176"/>
      <c r="BM60" s="176"/>
      <c r="BN60" s="176"/>
      <c r="BO60" s="176"/>
    </row>
    <row r="61" spans="1:67" s="36" customFormat="1" ht="10.5" customHeight="1" x14ac:dyDescent="0.2">
      <c r="A61" s="1043" t="s">
        <v>269</v>
      </c>
      <c r="B61" s="2594"/>
      <c r="C61" s="2595"/>
      <c r="D61" s="2596"/>
      <c r="E61" s="2395"/>
      <c r="F61" s="2789"/>
      <c r="G61" s="1058">
        <v>20</v>
      </c>
      <c r="H61" s="1059"/>
      <c r="I61" s="1081">
        <f t="shared" si="5"/>
        <v>6.2642070767998229E-2</v>
      </c>
      <c r="J61" s="1082">
        <f t="shared" si="6"/>
        <v>0</v>
      </c>
      <c r="K61" s="1061">
        <v>2</v>
      </c>
      <c r="L61" s="1305"/>
      <c r="M61" s="1086">
        <f t="shared" si="7"/>
        <v>0</v>
      </c>
      <c r="N61" s="506"/>
      <c r="O61" s="365">
        <f t="shared" si="8"/>
        <v>20</v>
      </c>
      <c r="P61" s="366"/>
      <c r="Q61" s="135"/>
      <c r="R61" s="136"/>
      <c r="S61" s="129"/>
      <c r="T61" s="129"/>
      <c r="U61" s="129"/>
      <c r="V61" s="129"/>
      <c r="W61" s="129"/>
      <c r="X61" s="129"/>
      <c r="Y61" s="129"/>
      <c r="Z61" s="133"/>
      <c r="AA61" s="133"/>
      <c r="AB61" s="133"/>
      <c r="AC61" s="133"/>
      <c r="AD61" s="133"/>
      <c r="AE61" s="133"/>
      <c r="AF61" s="222"/>
      <c r="AG61" s="222"/>
      <c r="AH61" s="222"/>
      <c r="AI61" s="176"/>
      <c r="AJ61" s="176"/>
      <c r="AK61" s="176"/>
      <c r="AL61" s="176"/>
      <c r="AM61" s="176"/>
      <c r="AN61" s="176"/>
      <c r="AO61" s="176"/>
      <c r="AP61" s="176"/>
      <c r="AQ61" s="176"/>
      <c r="AR61" s="176"/>
      <c r="AS61" s="176"/>
      <c r="AT61" s="176"/>
      <c r="AU61" s="176"/>
      <c r="AV61" s="176"/>
      <c r="AW61" s="176"/>
      <c r="AX61" s="176"/>
      <c r="AY61" s="176"/>
      <c r="AZ61" s="176"/>
      <c r="BA61" s="176"/>
      <c r="BB61" s="176"/>
      <c r="BC61" s="176"/>
      <c r="BD61" s="176"/>
      <c r="BE61" s="176"/>
      <c r="BF61" s="176"/>
      <c r="BG61" s="176"/>
      <c r="BH61" s="176"/>
      <c r="BI61" s="176"/>
      <c r="BJ61" s="176"/>
      <c r="BK61" s="176"/>
      <c r="BL61" s="176"/>
      <c r="BM61" s="176"/>
      <c r="BN61" s="176"/>
      <c r="BO61" s="176"/>
    </row>
    <row r="62" spans="1:67" s="36" customFormat="1" ht="10.5" customHeight="1" x14ac:dyDescent="0.2">
      <c r="A62" s="1043" t="s">
        <v>270</v>
      </c>
      <c r="B62" s="2594"/>
      <c r="C62" s="2595"/>
      <c r="D62" s="2596"/>
      <c r="E62" s="2395"/>
      <c r="F62" s="2789"/>
      <c r="G62" s="1058">
        <v>20</v>
      </c>
      <c r="H62" s="1059"/>
      <c r="I62" s="1081">
        <f t="shared" si="5"/>
        <v>6.2642070767998229E-2</v>
      </c>
      <c r="J62" s="1082">
        <f t="shared" si="6"/>
        <v>0</v>
      </c>
      <c r="K62" s="1061">
        <v>3</v>
      </c>
      <c r="L62" s="1305"/>
      <c r="M62" s="1086">
        <f t="shared" si="7"/>
        <v>0</v>
      </c>
      <c r="N62" s="506"/>
      <c r="O62" s="365">
        <f t="shared" si="8"/>
        <v>20</v>
      </c>
      <c r="P62" s="366"/>
      <c r="Q62" s="135"/>
      <c r="R62" s="136"/>
      <c r="S62" s="129"/>
      <c r="T62" s="129"/>
      <c r="U62" s="129"/>
      <c r="V62" s="129"/>
      <c r="W62" s="129"/>
      <c r="X62" s="129"/>
      <c r="Y62" s="129"/>
      <c r="Z62" s="133"/>
      <c r="AA62" s="133"/>
      <c r="AB62" s="133"/>
      <c r="AC62" s="133"/>
      <c r="AD62" s="133"/>
      <c r="AE62" s="133"/>
      <c r="AF62" s="222"/>
      <c r="AG62" s="222"/>
      <c r="AH62" s="222"/>
      <c r="AI62" s="176"/>
      <c r="AJ62" s="176"/>
      <c r="AK62" s="176"/>
      <c r="AL62" s="176"/>
      <c r="AM62" s="176"/>
      <c r="AN62" s="176"/>
      <c r="AO62" s="176"/>
      <c r="AP62" s="176"/>
      <c r="AQ62" s="176"/>
      <c r="AR62" s="176"/>
      <c r="AS62" s="176"/>
      <c r="AT62" s="176"/>
      <c r="AU62" s="176"/>
      <c r="AV62" s="176"/>
      <c r="AW62" s="176"/>
      <c r="AX62" s="176"/>
      <c r="AY62" s="176"/>
      <c r="AZ62" s="176"/>
      <c r="BA62" s="176"/>
      <c r="BB62" s="176"/>
      <c r="BC62" s="176"/>
      <c r="BD62" s="176"/>
      <c r="BE62" s="176"/>
      <c r="BF62" s="176"/>
      <c r="BG62" s="176"/>
      <c r="BH62" s="176"/>
      <c r="BI62" s="176"/>
      <c r="BJ62" s="176"/>
      <c r="BK62" s="176"/>
      <c r="BL62" s="176"/>
      <c r="BM62" s="176"/>
      <c r="BN62" s="176"/>
      <c r="BO62" s="176"/>
    </row>
    <row r="63" spans="1:67" s="36" customFormat="1" ht="10.5" customHeight="1" x14ac:dyDescent="0.2">
      <c r="A63" s="1043" t="s">
        <v>271</v>
      </c>
      <c r="B63" s="2594"/>
      <c r="C63" s="2595"/>
      <c r="D63" s="2596"/>
      <c r="E63" s="2395"/>
      <c r="F63" s="2789"/>
      <c r="G63" s="1058">
        <v>20</v>
      </c>
      <c r="H63" s="1059"/>
      <c r="I63" s="1081">
        <f t="shared" si="5"/>
        <v>6.2642070767998229E-2</v>
      </c>
      <c r="J63" s="1082">
        <f t="shared" si="6"/>
        <v>0</v>
      </c>
      <c r="K63" s="1061">
        <v>3</v>
      </c>
      <c r="L63" s="1305"/>
      <c r="M63" s="1086">
        <f t="shared" si="7"/>
        <v>0</v>
      </c>
      <c r="N63" s="506"/>
      <c r="O63" s="365">
        <f t="shared" si="8"/>
        <v>20</v>
      </c>
      <c r="P63" s="366"/>
      <c r="Q63" s="135"/>
      <c r="R63" s="136"/>
      <c r="S63" s="129"/>
      <c r="T63" s="129"/>
      <c r="U63" s="129"/>
      <c r="V63" s="129"/>
      <c r="W63" s="129"/>
      <c r="X63" s="129"/>
      <c r="Y63" s="129"/>
      <c r="Z63" s="133"/>
      <c r="AA63" s="133"/>
      <c r="AB63" s="133"/>
      <c r="AC63" s="133"/>
      <c r="AD63" s="133"/>
      <c r="AE63" s="133"/>
      <c r="AF63" s="222"/>
      <c r="AG63" s="222"/>
      <c r="AH63" s="222"/>
      <c r="AI63" s="176"/>
      <c r="AJ63" s="176"/>
      <c r="AK63" s="176"/>
      <c r="AL63" s="176"/>
      <c r="AM63" s="176"/>
      <c r="AN63" s="176"/>
      <c r="AO63" s="176"/>
      <c r="AP63" s="176"/>
      <c r="AQ63" s="176"/>
      <c r="AR63" s="176"/>
      <c r="AS63" s="176"/>
      <c r="AT63" s="176"/>
      <c r="AU63" s="176"/>
      <c r="AV63" s="176"/>
      <c r="AW63" s="176"/>
      <c r="AX63" s="176"/>
      <c r="AY63" s="176"/>
      <c r="AZ63" s="176"/>
      <c r="BA63" s="176"/>
      <c r="BB63" s="176"/>
      <c r="BC63" s="176"/>
      <c r="BD63" s="176"/>
      <c r="BE63" s="176"/>
      <c r="BF63" s="176"/>
      <c r="BG63" s="176"/>
      <c r="BH63" s="176"/>
      <c r="BI63" s="176"/>
      <c r="BJ63" s="176"/>
      <c r="BK63" s="176"/>
      <c r="BL63" s="176"/>
      <c r="BM63" s="176"/>
      <c r="BN63" s="176"/>
      <c r="BO63" s="176"/>
    </row>
    <row r="64" spans="1:67" s="36" customFormat="1" ht="10.5" customHeight="1" x14ac:dyDescent="0.2">
      <c r="A64" s="1043" t="s">
        <v>272</v>
      </c>
      <c r="B64" s="2594"/>
      <c r="C64" s="2595"/>
      <c r="D64" s="2596"/>
      <c r="E64" s="2395"/>
      <c r="F64" s="2789"/>
      <c r="G64" s="1058">
        <v>40</v>
      </c>
      <c r="H64" s="1059"/>
      <c r="I64" s="1081">
        <f t="shared" si="5"/>
        <v>3.8177378061076156E-2</v>
      </c>
      <c r="J64" s="1082">
        <f t="shared" si="6"/>
        <v>0</v>
      </c>
      <c r="K64" s="1061">
        <v>0</v>
      </c>
      <c r="L64" s="1305"/>
      <c r="M64" s="1086">
        <f t="shared" si="7"/>
        <v>0</v>
      </c>
      <c r="N64" s="506"/>
      <c r="O64" s="365">
        <f t="shared" si="8"/>
        <v>40</v>
      </c>
      <c r="P64" s="366"/>
      <c r="Q64" s="135"/>
      <c r="R64" s="136"/>
      <c r="S64" s="129"/>
      <c r="T64" s="129"/>
      <c r="U64" s="129"/>
      <c r="V64" s="129"/>
      <c r="W64" s="129"/>
      <c r="X64" s="129"/>
      <c r="Y64" s="129"/>
      <c r="Z64" s="133"/>
      <c r="AA64" s="133"/>
      <c r="AB64" s="133"/>
      <c r="AC64" s="133"/>
      <c r="AD64" s="133"/>
      <c r="AE64" s="133"/>
      <c r="AF64" s="222"/>
      <c r="AG64" s="222"/>
      <c r="AH64" s="222"/>
      <c r="AI64" s="176"/>
      <c r="AJ64" s="176"/>
      <c r="AK64" s="176"/>
      <c r="AL64" s="176"/>
      <c r="AM64" s="176"/>
      <c r="AN64" s="176"/>
      <c r="AO64" s="176"/>
      <c r="AP64" s="176"/>
      <c r="AQ64" s="176"/>
      <c r="AR64" s="176"/>
      <c r="AS64" s="176"/>
      <c r="AT64" s="176"/>
      <c r="AU64" s="176"/>
      <c r="AV64" s="176"/>
      <c r="AW64" s="176"/>
      <c r="AX64" s="176"/>
      <c r="AY64" s="176"/>
      <c r="AZ64" s="176"/>
      <c r="BA64" s="176"/>
      <c r="BB64" s="176"/>
      <c r="BC64" s="176"/>
      <c r="BD64" s="176"/>
      <c r="BE64" s="176"/>
      <c r="BF64" s="176"/>
      <c r="BG64" s="176"/>
      <c r="BH64" s="176"/>
      <c r="BI64" s="176"/>
      <c r="BJ64" s="176"/>
      <c r="BK64" s="176"/>
      <c r="BL64" s="176"/>
      <c r="BM64" s="176"/>
      <c r="BN64" s="176"/>
      <c r="BO64" s="176"/>
    </row>
    <row r="65" spans="1:67" s="36" customFormat="1" ht="10.5" customHeight="1" x14ac:dyDescent="0.2">
      <c r="A65" s="1043" t="s">
        <v>273</v>
      </c>
      <c r="B65" s="2594"/>
      <c r="C65" s="2595"/>
      <c r="D65" s="2596"/>
      <c r="E65" s="2395"/>
      <c r="F65" s="2789"/>
      <c r="G65" s="1058">
        <v>20</v>
      </c>
      <c r="H65" s="1059"/>
      <c r="I65" s="1081">
        <f t="shared" si="5"/>
        <v>6.2642070767998229E-2</v>
      </c>
      <c r="J65" s="1082">
        <f t="shared" si="6"/>
        <v>0</v>
      </c>
      <c r="K65" s="1061">
        <v>8</v>
      </c>
      <c r="L65" s="1305"/>
      <c r="M65" s="1086">
        <f t="shared" si="7"/>
        <v>0</v>
      </c>
      <c r="N65" s="506"/>
      <c r="O65" s="365">
        <f t="shared" si="8"/>
        <v>20</v>
      </c>
      <c r="P65" s="366"/>
      <c r="Q65" s="135"/>
      <c r="R65" s="136"/>
      <c r="S65" s="129"/>
      <c r="T65" s="129"/>
      <c r="U65" s="129"/>
      <c r="V65" s="129"/>
      <c r="W65" s="129"/>
      <c r="X65" s="129"/>
      <c r="Y65" s="129"/>
      <c r="Z65" s="133"/>
      <c r="AA65" s="133"/>
      <c r="AB65" s="133"/>
      <c r="AC65" s="133"/>
      <c r="AD65" s="133"/>
      <c r="AE65" s="133"/>
      <c r="AF65" s="222"/>
      <c r="AG65" s="222"/>
      <c r="AH65" s="222"/>
      <c r="AI65" s="176"/>
      <c r="AJ65" s="176"/>
      <c r="AK65" s="176"/>
      <c r="AL65" s="176"/>
      <c r="AM65" s="176"/>
      <c r="AN65" s="176"/>
      <c r="AO65" s="176"/>
      <c r="AP65" s="176"/>
      <c r="AQ65" s="176"/>
      <c r="AR65" s="176"/>
      <c r="AS65" s="176"/>
      <c r="AT65" s="176"/>
      <c r="AU65" s="176"/>
      <c r="AV65" s="176"/>
      <c r="AW65" s="176"/>
      <c r="AX65" s="176"/>
      <c r="AY65" s="176"/>
      <c r="AZ65" s="176"/>
      <c r="BA65" s="176"/>
      <c r="BB65" s="176"/>
      <c r="BC65" s="176"/>
      <c r="BD65" s="176"/>
      <c r="BE65" s="176"/>
      <c r="BF65" s="176"/>
      <c r="BG65" s="176"/>
      <c r="BH65" s="176"/>
      <c r="BI65" s="176"/>
      <c r="BJ65" s="176"/>
      <c r="BK65" s="176"/>
      <c r="BL65" s="176"/>
      <c r="BM65" s="176"/>
      <c r="BN65" s="176"/>
      <c r="BO65" s="176"/>
    </row>
    <row r="66" spans="1:67" s="36" customFormat="1" ht="10.5" customHeight="1" x14ac:dyDescent="0.2">
      <c r="A66" s="1043" t="s">
        <v>274</v>
      </c>
      <c r="B66" s="2594"/>
      <c r="C66" s="2595"/>
      <c r="D66" s="2596"/>
      <c r="E66" s="2395"/>
      <c r="F66" s="2789"/>
      <c r="G66" s="1058">
        <v>20</v>
      </c>
      <c r="H66" s="1059"/>
      <c r="I66" s="1081">
        <f t="shared" si="5"/>
        <v>6.2642070767998229E-2</v>
      </c>
      <c r="J66" s="1082">
        <f t="shared" si="6"/>
        <v>0</v>
      </c>
      <c r="K66" s="1061">
        <v>0</v>
      </c>
      <c r="L66" s="1305"/>
      <c r="M66" s="1086">
        <f t="shared" si="7"/>
        <v>0</v>
      </c>
      <c r="N66" s="506"/>
      <c r="O66" s="365">
        <f t="shared" si="8"/>
        <v>20</v>
      </c>
      <c r="P66" s="366"/>
      <c r="Q66" s="135"/>
      <c r="R66" s="136"/>
      <c r="S66" s="129"/>
      <c r="T66" s="129"/>
      <c r="U66" s="129"/>
      <c r="V66" s="129"/>
      <c r="W66" s="129"/>
      <c r="X66" s="129"/>
      <c r="Y66" s="129"/>
      <c r="Z66" s="133"/>
      <c r="AA66" s="133"/>
      <c r="AB66" s="133"/>
      <c r="AC66" s="133"/>
      <c r="AD66" s="133"/>
      <c r="AE66" s="133"/>
      <c r="AF66" s="222"/>
      <c r="AG66" s="222"/>
      <c r="AH66" s="222"/>
      <c r="AI66" s="176"/>
      <c r="AJ66" s="176"/>
      <c r="AK66" s="176"/>
      <c r="AL66" s="176"/>
      <c r="AM66" s="176"/>
      <c r="AN66" s="176"/>
      <c r="AO66" s="176"/>
      <c r="AP66" s="176"/>
      <c r="AQ66" s="176"/>
      <c r="AR66" s="176"/>
      <c r="AS66" s="176"/>
      <c r="AT66" s="176"/>
      <c r="AU66" s="176"/>
      <c r="AV66" s="176"/>
      <c r="AW66" s="176"/>
      <c r="AX66" s="176"/>
      <c r="AY66" s="176"/>
      <c r="AZ66" s="176"/>
      <c r="BA66" s="176"/>
      <c r="BB66" s="176"/>
      <c r="BC66" s="176"/>
      <c r="BD66" s="176"/>
      <c r="BE66" s="176"/>
      <c r="BF66" s="176"/>
      <c r="BG66" s="176"/>
      <c r="BH66" s="176"/>
      <c r="BI66" s="176"/>
      <c r="BJ66" s="176"/>
      <c r="BK66" s="176"/>
      <c r="BL66" s="176"/>
      <c r="BM66" s="176"/>
      <c r="BN66" s="176"/>
      <c r="BO66" s="176"/>
    </row>
    <row r="67" spans="1:67" s="36" customFormat="1" ht="10.5" customHeight="1" x14ac:dyDescent="0.2">
      <c r="A67" s="1055"/>
      <c r="B67" s="2594"/>
      <c r="C67" s="2595"/>
      <c r="D67" s="2596"/>
      <c r="E67" s="2395"/>
      <c r="F67" s="2396"/>
      <c r="G67" s="2590"/>
      <c r="H67" s="2591"/>
      <c r="I67" s="1081">
        <f t="shared" si="5"/>
        <v>0</v>
      </c>
      <c r="J67" s="1082">
        <f t="shared" si="6"/>
        <v>0</v>
      </c>
      <c r="K67" s="2588"/>
      <c r="L67" s="2589"/>
      <c r="M67" s="1086">
        <f t="shared" si="7"/>
        <v>0</v>
      </c>
      <c r="N67" s="506"/>
      <c r="O67" s="365">
        <f t="shared" si="8"/>
        <v>0</v>
      </c>
      <c r="P67" s="366"/>
      <c r="Q67" s="135"/>
      <c r="R67" s="136"/>
      <c r="S67" s="129"/>
      <c r="T67" s="129"/>
      <c r="U67" s="129"/>
      <c r="V67" s="129"/>
      <c r="W67" s="129"/>
      <c r="X67" s="129"/>
      <c r="Y67" s="129"/>
      <c r="Z67" s="133"/>
      <c r="AA67" s="133"/>
      <c r="AB67" s="133"/>
      <c r="AC67" s="133"/>
      <c r="AD67" s="133"/>
      <c r="AE67" s="133"/>
      <c r="AF67" s="222"/>
      <c r="AG67" s="222"/>
      <c r="AH67" s="222"/>
      <c r="AI67" s="176"/>
      <c r="AJ67" s="176"/>
      <c r="AK67" s="176"/>
      <c r="AL67" s="176"/>
      <c r="AM67" s="176"/>
      <c r="AN67" s="176"/>
      <c r="AO67" s="176"/>
      <c r="AP67" s="176"/>
      <c r="AQ67" s="176"/>
      <c r="AR67" s="176"/>
      <c r="AS67" s="176"/>
      <c r="AT67" s="176"/>
      <c r="AU67" s="176"/>
      <c r="AV67" s="176"/>
      <c r="AW67" s="176"/>
      <c r="AX67" s="176"/>
      <c r="AY67" s="176"/>
      <c r="AZ67" s="176"/>
      <c r="BA67" s="176"/>
      <c r="BB67" s="176"/>
      <c r="BC67" s="176"/>
      <c r="BD67" s="176"/>
      <c r="BE67" s="176"/>
      <c r="BF67" s="176"/>
      <c r="BG67" s="176"/>
      <c r="BH67" s="176"/>
      <c r="BI67" s="176"/>
      <c r="BJ67" s="176"/>
      <c r="BK67" s="176"/>
      <c r="BL67" s="176"/>
      <c r="BM67" s="176"/>
      <c r="BN67" s="176"/>
      <c r="BO67" s="176"/>
    </row>
    <row r="68" spans="1:67" s="36" customFormat="1" ht="10.5" customHeight="1" x14ac:dyDescent="0.2">
      <c r="A68" s="1055"/>
      <c r="B68" s="2594"/>
      <c r="C68" s="2595"/>
      <c r="D68" s="2596"/>
      <c r="E68" s="2395"/>
      <c r="F68" s="2396"/>
      <c r="G68" s="2590"/>
      <c r="H68" s="2591"/>
      <c r="I68" s="1081">
        <f t="shared" si="5"/>
        <v>0</v>
      </c>
      <c r="J68" s="1082">
        <f t="shared" si="6"/>
        <v>0</v>
      </c>
      <c r="K68" s="2588"/>
      <c r="L68" s="2589"/>
      <c r="M68" s="1086">
        <f t="shared" si="7"/>
        <v>0</v>
      </c>
      <c r="N68" s="506"/>
      <c r="O68" s="365">
        <f t="shared" si="8"/>
        <v>0</v>
      </c>
      <c r="P68" s="366"/>
      <c r="Q68" s="135"/>
      <c r="R68" s="136"/>
      <c r="S68" s="129"/>
      <c r="T68" s="129"/>
      <c r="U68" s="129"/>
      <c r="V68" s="129"/>
      <c r="W68" s="129"/>
      <c r="X68" s="129"/>
      <c r="Y68" s="129"/>
      <c r="Z68" s="133"/>
      <c r="AA68" s="133"/>
      <c r="AB68" s="133"/>
      <c r="AC68" s="133"/>
      <c r="AD68" s="133"/>
      <c r="AE68" s="133"/>
      <c r="AF68" s="222"/>
      <c r="AG68" s="222"/>
      <c r="AH68" s="222"/>
      <c r="AI68" s="176"/>
      <c r="AJ68" s="176"/>
      <c r="AK68" s="176"/>
      <c r="AL68" s="176"/>
      <c r="AM68" s="176"/>
      <c r="AN68" s="176"/>
      <c r="AO68" s="176"/>
      <c r="AP68" s="176"/>
      <c r="AQ68" s="176"/>
      <c r="AR68" s="176"/>
      <c r="AS68" s="176"/>
      <c r="AT68" s="176"/>
      <c r="AU68" s="176"/>
      <c r="AV68" s="176"/>
      <c r="AW68" s="176"/>
      <c r="AX68" s="176"/>
      <c r="AY68" s="176"/>
      <c r="AZ68" s="176"/>
      <c r="BA68" s="176"/>
      <c r="BB68" s="176"/>
      <c r="BC68" s="176"/>
      <c r="BD68" s="176"/>
      <c r="BE68" s="176"/>
      <c r="BF68" s="176"/>
      <c r="BG68" s="176"/>
      <c r="BH68" s="176"/>
      <c r="BI68" s="176"/>
      <c r="BJ68" s="176"/>
      <c r="BK68" s="176"/>
      <c r="BL68" s="176"/>
      <c r="BM68" s="176"/>
      <c r="BN68" s="176"/>
      <c r="BO68" s="176"/>
    </row>
    <row r="69" spans="1:67" s="36" customFormat="1" ht="10.5" customHeight="1" x14ac:dyDescent="0.2">
      <c r="A69" s="1348"/>
      <c r="B69" s="2690"/>
      <c r="C69" s="2691"/>
      <c r="D69" s="2692"/>
      <c r="E69" s="2601"/>
      <c r="F69" s="2602"/>
      <c r="G69" s="1088"/>
      <c r="H69" s="1089"/>
      <c r="I69" s="1083">
        <f t="shared" si="5"/>
        <v>0</v>
      </c>
      <c r="J69" s="1084"/>
      <c r="K69" s="1087"/>
      <c r="L69" s="1307"/>
      <c r="M69" s="1317">
        <f t="shared" si="7"/>
        <v>0</v>
      </c>
      <c r="N69" s="506"/>
      <c r="O69" s="365">
        <f t="shared" si="8"/>
        <v>0</v>
      </c>
      <c r="P69" s="366"/>
      <c r="Q69" s="135"/>
      <c r="R69" s="136"/>
      <c r="S69" s="129"/>
      <c r="T69" s="129"/>
      <c r="U69" s="129"/>
      <c r="V69" s="129"/>
      <c r="W69" s="129"/>
      <c r="X69" s="129"/>
      <c r="Y69" s="129"/>
      <c r="Z69" s="133"/>
      <c r="AA69" s="133"/>
      <c r="AB69" s="133"/>
      <c r="AC69" s="133"/>
      <c r="AD69" s="133"/>
      <c r="AE69" s="133"/>
      <c r="AF69" s="222"/>
      <c r="AG69" s="222"/>
      <c r="AH69" s="222"/>
      <c r="AI69" s="176"/>
      <c r="AJ69" s="176"/>
      <c r="AK69" s="176"/>
      <c r="AL69" s="176"/>
      <c r="AM69" s="176"/>
      <c r="AN69" s="176"/>
      <c r="AO69" s="176"/>
      <c r="AP69" s="176"/>
      <c r="AQ69" s="176"/>
      <c r="AR69" s="176"/>
      <c r="AS69" s="176"/>
      <c r="AT69" s="176"/>
      <c r="AU69" s="176"/>
      <c r="AV69" s="176"/>
      <c r="AW69" s="176"/>
      <c r="AX69" s="176"/>
      <c r="AY69" s="176"/>
      <c r="AZ69" s="176"/>
      <c r="BA69" s="176"/>
      <c r="BB69" s="176"/>
      <c r="BC69" s="176"/>
      <c r="BD69" s="176"/>
      <c r="BE69" s="176"/>
      <c r="BF69" s="176"/>
      <c r="BG69" s="176"/>
      <c r="BH69" s="176"/>
      <c r="BI69" s="176"/>
      <c r="BJ69" s="176"/>
      <c r="BK69" s="176"/>
      <c r="BL69" s="176"/>
      <c r="BM69" s="176"/>
      <c r="BN69" s="176"/>
      <c r="BO69" s="176"/>
    </row>
    <row r="70" spans="1:67" s="36" customFormat="1" ht="10.5" customHeight="1" x14ac:dyDescent="0.2">
      <c r="A70" s="1115" t="s">
        <v>275</v>
      </c>
      <c r="B70" s="2611"/>
      <c r="C70" s="2612"/>
      <c r="D70" s="2613"/>
      <c r="E70" s="2676">
        <f>SUM(E71:E83)</f>
        <v>0</v>
      </c>
      <c r="F70" s="2677"/>
      <c r="G70" s="2678"/>
      <c r="H70" s="2679"/>
      <c r="I70" s="1116">
        <f>IF(E70=0,0,J70/E70)</f>
        <v>0</v>
      </c>
      <c r="J70" s="1117">
        <f>SUM(J71:J83)</f>
        <v>0</v>
      </c>
      <c r="K70" s="2686">
        <f>IF(E70=0,0,M70/E70*100)</f>
        <v>0</v>
      </c>
      <c r="L70" s="2687"/>
      <c r="M70" s="1118">
        <f>SUM(M71:M83)</f>
        <v>0</v>
      </c>
      <c r="N70" s="506"/>
      <c r="O70" s="178">
        <f>IF(H70="",G70,H70)</f>
        <v>0</v>
      </c>
      <c r="P70" s="366"/>
      <c r="Q70" s="135"/>
      <c r="R70" s="136"/>
      <c r="S70" s="129"/>
      <c r="T70" s="129"/>
      <c r="U70" s="129"/>
      <c r="V70" s="129"/>
      <c r="W70" s="129"/>
      <c r="X70" s="129"/>
      <c r="Y70" s="129"/>
      <c r="Z70" s="133"/>
      <c r="AA70" s="133"/>
      <c r="AB70" s="133"/>
      <c r="AC70" s="133"/>
      <c r="AD70" s="133"/>
      <c r="AE70" s="133"/>
      <c r="AF70" s="222"/>
      <c r="AG70" s="222"/>
      <c r="AH70" s="222"/>
      <c r="AI70" s="176"/>
      <c r="AJ70" s="176"/>
      <c r="AK70" s="176"/>
      <c r="AL70" s="176"/>
      <c r="AM70" s="176"/>
      <c r="AN70" s="176"/>
      <c r="AO70" s="176"/>
      <c r="AP70" s="176"/>
      <c r="AQ70" s="176"/>
      <c r="AR70" s="176"/>
      <c r="AS70" s="176"/>
      <c r="AT70" s="176"/>
      <c r="AU70" s="176"/>
      <c r="AV70" s="176"/>
      <c r="AW70" s="176"/>
      <c r="AX70" s="176"/>
      <c r="AY70" s="176"/>
      <c r="AZ70" s="176"/>
      <c r="BA70" s="176"/>
      <c r="BB70" s="176"/>
      <c r="BC70" s="176"/>
      <c r="BD70" s="176"/>
      <c r="BE70" s="176"/>
      <c r="BF70" s="176"/>
      <c r="BG70" s="176"/>
      <c r="BH70" s="176"/>
      <c r="BI70" s="176"/>
      <c r="BJ70" s="176"/>
      <c r="BK70" s="176"/>
      <c r="BL70" s="176"/>
      <c r="BM70" s="176"/>
      <c r="BN70" s="176"/>
      <c r="BO70" s="176"/>
    </row>
    <row r="71" spans="1:67" s="36" customFormat="1" ht="10.5" customHeight="1" x14ac:dyDescent="0.2">
      <c r="A71" s="1359" t="s">
        <v>276</v>
      </c>
      <c r="B71" s="2743"/>
      <c r="C71" s="2744"/>
      <c r="D71" s="2745"/>
      <c r="E71" s="2746"/>
      <c r="F71" s="2788"/>
      <c r="G71" s="1056">
        <v>40</v>
      </c>
      <c r="H71" s="1057"/>
      <c r="I71" s="1079">
        <f t="shared" ref="I71:I84" si="9">IF($O71&gt;0,-PMT(($I$9),$O71,1),0)</f>
        <v>3.8177378061076156E-2</v>
      </c>
      <c r="J71" s="1080">
        <f t="shared" ref="J71:J83" si="10">ROUND(E71*I71,0)</f>
        <v>0</v>
      </c>
      <c r="K71" s="1060">
        <v>1.5</v>
      </c>
      <c r="L71" s="1304"/>
      <c r="M71" s="1085">
        <f t="shared" ref="M71:M84" si="11">ROUND(E71/100*IF(ISBLANK(L71),K71,L71),0)</f>
        <v>0</v>
      </c>
      <c r="N71" s="506"/>
      <c r="O71" s="365">
        <f t="shared" ref="O71:O84" si="12">IF(ISBLANK(H71),G71,H71)</f>
        <v>40</v>
      </c>
      <c r="P71" s="366"/>
      <c r="Q71" s="135"/>
      <c r="R71" s="136"/>
      <c r="S71" s="129"/>
      <c r="T71" s="129"/>
      <c r="U71" s="129"/>
      <c r="V71" s="129"/>
      <c r="W71" s="129"/>
      <c r="X71" s="129"/>
      <c r="Y71" s="129"/>
      <c r="Z71" s="133"/>
      <c r="AA71" s="133"/>
      <c r="AB71" s="133"/>
      <c r="AC71" s="133"/>
      <c r="AD71" s="133"/>
      <c r="AE71" s="133"/>
      <c r="AF71" s="222"/>
      <c r="AG71" s="222"/>
      <c r="AH71" s="222"/>
      <c r="AI71" s="176"/>
      <c r="AJ71" s="176"/>
      <c r="AK71" s="176"/>
      <c r="AL71" s="176"/>
      <c r="AM71" s="176"/>
      <c r="AN71" s="176"/>
      <c r="AO71" s="176"/>
      <c r="AP71" s="176"/>
      <c r="AQ71" s="176"/>
      <c r="AR71" s="176"/>
      <c r="AS71" s="176"/>
      <c r="AT71" s="176"/>
      <c r="AU71" s="176"/>
      <c r="AV71" s="176"/>
      <c r="AW71" s="176"/>
      <c r="AX71" s="176"/>
      <c r="AY71" s="176"/>
      <c r="AZ71" s="176"/>
      <c r="BA71" s="176"/>
      <c r="BB71" s="176"/>
      <c r="BC71" s="176"/>
      <c r="BD71" s="176"/>
      <c r="BE71" s="176"/>
      <c r="BF71" s="176"/>
      <c r="BG71" s="176"/>
      <c r="BH71" s="176"/>
      <c r="BI71" s="176"/>
      <c r="BJ71" s="176"/>
      <c r="BK71" s="176"/>
      <c r="BL71" s="176"/>
      <c r="BM71" s="176"/>
      <c r="BN71" s="176"/>
      <c r="BO71" s="176"/>
    </row>
    <row r="72" spans="1:67" s="36" customFormat="1" ht="10.5" customHeight="1" x14ac:dyDescent="0.2">
      <c r="A72" s="1043" t="s">
        <v>277</v>
      </c>
      <c r="B72" s="2594"/>
      <c r="C72" s="2595"/>
      <c r="D72" s="2596"/>
      <c r="E72" s="2395"/>
      <c r="F72" s="2789"/>
      <c r="G72" s="1058">
        <v>40</v>
      </c>
      <c r="H72" s="1059"/>
      <c r="I72" s="1081">
        <f t="shared" si="9"/>
        <v>3.8177378061076156E-2</v>
      </c>
      <c r="J72" s="1082">
        <f t="shared" si="10"/>
        <v>0</v>
      </c>
      <c r="K72" s="1061">
        <v>0.5</v>
      </c>
      <c r="L72" s="1305"/>
      <c r="M72" s="1086">
        <f t="shared" si="11"/>
        <v>0</v>
      </c>
      <c r="N72" s="506"/>
      <c r="O72" s="365">
        <f t="shared" si="12"/>
        <v>40</v>
      </c>
      <c r="P72" s="366"/>
      <c r="Q72" s="135"/>
      <c r="R72" s="136"/>
      <c r="S72" s="129"/>
      <c r="T72" s="129"/>
      <c r="U72" s="129"/>
      <c r="V72" s="129"/>
      <c r="W72" s="129"/>
      <c r="X72" s="129"/>
      <c r="Y72" s="129"/>
      <c r="Z72" s="133"/>
      <c r="AA72" s="133"/>
      <c r="AB72" s="133"/>
      <c r="AC72" s="133"/>
      <c r="AD72" s="133"/>
      <c r="AE72" s="133"/>
      <c r="AF72" s="222"/>
      <c r="AG72" s="222"/>
      <c r="AH72" s="222"/>
      <c r="AI72" s="176"/>
      <c r="AJ72" s="176"/>
      <c r="AK72" s="176"/>
      <c r="AL72" s="176"/>
      <c r="AM72" s="176"/>
      <c r="AN72" s="176"/>
      <c r="AO72" s="176"/>
      <c r="AP72" s="176"/>
      <c r="AQ72" s="176"/>
      <c r="AR72" s="176"/>
      <c r="AS72" s="176"/>
      <c r="AT72" s="176"/>
      <c r="AU72" s="176"/>
      <c r="AV72" s="176"/>
      <c r="AW72" s="176"/>
      <c r="AX72" s="176"/>
      <c r="AY72" s="176"/>
      <c r="AZ72" s="176"/>
      <c r="BA72" s="176"/>
      <c r="BB72" s="176"/>
      <c r="BC72" s="176"/>
      <c r="BD72" s="176"/>
      <c r="BE72" s="176"/>
      <c r="BF72" s="176"/>
      <c r="BG72" s="176"/>
      <c r="BH72" s="176"/>
      <c r="BI72" s="176"/>
      <c r="BJ72" s="176"/>
      <c r="BK72" s="176"/>
      <c r="BL72" s="176"/>
      <c r="BM72" s="176"/>
      <c r="BN72" s="176"/>
      <c r="BO72" s="176"/>
    </row>
    <row r="73" spans="1:67" s="36" customFormat="1" ht="10.5" customHeight="1" x14ac:dyDescent="0.2">
      <c r="A73" s="1043" t="s">
        <v>278</v>
      </c>
      <c r="B73" s="2594"/>
      <c r="C73" s="2595"/>
      <c r="D73" s="2596"/>
      <c r="E73" s="2395"/>
      <c r="F73" s="2789"/>
      <c r="G73" s="1058">
        <v>20</v>
      </c>
      <c r="H73" s="1059"/>
      <c r="I73" s="1081">
        <f t="shared" si="9"/>
        <v>6.2642070767998229E-2</v>
      </c>
      <c r="J73" s="1082">
        <f t="shared" si="10"/>
        <v>0</v>
      </c>
      <c r="K73" s="1061">
        <v>1</v>
      </c>
      <c r="L73" s="1305"/>
      <c r="M73" s="1086">
        <f t="shared" si="11"/>
        <v>0</v>
      </c>
      <c r="N73" s="506"/>
      <c r="O73" s="365">
        <f t="shared" si="12"/>
        <v>20</v>
      </c>
      <c r="P73" s="366"/>
      <c r="Q73" s="135"/>
      <c r="R73" s="136"/>
      <c r="S73" s="129"/>
      <c r="T73" s="129"/>
      <c r="U73" s="129"/>
      <c r="V73" s="129"/>
      <c r="W73" s="129"/>
      <c r="X73" s="129"/>
      <c r="Y73" s="129"/>
      <c r="Z73" s="133"/>
      <c r="AA73" s="133"/>
      <c r="AB73" s="133"/>
      <c r="AC73" s="133"/>
      <c r="AD73" s="133"/>
      <c r="AE73" s="133"/>
      <c r="AF73" s="222"/>
      <c r="AG73" s="222"/>
      <c r="AH73" s="222"/>
      <c r="AI73" s="176"/>
      <c r="AJ73" s="176"/>
      <c r="AK73" s="176"/>
      <c r="AL73" s="176"/>
      <c r="AM73" s="176"/>
      <c r="AN73" s="176"/>
      <c r="AO73" s="176"/>
      <c r="AP73" s="176"/>
      <c r="AQ73" s="176"/>
      <c r="AR73" s="176"/>
      <c r="AS73" s="176"/>
      <c r="AT73" s="176"/>
      <c r="AU73" s="176"/>
      <c r="AV73" s="176"/>
      <c r="AW73" s="176"/>
      <c r="AX73" s="176"/>
      <c r="AY73" s="176"/>
      <c r="AZ73" s="176"/>
      <c r="BA73" s="176"/>
      <c r="BB73" s="176"/>
      <c r="BC73" s="176"/>
      <c r="BD73" s="176"/>
      <c r="BE73" s="176"/>
      <c r="BF73" s="176"/>
      <c r="BG73" s="176"/>
      <c r="BH73" s="176"/>
      <c r="BI73" s="176"/>
      <c r="BJ73" s="176"/>
      <c r="BK73" s="176"/>
      <c r="BL73" s="176"/>
      <c r="BM73" s="176"/>
      <c r="BN73" s="176"/>
      <c r="BO73" s="176"/>
    </row>
    <row r="74" spans="1:67" s="36" customFormat="1" ht="10.5" customHeight="1" x14ac:dyDescent="0.2">
      <c r="A74" s="1043" t="s">
        <v>279</v>
      </c>
      <c r="B74" s="2594"/>
      <c r="C74" s="2595"/>
      <c r="D74" s="2596"/>
      <c r="E74" s="2395"/>
      <c r="F74" s="2789"/>
      <c r="G74" s="1058">
        <v>30</v>
      </c>
      <c r="H74" s="1059"/>
      <c r="I74" s="1081">
        <f t="shared" si="9"/>
        <v>4.6199342169092869E-2</v>
      </c>
      <c r="J74" s="1082">
        <f t="shared" si="10"/>
        <v>0</v>
      </c>
      <c r="K74" s="1061">
        <v>2</v>
      </c>
      <c r="L74" s="1305"/>
      <c r="M74" s="1086">
        <f t="shared" si="11"/>
        <v>0</v>
      </c>
      <c r="N74" s="506"/>
      <c r="O74" s="365">
        <f t="shared" si="12"/>
        <v>30</v>
      </c>
      <c r="P74" s="366"/>
      <c r="Q74" s="135"/>
      <c r="R74" s="136"/>
      <c r="S74" s="129"/>
      <c r="T74" s="129"/>
      <c r="U74" s="129"/>
      <c r="V74" s="129"/>
      <c r="W74" s="129"/>
      <c r="X74" s="129"/>
      <c r="Y74" s="129"/>
      <c r="Z74" s="133"/>
      <c r="AA74" s="133"/>
      <c r="AB74" s="133"/>
      <c r="AC74" s="133"/>
      <c r="AD74" s="133"/>
      <c r="AE74" s="133"/>
      <c r="AF74" s="222"/>
      <c r="AG74" s="222"/>
      <c r="AH74" s="222"/>
      <c r="AI74" s="176"/>
      <c r="AJ74" s="176"/>
      <c r="AK74" s="176"/>
      <c r="AL74" s="176"/>
      <c r="AM74" s="176"/>
      <c r="AN74" s="176"/>
      <c r="AO74" s="176"/>
      <c r="AP74" s="176"/>
      <c r="AQ74" s="176"/>
      <c r="AR74" s="176"/>
      <c r="AS74" s="176"/>
      <c r="AT74" s="176"/>
      <c r="AU74" s="176"/>
      <c r="AV74" s="176"/>
      <c r="AW74" s="176"/>
      <c r="AX74" s="176"/>
      <c r="AY74" s="176"/>
      <c r="AZ74" s="176"/>
      <c r="BA74" s="176"/>
      <c r="BB74" s="176"/>
      <c r="BC74" s="176"/>
      <c r="BD74" s="176"/>
      <c r="BE74" s="176"/>
      <c r="BF74" s="176"/>
      <c r="BG74" s="176"/>
      <c r="BH74" s="176"/>
      <c r="BI74" s="176"/>
      <c r="BJ74" s="176"/>
      <c r="BK74" s="176"/>
      <c r="BL74" s="176"/>
      <c r="BM74" s="176"/>
      <c r="BN74" s="176"/>
      <c r="BO74" s="176"/>
    </row>
    <row r="75" spans="1:67" s="36" customFormat="1" ht="10.5" customHeight="1" x14ac:dyDescent="0.2">
      <c r="A75" s="1043" t="s">
        <v>280</v>
      </c>
      <c r="B75" s="2594"/>
      <c r="C75" s="2595"/>
      <c r="D75" s="2596"/>
      <c r="E75" s="2395"/>
      <c r="F75" s="2789"/>
      <c r="G75" s="1058">
        <v>30</v>
      </c>
      <c r="H75" s="1059"/>
      <c r="I75" s="1081">
        <f t="shared" si="9"/>
        <v>4.6199342169092869E-2</v>
      </c>
      <c r="J75" s="1082">
        <f t="shared" si="10"/>
        <v>0</v>
      </c>
      <c r="K75" s="1061">
        <v>1.5</v>
      </c>
      <c r="L75" s="1305"/>
      <c r="M75" s="1086">
        <f t="shared" si="11"/>
        <v>0</v>
      </c>
      <c r="N75" s="506"/>
      <c r="O75" s="365">
        <f t="shared" si="12"/>
        <v>30</v>
      </c>
      <c r="P75" s="366"/>
      <c r="Q75" s="135"/>
      <c r="R75" s="136"/>
      <c r="S75" s="129"/>
      <c r="T75" s="129"/>
      <c r="U75" s="129"/>
      <c r="V75" s="129"/>
      <c r="W75" s="129"/>
      <c r="X75" s="129"/>
      <c r="Y75" s="129"/>
      <c r="Z75" s="133"/>
      <c r="AA75" s="133"/>
      <c r="AB75" s="133"/>
      <c r="AC75" s="133"/>
      <c r="AD75" s="133"/>
      <c r="AE75" s="133"/>
      <c r="AF75" s="222"/>
      <c r="AG75" s="222"/>
      <c r="AH75" s="222"/>
      <c r="AI75" s="176"/>
      <c r="AJ75" s="176"/>
      <c r="AK75" s="176"/>
      <c r="AL75" s="176"/>
      <c r="AM75" s="176"/>
      <c r="AN75" s="176"/>
      <c r="AO75" s="176"/>
      <c r="AP75" s="176"/>
      <c r="AQ75" s="176"/>
      <c r="AR75" s="176"/>
      <c r="AS75" s="176"/>
      <c r="AT75" s="176"/>
      <c r="AU75" s="176"/>
      <c r="AV75" s="176"/>
      <c r="AW75" s="176"/>
      <c r="AX75" s="176"/>
      <c r="AY75" s="176"/>
      <c r="AZ75" s="176"/>
      <c r="BA75" s="176"/>
      <c r="BB75" s="176"/>
      <c r="BC75" s="176"/>
      <c r="BD75" s="176"/>
      <c r="BE75" s="176"/>
      <c r="BF75" s="176"/>
      <c r="BG75" s="176"/>
      <c r="BH75" s="176"/>
      <c r="BI75" s="176"/>
      <c r="BJ75" s="176"/>
      <c r="BK75" s="176"/>
      <c r="BL75" s="176"/>
      <c r="BM75" s="176"/>
      <c r="BN75" s="176"/>
      <c r="BO75" s="176"/>
    </row>
    <row r="76" spans="1:67" s="36" customFormat="1" ht="10.5" customHeight="1" x14ac:dyDescent="0.2">
      <c r="A76" s="1043" t="s">
        <v>281</v>
      </c>
      <c r="B76" s="2594"/>
      <c r="C76" s="2595"/>
      <c r="D76" s="2596"/>
      <c r="E76" s="2395"/>
      <c r="F76" s="2789"/>
      <c r="G76" s="1058">
        <v>20</v>
      </c>
      <c r="H76" s="1059"/>
      <c r="I76" s="1081">
        <f t="shared" si="9"/>
        <v>6.2642070767998229E-2</v>
      </c>
      <c r="J76" s="1082">
        <f t="shared" si="10"/>
        <v>0</v>
      </c>
      <c r="K76" s="1061">
        <v>1</v>
      </c>
      <c r="L76" s="1305"/>
      <c r="M76" s="1086">
        <f t="shared" si="11"/>
        <v>0</v>
      </c>
      <c r="N76" s="506"/>
      <c r="O76" s="365">
        <f t="shared" si="12"/>
        <v>20</v>
      </c>
      <c r="P76" s="366"/>
      <c r="Q76" s="135"/>
      <c r="R76" s="136"/>
      <c r="S76" s="129"/>
      <c r="T76" s="129"/>
      <c r="U76" s="129"/>
      <c r="V76" s="129"/>
      <c r="W76" s="129"/>
      <c r="X76" s="129"/>
      <c r="Y76" s="129"/>
      <c r="Z76" s="133"/>
      <c r="AA76" s="133"/>
      <c r="AB76" s="133"/>
      <c r="AC76" s="133"/>
      <c r="AD76" s="133"/>
      <c r="AE76" s="133"/>
      <c r="AF76" s="222"/>
      <c r="AG76" s="222"/>
      <c r="AH76" s="222"/>
      <c r="AI76" s="176"/>
      <c r="AJ76" s="176"/>
      <c r="AK76" s="176"/>
      <c r="AL76" s="176"/>
      <c r="AM76" s="176"/>
      <c r="AN76" s="176"/>
      <c r="AO76" s="176"/>
      <c r="AP76" s="176"/>
      <c r="AQ76" s="176"/>
      <c r="AR76" s="176"/>
      <c r="AS76" s="176"/>
      <c r="AT76" s="176"/>
      <c r="AU76" s="176"/>
      <c r="AV76" s="176"/>
      <c r="AW76" s="176"/>
      <c r="AX76" s="176"/>
      <c r="AY76" s="176"/>
      <c r="AZ76" s="176"/>
      <c r="BA76" s="176"/>
      <c r="BB76" s="176"/>
      <c r="BC76" s="176"/>
      <c r="BD76" s="176"/>
      <c r="BE76" s="176"/>
      <c r="BF76" s="176"/>
      <c r="BG76" s="176"/>
      <c r="BH76" s="176"/>
      <c r="BI76" s="176"/>
      <c r="BJ76" s="176"/>
      <c r="BK76" s="176"/>
      <c r="BL76" s="176"/>
      <c r="BM76" s="176"/>
      <c r="BN76" s="176"/>
      <c r="BO76" s="176"/>
    </row>
    <row r="77" spans="1:67" s="36" customFormat="1" ht="10.5" customHeight="1" x14ac:dyDescent="0.2">
      <c r="A77" s="1043" t="s">
        <v>673</v>
      </c>
      <c r="B77" s="2594"/>
      <c r="C77" s="2595"/>
      <c r="D77" s="2596"/>
      <c r="E77" s="2395"/>
      <c r="F77" s="2789"/>
      <c r="G77" s="1058">
        <v>15</v>
      </c>
      <c r="H77" s="1059"/>
      <c r="I77" s="1081">
        <f t="shared" si="9"/>
        <v>7.9288524964265278E-2</v>
      </c>
      <c r="J77" s="1082">
        <f t="shared" si="10"/>
        <v>0</v>
      </c>
      <c r="K77" s="1061">
        <v>4</v>
      </c>
      <c r="L77" s="1305"/>
      <c r="M77" s="1086">
        <f t="shared" si="11"/>
        <v>0</v>
      </c>
      <c r="N77" s="506"/>
      <c r="O77" s="365">
        <f t="shared" si="12"/>
        <v>15</v>
      </c>
      <c r="P77" s="366"/>
      <c r="Q77" s="135"/>
      <c r="R77" s="136"/>
      <c r="S77" s="129"/>
      <c r="T77" s="129"/>
      <c r="U77" s="129"/>
      <c r="V77" s="129"/>
      <c r="W77" s="129"/>
      <c r="X77" s="129"/>
      <c r="Y77" s="129"/>
      <c r="Z77" s="133"/>
      <c r="AA77" s="133"/>
      <c r="AB77" s="133"/>
      <c r="AC77" s="133"/>
      <c r="AD77" s="133"/>
      <c r="AE77" s="133"/>
      <c r="AF77" s="222"/>
      <c r="AG77" s="222"/>
      <c r="AH77" s="222"/>
      <c r="AI77" s="176"/>
      <c r="AJ77" s="176"/>
      <c r="AK77" s="176"/>
      <c r="AL77" s="176"/>
      <c r="AM77" s="176"/>
      <c r="AN77" s="176"/>
      <c r="AO77" s="176"/>
      <c r="AP77" s="176"/>
      <c r="AQ77" s="176"/>
      <c r="AR77" s="176"/>
      <c r="AS77" s="176"/>
      <c r="AT77" s="176"/>
      <c r="AU77" s="176"/>
      <c r="AV77" s="176"/>
      <c r="AW77" s="176"/>
      <c r="AX77" s="176"/>
      <c r="AY77" s="176"/>
      <c r="AZ77" s="176"/>
      <c r="BA77" s="176"/>
      <c r="BB77" s="176"/>
      <c r="BC77" s="176"/>
      <c r="BD77" s="176"/>
      <c r="BE77" s="176"/>
      <c r="BF77" s="176"/>
      <c r="BG77" s="176"/>
      <c r="BH77" s="176"/>
      <c r="BI77" s="176"/>
      <c r="BJ77" s="176"/>
      <c r="BK77" s="176"/>
      <c r="BL77" s="176"/>
      <c r="BM77" s="176"/>
      <c r="BN77" s="176"/>
      <c r="BO77" s="176"/>
    </row>
    <row r="78" spans="1:67" s="36" customFormat="1" ht="10.5" customHeight="1" x14ac:dyDescent="0.2">
      <c r="A78" s="1055"/>
      <c r="B78" s="2594"/>
      <c r="C78" s="2595"/>
      <c r="D78" s="2596"/>
      <c r="E78" s="2395"/>
      <c r="F78" s="2396"/>
      <c r="G78" s="2590"/>
      <c r="H78" s="2591"/>
      <c r="I78" s="1081">
        <f t="shared" si="9"/>
        <v>0</v>
      </c>
      <c r="J78" s="1082">
        <f t="shared" si="10"/>
        <v>0</v>
      </c>
      <c r="K78" s="2588"/>
      <c r="L78" s="2589"/>
      <c r="M78" s="1086">
        <f t="shared" si="11"/>
        <v>0</v>
      </c>
      <c r="N78" s="506"/>
      <c r="O78" s="365">
        <f t="shared" si="12"/>
        <v>0</v>
      </c>
      <c r="P78" s="366"/>
      <c r="Q78" s="135"/>
      <c r="R78" s="136"/>
      <c r="S78" s="129"/>
      <c r="T78" s="129"/>
      <c r="U78" s="129"/>
      <c r="V78" s="129"/>
      <c r="W78" s="129"/>
      <c r="X78" s="129"/>
      <c r="Y78" s="129"/>
      <c r="Z78" s="133"/>
      <c r="AA78" s="133"/>
      <c r="AB78" s="133"/>
      <c r="AC78" s="133"/>
      <c r="AD78" s="133"/>
      <c r="AE78" s="133"/>
      <c r="AF78" s="222"/>
      <c r="AG78" s="222"/>
      <c r="AH78" s="222"/>
      <c r="AI78" s="176"/>
      <c r="AJ78" s="176"/>
      <c r="AK78" s="176"/>
      <c r="AL78" s="176"/>
      <c r="AM78" s="176"/>
      <c r="AN78" s="176"/>
      <c r="AO78" s="176"/>
      <c r="AP78" s="176"/>
      <c r="AQ78" s="176"/>
      <c r="AR78" s="176"/>
      <c r="AS78" s="176"/>
      <c r="AT78" s="176"/>
      <c r="AU78" s="176"/>
      <c r="AV78" s="176"/>
      <c r="AW78" s="176"/>
      <c r="AX78" s="176"/>
      <c r="AY78" s="176"/>
      <c r="AZ78" s="176"/>
      <c r="BA78" s="176"/>
      <c r="BB78" s="176"/>
      <c r="BC78" s="176"/>
      <c r="BD78" s="176"/>
      <c r="BE78" s="176"/>
      <c r="BF78" s="176"/>
      <c r="BG78" s="176"/>
      <c r="BH78" s="176"/>
      <c r="BI78" s="176"/>
      <c r="BJ78" s="176"/>
      <c r="BK78" s="176"/>
      <c r="BL78" s="176"/>
      <c r="BM78" s="176"/>
      <c r="BN78" s="176"/>
      <c r="BO78" s="176"/>
    </row>
    <row r="79" spans="1:67" s="36" customFormat="1" ht="10.5" customHeight="1" x14ac:dyDescent="0.2">
      <c r="A79" s="1055"/>
      <c r="B79" s="2594"/>
      <c r="C79" s="2595"/>
      <c r="D79" s="2596"/>
      <c r="E79" s="2395"/>
      <c r="F79" s="2396"/>
      <c r="G79" s="2590"/>
      <c r="H79" s="2591"/>
      <c r="I79" s="1081">
        <f t="shared" si="9"/>
        <v>0</v>
      </c>
      <c r="J79" s="1082">
        <f t="shared" si="10"/>
        <v>0</v>
      </c>
      <c r="K79" s="2588"/>
      <c r="L79" s="2589"/>
      <c r="M79" s="1086">
        <f t="shared" si="11"/>
        <v>0</v>
      </c>
      <c r="N79" s="506"/>
      <c r="O79" s="365">
        <f t="shared" si="12"/>
        <v>0</v>
      </c>
      <c r="P79" s="366"/>
      <c r="Q79" s="135"/>
      <c r="R79" s="136"/>
      <c r="S79" s="129"/>
      <c r="T79" s="129"/>
      <c r="U79" s="129"/>
      <c r="V79" s="129"/>
      <c r="W79" s="129"/>
      <c r="X79" s="129"/>
      <c r="Y79" s="129"/>
      <c r="Z79" s="133"/>
      <c r="AA79" s="133"/>
      <c r="AB79" s="133"/>
      <c r="AC79" s="133"/>
      <c r="AD79" s="133"/>
      <c r="AE79" s="133"/>
      <c r="AF79" s="222"/>
      <c r="AG79" s="222"/>
      <c r="AH79" s="222"/>
      <c r="AI79" s="176"/>
      <c r="AJ79" s="176"/>
      <c r="AK79" s="176"/>
      <c r="AL79" s="176"/>
      <c r="AM79" s="176"/>
      <c r="AN79" s="176"/>
      <c r="AO79" s="176"/>
      <c r="AP79" s="176"/>
      <c r="AQ79" s="176"/>
      <c r="AR79" s="176"/>
      <c r="AS79" s="176"/>
      <c r="AT79" s="176"/>
      <c r="AU79" s="176"/>
      <c r="AV79" s="176"/>
      <c r="AW79" s="176"/>
      <c r="AX79" s="176"/>
      <c r="AY79" s="176"/>
      <c r="AZ79" s="176"/>
      <c r="BA79" s="176"/>
      <c r="BB79" s="176"/>
      <c r="BC79" s="176"/>
      <c r="BD79" s="176"/>
      <c r="BE79" s="176"/>
      <c r="BF79" s="176"/>
      <c r="BG79" s="176"/>
      <c r="BH79" s="176"/>
      <c r="BI79" s="176"/>
      <c r="BJ79" s="176"/>
      <c r="BK79" s="176"/>
      <c r="BL79" s="176"/>
      <c r="BM79" s="176"/>
      <c r="BN79" s="176"/>
      <c r="BO79" s="176"/>
    </row>
    <row r="80" spans="1:67" s="36" customFormat="1" ht="10.5" customHeight="1" x14ac:dyDescent="0.2">
      <c r="A80" s="1055"/>
      <c r="B80" s="2594"/>
      <c r="C80" s="2595"/>
      <c r="D80" s="2596"/>
      <c r="E80" s="2395"/>
      <c r="F80" s="2396"/>
      <c r="G80" s="2590"/>
      <c r="H80" s="2591"/>
      <c r="I80" s="1081">
        <f t="shared" si="9"/>
        <v>0</v>
      </c>
      <c r="J80" s="1082">
        <f t="shared" si="10"/>
        <v>0</v>
      </c>
      <c r="K80" s="2588"/>
      <c r="L80" s="2589"/>
      <c r="M80" s="1086">
        <f t="shared" si="11"/>
        <v>0</v>
      </c>
      <c r="N80" s="506"/>
      <c r="O80" s="365">
        <f t="shared" si="12"/>
        <v>0</v>
      </c>
      <c r="P80" s="366"/>
      <c r="Q80" s="135"/>
      <c r="R80" s="136"/>
      <c r="S80" s="129"/>
      <c r="T80" s="129"/>
      <c r="U80" s="129"/>
      <c r="V80" s="129"/>
      <c r="W80" s="129"/>
      <c r="X80" s="129"/>
      <c r="Y80" s="129"/>
      <c r="Z80" s="133"/>
      <c r="AA80" s="133"/>
      <c r="AB80" s="133"/>
      <c r="AC80" s="133"/>
      <c r="AD80" s="133"/>
      <c r="AE80" s="133"/>
      <c r="AF80" s="222"/>
      <c r="AG80" s="222"/>
      <c r="AH80" s="222"/>
      <c r="AI80" s="176"/>
      <c r="AJ80" s="176"/>
      <c r="AK80" s="176"/>
      <c r="AL80" s="176"/>
      <c r="AM80" s="176"/>
      <c r="AN80" s="176"/>
      <c r="AO80" s="176"/>
      <c r="AP80" s="176"/>
      <c r="AQ80" s="176"/>
      <c r="AR80" s="176"/>
      <c r="AS80" s="176"/>
      <c r="AT80" s="176"/>
      <c r="AU80" s="176"/>
      <c r="AV80" s="176"/>
      <c r="AW80" s="176"/>
      <c r="AX80" s="176"/>
      <c r="AY80" s="176"/>
      <c r="AZ80" s="176"/>
      <c r="BA80" s="176"/>
      <c r="BB80" s="176"/>
      <c r="BC80" s="176"/>
      <c r="BD80" s="176"/>
      <c r="BE80" s="176"/>
      <c r="BF80" s="176"/>
      <c r="BG80" s="176"/>
      <c r="BH80" s="176"/>
      <c r="BI80" s="176"/>
      <c r="BJ80" s="176"/>
      <c r="BK80" s="176"/>
      <c r="BL80" s="176"/>
      <c r="BM80" s="176"/>
      <c r="BN80" s="176"/>
      <c r="BO80" s="176"/>
    </row>
    <row r="81" spans="1:67" s="36" customFormat="1" ht="10.5" customHeight="1" x14ac:dyDescent="0.2">
      <c r="A81" s="1055"/>
      <c r="B81" s="2594"/>
      <c r="C81" s="2595"/>
      <c r="D81" s="2596"/>
      <c r="E81" s="2395"/>
      <c r="F81" s="2396"/>
      <c r="G81" s="2590"/>
      <c r="H81" s="2591"/>
      <c r="I81" s="1081">
        <f t="shared" si="9"/>
        <v>0</v>
      </c>
      <c r="J81" s="1082">
        <f t="shared" si="10"/>
        <v>0</v>
      </c>
      <c r="K81" s="2588"/>
      <c r="L81" s="2589"/>
      <c r="M81" s="1086">
        <f t="shared" si="11"/>
        <v>0</v>
      </c>
      <c r="N81" s="506"/>
      <c r="O81" s="365">
        <f t="shared" si="12"/>
        <v>0</v>
      </c>
      <c r="P81" s="366"/>
      <c r="Q81" s="135"/>
      <c r="R81" s="136"/>
      <c r="S81" s="129"/>
      <c r="T81" s="129"/>
      <c r="U81" s="129"/>
      <c r="V81" s="129"/>
      <c r="W81" s="129"/>
      <c r="X81" s="129"/>
      <c r="Y81" s="129"/>
      <c r="Z81" s="133"/>
      <c r="AA81" s="133"/>
      <c r="AB81" s="133"/>
      <c r="AC81" s="133"/>
      <c r="AD81" s="133"/>
      <c r="AE81" s="133"/>
      <c r="AF81" s="222"/>
      <c r="AG81" s="222"/>
      <c r="AH81" s="222"/>
      <c r="AI81" s="176"/>
      <c r="AJ81" s="176"/>
      <c r="AK81" s="176"/>
      <c r="AL81" s="176"/>
      <c r="AM81" s="176"/>
      <c r="AN81" s="176"/>
      <c r="AO81" s="176"/>
      <c r="AP81" s="176"/>
      <c r="AQ81" s="176"/>
      <c r="AR81" s="176"/>
      <c r="AS81" s="176"/>
      <c r="AT81" s="176"/>
      <c r="AU81" s="176"/>
      <c r="AV81" s="176"/>
      <c r="AW81" s="176"/>
      <c r="AX81" s="176"/>
      <c r="AY81" s="176"/>
      <c r="AZ81" s="176"/>
      <c r="BA81" s="176"/>
      <c r="BB81" s="176"/>
      <c r="BC81" s="176"/>
      <c r="BD81" s="176"/>
      <c r="BE81" s="176"/>
      <c r="BF81" s="176"/>
      <c r="BG81" s="176"/>
      <c r="BH81" s="176"/>
      <c r="BI81" s="176"/>
      <c r="BJ81" s="176"/>
      <c r="BK81" s="176"/>
      <c r="BL81" s="176"/>
      <c r="BM81" s="176"/>
      <c r="BN81" s="176"/>
      <c r="BO81" s="176"/>
    </row>
    <row r="82" spans="1:67" s="36" customFormat="1" ht="10.5" customHeight="1" x14ac:dyDescent="0.2">
      <c r="A82" s="1055"/>
      <c r="B82" s="2594"/>
      <c r="C82" s="2595"/>
      <c r="D82" s="2596"/>
      <c r="E82" s="2395"/>
      <c r="F82" s="2396"/>
      <c r="G82" s="2590"/>
      <c r="H82" s="2591"/>
      <c r="I82" s="1081">
        <f t="shared" si="9"/>
        <v>0</v>
      </c>
      <c r="J82" s="1082">
        <f t="shared" si="10"/>
        <v>0</v>
      </c>
      <c r="K82" s="2588"/>
      <c r="L82" s="2589"/>
      <c r="M82" s="1086">
        <f t="shared" si="11"/>
        <v>0</v>
      </c>
      <c r="N82" s="506"/>
      <c r="O82" s="365">
        <f t="shared" si="12"/>
        <v>0</v>
      </c>
      <c r="P82" s="366"/>
      <c r="Q82" s="135"/>
      <c r="R82" s="136"/>
      <c r="S82" s="129"/>
      <c r="T82" s="129"/>
      <c r="U82" s="129"/>
      <c r="V82" s="129"/>
      <c r="W82" s="129"/>
      <c r="X82" s="129"/>
      <c r="Y82" s="129"/>
      <c r="Z82" s="133"/>
      <c r="AA82" s="133"/>
      <c r="AB82" s="133"/>
      <c r="AC82" s="133"/>
      <c r="AD82" s="133"/>
      <c r="AE82" s="133"/>
      <c r="AF82" s="222"/>
      <c r="AG82" s="222"/>
      <c r="AH82" s="222"/>
      <c r="AI82" s="176"/>
      <c r="AJ82" s="176"/>
      <c r="AK82" s="176"/>
      <c r="AL82" s="176"/>
      <c r="AM82" s="176"/>
      <c r="AN82" s="176"/>
      <c r="AO82" s="176"/>
      <c r="AP82" s="176"/>
      <c r="AQ82" s="176"/>
      <c r="AR82" s="176"/>
      <c r="AS82" s="176"/>
      <c r="AT82" s="176"/>
      <c r="AU82" s="176"/>
      <c r="AV82" s="176"/>
      <c r="AW82" s="176"/>
      <c r="AX82" s="176"/>
      <c r="AY82" s="176"/>
      <c r="AZ82" s="176"/>
      <c r="BA82" s="176"/>
      <c r="BB82" s="176"/>
      <c r="BC82" s="176"/>
      <c r="BD82" s="176"/>
      <c r="BE82" s="176"/>
      <c r="BF82" s="176"/>
      <c r="BG82" s="176"/>
      <c r="BH82" s="176"/>
      <c r="BI82" s="176"/>
      <c r="BJ82" s="176"/>
      <c r="BK82" s="176"/>
      <c r="BL82" s="176"/>
      <c r="BM82" s="176"/>
      <c r="BN82" s="176"/>
      <c r="BO82" s="176"/>
    </row>
    <row r="83" spans="1:67" s="36" customFormat="1" ht="10.5" customHeight="1" x14ac:dyDescent="0.2">
      <c r="A83" s="1055"/>
      <c r="B83" s="2594"/>
      <c r="C83" s="2595"/>
      <c r="D83" s="2596"/>
      <c r="E83" s="2395"/>
      <c r="F83" s="2396"/>
      <c r="G83" s="2590"/>
      <c r="H83" s="2591"/>
      <c r="I83" s="1081">
        <f t="shared" si="9"/>
        <v>0</v>
      </c>
      <c r="J83" s="1082">
        <f t="shared" si="10"/>
        <v>0</v>
      </c>
      <c r="K83" s="2588"/>
      <c r="L83" s="2589"/>
      <c r="M83" s="1086">
        <f t="shared" si="11"/>
        <v>0</v>
      </c>
      <c r="N83" s="506"/>
      <c r="O83" s="365">
        <f t="shared" si="12"/>
        <v>0</v>
      </c>
      <c r="P83" s="366"/>
      <c r="Q83" s="135"/>
      <c r="R83" s="136"/>
      <c r="S83" s="129"/>
      <c r="T83" s="129"/>
      <c r="U83" s="129"/>
      <c r="V83" s="129"/>
      <c r="W83" s="129"/>
      <c r="X83" s="129"/>
      <c r="Y83" s="129"/>
      <c r="Z83" s="133"/>
      <c r="AA83" s="133"/>
      <c r="AB83" s="133"/>
      <c r="AC83" s="133"/>
      <c r="AD83" s="133"/>
      <c r="AE83" s="133"/>
      <c r="AF83" s="222"/>
      <c r="AG83" s="222"/>
      <c r="AH83" s="222"/>
      <c r="AI83" s="176"/>
      <c r="AJ83" s="176"/>
      <c r="AK83" s="176"/>
      <c r="AL83" s="176"/>
      <c r="AM83" s="176"/>
      <c r="AN83" s="176"/>
      <c r="AO83" s="176"/>
      <c r="AP83" s="176"/>
      <c r="AQ83" s="176"/>
      <c r="AR83" s="176"/>
      <c r="AS83" s="176"/>
      <c r="AT83" s="176"/>
      <c r="AU83" s="176"/>
      <c r="AV83" s="176"/>
      <c r="AW83" s="176"/>
      <c r="AX83" s="176"/>
      <c r="AY83" s="176"/>
      <c r="AZ83" s="176"/>
      <c r="BA83" s="176"/>
      <c r="BB83" s="176"/>
      <c r="BC83" s="176"/>
      <c r="BD83" s="176"/>
      <c r="BE83" s="176"/>
      <c r="BF83" s="176"/>
      <c r="BG83" s="176"/>
      <c r="BH83" s="176"/>
      <c r="BI83" s="176"/>
      <c r="BJ83" s="176"/>
      <c r="BK83" s="176"/>
      <c r="BL83" s="176"/>
      <c r="BM83" s="176"/>
      <c r="BN83" s="176"/>
      <c r="BO83" s="176"/>
    </row>
    <row r="84" spans="1:67" s="36" customFormat="1" ht="10.5" customHeight="1" x14ac:dyDescent="0.2">
      <c r="A84" s="1348"/>
      <c r="B84" s="2690"/>
      <c r="C84" s="2691"/>
      <c r="D84" s="2692"/>
      <c r="E84" s="2601"/>
      <c r="F84" s="2602"/>
      <c r="G84" s="1088"/>
      <c r="H84" s="1089"/>
      <c r="I84" s="1083">
        <f t="shared" si="9"/>
        <v>0</v>
      </c>
      <c r="J84" s="1084"/>
      <c r="K84" s="1087"/>
      <c r="L84" s="1307"/>
      <c r="M84" s="1317">
        <f t="shared" si="11"/>
        <v>0</v>
      </c>
      <c r="N84" s="506"/>
      <c r="O84" s="365">
        <f t="shared" si="12"/>
        <v>0</v>
      </c>
      <c r="P84" s="366"/>
      <c r="Q84" s="135"/>
      <c r="R84" s="136"/>
      <c r="S84" s="129"/>
      <c r="T84" s="129"/>
      <c r="U84" s="129"/>
      <c r="V84" s="129"/>
      <c r="W84" s="129"/>
      <c r="X84" s="129"/>
      <c r="Y84" s="129"/>
      <c r="Z84" s="133"/>
      <c r="AA84" s="133"/>
      <c r="AB84" s="133"/>
      <c r="AC84" s="133"/>
      <c r="AD84" s="133"/>
      <c r="AE84" s="133"/>
      <c r="AF84" s="222"/>
      <c r="AG84" s="222"/>
      <c r="AH84" s="222"/>
      <c r="AI84" s="176"/>
      <c r="AJ84" s="176"/>
      <c r="AK84" s="176"/>
      <c r="AL84" s="176"/>
      <c r="AM84" s="176"/>
      <c r="AN84" s="176"/>
      <c r="AO84" s="176"/>
      <c r="AP84" s="176"/>
      <c r="AQ84" s="176"/>
      <c r="AR84" s="176"/>
      <c r="AS84" s="176"/>
      <c r="AT84" s="176"/>
      <c r="AU84" s="176"/>
      <c r="AV84" s="176"/>
      <c r="AW84" s="176"/>
      <c r="AX84" s="176"/>
      <c r="AY84" s="176"/>
      <c r="AZ84" s="176"/>
      <c r="BA84" s="176"/>
      <c r="BB84" s="176"/>
      <c r="BC84" s="176"/>
      <c r="BD84" s="176"/>
      <c r="BE84" s="176"/>
      <c r="BF84" s="176"/>
      <c r="BG84" s="176"/>
      <c r="BH84" s="176"/>
      <c r="BI84" s="176"/>
      <c r="BJ84" s="176"/>
      <c r="BK84" s="176"/>
      <c r="BL84" s="176"/>
      <c r="BM84" s="176"/>
      <c r="BN84" s="176"/>
      <c r="BO84" s="176"/>
    </row>
    <row r="85" spans="1:67" s="36" customFormat="1" ht="10.5" customHeight="1" x14ac:dyDescent="0.2">
      <c r="A85" s="1115" t="s">
        <v>282</v>
      </c>
      <c r="B85" s="2611"/>
      <c r="C85" s="2612"/>
      <c r="D85" s="2613"/>
      <c r="E85" s="2676">
        <f>SUM(E86:E100)</f>
        <v>0</v>
      </c>
      <c r="F85" s="2677"/>
      <c r="G85" s="2678"/>
      <c r="H85" s="2679"/>
      <c r="I85" s="1116">
        <f>IF(E85=0,0,J85/E85)</f>
        <v>0</v>
      </c>
      <c r="J85" s="1117">
        <f>SUM(J86:J100)</f>
        <v>0</v>
      </c>
      <c r="K85" s="2686">
        <f>IF(E85=0,0,M85/E85*100)</f>
        <v>0</v>
      </c>
      <c r="L85" s="2687"/>
      <c r="M85" s="1118">
        <f>SUM(M86:M100)</f>
        <v>0</v>
      </c>
      <c r="N85" s="506"/>
      <c r="O85" s="178">
        <f>IF(H85="",G85,H85)</f>
        <v>0</v>
      </c>
      <c r="P85" s="366"/>
      <c r="Q85" s="135"/>
      <c r="R85" s="136"/>
      <c r="S85" s="129"/>
      <c r="T85" s="129"/>
      <c r="U85" s="129"/>
      <c r="V85" s="129"/>
      <c r="W85" s="129"/>
      <c r="X85" s="129"/>
      <c r="Y85" s="129"/>
      <c r="Z85" s="133"/>
      <c r="AA85" s="133"/>
      <c r="AB85" s="133"/>
      <c r="AC85" s="133"/>
      <c r="AD85" s="133"/>
      <c r="AE85" s="133"/>
      <c r="AF85" s="222"/>
      <c r="AG85" s="222"/>
      <c r="AH85" s="222"/>
      <c r="AI85" s="176"/>
      <c r="AJ85" s="176"/>
      <c r="AK85" s="176"/>
      <c r="AL85" s="176"/>
      <c r="AM85" s="176"/>
      <c r="AN85" s="176"/>
      <c r="AO85" s="176"/>
      <c r="AP85" s="176"/>
      <c r="AQ85" s="176"/>
      <c r="AR85" s="176"/>
      <c r="AS85" s="176"/>
      <c r="AT85" s="176"/>
      <c r="AU85" s="176"/>
      <c r="AV85" s="176"/>
      <c r="AW85" s="176"/>
      <c r="AX85" s="176"/>
      <c r="AY85" s="176"/>
      <c r="AZ85" s="176"/>
      <c r="BA85" s="176"/>
      <c r="BB85" s="176"/>
      <c r="BC85" s="176"/>
      <c r="BD85" s="176"/>
      <c r="BE85" s="176"/>
      <c r="BF85" s="176"/>
      <c r="BG85" s="176"/>
      <c r="BH85" s="176"/>
      <c r="BI85" s="176"/>
      <c r="BJ85" s="176"/>
      <c r="BK85" s="176"/>
      <c r="BL85" s="176"/>
      <c r="BM85" s="176"/>
      <c r="BN85" s="176"/>
      <c r="BO85" s="176"/>
    </row>
    <row r="86" spans="1:67" s="36" customFormat="1" ht="10.5" customHeight="1" x14ac:dyDescent="0.2">
      <c r="A86" s="1359" t="s">
        <v>47</v>
      </c>
      <c r="B86" s="2743"/>
      <c r="C86" s="2744"/>
      <c r="D86" s="2745"/>
      <c r="E86" s="2746"/>
      <c r="F86" s="2788"/>
      <c r="G86" s="1056">
        <v>20</v>
      </c>
      <c r="H86" s="1057"/>
      <c r="I86" s="1079">
        <f t="shared" ref="I86:I101" si="13">IF($O86&gt;0,-PMT(($I$9),$O86,1),0)</f>
        <v>6.2642070767998229E-2</v>
      </c>
      <c r="J86" s="1080">
        <f t="shared" ref="J86:J100" si="14">ROUND(E86*I86,0)</f>
        <v>0</v>
      </c>
      <c r="K86" s="1060">
        <v>2.5</v>
      </c>
      <c r="L86" s="1304"/>
      <c r="M86" s="1085">
        <f t="shared" ref="M86:M101" si="15">ROUND(E86/100*IF(ISBLANK(L86),K86,L86),0)</f>
        <v>0</v>
      </c>
      <c r="N86" s="506"/>
      <c r="O86" s="365">
        <f t="shared" ref="O86:O101" si="16">IF(ISBLANK(H86),G86,H86)</f>
        <v>20</v>
      </c>
      <c r="P86" s="366"/>
      <c r="Q86" s="135"/>
      <c r="R86" s="136"/>
      <c r="S86" s="129"/>
      <c r="T86" s="129"/>
      <c r="U86" s="129"/>
      <c r="V86" s="129"/>
      <c r="W86" s="129"/>
      <c r="X86" s="129"/>
      <c r="Y86" s="129"/>
      <c r="Z86" s="133"/>
      <c r="AA86" s="133"/>
      <c r="AB86" s="133"/>
      <c r="AC86" s="133"/>
      <c r="AD86" s="133"/>
      <c r="AE86" s="133"/>
      <c r="AF86" s="222"/>
      <c r="AG86" s="222"/>
      <c r="AH86" s="222"/>
      <c r="AI86" s="176"/>
      <c r="AJ86" s="176"/>
      <c r="AK86" s="176"/>
      <c r="AL86" s="176"/>
      <c r="AM86" s="176"/>
      <c r="AN86" s="176"/>
      <c r="AO86" s="176"/>
      <c r="AP86" s="176"/>
      <c r="AQ86" s="176"/>
      <c r="AR86" s="176"/>
      <c r="AS86" s="176"/>
      <c r="AT86" s="176"/>
      <c r="AU86" s="176"/>
      <c r="AV86" s="176"/>
      <c r="AW86" s="176"/>
      <c r="AX86" s="176"/>
      <c r="AY86" s="176"/>
      <c r="AZ86" s="176"/>
      <c r="BA86" s="176"/>
      <c r="BB86" s="176"/>
      <c r="BC86" s="176"/>
      <c r="BD86" s="176"/>
      <c r="BE86" s="176"/>
      <c r="BF86" s="176"/>
      <c r="BG86" s="176"/>
      <c r="BH86" s="176"/>
      <c r="BI86" s="176"/>
      <c r="BJ86" s="176"/>
      <c r="BK86" s="176"/>
      <c r="BL86" s="176"/>
      <c r="BM86" s="176"/>
      <c r="BN86" s="176"/>
      <c r="BO86" s="176"/>
    </row>
    <row r="87" spans="1:67" s="36" customFormat="1" ht="10.5" customHeight="1" x14ac:dyDescent="0.2">
      <c r="A87" s="1043" t="s">
        <v>48</v>
      </c>
      <c r="B87" s="2594"/>
      <c r="C87" s="2595"/>
      <c r="D87" s="2596"/>
      <c r="E87" s="2395"/>
      <c r="F87" s="2789"/>
      <c r="G87" s="1058">
        <v>20</v>
      </c>
      <c r="H87" s="1059"/>
      <c r="I87" s="1081">
        <f t="shared" si="13"/>
        <v>6.2642070767998229E-2</v>
      </c>
      <c r="J87" s="1082">
        <f t="shared" si="14"/>
        <v>0</v>
      </c>
      <c r="K87" s="1061">
        <v>2.5</v>
      </c>
      <c r="L87" s="1305"/>
      <c r="M87" s="1086">
        <f t="shared" si="15"/>
        <v>0</v>
      </c>
      <c r="N87" s="506"/>
      <c r="O87" s="365">
        <f t="shared" si="16"/>
        <v>20</v>
      </c>
      <c r="P87" s="366"/>
      <c r="Q87" s="135"/>
      <c r="R87" s="136"/>
      <c r="S87" s="129"/>
      <c r="T87" s="129"/>
      <c r="U87" s="129"/>
      <c r="V87" s="129"/>
      <c r="W87" s="129"/>
      <c r="X87" s="129"/>
      <c r="Y87" s="129"/>
      <c r="Z87" s="133"/>
      <c r="AA87" s="133"/>
      <c r="AB87" s="133"/>
      <c r="AC87" s="133"/>
      <c r="AD87" s="133"/>
      <c r="AE87" s="133"/>
      <c r="AF87" s="222"/>
      <c r="AG87" s="222"/>
      <c r="AH87" s="222"/>
      <c r="AI87" s="176"/>
      <c r="AJ87" s="176"/>
      <c r="AK87" s="176"/>
      <c r="AL87" s="176"/>
      <c r="AM87" s="176"/>
      <c r="AN87" s="176"/>
      <c r="AO87" s="176"/>
      <c r="AP87" s="176"/>
      <c r="AQ87" s="176"/>
      <c r="AR87" s="176"/>
      <c r="AS87" s="176"/>
      <c r="AT87" s="176"/>
      <c r="AU87" s="176"/>
      <c r="AV87" s="176"/>
      <c r="AW87" s="176"/>
      <c r="AX87" s="176"/>
      <c r="AY87" s="176"/>
      <c r="AZ87" s="176"/>
      <c r="BA87" s="176"/>
      <c r="BB87" s="176"/>
      <c r="BC87" s="176"/>
      <c r="BD87" s="176"/>
      <c r="BE87" s="176"/>
      <c r="BF87" s="176"/>
      <c r="BG87" s="176"/>
      <c r="BH87" s="176"/>
      <c r="BI87" s="176"/>
      <c r="BJ87" s="176"/>
      <c r="BK87" s="176"/>
      <c r="BL87" s="176"/>
      <c r="BM87" s="176"/>
      <c r="BN87" s="176"/>
      <c r="BO87" s="176"/>
    </row>
    <row r="88" spans="1:67" s="36" customFormat="1" ht="10.5" customHeight="1" x14ac:dyDescent="0.2">
      <c r="A88" s="1043" t="s">
        <v>676</v>
      </c>
      <c r="B88" s="2594"/>
      <c r="C88" s="2595"/>
      <c r="D88" s="2596"/>
      <c r="E88" s="2395"/>
      <c r="F88" s="2789"/>
      <c r="G88" s="1058">
        <v>20</v>
      </c>
      <c r="H88" s="1059"/>
      <c r="I88" s="1081">
        <f t="shared" si="13"/>
        <v>6.2642070767998229E-2</v>
      </c>
      <c r="J88" s="1082">
        <f t="shared" si="14"/>
        <v>0</v>
      </c>
      <c r="K88" s="1061">
        <v>5</v>
      </c>
      <c r="L88" s="1305"/>
      <c r="M88" s="1086">
        <f t="shared" si="15"/>
        <v>0</v>
      </c>
      <c r="N88" s="506"/>
      <c r="O88" s="365">
        <f t="shared" si="16"/>
        <v>20</v>
      </c>
      <c r="P88" s="366"/>
      <c r="Q88" s="135"/>
      <c r="R88" s="136"/>
      <c r="S88" s="129"/>
      <c r="T88" s="129"/>
      <c r="U88" s="129"/>
      <c r="V88" s="129"/>
      <c r="W88" s="129"/>
      <c r="X88" s="129"/>
      <c r="Y88" s="129"/>
      <c r="Z88" s="133"/>
      <c r="AA88" s="133"/>
      <c r="AB88" s="133"/>
      <c r="AC88" s="133"/>
      <c r="AD88" s="133"/>
      <c r="AE88" s="133"/>
      <c r="AF88" s="222"/>
      <c r="AG88" s="222"/>
      <c r="AH88" s="222"/>
      <c r="AI88" s="176"/>
      <c r="AJ88" s="176"/>
      <c r="AK88" s="176"/>
      <c r="AL88" s="176"/>
      <c r="AM88" s="176"/>
      <c r="AN88" s="176"/>
      <c r="AO88" s="176"/>
      <c r="AP88" s="176"/>
      <c r="AQ88" s="176"/>
      <c r="AR88" s="176"/>
      <c r="AS88" s="176"/>
      <c r="AT88" s="176"/>
      <c r="AU88" s="176"/>
      <c r="AV88" s="176"/>
      <c r="AW88" s="176"/>
      <c r="AX88" s="176"/>
      <c r="AY88" s="176"/>
      <c r="AZ88" s="176"/>
      <c r="BA88" s="176"/>
      <c r="BB88" s="176"/>
      <c r="BC88" s="176"/>
      <c r="BD88" s="176"/>
      <c r="BE88" s="176"/>
      <c r="BF88" s="176"/>
      <c r="BG88" s="176"/>
      <c r="BH88" s="176"/>
      <c r="BI88" s="176"/>
      <c r="BJ88" s="176"/>
      <c r="BK88" s="176"/>
      <c r="BL88" s="176"/>
      <c r="BM88" s="176"/>
      <c r="BN88" s="176"/>
      <c r="BO88" s="176"/>
    </row>
    <row r="89" spans="1:67" s="36" customFormat="1" ht="10.5" customHeight="1" x14ac:dyDescent="0.2">
      <c r="A89" s="1043" t="s">
        <v>64</v>
      </c>
      <c r="B89" s="2594"/>
      <c r="C89" s="2595"/>
      <c r="D89" s="2596"/>
      <c r="E89" s="2395"/>
      <c r="F89" s="2789"/>
      <c r="G89" s="1058">
        <v>20</v>
      </c>
      <c r="H89" s="1059"/>
      <c r="I89" s="1081">
        <f t="shared" si="13"/>
        <v>6.2642070767998229E-2</v>
      </c>
      <c r="J89" s="1082">
        <f t="shared" si="14"/>
        <v>0</v>
      </c>
      <c r="K89" s="1061">
        <v>3.5</v>
      </c>
      <c r="L89" s="1305"/>
      <c r="M89" s="1086">
        <f t="shared" si="15"/>
        <v>0</v>
      </c>
      <c r="N89" s="506"/>
      <c r="O89" s="365">
        <f t="shared" si="16"/>
        <v>20</v>
      </c>
      <c r="P89" s="366"/>
      <c r="Q89" s="135"/>
      <c r="R89" s="136"/>
      <c r="S89" s="129"/>
      <c r="T89" s="129"/>
      <c r="U89" s="129"/>
      <c r="V89" s="129"/>
      <c r="W89" s="129"/>
      <c r="X89" s="129"/>
      <c r="Y89" s="129"/>
      <c r="Z89" s="133"/>
      <c r="AA89" s="133"/>
      <c r="AB89" s="133"/>
      <c r="AC89" s="133"/>
      <c r="AD89" s="133"/>
      <c r="AE89" s="133"/>
      <c r="AF89" s="222"/>
      <c r="AG89" s="222"/>
      <c r="AH89" s="222"/>
      <c r="AI89" s="176"/>
      <c r="AJ89" s="176"/>
      <c r="AK89" s="176"/>
      <c r="AL89" s="176"/>
      <c r="AM89" s="176"/>
      <c r="AN89" s="176"/>
      <c r="AO89" s="176"/>
      <c r="AP89" s="176"/>
      <c r="AQ89" s="176"/>
      <c r="AR89" s="176"/>
      <c r="AS89" s="176"/>
      <c r="AT89" s="176"/>
      <c r="AU89" s="176"/>
      <c r="AV89" s="176"/>
      <c r="AW89" s="176"/>
      <c r="AX89" s="176"/>
      <c r="AY89" s="176"/>
      <c r="AZ89" s="176"/>
      <c r="BA89" s="176"/>
      <c r="BB89" s="176"/>
      <c r="BC89" s="176"/>
      <c r="BD89" s="176"/>
      <c r="BE89" s="176"/>
      <c r="BF89" s="176"/>
      <c r="BG89" s="176"/>
      <c r="BH89" s="176"/>
      <c r="BI89" s="176"/>
      <c r="BJ89" s="176"/>
      <c r="BK89" s="176"/>
      <c r="BL89" s="176"/>
      <c r="BM89" s="176"/>
      <c r="BN89" s="176"/>
      <c r="BO89" s="176"/>
    </row>
    <row r="90" spans="1:67" s="36" customFormat="1" ht="10.5" customHeight="1" x14ac:dyDescent="0.2">
      <c r="A90" s="1043" t="s">
        <v>71</v>
      </c>
      <c r="B90" s="2594"/>
      <c r="C90" s="2595"/>
      <c r="D90" s="2596"/>
      <c r="E90" s="2395"/>
      <c r="F90" s="2789"/>
      <c r="G90" s="1058">
        <v>20</v>
      </c>
      <c r="H90" s="1059"/>
      <c r="I90" s="1081">
        <f t="shared" si="13"/>
        <v>6.2642070767998229E-2</v>
      </c>
      <c r="J90" s="1082">
        <f t="shared" si="14"/>
        <v>0</v>
      </c>
      <c r="K90" s="1061">
        <v>3.5</v>
      </c>
      <c r="L90" s="1305"/>
      <c r="M90" s="1086">
        <f t="shared" si="15"/>
        <v>0</v>
      </c>
      <c r="N90" s="506"/>
      <c r="O90" s="365">
        <f t="shared" si="16"/>
        <v>20</v>
      </c>
      <c r="P90" s="366"/>
      <c r="Q90" s="135"/>
      <c r="R90" s="136"/>
      <c r="S90" s="129"/>
      <c r="T90" s="129"/>
      <c r="U90" s="129"/>
      <c r="V90" s="129"/>
      <c r="W90" s="129"/>
      <c r="X90" s="129"/>
      <c r="Y90" s="129"/>
      <c r="Z90" s="133"/>
      <c r="AA90" s="133"/>
      <c r="AB90" s="133"/>
      <c r="AC90" s="133"/>
      <c r="AD90" s="133"/>
      <c r="AE90" s="133"/>
      <c r="AF90" s="222"/>
      <c r="AG90" s="222"/>
      <c r="AH90" s="222"/>
      <c r="AI90" s="176"/>
      <c r="AJ90" s="176"/>
      <c r="AK90" s="176"/>
      <c r="AL90" s="176"/>
      <c r="AM90" s="176"/>
      <c r="AN90" s="176"/>
      <c r="AO90" s="176"/>
      <c r="AP90" s="176"/>
      <c r="AQ90" s="176"/>
      <c r="AR90" s="176"/>
      <c r="AS90" s="176"/>
      <c r="AT90" s="176"/>
      <c r="AU90" s="176"/>
      <c r="AV90" s="176"/>
      <c r="AW90" s="176"/>
      <c r="AX90" s="176"/>
      <c r="AY90" s="176"/>
      <c r="AZ90" s="176"/>
      <c r="BA90" s="176"/>
      <c r="BB90" s="176"/>
      <c r="BC90" s="176"/>
      <c r="BD90" s="176"/>
      <c r="BE90" s="176"/>
      <c r="BF90" s="176"/>
      <c r="BG90" s="176"/>
      <c r="BH90" s="176"/>
      <c r="BI90" s="176"/>
      <c r="BJ90" s="176"/>
      <c r="BK90" s="176"/>
      <c r="BL90" s="176"/>
      <c r="BM90" s="176"/>
      <c r="BN90" s="176"/>
      <c r="BO90" s="176"/>
    </row>
    <row r="91" spans="1:67" s="36" customFormat="1" ht="10.5" customHeight="1" x14ac:dyDescent="0.2">
      <c r="A91" s="1043" t="s">
        <v>677</v>
      </c>
      <c r="B91" s="2594"/>
      <c r="C91" s="2595"/>
      <c r="D91" s="2596"/>
      <c r="E91" s="2395"/>
      <c r="F91" s="2789"/>
      <c r="G91" s="1058">
        <v>20</v>
      </c>
      <c r="H91" s="1059"/>
      <c r="I91" s="1081">
        <f t="shared" si="13"/>
        <v>6.2642070767998229E-2</v>
      </c>
      <c r="J91" s="1082">
        <f t="shared" si="14"/>
        <v>0</v>
      </c>
      <c r="K91" s="1061">
        <v>3.5</v>
      </c>
      <c r="L91" s="1305"/>
      <c r="M91" s="1086">
        <f t="shared" si="15"/>
        <v>0</v>
      </c>
      <c r="N91" s="506"/>
      <c r="O91" s="365">
        <f t="shared" si="16"/>
        <v>20</v>
      </c>
      <c r="P91" s="366"/>
      <c r="Q91" s="135"/>
      <c r="R91" s="136"/>
      <c r="S91" s="129"/>
      <c r="T91" s="129"/>
      <c r="U91" s="129"/>
      <c r="V91" s="129"/>
      <c r="W91" s="129"/>
      <c r="X91" s="129"/>
      <c r="Y91" s="129"/>
      <c r="Z91" s="133"/>
      <c r="AA91" s="133"/>
      <c r="AB91" s="133"/>
      <c r="AC91" s="133"/>
      <c r="AD91" s="133"/>
      <c r="AE91" s="133"/>
      <c r="AF91" s="222"/>
      <c r="AG91" s="222"/>
      <c r="AH91" s="222"/>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row>
    <row r="92" spans="1:67" s="36" customFormat="1" ht="10.5" customHeight="1" x14ac:dyDescent="0.2">
      <c r="A92" s="1043" t="s">
        <v>79</v>
      </c>
      <c r="B92" s="2594"/>
      <c r="C92" s="2595"/>
      <c r="D92" s="2596"/>
      <c r="E92" s="2395"/>
      <c r="F92" s="2789"/>
      <c r="G92" s="1058">
        <v>20</v>
      </c>
      <c r="H92" s="1059"/>
      <c r="I92" s="1081">
        <f t="shared" si="13"/>
        <v>6.2642070767998229E-2</v>
      </c>
      <c r="J92" s="1082">
        <f t="shared" si="14"/>
        <v>0</v>
      </c>
      <c r="K92" s="1061">
        <v>3.5</v>
      </c>
      <c r="L92" s="1305"/>
      <c r="M92" s="1086">
        <f t="shared" si="15"/>
        <v>0</v>
      </c>
      <c r="N92" s="506"/>
      <c r="O92" s="365">
        <f t="shared" si="16"/>
        <v>20</v>
      </c>
      <c r="P92" s="366"/>
      <c r="Q92" s="135"/>
      <c r="R92" s="136"/>
      <c r="S92" s="129"/>
      <c r="T92" s="129"/>
      <c r="U92" s="129"/>
      <c r="V92" s="129"/>
      <c r="W92" s="129"/>
      <c r="X92" s="129"/>
      <c r="Y92" s="129"/>
      <c r="Z92" s="133"/>
      <c r="AA92" s="133"/>
      <c r="AB92" s="133"/>
      <c r="AC92" s="133"/>
      <c r="AD92" s="133"/>
      <c r="AE92" s="133"/>
      <c r="AF92" s="222"/>
      <c r="AG92" s="222"/>
      <c r="AH92" s="222"/>
      <c r="AI92" s="176"/>
      <c r="AJ92" s="176"/>
      <c r="AK92" s="176"/>
      <c r="AL92" s="176"/>
      <c r="AM92" s="176"/>
      <c r="AN92" s="176"/>
      <c r="AO92" s="176"/>
      <c r="AP92" s="176"/>
      <c r="AQ92" s="176"/>
      <c r="AR92" s="176"/>
      <c r="AS92" s="176"/>
      <c r="AT92" s="176"/>
      <c r="AU92" s="176"/>
      <c r="AV92" s="176"/>
      <c r="AW92" s="176"/>
      <c r="AX92" s="176"/>
      <c r="AY92" s="176"/>
      <c r="AZ92" s="176"/>
      <c r="BA92" s="176"/>
      <c r="BB92" s="176"/>
      <c r="BC92" s="176"/>
      <c r="BD92" s="176"/>
      <c r="BE92" s="176"/>
      <c r="BF92" s="176"/>
      <c r="BG92" s="176"/>
      <c r="BH92" s="176"/>
      <c r="BI92" s="176"/>
      <c r="BJ92" s="176"/>
      <c r="BK92" s="176"/>
      <c r="BL92" s="176"/>
      <c r="BM92" s="176"/>
      <c r="BN92" s="176"/>
      <c r="BO92" s="176"/>
    </row>
    <row r="93" spans="1:67" s="36" customFormat="1" ht="10.5" customHeight="1" x14ac:dyDescent="0.2">
      <c r="A93" s="1043" t="s">
        <v>149</v>
      </c>
      <c r="B93" s="2594"/>
      <c r="C93" s="2595"/>
      <c r="D93" s="2596"/>
      <c r="E93" s="2395"/>
      <c r="F93" s="2789"/>
      <c r="G93" s="1058">
        <v>20</v>
      </c>
      <c r="H93" s="1059"/>
      <c r="I93" s="1081">
        <f t="shared" si="13"/>
        <v>6.2642070767998229E-2</v>
      </c>
      <c r="J93" s="1082">
        <f t="shared" si="14"/>
        <v>0</v>
      </c>
      <c r="K93" s="1061">
        <v>3.5</v>
      </c>
      <c r="L93" s="1305"/>
      <c r="M93" s="1086">
        <f t="shared" si="15"/>
        <v>0</v>
      </c>
      <c r="N93" s="506"/>
      <c r="O93" s="365">
        <f t="shared" si="16"/>
        <v>20</v>
      </c>
      <c r="P93" s="366"/>
      <c r="Q93" s="135"/>
      <c r="R93" s="136"/>
      <c r="S93" s="129"/>
      <c r="T93" s="129"/>
      <c r="U93" s="129"/>
      <c r="V93" s="129"/>
      <c r="W93" s="129"/>
      <c r="X93" s="129"/>
      <c r="Y93" s="129"/>
      <c r="Z93" s="133"/>
      <c r="AA93" s="133"/>
      <c r="AB93" s="133"/>
      <c r="AC93" s="133"/>
      <c r="AD93" s="133"/>
      <c r="AE93" s="133"/>
      <c r="AF93" s="222"/>
      <c r="AG93" s="222"/>
      <c r="AH93" s="222"/>
      <c r="AI93" s="176"/>
      <c r="AJ93" s="176"/>
      <c r="AK93" s="176"/>
      <c r="AL93" s="176"/>
      <c r="AM93" s="176"/>
      <c r="AN93" s="176"/>
      <c r="AO93" s="176"/>
      <c r="AP93" s="176"/>
      <c r="AQ93" s="176"/>
      <c r="AR93" s="176"/>
      <c r="AS93" s="176"/>
      <c r="AT93" s="176"/>
      <c r="AU93" s="176"/>
      <c r="AV93" s="176"/>
      <c r="AW93" s="176"/>
      <c r="AX93" s="176"/>
      <c r="AY93" s="176"/>
      <c r="AZ93" s="176"/>
      <c r="BA93" s="176"/>
      <c r="BB93" s="176"/>
      <c r="BC93" s="176"/>
      <c r="BD93" s="176"/>
      <c r="BE93" s="176"/>
      <c r="BF93" s="176"/>
      <c r="BG93" s="176"/>
      <c r="BH93" s="176"/>
      <c r="BI93" s="176"/>
      <c r="BJ93" s="176"/>
      <c r="BK93" s="176"/>
      <c r="BL93" s="176"/>
      <c r="BM93" s="176"/>
      <c r="BN93" s="176"/>
      <c r="BO93" s="176"/>
    </row>
    <row r="94" spans="1:67" s="36" customFormat="1" ht="10.5" customHeight="1" x14ac:dyDescent="0.2">
      <c r="A94" s="1043" t="s">
        <v>674</v>
      </c>
      <c r="B94" s="2594"/>
      <c r="C94" s="2595"/>
      <c r="D94" s="2596"/>
      <c r="E94" s="2395"/>
      <c r="F94" s="2789"/>
      <c r="G94" s="1058">
        <v>20</v>
      </c>
      <c r="H94" s="1059"/>
      <c r="I94" s="1081">
        <f t="shared" si="13"/>
        <v>6.2642070767998229E-2</v>
      </c>
      <c r="J94" s="1082">
        <f t="shared" si="14"/>
        <v>0</v>
      </c>
      <c r="K94" s="1061">
        <v>1.5</v>
      </c>
      <c r="L94" s="1305"/>
      <c r="M94" s="1086">
        <f t="shared" si="15"/>
        <v>0</v>
      </c>
      <c r="N94" s="506"/>
      <c r="O94" s="365">
        <f t="shared" si="16"/>
        <v>20</v>
      </c>
      <c r="P94" s="366"/>
      <c r="Q94" s="135"/>
      <c r="R94" s="136"/>
      <c r="S94" s="129"/>
      <c r="T94" s="129"/>
      <c r="U94" s="129"/>
      <c r="V94" s="129"/>
      <c r="W94" s="129"/>
      <c r="X94" s="129"/>
      <c r="Y94" s="129"/>
      <c r="Z94" s="133"/>
      <c r="AA94" s="133"/>
      <c r="AB94" s="133"/>
      <c r="AC94" s="133"/>
      <c r="AD94" s="133"/>
      <c r="AE94" s="133"/>
      <c r="AF94" s="222"/>
      <c r="AG94" s="222"/>
      <c r="AH94" s="222"/>
      <c r="AI94" s="176"/>
      <c r="AJ94" s="176"/>
      <c r="AK94" s="176"/>
      <c r="AL94" s="176"/>
      <c r="AM94" s="176"/>
      <c r="AN94" s="176"/>
      <c r="AO94" s="176"/>
      <c r="AP94" s="176"/>
      <c r="AQ94" s="176"/>
      <c r="AR94" s="176"/>
      <c r="AS94" s="176"/>
      <c r="AT94" s="176"/>
      <c r="AU94" s="176"/>
      <c r="AV94" s="176"/>
      <c r="AW94" s="176"/>
      <c r="AX94" s="176"/>
      <c r="AY94" s="176"/>
      <c r="AZ94" s="176"/>
      <c r="BA94" s="176"/>
      <c r="BB94" s="176"/>
      <c r="BC94" s="176"/>
      <c r="BD94" s="176"/>
      <c r="BE94" s="176"/>
      <c r="BF94" s="176"/>
      <c r="BG94" s="176"/>
      <c r="BH94" s="176"/>
      <c r="BI94" s="176"/>
      <c r="BJ94" s="176"/>
      <c r="BK94" s="176"/>
      <c r="BL94" s="176"/>
      <c r="BM94" s="176"/>
      <c r="BN94" s="176"/>
      <c r="BO94" s="176"/>
    </row>
    <row r="95" spans="1:67" s="36" customFormat="1" ht="10.5" customHeight="1" x14ac:dyDescent="0.2">
      <c r="A95" s="1043" t="s">
        <v>675</v>
      </c>
      <c r="B95" s="2594"/>
      <c r="C95" s="2595"/>
      <c r="D95" s="2596"/>
      <c r="E95" s="2395"/>
      <c r="F95" s="2789"/>
      <c r="G95" s="1058">
        <v>20</v>
      </c>
      <c r="H95" s="1059"/>
      <c r="I95" s="1081">
        <f t="shared" si="13"/>
        <v>6.2642070767998229E-2</v>
      </c>
      <c r="J95" s="1082">
        <f t="shared" ref="J95:J96" si="17">ROUND(E95*I95,0)</f>
        <v>0</v>
      </c>
      <c r="K95" s="1061">
        <v>1.5</v>
      </c>
      <c r="L95" s="1305"/>
      <c r="M95" s="1086">
        <f t="shared" ref="M95:M96" si="18">ROUND(E95/100*IF(ISBLANK(L95),K95,L95),0)</f>
        <v>0</v>
      </c>
      <c r="N95" s="704"/>
      <c r="O95" s="365">
        <f t="shared" ref="O95:O96" si="19">IF(ISBLANK(H95),G95,H95)</f>
        <v>20</v>
      </c>
      <c r="P95" s="366"/>
      <c r="Q95" s="135"/>
      <c r="R95" s="136"/>
      <c r="S95" s="129"/>
      <c r="T95" s="129"/>
      <c r="U95" s="129"/>
      <c r="V95" s="129"/>
      <c r="W95" s="129"/>
      <c r="X95" s="129"/>
      <c r="Y95" s="129"/>
      <c r="Z95" s="133"/>
      <c r="AA95" s="133"/>
      <c r="AB95" s="133"/>
      <c r="AC95" s="133"/>
      <c r="AD95" s="133"/>
      <c r="AE95" s="133"/>
      <c r="AF95" s="222"/>
      <c r="AG95" s="222"/>
      <c r="AH95" s="222"/>
      <c r="AI95" s="176"/>
      <c r="AJ95" s="176"/>
      <c r="AK95" s="176"/>
      <c r="AL95" s="176"/>
      <c r="AM95" s="176"/>
      <c r="AN95" s="176"/>
      <c r="AO95" s="176"/>
      <c r="AP95" s="176"/>
      <c r="AQ95" s="176"/>
      <c r="AR95" s="176"/>
      <c r="AS95" s="176"/>
      <c r="AT95" s="176"/>
      <c r="AU95" s="176"/>
      <c r="AV95" s="176"/>
      <c r="AW95" s="176"/>
      <c r="AX95" s="176"/>
      <c r="AY95" s="176"/>
      <c r="AZ95" s="176"/>
      <c r="BA95" s="176"/>
      <c r="BB95" s="176"/>
      <c r="BC95" s="176"/>
      <c r="BD95" s="176"/>
      <c r="BE95" s="176"/>
      <c r="BF95" s="176"/>
      <c r="BG95" s="176"/>
      <c r="BH95" s="176"/>
      <c r="BI95" s="176"/>
      <c r="BJ95" s="176"/>
      <c r="BK95" s="176"/>
      <c r="BL95" s="176"/>
      <c r="BM95" s="176"/>
      <c r="BN95" s="176"/>
      <c r="BO95" s="176"/>
    </row>
    <row r="96" spans="1:67" s="36" customFormat="1" ht="10.5" customHeight="1" x14ac:dyDescent="0.2">
      <c r="A96" s="1043" t="s">
        <v>283</v>
      </c>
      <c r="B96" s="2594"/>
      <c r="C96" s="2595"/>
      <c r="D96" s="2596"/>
      <c r="E96" s="2395"/>
      <c r="F96" s="2789"/>
      <c r="G96" s="1058">
        <v>30</v>
      </c>
      <c r="H96" s="1059"/>
      <c r="I96" s="1081">
        <f t="shared" si="13"/>
        <v>4.6199342169092869E-2</v>
      </c>
      <c r="J96" s="1082">
        <f t="shared" si="17"/>
        <v>0</v>
      </c>
      <c r="K96" s="1061">
        <v>0.5</v>
      </c>
      <c r="L96" s="1305"/>
      <c r="M96" s="1086">
        <f t="shared" si="18"/>
        <v>0</v>
      </c>
      <c r="N96" s="704"/>
      <c r="O96" s="365">
        <f t="shared" si="19"/>
        <v>30</v>
      </c>
      <c r="P96" s="366"/>
      <c r="Q96" s="135"/>
      <c r="R96" s="136"/>
      <c r="S96" s="129"/>
      <c r="T96" s="129"/>
      <c r="U96" s="129"/>
      <c r="V96" s="129"/>
      <c r="W96" s="129"/>
      <c r="X96" s="129"/>
      <c r="Y96" s="129"/>
      <c r="Z96" s="133"/>
      <c r="AA96" s="133"/>
      <c r="AB96" s="133"/>
      <c r="AC96" s="133"/>
      <c r="AD96" s="133"/>
      <c r="AE96" s="133"/>
      <c r="AF96" s="222"/>
      <c r="AG96" s="222"/>
      <c r="AH96" s="222"/>
      <c r="AI96" s="176"/>
      <c r="AJ96" s="176"/>
      <c r="AK96" s="176"/>
      <c r="AL96" s="176"/>
      <c r="AM96" s="176"/>
      <c r="AN96" s="176"/>
      <c r="AO96" s="176"/>
      <c r="AP96" s="176"/>
      <c r="AQ96" s="176"/>
      <c r="AR96" s="176"/>
      <c r="AS96" s="176"/>
      <c r="AT96" s="176"/>
      <c r="AU96" s="176"/>
      <c r="AV96" s="176"/>
      <c r="AW96" s="176"/>
      <c r="AX96" s="176"/>
      <c r="AY96" s="176"/>
      <c r="AZ96" s="176"/>
      <c r="BA96" s="176"/>
      <c r="BB96" s="176"/>
      <c r="BC96" s="176"/>
      <c r="BD96" s="176"/>
      <c r="BE96" s="176"/>
      <c r="BF96" s="176"/>
      <c r="BG96" s="176"/>
      <c r="BH96" s="176"/>
      <c r="BI96" s="176"/>
      <c r="BJ96" s="176"/>
      <c r="BK96" s="176"/>
      <c r="BL96" s="176"/>
      <c r="BM96" s="176"/>
      <c r="BN96" s="176"/>
      <c r="BO96" s="176"/>
    </row>
    <row r="97" spans="1:67" s="36" customFormat="1" ht="10.5" customHeight="1" x14ac:dyDescent="0.2">
      <c r="A97" s="1043" t="s">
        <v>284</v>
      </c>
      <c r="B97" s="2594"/>
      <c r="C97" s="2595"/>
      <c r="D97" s="2596"/>
      <c r="E97" s="2395"/>
      <c r="F97" s="2789"/>
      <c r="G97" s="1058">
        <v>30</v>
      </c>
      <c r="H97" s="1059"/>
      <c r="I97" s="1081">
        <f t="shared" si="13"/>
        <v>4.6199342169092869E-2</v>
      </c>
      <c r="J97" s="1082">
        <f t="shared" si="14"/>
        <v>0</v>
      </c>
      <c r="K97" s="1061">
        <v>0.5</v>
      </c>
      <c r="L97" s="1305"/>
      <c r="M97" s="1086">
        <f t="shared" si="15"/>
        <v>0</v>
      </c>
      <c r="N97" s="506"/>
      <c r="O97" s="365">
        <f t="shared" si="16"/>
        <v>30</v>
      </c>
      <c r="P97" s="366"/>
      <c r="Q97" s="135"/>
      <c r="R97" s="136"/>
      <c r="S97" s="129"/>
      <c r="T97" s="129"/>
      <c r="U97" s="129"/>
      <c r="V97" s="129"/>
      <c r="W97" s="129"/>
      <c r="X97" s="129"/>
      <c r="Y97" s="129"/>
      <c r="Z97" s="133"/>
      <c r="AA97" s="133"/>
      <c r="AB97" s="133"/>
      <c r="AC97" s="133"/>
      <c r="AD97" s="133"/>
      <c r="AE97" s="133"/>
      <c r="AF97" s="222"/>
      <c r="AG97" s="222"/>
      <c r="AH97" s="222"/>
      <c r="AI97" s="176"/>
      <c r="AJ97" s="176"/>
      <c r="AK97" s="176"/>
      <c r="AL97" s="176"/>
      <c r="AM97" s="176"/>
      <c r="AN97" s="176"/>
      <c r="AO97" s="176"/>
      <c r="AP97" s="176"/>
      <c r="AQ97" s="176"/>
      <c r="AR97" s="176"/>
      <c r="AS97" s="176"/>
      <c r="AT97" s="176"/>
      <c r="AU97" s="176"/>
      <c r="AV97" s="176"/>
      <c r="AW97" s="176"/>
      <c r="AX97" s="176"/>
      <c r="AY97" s="176"/>
      <c r="AZ97" s="176"/>
      <c r="BA97" s="176"/>
      <c r="BB97" s="176"/>
      <c r="BC97" s="176"/>
      <c r="BD97" s="176"/>
      <c r="BE97" s="176"/>
      <c r="BF97" s="176"/>
      <c r="BG97" s="176"/>
      <c r="BH97" s="176"/>
      <c r="BI97" s="176"/>
      <c r="BJ97" s="176"/>
      <c r="BK97" s="176"/>
      <c r="BL97" s="176"/>
      <c r="BM97" s="176"/>
      <c r="BN97" s="176"/>
      <c r="BO97" s="176"/>
    </row>
    <row r="98" spans="1:67" s="36" customFormat="1" ht="10.5" customHeight="1" x14ac:dyDescent="0.2">
      <c r="A98" s="1043" t="s">
        <v>274</v>
      </c>
      <c r="B98" s="2594"/>
      <c r="C98" s="2595"/>
      <c r="D98" s="2596"/>
      <c r="E98" s="2395"/>
      <c r="F98" s="2789"/>
      <c r="G98" s="1058">
        <v>30</v>
      </c>
      <c r="H98" s="1059"/>
      <c r="I98" s="1081">
        <f t="shared" si="13"/>
        <v>4.6199342169092869E-2</v>
      </c>
      <c r="J98" s="1082">
        <f t="shared" si="14"/>
        <v>0</v>
      </c>
      <c r="K98" s="1061">
        <v>0</v>
      </c>
      <c r="L98" s="1305"/>
      <c r="M98" s="1086">
        <f t="shared" si="15"/>
        <v>0</v>
      </c>
      <c r="N98" s="506"/>
      <c r="O98" s="365">
        <f t="shared" si="16"/>
        <v>30</v>
      </c>
      <c r="P98" s="366"/>
      <c r="Q98" s="135"/>
      <c r="R98" s="136"/>
      <c r="S98" s="129"/>
      <c r="T98" s="129"/>
      <c r="U98" s="129"/>
      <c r="V98" s="129"/>
      <c r="W98" s="129"/>
      <c r="X98" s="129"/>
      <c r="Y98" s="129"/>
      <c r="Z98" s="133"/>
      <c r="AA98" s="133"/>
      <c r="AB98" s="133"/>
      <c r="AC98" s="133"/>
      <c r="AD98" s="133"/>
      <c r="AE98" s="133"/>
      <c r="AF98" s="222"/>
      <c r="AG98" s="222"/>
      <c r="AH98" s="222"/>
      <c r="AI98" s="176"/>
      <c r="AJ98" s="176"/>
      <c r="AK98" s="176"/>
      <c r="AL98" s="176"/>
      <c r="AM98" s="176"/>
      <c r="AN98" s="176"/>
      <c r="AO98" s="176"/>
      <c r="AP98" s="176"/>
      <c r="AQ98" s="176"/>
      <c r="AR98" s="176"/>
      <c r="AS98" s="176"/>
      <c r="AT98" s="176"/>
      <c r="AU98" s="176"/>
      <c r="AV98" s="176"/>
      <c r="AW98" s="176"/>
      <c r="AX98" s="176"/>
      <c r="AY98" s="176"/>
      <c r="AZ98" s="176"/>
      <c r="BA98" s="176"/>
      <c r="BB98" s="176"/>
      <c r="BC98" s="176"/>
      <c r="BD98" s="176"/>
      <c r="BE98" s="176"/>
      <c r="BF98" s="176"/>
      <c r="BG98" s="176"/>
      <c r="BH98" s="176"/>
      <c r="BI98" s="176"/>
      <c r="BJ98" s="176"/>
      <c r="BK98" s="176"/>
      <c r="BL98" s="176"/>
      <c r="BM98" s="176"/>
      <c r="BN98" s="176"/>
      <c r="BO98" s="176"/>
    </row>
    <row r="99" spans="1:67" s="36" customFormat="1" ht="10.5" customHeight="1" x14ac:dyDescent="0.2">
      <c r="A99" s="1055"/>
      <c r="B99" s="2594"/>
      <c r="C99" s="2595"/>
      <c r="D99" s="2596"/>
      <c r="E99" s="2395"/>
      <c r="F99" s="2396"/>
      <c r="G99" s="2590"/>
      <c r="H99" s="2591"/>
      <c r="I99" s="1081">
        <f t="shared" si="13"/>
        <v>0</v>
      </c>
      <c r="J99" s="1082">
        <f t="shared" si="14"/>
        <v>0</v>
      </c>
      <c r="K99" s="2588"/>
      <c r="L99" s="2589"/>
      <c r="M99" s="1086">
        <f t="shared" si="15"/>
        <v>0</v>
      </c>
      <c r="N99" s="506"/>
      <c r="O99" s="365">
        <f t="shared" si="16"/>
        <v>0</v>
      </c>
      <c r="P99" s="366"/>
      <c r="Q99" s="135"/>
      <c r="R99" s="136"/>
      <c r="S99" s="129"/>
      <c r="T99" s="129"/>
      <c r="U99" s="129"/>
      <c r="V99" s="129"/>
      <c r="W99" s="129"/>
      <c r="X99" s="129"/>
      <c r="Y99" s="129"/>
      <c r="Z99" s="133"/>
      <c r="AA99" s="133"/>
      <c r="AB99" s="133"/>
      <c r="AC99" s="133"/>
      <c r="AD99" s="133"/>
      <c r="AE99" s="133"/>
      <c r="AF99" s="222"/>
      <c r="AG99" s="222"/>
      <c r="AH99" s="222"/>
      <c r="AI99" s="176"/>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row>
    <row r="100" spans="1:67" s="36" customFormat="1" ht="10.5" customHeight="1" x14ac:dyDescent="0.2">
      <c r="A100" s="1055"/>
      <c r="B100" s="2594"/>
      <c r="C100" s="2595"/>
      <c r="D100" s="2596"/>
      <c r="E100" s="2395"/>
      <c r="F100" s="2396"/>
      <c r="G100" s="2590"/>
      <c r="H100" s="2591"/>
      <c r="I100" s="1081">
        <f t="shared" si="13"/>
        <v>0</v>
      </c>
      <c r="J100" s="1082">
        <f t="shared" si="14"/>
        <v>0</v>
      </c>
      <c r="K100" s="2588"/>
      <c r="L100" s="2589"/>
      <c r="M100" s="1086">
        <f t="shared" si="15"/>
        <v>0</v>
      </c>
      <c r="N100" s="506"/>
      <c r="O100" s="365">
        <f t="shared" si="16"/>
        <v>0</v>
      </c>
      <c r="P100" s="366"/>
      <c r="Q100" s="135"/>
      <c r="R100" s="136"/>
      <c r="S100" s="129"/>
      <c r="T100" s="129"/>
      <c r="U100" s="129"/>
      <c r="V100" s="129"/>
      <c r="W100" s="129"/>
      <c r="X100" s="129"/>
      <c r="Y100" s="129"/>
      <c r="Z100" s="133"/>
      <c r="AA100" s="133"/>
      <c r="AB100" s="133"/>
      <c r="AC100" s="133"/>
      <c r="AD100" s="133"/>
      <c r="AE100" s="133"/>
      <c r="AF100" s="222"/>
      <c r="AG100" s="222"/>
      <c r="AH100" s="222"/>
      <c r="AI100" s="176"/>
      <c r="AJ100" s="176"/>
      <c r="AK100" s="176"/>
      <c r="AL100" s="176"/>
      <c r="AM100" s="176"/>
      <c r="AN100" s="176"/>
      <c r="AO100" s="176"/>
      <c r="AP100" s="176"/>
      <c r="AQ100" s="176"/>
      <c r="AR100" s="176"/>
      <c r="AS100" s="176"/>
      <c r="AT100" s="176"/>
      <c r="AU100" s="176"/>
      <c r="AV100" s="176"/>
      <c r="AW100" s="176"/>
      <c r="AX100" s="176"/>
      <c r="AY100" s="176"/>
      <c r="AZ100" s="176"/>
      <c r="BA100" s="176"/>
      <c r="BB100" s="176"/>
      <c r="BC100" s="176"/>
      <c r="BD100" s="176"/>
      <c r="BE100" s="176"/>
      <c r="BF100" s="176"/>
      <c r="BG100" s="176"/>
      <c r="BH100" s="176"/>
      <c r="BI100" s="176"/>
      <c r="BJ100" s="176"/>
      <c r="BK100" s="176"/>
      <c r="BL100" s="176"/>
      <c r="BM100" s="176"/>
      <c r="BN100" s="176"/>
      <c r="BO100" s="176"/>
    </row>
    <row r="101" spans="1:67" s="36" customFormat="1" ht="10.5" customHeight="1" x14ac:dyDescent="0.2">
      <c r="A101" s="1348"/>
      <c r="B101" s="2690"/>
      <c r="C101" s="2691"/>
      <c r="D101" s="2692"/>
      <c r="E101" s="2601"/>
      <c r="F101" s="2602"/>
      <c r="G101" s="1088"/>
      <c r="H101" s="1089"/>
      <c r="I101" s="1083">
        <f t="shared" si="13"/>
        <v>0</v>
      </c>
      <c r="J101" s="1084"/>
      <c r="K101" s="1087"/>
      <c r="L101" s="1307"/>
      <c r="M101" s="1317">
        <f t="shared" si="15"/>
        <v>0</v>
      </c>
      <c r="N101" s="506"/>
      <c r="O101" s="365">
        <f t="shared" si="16"/>
        <v>0</v>
      </c>
      <c r="P101" s="366"/>
      <c r="Q101" s="135"/>
      <c r="R101" s="136"/>
      <c r="S101" s="129"/>
      <c r="T101" s="129"/>
      <c r="U101" s="129"/>
      <c r="V101" s="129"/>
      <c r="W101" s="129"/>
      <c r="X101" s="129"/>
      <c r="Y101" s="129"/>
      <c r="Z101" s="133"/>
      <c r="AA101" s="133"/>
      <c r="AB101" s="133"/>
      <c r="AC101" s="133"/>
      <c r="AD101" s="133"/>
      <c r="AE101" s="133"/>
      <c r="AF101" s="222"/>
      <c r="AG101" s="222"/>
      <c r="AH101" s="222"/>
      <c r="AI101" s="176"/>
      <c r="AJ101" s="176"/>
      <c r="AK101" s="176"/>
      <c r="AL101" s="176"/>
      <c r="AM101" s="176"/>
      <c r="AN101" s="176"/>
      <c r="AO101" s="176"/>
      <c r="AP101" s="176"/>
      <c r="AQ101" s="176"/>
      <c r="AR101" s="176"/>
      <c r="AS101" s="176"/>
      <c r="AT101" s="176"/>
      <c r="AU101" s="176"/>
      <c r="AV101" s="176"/>
      <c r="AW101" s="176"/>
      <c r="AX101" s="176"/>
      <c r="AY101" s="176"/>
      <c r="AZ101" s="176"/>
      <c r="BA101" s="176"/>
      <c r="BB101" s="176"/>
      <c r="BC101" s="176"/>
      <c r="BD101" s="176"/>
      <c r="BE101" s="176"/>
      <c r="BF101" s="176"/>
      <c r="BG101" s="176"/>
      <c r="BH101" s="176"/>
      <c r="BI101" s="176"/>
      <c r="BJ101" s="176"/>
      <c r="BK101" s="176"/>
      <c r="BL101" s="176"/>
      <c r="BM101" s="176"/>
      <c r="BN101" s="176"/>
      <c r="BO101" s="176"/>
    </row>
    <row r="102" spans="1:67" s="36" customFormat="1" ht="10.5" customHeight="1" x14ac:dyDescent="0.2">
      <c r="A102" s="1115" t="s">
        <v>285</v>
      </c>
      <c r="B102" s="2611"/>
      <c r="C102" s="2612"/>
      <c r="D102" s="2613"/>
      <c r="E102" s="2676">
        <f>SUM(E103:E115)</f>
        <v>0</v>
      </c>
      <c r="F102" s="2677"/>
      <c r="G102" s="2678"/>
      <c r="H102" s="2679"/>
      <c r="I102" s="1116">
        <f>IF(E102=0,0,J102/E102)</f>
        <v>0</v>
      </c>
      <c r="J102" s="1117">
        <f>SUM(J103:J115)</f>
        <v>0</v>
      </c>
      <c r="K102" s="2686">
        <f>IF(E102=0,0,M102/E102*100)</f>
        <v>0</v>
      </c>
      <c r="L102" s="2687"/>
      <c r="M102" s="1118">
        <f>SUM(M103:M115)</f>
        <v>0</v>
      </c>
      <c r="N102" s="506"/>
      <c r="O102" s="178">
        <f>IF(H102="",G102,H102)</f>
        <v>0</v>
      </c>
      <c r="P102" s="366"/>
      <c r="Q102" s="135"/>
      <c r="R102" s="136"/>
      <c r="S102" s="129"/>
      <c r="T102" s="129"/>
      <c r="U102" s="129"/>
      <c r="V102" s="129"/>
      <c r="W102" s="129"/>
      <c r="X102" s="129"/>
      <c r="Y102" s="129"/>
      <c r="Z102" s="133"/>
      <c r="AA102" s="133"/>
      <c r="AB102" s="133"/>
      <c r="AC102" s="133"/>
      <c r="AD102" s="133"/>
      <c r="AE102" s="133"/>
      <c r="AF102" s="222"/>
      <c r="AG102" s="222"/>
      <c r="AH102" s="222"/>
      <c r="AI102" s="176"/>
      <c r="AJ102" s="176"/>
      <c r="AK102" s="176"/>
      <c r="AL102" s="176"/>
      <c r="AM102" s="176"/>
      <c r="AN102" s="176"/>
      <c r="AO102" s="176"/>
      <c r="AP102" s="176"/>
      <c r="AQ102" s="176"/>
      <c r="AR102" s="176"/>
      <c r="AS102" s="176"/>
      <c r="AT102" s="176"/>
      <c r="AU102" s="176"/>
      <c r="AV102" s="176"/>
      <c r="AW102" s="176"/>
      <c r="AX102" s="176"/>
      <c r="AY102" s="176"/>
      <c r="AZ102" s="176"/>
      <c r="BA102" s="176"/>
      <c r="BB102" s="176"/>
      <c r="BC102" s="176"/>
      <c r="BD102" s="176"/>
      <c r="BE102" s="176"/>
      <c r="BF102" s="176"/>
      <c r="BG102" s="176"/>
      <c r="BH102" s="176"/>
      <c r="BI102" s="176"/>
      <c r="BJ102" s="176"/>
      <c r="BK102" s="176"/>
      <c r="BL102" s="176"/>
      <c r="BM102" s="176"/>
      <c r="BN102" s="176"/>
      <c r="BO102" s="176"/>
    </row>
    <row r="103" spans="1:67" s="36" customFormat="1" ht="10.5" customHeight="1" x14ac:dyDescent="0.2">
      <c r="A103" s="1359" t="s">
        <v>397</v>
      </c>
      <c r="B103" s="2743"/>
      <c r="C103" s="2744"/>
      <c r="D103" s="2745"/>
      <c r="E103" s="2746"/>
      <c r="F103" s="2788"/>
      <c r="G103" s="1056">
        <v>20</v>
      </c>
      <c r="H103" s="1057"/>
      <c r="I103" s="1079">
        <f t="shared" ref="I103:I116" si="20">IF($O103&gt;0,-PMT(($I$9),$O103,1),0)</f>
        <v>6.2642070767998229E-2</v>
      </c>
      <c r="J103" s="1080">
        <f t="shared" ref="J103:J115" si="21">ROUND(E103*I103,0)</f>
        <v>0</v>
      </c>
      <c r="K103" s="1060">
        <v>2.5</v>
      </c>
      <c r="L103" s="1304"/>
      <c r="M103" s="1085">
        <f t="shared" ref="M103:M116" si="22">ROUND(E103/100*IF(ISBLANK(L103),K103,L103),0)</f>
        <v>0</v>
      </c>
      <c r="N103" s="506"/>
      <c r="O103" s="365">
        <f t="shared" ref="O103:O116" si="23">IF(ISBLANK(H103),G103,H103)</f>
        <v>20</v>
      </c>
      <c r="P103" s="366"/>
      <c r="Q103" s="135"/>
      <c r="R103" s="136"/>
      <c r="S103" s="129"/>
      <c r="T103" s="129"/>
      <c r="U103" s="129"/>
      <c r="V103" s="129"/>
      <c r="W103" s="129"/>
      <c r="X103" s="129"/>
      <c r="Y103" s="129"/>
      <c r="Z103" s="133"/>
      <c r="AA103" s="133"/>
      <c r="AB103" s="133"/>
      <c r="AC103" s="133"/>
      <c r="AD103" s="133"/>
      <c r="AE103" s="133"/>
      <c r="AF103" s="222"/>
      <c r="AG103" s="222"/>
      <c r="AH103" s="222"/>
      <c r="AI103" s="176"/>
      <c r="AJ103" s="176"/>
      <c r="AK103" s="176"/>
      <c r="AL103" s="176"/>
      <c r="AM103" s="176"/>
      <c r="AN103" s="176"/>
      <c r="AO103" s="176"/>
      <c r="AP103" s="176"/>
      <c r="AQ103" s="176"/>
      <c r="AR103" s="176"/>
      <c r="AS103" s="176"/>
      <c r="AT103" s="176"/>
      <c r="AU103" s="176"/>
      <c r="AV103" s="176"/>
      <c r="AW103" s="176"/>
      <c r="AX103" s="176"/>
      <c r="AY103" s="176"/>
      <c r="AZ103" s="176"/>
      <c r="BA103" s="176"/>
      <c r="BB103" s="176"/>
      <c r="BC103" s="176"/>
      <c r="BD103" s="176"/>
      <c r="BE103" s="176"/>
      <c r="BF103" s="176"/>
      <c r="BG103" s="176"/>
      <c r="BH103" s="176"/>
      <c r="BI103" s="176"/>
      <c r="BJ103" s="176"/>
      <c r="BK103" s="176"/>
      <c r="BL103" s="176"/>
      <c r="BM103" s="176"/>
      <c r="BN103" s="176"/>
      <c r="BO103" s="176"/>
    </row>
    <row r="104" spans="1:67" s="36" customFormat="1" ht="10.5" customHeight="1" x14ac:dyDescent="0.2">
      <c r="A104" s="1043" t="s">
        <v>398</v>
      </c>
      <c r="B104" s="2594"/>
      <c r="C104" s="2595"/>
      <c r="D104" s="2596"/>
      <c r="E104" s="2395"/>
      <c r="F104" s="2789"/>
      <c r="G104" s="1058">
        <v>20</v>
      </c>
      <c r="H104" s="1059"/>
      <c r="I104" s="1081">
        <f t="shared" si="20"/>
        <v>6.2642070767998229E-2</v>
      </c>
      <c r="J104" s="1082">
        <f t="shared" si="21"/>
        <v>0</v>
      </c>
      <c r="K104" s="1061">
        <v>2.5</v>
      </c>
      <c r="L104" s="1305"/>
      <c r="M104" s="1086">
        <f t="shared" si="22"/>
        <v>0</v>
      </c>
      <c r="N104" s="506"/>
      <c r="O104" s="365">
        <f t="shared" si="23"/>
        <v>20</v>
      </c>
      <c r="P104" s="366"/>
      <c r="Q104" s="135"/>
      <c r="R104" s="136"/>
      <c r="S104" s="129"/>
      <c r="T104" s="129"/>
      <c r="U104" s="129"/>
      <c r="V104" s="129"/>
      <c r="W104" s="129"/>
      <c r="X104" s="129"/>
      <c r="Y104" s="129"/>
      <c r="Z104" s="133"/>
      <c r="AA104" s="133"/>
      <c r="AB104" s="133"/>
      <c r="AC104" s="133"/>
      <c r="AD104" s="133"/>
      <c r="AE104" s="133"/>
      <c r="AF104" s="222"/>
      <c r="AG104" s="222"/>
      <c r="AH104" s="222"/>
      <c r="AI104" s="176"/>
      <c r="AJ104" s="176"/>
      <c r="AK104" s="176"/>
      <c r="AL104" s="176"/>
      <c r="AM104" s="176"/>
      <c r="AN104" s="176"/>
      <c r="AO104" s="176"/>
      <c r="AP104" s="176"/>
      <c r="AQ104" s="176"/>
      <c r="AR104" s="176"/>
      <c r="AS104" s="176"/>
      <c r="AT104" s="176"/>
      <c r="AU104" s="176"/>
      <c r="AV104" s="176"/>
      <c r="AW104" s="176"/>
      <c r="AX104" s="176"/>
      <c r="AY104" s="176"/>
      <c r="AZ104" s="176"/>
      <c r="BA104" s="176"/>
      <c r="BB104" s="176"/>
      <c r="BC104" s="176"/>
      <c r="BD104" s="176"/>
      <c r="BE104" s="176"/>
      <c r="BF104" s="176"/>
      <c r="BG104" s="176"/>
      <c r="BH104" s="176"/>
      <c r="BI104" s="176"/>
      <c r="BJ104" s="176"/>
      <c r="BK104" s="176"/>
      <c r="BL104" s="176"/>
      <c r="BM104" s="176"/>
      <c r="BN104" s="176"/>
      <c r="BO104" s="176"/>
    </row>
    <row r="105" spans="1:67" s="36" customFormat="1" ht="10.5" customHeight="1" x14ac:dyDescent="0.2">
      <c r="A105" s="1043" t="s">
        <v>286</v>
      </c>
      <c r="B105" s="2594"/>
      <c r="C105" s="2595"/>
      <c r="D105" s="2596"/>
      <c r="E105" s="2395"/>
      <c r="F105" s="2789"/>
      <c r="G105" s="1058">
        <v>15</v>
      </c>
      <c r="H105" s="1059"/>
      <c r="I105" s="1081">
        <f t="shared" si="20"/>
        <v>7.9288524964265278E-2</v>
      </c>
      <c r="J105" s="1082">
        <f t="shared" si="21"/>
        <v>0</v>
      </c>
      <c r="K105" s="1061">
        <v>3.5</v>
      </c>
      <c r="L105" s="1305"/>
      <c r="M105" s="1086">
        <f t="shared" si="22"/>
        <v>0</v>
      </c>
      <c r="N105" s="506"/>
      <c r="O105" s="365">
        <f t="shared" si="23"/>
        <v>15</v>
      </c>
      <c r="P105" s="366"/>
      <c r="Q105" s="135"/>
      <c r="R105" s="136"/>
      <c r="S105" s="129"/>
      <c r="T105" s="129"/>
      <c r="U105" s="129"/>
      <c r="V105" s="129"/>
      <c r="W105" s="129"/>
      <c r="X105" s="129"/>
      <c r="Y105" s="129"/>
      <c r="Z105" s="133"/>
      <c r="AA105" s="133"/>
      <c r="AB105" s="133"/>
      <c r="AC105" s="133"/>
      <c r="AD105" s="133"/>
      <c r="AE105" s="133"/>
      <c r="AF105" s="222"/>
      <c r="AG105" s="222"/>
      <c r="AH105" s="222"/>
      <c r="AI105" s="176"/>
      <c r="AJ105" s="176"/>
      <c r="AK105" s="176"/>
      <c r="AL105" s="176"/>
      <c r="AM105" s="176"/>
      <c r="AN105" s="176"/>
      <c r="AO105" s="176"/>
      <c r="AP105" s="176"/>
      <c r="AQ105" s="176"/>
      <c r="AR105" s="176"/>
      <c r="AS105" s="176"/>
      <c r="AT105" s="176"/>
      <c r="AU105" s="176"/>
      <c r="AV105" s="176"/>
      <c r="AW105" s="176"/>
      <c r="AX105" s="176"/>
      <c r="AY105" s="176"/>
      <c r="AZ105" s="176"/>
      <c r="BA105" s="176"/>
      <c r="BB105" s="176"/>
      <c r="BC105" s="176"/>
      <c r="BD105" s="176"/>
      <c r="BE105" s="176"/>
      <c r="BF105" s="176"/>
      <c r="BG105" s="176"/>
      <c r="BH105" s="176"/>
      <c r="BI105" s="176"/>
      <c r="BJ105" s="176"/>
      <c r="BK105" s="176"/>
      <c r="BL105" s="176"/>
      <c r="BM105" s="176"/>
      <c r="BN105" s="176"/>
      <c r="BO105" s="176"/>
    </row>
    <row r="106" spans="1:67" s="36" customFormat="1" ht="10.5" customHeight="1" x14ac:dyDescent="0.2">
      <c r="A106" s="1043" t="s">
        <v>287</v>
      </c>
      <c r="B106" s="2594"/>
      <c r="C106" s="2595"/>
      <c r="D106" s="2596"/>
      <c r="E106" s="2395"/>
      <c r="F106" s="2789"/>
      <c r="G106" s="1058">
        <v>15</v>
      </c>
      <c r="H106" s="1059"/>
      <c r="I106" s="1081">
        <f t="shared" si="20"/>
        <v>7.9288524964265278E-2</v>
      </c>
      <c r="J106" s="1082">
        <f t="shared" si="21"/>
        <v>0</v>
      </c>
      <c r="K106" s="1061">
        <v>3.5</v>
      </c>
      <c r="L106" s="1305"/>
      <c r="M106" s="1086">
        <f t="shared" si="22"/>
        <v>0</v>
      </c>
      <c r="N106" s="506"/>
      <c r="O106" s="365">
        <f t="shared" si="23"/>
        <v>15</v>
      </c>
      <c r="P106" s="366"/>
      <c r="Q106" s="135"/>
      <c r="R106" s="136"/>
      <c r="S106" s="129"/>
      <c r="T106" s="129"/>
      <c r="U106" s="129"/>
      <c r="V106" s="129"/>
      <c r="W106" s="129"/>
      <c r="X106" s="129"/>
      <c r="Y106" s="129"/>
      <c r="Z106" s="133"/>
      <c r="AA106" s="133"/>
      <c r="AB106" s="133"/>
      <c r="AC106" s="133"/>
      <c r="AD106" s="133"/>
      <c r="AE106" s="133"/>
      <c r="AF106" s="222"/>
      <c r="AG106" s="222"/>
      <c r="AH106" s="222"/>
      <c r="AI106" s="176"/>
      <c r="AJ106" s="176"/>
      <c r="AK106" s="176"/>
      <c r="AL106" s="176"/>
      <c r="AM106" s="176"/>
      <c r="AN106" s="176"/>
      <c r="AO106" s="176"/>
      <c r="AP106" s="176"/>
      <c r="AQ106" s="176"/>
      <c r="AR106" s="176"/>
      <c r="AS106" s="176"/>
      <c r="AT106" s="176"/>
      <c r="AU106" s="176"/>
      <c r="AV106" s="176"/>
      <c r="AW106" s="176"/>
      <c r="AX106" s="176"/>
      <c r="AY106" s="176"/>
      <c r="AZ106" s="176"/>
      <c r="BA106" s="176"/>
      <c r="BB106" s="176"/>
      <c r="BC106" s="176"/>
      <c r="BD106" s="176"/>
      <c r="BE106" s="176"/>
      <c r="BF106" s="176"/>
      <c r="BG106" s="176"/>
      <c r="BH106" s="176"/>
      <c r="BI106" s="176"/>
      <c r="BJ106" s="176"/>
      <c r="BK106" s="176"/>
      <c r="BL106" s="176"/>
      <c r="BM106" s="176"/>
      <c r="BN106" s="176"/>
      <c r="BO106" s="176"/>
    </row>
    <row r="107" spans="1:67" s="36" customFormat="1" ht="10.5" customHeight="1" x14ac:dyDescent="0.2">
      <c r="A107" s="1055"/>
      <c r="B107" s="2594"/>
      <c r="C107" s="2595"/>
      <c r="D107" s="2596"/>
      <c r="E107" s="2395"/>
      <c r="F107" s="2396"/>
      <c r="G107" s="2590"/>
      <c r="H107" s="2591"/>
      <c r="I107" s="1081">
        <f t="shared" si="20"/>
        <v>0</v>
      </c>
      <c r="J107" s="1082">
        <f t="shared" si="21"/>
        <v>0</v>
      </c>
      <c r="K107" s="2588"/>
      <c r="L107" s="2589"/>
      <c r="M107" s="1086">
        <f t="shared" si="22"/>
        <v>0</v>
      </c>
      <c r="N107" s="506"/>
      <c r="O107" s="365">
        <f t="shared" si="23"/>
        <v>0</v>
      </c>
      <c r="P107" s="366"/>
      <c r="Q107" s="135"/>
      <c r="R107" s="136"/>
      <c r="S107" s="129"/>
      <c r="T107" s="129"/>
      <c r="U107" s="129"/>
      <c r="V107" s="129"/>
      <c r="W107" s="129"/>
      <c r="X107" s="129"/>
      <c r="Y107" s="129"/>
      <c r="Z107" s="133"/>
      <c r="AA107" s="133"/>
      <c r="AB107" s="133"/>
      <c r="AC107" s="133"/>
      <c r="AD107" s="133"/>
      <c r="AE107" s="133"/>
      <c r="AF107" s="222"/>
      <c r="AG107" s="222"/>
      <c r="AH107" s="222"/>
      <c r="AI107" s="176"/>
      <c r="AJ107" s="176"/>
      <c r="AK107" s="176"/>
      <c r="AL107" s="176"/>
      <c r="AM107" s="176"/>
      <c r="AN107" s="176"/>
      <c r="AO107" s="176"/>
      <c r="AP107" s="176"/>
      <c r="AQ107" s="176"/>
      <c r="AR107" s="176"/>
      <c r="AS107" s="176"/>
      <c r="AT107" s="176"/>
      <c r="AU107" s="176"/>
      <c r="AV107" s="176"/>
      <c r="AW107" s="176"/>
      <c r="AX107" s="176"/>
      <c r="AY107" s="176"/>
      <c r="AZ107" s="176"/>
      <c r="BA107" s="176"/>
      <c r="BB107" s="176"/>
      <c r="BC107" s="176"/>
      <c r="BD107" s="176"/>
      <c r="BE107" s="176"/>
      <c r="BF107" s="176"/>
      <c r="BG107" s="176"/>
      <c r="BH107" s="176"/>
      <c r="BI107" s="176"/>
      <c r="BJ107" s="176"/>
      <c r="BK107" s="176"/>
      <c r="BL107" s="176"/>
      <c r="BM107" s="176"/>
      <c r="BN107" s="176"/>
      <c r="BO107" s="176"/>
    </row>
    <row r="108" spans="1:67" s="36" customFormat="1" ht="10.5" customHeight="1" x14ac:dyDescent="0.2">
      <c r="A108" s="1055"/>
      <c r="B108" s="2594"/>
      <c r="C108" s="2595"/>
      <c r="D108" s="2596"/>
      <c r="E108" s="2395"/>
      <c r="F108" s="2396"/>
      <c r="G108" s="2590"/>
      <c r="H108" s="2591"/>
      <c r="I108" s="1081">
        <f t="shared" si="20"/>
        <v>0</v>
      </c>
      <c r="J108" s="1082">
        <f t="shared" si="21"/>
        <v>0</v>
      </c>
      <c r="K108" s="2588"/>
      <c r="L108" s="2589"/>
      <c r="M108" s="1086">
        <f t="shared" si="22"/>
        <v>0</v>
      </c>
      <c r="N108" s="506"/>
      <c r="O108" s="365">
        <f t="shared" si="23"/>
        <v>0</v>
      </c>
      <c r="P108" s="366"/>
      <c r="Q108" s="135"/>
      <c r="R108" s="136"/>
      <c r="S108" s="129"/>
      <c r="T108" s="129"/>
      <c r="U108" s="129"/>
      <c r="V108" s="129"/>
      <c r="W108" s="129"/>
      <c r="X108" s="129"/>
      <c r="Y108" s="129"/>
      <c r="Z108" s="133"/>
      <c r="AA108" s="133"/>
      <c r="AB108" s="133"/>
      <c r="AC108" s="133"/>
      <c r="AD108" s="133"/>
      <c r="AE108" s="133"/>
      <c r="AF108" s="222"/>
      <c r="AG108" s="222"/>
      <c r="AH108" s="222"/>
      <c r="AI108" s="176"/>
      <c r="AJ108" s="176"/>
      <c r="AK108" s="176"/>
      <c r="AL108" s="176"/>
      <c r="AM108" s="176"/>
      <c r="AN108" s="176"/>
      <c r="AO108" s="176"/>
      <c r="AP108" s="176"/>
      <c r="AQ108" s="176"/>
      <c r="AR108" s="176"/>
      <c r="AS108" s="176"/>
      <c r="AT108" s="176"/>
      <c r="AU108" s="176"/>
      <c r="AV108" s="176"/>
      <c r="AW108" s="176"/>
      <c r="AX108" s="176"/>
      <c r="AY108" s="176"/>
      <c r="AZ108" s="176"/>
      <c r="BA108" s="176"/>
      <c r="BB108" s="176"/>
      <c r="BC108" s="176"/>
      <c r="BD108" s="176"/>
      <c r="BE108" s="176"/>
      <c r="BF108" s="176"/>
      <c r="BG108" s="176"/>
      <c r="BH108" s="176"/>
      <c r="BI108" s="176"/>
      <c r="BJ108" s="176"/>
      <c r="BK108" s="176"/>
      <c r="BL108" s="176"/>
      <c r="BM108" s="176"/>
      <c r="BN108" s="176"/>
      <c r="BO108" s="176"/>
    </row>
    <row r="109" spans="1:67" s="36" customFormat="1" ht="10.5" customHeight="1" x14ac:dyDescent="0.2">
      <c r="A109" s="1055"/>
      <c r="B109" s="2594"/>
      <c r="C109" s="2595"/>
      <c r="D109" s="2596"/>
      <c r="E109" s="2395"/>
      <c r="F109" s="2396"/>
      <c r="G109" s="2590"/>
      <c r="H109" s="2591"/>
      <c r="I109" s="1081">
        <f t="shared" si="20"/>
        <v>0</v>
      </c>
      <c r="J109" s="1082">
        <f t="shared" si="21"/>
        <v>0</v>
      </c>
      <c r="K109" s="2588"/>
      <c r="L109" s="2589"/>
      <c r="M109" s="1086">
        <f t="shared" si="22"/>
        <v>0</v>
      </c>
      <c r="N109" s="506"/>
      <c r="O109" s="365">
        <f t="shared" si="23"/>
        <v>0</v>
      </c>
      <c r="P109" s="366"/>
      <c r="Q109" s="135"/>
      <c r="R109" s="136"/>
      <c r="S109" s="129"/>
      <c r="T109" s="129"/>
      <c r="U109" s="129"/>
      <c r="V109" s="129"/>
      <c r="W109" s="129"/>
      <c r="X109" s="129"/>
      <c r="Y109" s="129"/>
      <c r="Z109" s="133"/>
      <c r="AA109" s="133"/>
      <c r="AB109" s="133"/>
      <c r="AC109" s="133"/>
      <c r="AD109" s="133"/>
      <c r="AE109" s="133"/>
      <c r="AF109" s="222"/>
      <c r="AG109" s="222"/>
      <c r="AH109" s="222"/>
      <c r="AI109" s="176"/>
      <c r="AJ109" s="176"/>
      <c r="AK109" s="176"/>
      <c r="AL109" s="176"/>
      <c r="AM109" s="176"/>
      <c r="AN109" s="176"/>
      <c r="AO109" s="176"/>
      <c r="AP109" s="176"/>
      <c r="AQ109" s="176"/>
      <c r="AR109" s="176"/>
      <c r="AS109" s="176"/>
      <c r="AT109" s="176"/>
      <c r="AU109" s="176"/>
      <c r="AV109" s="176"/>
      <c r="AW109" s="176"/>
      <c r="AX109" s="176"/>
      <c r="AY109" s="176"/>
      <c r="AZ109" s="176"/>
      <c r="BA109" s="176"/>
      <c r="BB109" s="176"/>
      <c r="BC109" s="176"/>
      <c r="BD109" s="176"/>
      <c r="BE109" s="176"/>
      <c r="BF109" s="176"/>
      <c r="BG109" s="176"/>
      <c r="BH109" s="176"/>
      <c r="BI109" s="176"/>
      <c r="BJ109" s="176"/>
      <c r="BK109" s="176"/>
      <c r="BL109" s="176"/>
      <c r="BM109" s="176"/>
      <c r="BN109" s="176"/>
      <c r="BO109" s="176"/>
    </row>
    <row r="110" spans="1:67" s="36" customFormat="1" ht="10.5" customHeight="1" x14ac:dyDescent="0.2">
      <c r="A110" s="1055"/>
      <c r="B110" s="2594"/>
      <c r="C110" s="2595"/>
      <c r="D110" s="2596"/>
      <c r="E110" s="2395"/>
      <c r="F110" s="2396"/>
      <c r="G110" s="2590"/>
      <c r="H110" s="2591"/>
      <c r="I110" s="1081">
        <f t="shared" si="20"/>
        <v>0</v>
      </c>
      <c r="J110" s="1082">
        <f t="shared" si="21"/>
        <v>0</v>
      </c>
      <c r="K110" s="2588"/>
      <c r="L110" s="2589"/>
      <c r="M110" s="1086">
        <f t="shared" si="22"/>
        <v>0</v>
      </c>
      <c r="N110" s="506"/>
      <c r="O110" s="365">
        <f t="shared" si="23"/>
        <v>0</v>
      </c>
      <c r="P110" s="366"/>
      <c r="Q110" s="135"/>
      <c r="R110" s="136"/>
      <c r="S110" s="129"/>
      <c r="T110" s="129"/>
      <c r="U110" s="129"/>
      <c r="V110" s="129"/>
      <c r="W110" s="129"/>
      <c r="X110" s="129"/>
      <c r="Y110" s="129"/>
      <c r="Z110" s="133"/>
      <c r="AA110" s="133"/>
      <c r="AB110" s="133"/>
      <c r="AC110" s="133"/>
      <c r="AD110" s="133"/>
      <c r="AE110" s="133"/>
      <c r="AF110" s="222"/>
      <c r="AG110" s="222"/>
      <c r="AH110" s="222"/>
      <c r="AI110" s="176"/>
      <c r="AJ110" s="176"/>
      <c r="AK110" s="176"/>
      <c r="AL110" s="176"/>
      <c r="AM110" s="176"/>
      <c r="AN110" s="176"/>
      <c r="AO110" s="176"/>
      <c r="AP110" s="176"/>
      <c r="AQ110" s="176"/>
      <c r="AR110" s="176"/>
      <c r="AS110" s="176"/>
      <c r="AT110" s="176"/>
      <c r="AU110" s="176"/>
      <c r="AV110" s="176"/>
      <c r="AW110" s="176"/>
      <c r="AX110" s="176"/>
      <c r="AY110" s="176"/>
      <c r="AZ110" s="176"/>
      <c r="BA110" s="176"/>
      <c r="BB110" s="176"/>
      <c r="BC110" s="176"/>
      <c r="BD110" s="176"/>
      <c r="BE110" s="176"/>
      <c r="BF110" s="176"/>
      <c r="BG110" s="176"/>
      <c r="BH110" s="176"/>
      <c r="BI110" s="176"/>
      <c r="BJ110" s="176"/>
      <c r="BK110" s="176"/>
      <c r="BL110" s="176"/>
      <c r="BM110" s="176"/>
      <c r="BN110" s="176"/>
      <c r="BO110" s="176"/>
    </row>
    <row r="111" spans="1:67" s="36" customFormat="1" ht="10.5" customHeight="1" x14ac:dyDescent="0.2">
      <c r="A111" s="1055"/>
      <c r="B111" s="2594"/>
      <c r="C111" s="2595"/>
      <c r="D111" s="2596"/>
      <c r="E111" s="2395"/>
      <c r="F111" s="2396"/>
      <c r="G111" s="2590"/>
      <c r="H111" s="2591"/>
      <c r="I111" s="1081">
        <f t="shared" si="20"/>
        <v>0</v>
      </c>
      <c r="J111" s="1082">
        <f t="shared" si="21"/>
        <v>0</v>
      </c>
      <c r="K111" s="2588"/>
      <c r="L111" s="2589"/>
      <c r="M111" s="1086">
        <f t="shared" si="22"/>
        <v>0</v>
      </c>
      <c r="N111" s="506"/>
      <c r="O111" s="365">
        <f t="shared" si="23"/>
        <v>0</v>
      </c>
      <c r="P111" s="366"/>
      <c r="Q111" s="135"/>
      <c r="R111" s="136"/>
      <c r="S111" s="129"/>
      <c r="T111" s="129"/>
      <c r="U111" s="129"/>
      <c r="V111" s="129"/>
      <c r="W111" s="129"/>
      <c r="X111" s="129"/>
      <c r="Y111" s="129"/>
      <c r="Z111" s="133"/>
      <c r="AA111" s="133"/>
      <c r="AB111" s="133"/>
      <c r="AC111" s="133"/>
      <c r="AD111" s="133"/>
      <c r="AE111" s="133"/>
      <c r="AF111" s="222"/>
      <c r="AG111" s="222"/>
      <c r="AH111" s="222"/>
      <c r="AI111" s="176"/>
      <c r="AJ111" s="176"/>
      <c r="AK111" s="176"/>
      <c r="AL111" s="176"/>
      <c r="AM111" s="176"/>
      <c r="AN111" s="176"/>
      <c r="AO111" s="176"/>
      <c r="AP111" s="176"/>
      <c r="AQ111" s="176"/>
      <c r="AR111" s="176"/>
      <c r="AS111" s="176"/>
      <c r="AT111" s="176"/>
      <c r="AU111" s="176"/>
      <c r="AV111" s="176"/>
      <c r="AW111" s="176"/>
      <c r="AX111" s="176"/>
      <c r="AY111" s="176"/>
      <c r="AZ111" s="176"/>
      <c r="BA111" s="176"/>
      <c r="BB111" s="176"/>
      <c r="BC111" s="176"/>
      <c r="BD111" s="176"/>
      <c r="BE111" s="176"/>
      <c r="BF111" s="176"/>
      <c r="BG111" s="176"/>
      <c r="BH111" s="176"/>
      <c r="BI111" s="176"/>
      <c r="BJ111" s="176"/>
      <c r="BK111" s="176"/>
      <c r="BL111" s="176"/>
      <c r="BM111" s="176"/>
      <c r="BN111" s="176"/>
      <c r="BO111" s="176"/>
    </row>
    <row r="112" spans="1:67" s="36" customFormat="1" ht="10.5" customHeight="1" x14ac:dyDescent="0.2">
      <c r="A112" s="1055"/>
      <c r="B112" s="2594"/>
      <c r="C112" s="2595"/>
      <c r="D112" s="2596"/>
      <c r="E112" s="2395"/>
      <c r="F112" s="2396"/>
      <c r="G112" s="2590"/>
      <c r="H112" s="2591"/>
      <c r="I112" s="1081">
        <f t="shared" si="20"/>
        <v>0</v>
      </c>
      <c r="J112" s="1082">
        <f t="shared" si="21"/>
        <v>0</v>
      </c>
      <c r="K112" s="2588"/>
      <c r="L112" s="2589"/>
      <c r="M112" s="1086">
        <f t="shared" si="22"/>
        <v>0</v>
      </c>
      <c r="N112" s="506"/>
      <c r="O112" s="365">
        <f t="shared" si="23"/>
        <v>0</v>
      </c>
      <c r="P112" s="366"/>
      <c r="Q112" s="135"/>
      <c r="R112" s="136"/>
      <c r="S112" s="129"/>
      <c r="T112" s="129"/>
      <c r="U112" s="129"/>
      <c r="V112" s="129"/>
      <c r="W112" s="129"/>
      <c r="X112" s="129"/>
      <c r="Y112" s="129"/>
      <c r="Z112" s="133"/>
      <c r="AA112" s="133"/>
      <c r="AB112" s="133"/>
      <c r="AC112" s="133"/>
      <c r="AD112" s="133"/>
      <c r="AE112" s="133"/>
      <c r="AF112" s="222"/>
      <c r="AG112" s="222"/>
      <c r="AH112" s="222"/>
      <c r="AI112" s="176"/>
      <c r="AJ112" s="176"/>
      <c r="AK112" s="176"/>
      <c r="AL112" s="176"/>
      <c r="AM112" s="176"/>
      <c r="AN112" s="176"/>
      <c r="AO112" s="176"/>
      <c r="AP112" s="176"/>
      <c r="AQ112" s="176"/>
      <c r="AR112" s="176"/>
      <c r="AS112" s="176"/>
      <c r="AT112" s="176"/>
      <c r="AU112" s="176"/>
      <c r="AV112" s="176"/>
      <c r="AW112" s="176"/>
      <c r="AX112" s="176"/>
      <c r="AY112" s="176"/>
      <c r="AZ112" s="176"/>
      <c r="BA112" s="176"/>
      <c r="BB112" s="176"/>
      <c r="BC112" s="176"/>
      <c r="BD112" s="176"/>
      <c r="BE112" s="176"/>
      <c r="BF112" s="176"/>
      <c r="BG112" s="176"/>
      <c r="BH112" s="176"/>
      <c r="BI112" s="176"/>
      <c r="BJ112" s="176"/>
      <c r="BK112" s="176"/>
      <c r="BL112" s="176"/>
      <c r="BM112" s="176"/>
      <c r="BN112" s="176"/>
      <c r="BO112" s="176"/>
    </row>
    <row r="113" spans="1:67" s="36" customFormat="1" ht="10.5" customHeight="1" x14ac:dyDescent="0.2">
      <c r="A113" s="1055"/>
      <c r="B113" s="2594"/>
      <c r="C113" s="2595"/>
      <c r="D113" s="2596"/>
      <c r="E113" s="2395"/>
      <c r="F113" s="2396"/>
      <c r="G113" s="2590"/>
      <c r="H113" s="2591"/>
      <c r="I113" s="1081">
        <f t="shared" si="20"/>
        <v>0</v>
      </c>
      <c r="J113" s="1082">
        <f t="shared" si="21"/>
        <v>0</v>
      </c>
      <c r="K113" s="2588"/>
      <c r="L113" s="2589"/>
      <c r="M113" s="1086">
        <f t="shared" si="22"/>
        <v>0</v>
      </c>
      <c r="N113" s="506"/>
      <c r="O113" s="365">
        <f t="shared" si="23"/>
        <v>0</v>
      </c>
      <c r="P113" s="366"/>
      <c r="Q113" s="135"/>
      <c r="R113" s="136"/>
      <c r="S113" s="129"/>
      <c r="T113" s="129"/>
      <c r="U113" s="129"/>
      <c r="V113" s="129"/>
      <c r="W113" s="129"/>
      <c r="X113" s="129"/>
      <c r="Y113" s="129"/>
      <c r="Z113" s="133"/>
      <c r="AA113" s="133"/>
      <c r="AB113" s="133"/>
      <c r="AC113" s="133"/>
      <c r="AD113" s="133"/>
      <c r="AE113" s="133"/>
      <c r="AF113" s="222"/>
      <c r="AG113" s="222"/>
      <c r="AH113" s="222"/>
      <c r="AI113" s="176"/>
      <c r="AJ113" s="176"/>
      <c r="AK113" s="176"/>
      <c r="AL113" s="176"/>
      <c r="AM113" s="176"/>
      <c r="AN113" s="176"/>
      <c r="AO113" s="176"/>
      <c r="AP113" s="176"/>
      <c r="AQ113" s="176"/>
      <c r="AR113" s="176"/>
      <c r="AS113" s="176"/>
      <c r="AT113" s="176"/>
      <c r="AU113" s="176"/>
      <c r="AV113" s="176"/>
      <c r="AW113" s="176"/>
      <c r="AX113" s="176"/>
      <c r="AY113" s="176"/>
      <c r="AZ113" s="176"/>
      <c r="BA113" s="176"/>
      <c r="BB113" s="176"/>
      <c r="BC113" s="176"/>
      <c r="BD113" s="176"/>
      <c r="BE113" s="176"/>
      <c r="BF113" s="176"/>
      <c r="BG113" s="176"/>
      <c r="BH113" s="176"/>
      <c r="BI113" s="176"/>
      <c r="BJ113" s="176"/>
      <c r="BK113" s="176"/>
      <c r="BL113" s="176"/>
      <c r="BM113" s="176"/>
      <c r="BN113" s="176"/>
      <c r="BO113" s="176"/>
    </row>
    <row r="114" spans="1:67" s="36" customFormat="1" ht="10.5" customHeight="1" x14ac:dyDescent="0.2">
      <c r="A114" s="1055"/>
      <c r="B114" s="2594"/>
      <c r="C114" s="2595"/>
      <c r="D114" s="2596"/>
      <c r="E114" s="2395"/>
      <c r="F114" s="2396"/>
      <c r="G114" s="2590"/>
      <c r="H114" s="2591"/>
      <c r="I114" s="1081">
        <f t="shared" si="20"/>
        <v>0</v>
      </c>
      <c r="J114" s="1082">
        <f t="shared" si="21"/>
        <v>0</v>
      </c>
      <c r="K114" s="2588"/>
      <c r="L114" s="2589"/>
      <c r="M114" s="1086">
        <f t="shared" si="22"/>
        <v>0</v>
      </c>
      <c r="N114" s="506"/>
      <c r="O114" s="365">
        <f t="shared" si="23"/>
        <v>0</v>
      </c>
      <c r="P114" s="366"/>
      <c r="Q114" s="135"/>
      <c r="R114" s="136"/>
      <c r="S114" s="129"/>
      <c r="T114" s="129"/>
      <c r="U114" s="129"/>
      <c r="V114" s="129"/>
      <c r="W114" s="129"/>
      <c r="X114" s="129"/>
      <c r="Y114" s="129"/>
      <c r="Z114" s="133"/>
      <c r="AA114" s="133"/>
      <c r="AB114" s="133"/>
      <c r="AC114" s="133"/>
      <c r="AD114" s="133"/>
      <c r="AE114" s="133"/>
      <c r="AF114" s="222"/>
      <c r="AG114" s="222"/>
      <c r="AH114" s="222"/>
      <c r="AI114" s="176"/>
      <c r="AJ114" s="176"/>
      <c r="AK114" s="176"/>
      <c r="AL114" s="176"/>
      <c r="AM114" s="176"/>
      <c r="AN114" s="176"/>
      <c r="AO114" s="176"/>
      <c r="AP114" s="176"/>
      <c r="AQ114" s="176"/>
      <c r="AR114" s="176"/>
      <c r="AS114" s="176"/>
      <c r="AT114" s="176"/>
      <c r="AU114" s="176"/>
      <c r="AV114" s="176"/>
      <c r="AW114" s="176"/>
      <c r="AX114" s="176"/>
      <c r="AY114" s="176"/>
      <c r="AZ114" s="176"/>
      <c r="BA114" s="176"/>
      <c r="BB114" s="176"/>
      <c r="BC114" s="176"/>
      <c r="BD114" s="176"/>
      <c r="BE114" s="176"/>
      <c r="BF114" s="176"/>
      <c r="BG114" s="176"/>
      <c r="BH114" s="176"/>
      <c r="BI114" s="176"/>
      <c r="BJ114" s="176"/>
      <c r="BK114" s="176"/>
      <c r="BL114" s="176"/>
      <c r="BM114" s="176"/>
      <c r="BN114" s="176"/>
      <c r="BO114" s="176"/>
    </row>
    <row r="115" spans="1:67" s="36" customFormat="1" ht="10.5" customHeight="1" x14ac:dyDescent="0.2">
      <c r="A115" s="1055"/>
      <c r="B115" s="2594"/>
      <c r="C115" s="2595"/>
      <c r="D115" s="2596"/>
      <c r="E115" s="2395"/>
      <c r="F115" s="2396"/>
      <c r="G115" s="2590"/>
      <c r="H115" s="2591"/>
      <c r="I115" s="1081">
        <f t="shared" si="20"/>
        <v>0</v>
      </c>
      <c r="J115" s="1082">
        <f t="shared" si="21"/>
        <v>0</v>
      </c>
      <c r="K115" s="2588"/>
      <c r="L115" s="2589"/>
      <c r="M115" s="1086">
        <f t="shared" si="22"/>
        <v>0</v>
      </c>
      <c r="N115" s="506"/>
      <c r="O115" s="365">
        <f t="shared" si="23"/>
        <v>0</v>
      </c>
      <c r="P115" s="366"/>
      <c r="Q115" s="135"/>
      <c r="R115" s="136"/>
      <c r="S115" s="129"/>
      <c r="T115" s="129"/>
      <c r="U115" s="129"/>
      <c r="V115" s="129"/>
      <c r="W115" s="129"/>
      <c r="X115" s="129"/>
      <c r="Y115" s="129"/>
      <c r="Z115" s="133"/>
      <c r="AA115" s="133"/>
      <c r="AB115" s="133"/>
      <c r="AC115" s="133"/>
      <c r="AD115" s="133"/>
      <c r="AE115" s="133"/>
      <c r="AF115" s="222"/>
      <c r="AG115" s="222"/>
      <c r="AH115" s="222"/>
      <c r="AI115" s="176"/>
      <c r="AJ115" s="176"/>
      <c r="AK115" s="176"/>
      <c r="AL115" s="176"/>
      <c r="AM115" s="176"/>
      <c r="AN115" s="176"/>
      <c r="AO115" s="176"/>
      <c r="AP115" s="176"/>
      <c r="AQ115" s="176"/>
      <c r="AR115" s="176"/>
      <c r="AS115" s="176"/>
      <c r="AT115" s="176"/>
      <c r="AU115" s="176"/>
      <c r="AV115" s="176"/>
      <c r="AW115" s="176"/>
      <c r="AX115" s="176"/>
      <c r="AY115" s="176"/>
      <c r="AZ115" s="176"/>
      <c r="BA115" s="176"/>
      <c r="BB115" s="176"/>
      <c r="BC115" s="176"/>
      <c r="BD115" s="176"/>
      <c r="BE115" s="176"/>
      <c r="BF115" s="176"/>
      <c r="BG115" s="176"/>
      <c r="BH115" s="176"/>
      <c r="BI115" s="176"/>
      <c r="BJ115" s="176"/>
      <c r="BK115" s="176"/>
      <c r="BL115" s="176"/>
      <c r="BM115" s="176"/>
      <c r="BN115" s="176"/>
      <c r="BO115" s="176"/>
    </row>
    <row r="116" spans="1:67" s="36" customFormat="1" ht="10.5" customHeight="1" x14ac:dyDescent="0.2">
      <c r="A116" s="1348"/>
      <c r="B116" s="2690"/>
      <c r="C116" s="2691"/>
      <c r="D116" s="2692"/>
      <c r="E116" s="2601"/>
      <c r="F116" s="2602"/>
      <c r="G116" s="1088"/>
      <c r="H116" s="1089"/>
      <c r="I116" s="1083">
        <f t="shared" si="20"/>
        <v>0</v>
      </c>
      <c r="J116" s="1084"/>
      <c r="K116" s="1087"/>
      <c r="L116" s="1307"/>
      <c r="M116" s="1317">
        <f t="shared" si="22"/>
        <v>0</v>
      </c>
      <c r="N116" s="506"/>
      <c r="O116" s="365">
        <f t="shared" si="23"/>
        <v>0</v>
      </c>
      <c r="P116" s="366"/>
      <c r="Q116" s="135"/>
      <c r="R116" s="136"/>
      <c r="S116" s="129"/>
      <c r="T116" s="129"/>
      <c r="U116" s="129"/>
      <c r="V116" s="129"/>
      <c r="W116" s="129"/>
      <c r="X116" s="129"/>
      <c r="Y116" s="129"/>
      <c r="Z116" s="133"/>
      <c r="AA116" s="133"/>
      <c r="AB116" s="133"/>
      <c r="AC116" s="133"/>
      <c r="AD116" s="133"/>
      <c r="AE116" s="133"/>
      <c r="AF116" s="222"/>
      <c r="AG116" s="222"/>
      <c r="AH116" s="222"/>
      <c r="AI116" s="176"/>
      <c r="AJ116" s="176"/>
      <c r="AK116" s="176"/>
      <c r="AL116" s="176"/>
      <c r="AM116" s="176"/>
      <c r="AN116" s="176"/>
      <c r="AO116" s="176"/>
      <c r="AP116" s="176"/>
      <c r="AQ116" s="176"/>
      <c r="AR116" s="176"/>
      <c r="AS116" s="176"/>
      <c r="AT116" s="176"/>
      <c r="AU116" s="176"/>
      <c r="AV116" s="176"/>
      <c r="AW116" s="176"/>
      <c r="AX116" s="176"/>
      <c r="AY116" s="176"/>
      <c r="AZ116" s="176"/>
      <c r="BA116" s="176"/>
      <c r="BB116" s="176"/>
      <c r="BC116" s="176"/>
      <c r="BD116" s="176"/>
      <c r="BE116" s="176"/>
      <c r="BF116" s="176"/>
      <c r="BG116" s="176"/>
      <c r="BH116" s="176"/>
      <c r="BI116" s="176"/>
      <c r="BJ116" s="176"/>
      <c r="BK116" s="176"/>
      <c r="BL116" s="176"/>
      <c r="BM116" s="176"/>
      <c r="BN116" s="176"/>
      <c r="BO116" s="176"/>
    </row>
    <row r="117" spans="1:67" s="36" customFormat="1" ht="10.5" customHeight="1" x14ac:dyDescent="0.2">
      <c r="A117" s="1115" t="s">
        <v>288</v>
      </c>
      <c r="B117" s="2611"/>
      <c r="C117" s="2612"/>
      <c r="D117" s="2613"/>
      <c r="E117" s="2676">
        <f>SUM(E118:E130)</f>
        <v>0</v>
      </c>
      <c r="F117" s="2677"/>
      <c r="G117" s="2678"/>
      <c r="H117" s="2679"/>
      <c r="I117" s="1116">
        <f>IF(E117=0,0,J117/E117)</f>
        <v>0</v>
      </c>
      <c r="J117" s="1117">
        <f>SUM(J118:J130)</f>
        <v>0</v>
      </c>
      <c r="K117" s="2686">
        <f>IF(E117=0,0,M117/E117*100)</f>
        <v>0</v>
      </c>
      <c r="L117" s="2687"/>
      <c r="M117" s="1118">
        <f>SUM(M118:M130)</f>
        <v>0</v>
      </c>
      <c r="N117" s="506"/>
      <c r="O117" s="178">
        <f>IF(H117="",G117,H117)</f>
        <v>0</v>
      </c>
      <c r="P117" s="366"/>
      <c r="Q117" s="135"/>
      <c r="R117" s="136"/>
      <c r="S117" s="129"/>
      <c r="T117" s="129"/>
      <c r="U117" s="129"/>
      <c r="V117" s="129"/>
      <c r="W117" s="129"/>
      <c r="X117" s="129"/>
      <c r="Y117" s="129"/>
      <c r="Z117" s="133"/>
      <c r="AA117" s="133"/>
      <c r="AB117" s="133"/>
      <c r="AC117" s="133"/>
      <c r="AD117" s="133"/>
      <c r="AE117" s="133"/>
      <c r="AF117" s="222"/>
      <c r="AG117" s="222"/>
      <c r="AH117" s="222"/>
      <c r="AI117" s="176"/>
      <c r="AJ117" s="176"/>
      <c r="AK117" s="176"/>
      <c r="AL117" s="176"/>
      <c r="AM117" s="176"/>
      <c r="AN117" s="176"/>
      <c r="AO117" s="176"/>
      <c r="AP117" s="176"/>
      <c r="AQ117" s="176"/>
      <c r="AR117" s="176"/>
      <c r="AS117" s="176"/>
      <c r="AT117" s="176"/>
      <c r="AU117" s="176"/>
      <c r="AV117" s="176"/>
      <c r="AW117" s="176"/>
      <c r="AX117" s="176"/>
      <c r="AY117" s="176"/>
      <c r="AZ117" s="176"/>
      <c r="BA117" s="176"/>
      <c r="BB117" s="176"/>
      <c r="BC117" s="176"/>
      <c r="BD117" s="176"/>
      <c r="BE117" s="176"/>
      <c r="BF117" s="176"/>
      <c r="BG117" s="176"/>
      <c r="BH117" s="176"/>
      <c r="BI117" s="176"/>
      <c r="BJ117" s="176"/>
      <c r="BK117" s="176"/>
      <c r="BL117" s="176"/>
      <c r="BM117" s="176"/>
      <c r="BN117" s="176"/>
      <c r="BO117" s="176"/>
    </row>
    <row r="118" spans="1:67" s="36" customFormat="1" ht="10.5" customHeight="1" x14ac:dyDescent="0.2">
      <c r="A118" s="1359" t="s">
        <v>289</v>
      </c>
      <c r="B118" s="2743"/>
      <c r="C118" s="2744"/>
      <c r="D118" s="2745"/>
      <c r="E118" s="2746"/>
      <c r="F118" s="2788"/>
      <c r="G118" s="1056">
        <v>30</v>
      </c>
      <c r="H118" s="1057"/>
      <c r="I118" s="1079">
        <f t="shared" ref="I118:I131" si="24">IF($O118&gt;0,-PMT(($I$9),$O118,1),0)</f>
        <v>4.6199342169092869E-2</v>
      </c>
      <c r="J118" s="1080">
        <f t="shared" ref="J118:J130" si="25">ROUND(E118*I118,0)</f>
        <v>0</v>
      </c>
      <c r="K118" s="1060">
        <v>1</v>
      </c>
      <c r="L118" s="1304"/>
      <c r="M118" s="1085">
        <f t="shared" ref="M118:M131" si="26">ROUND(E118/100*IF(ISBLANK(L118),K118,L118),0)</f>
        <v>0</v>
      </c>
      <c r="N118" s="506"/>
      <c r="O118" s="365">
        <f t="shared" ref="O118:O131" si="27">IF(ISBLANK(H118),G118,H118)</f>
        <v>30</v>
      </c>
      <c r="P118" s="366"/>
      <c r="Q118" s="135"/>
      <c r="R118" s="136"/>
      <c r="S118" s="129"/>
      <c r="T118" s="129"/>
      <c r="U118" s="129"/>
      <c r="V118" s="129"/>
      <c r="W118" s="129"/>
      <c r="X118" s="129"/>
      <c r="Y118" s="129"/>
      <c r="Z118" s="133"/>
      <c r="AA118" s="133"/>
      <c r="AB118" s="133"/>
      <c r="AC118" s="133"/>
      <c r="AD118" s="133"/>
      <c r="AE118" s="133"/>
      <c r="AF118" s="222"/>
      <c r="AG118" s="222"/>
      <c r="AH118" s="222"/>
      <c r="AI118" s="176"/>
      <c r="AJ118" s="176"/>
      <c r="AK118" s="176"/>
      <c r="AL118" s="176"/>
      <c r="AM118" s="176"/>
      <c r="AN118" s="176"/>
      <c r="AO118" s="176"/>
      <c r="AP118" s="176"/>
      <c r="AQ118" s="176"/>
      <c r="AR118" s="176"/>
      <c r="AS118" s="176"/>
      <c r="AT118" s="176"/>
      <c r="AU118" s="176"/>
      <c r="AV118" s="176"/>
      <c r="AW118" s="176"/>
      <c r="AX118" s="176"/>
      <c r="AY118" s="176"/>
      <c r="AZ118" s="176"/>
      <c r="BA118" s="176"/>
      <c r="BB118" s="176"/>
      <c r="BC118" s="176"/>
      <c r="BD118" s="176"/>
      <c r="BE118" s="176"/>
      <c r="BF118" s="176"/>
      <c r="BG118" s="176"/>
      <c r="BH118" s="176"/>
      <c r="BI118" s="176"/>
      <c r="BJ118" s="176"/>
      <c r="BK118" s="176"/>
      <c r="BL118" s="176"/>
      <c r="BM118" s="176"/>
      <c r="BN118" s="176"/>
      <c r="BO118" s="176"/>
    </row>
    <row r="119" spans="1:67" s="36" customFormat="1" ht="10.5" customHeight="1" x14ac:dyDescent="0.2">
      <c r="A119" s="1043" t="s">
        <v>290</v>
      </c>
      <c r="B119" s="2594"/>
      <c r="C119" s="2595"/>
      <c r="D119" s="2596"/>
      <c r="E119" s="2395"/>
      <c r="F119" s="2789"/>
      <c r="G119" s="1058">
        <v>20</v>
      </c>
      <c r="H119" s="1059"/>
      <c r="I119" s="1081">
        <f t="shared" si="24"/>
        <v>6.2642070767998229E-2</v>
      </c>
      <c r="J119" s="1082">
        <f t="shared" si="25"/>
        <v>0</v>
      </c>
      <c r="K119" s="1061">
        <v>1</v>
      </c>
      <c r="L119" s="1305"/>
      <c r="M119" s="1086">
        <f t="shared" si="26"/>
        <v>0</v>
      </c>
      <c r="N119" s="506"/>
      <c r="O119" s="365">
        <f t="shared" si="27"/>
        <v>20</v>
      </c>
      <c r="P119" s="366"/>
      <c r="Q119" s="135"/>
      <c r="R119" s="136"/>
      <c r="S119" s="129"/>
      <c r="T119" s="129"/>
      <c r="U119" s="129"/>
      <c r="V119" s="129"/>
      <c r="W119" s="129"/>
      <c r="X119" s="129"/>
      <c r="Y119" s="129"/>
      <c r="Z119" s="133"/>
      <c r="AA119" s="133"/>
      <c r="AB119" s="133"/>
      <c r="AC119" s="133"/>
      <c r="AD119" s="133"/>
      <c r="AE119" s="133"/>
      <c r="AF119" s="222"/>
      <c r="AG119" s="222"/>
      <c r="AH119" s="222"/>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row>
    <row r="120" spans="1:67" s="36" customFormat="1" ht="10.5" customHeight="1" x14ac:dyDescent="0.2">
      <c r="A120" s="1043" t="s">
        <v>291</v>
      </c>
      <c r="B120" s="2594"/>
      <c r="C120" s="2595"/>
      <c r="D120" s="2596"/>
      <c r="E120" s="2395"/>
      <c r="F120" s="2789"/>
      <c r="G120" s="1058">
        <v>30</v>
      </c>
      <c r="H120" s="1059"/>
      <c r="I120" s="1081">
        <f t="shared" si="24"/>
        <v>4.6199342169092869E-2</v>
      </c>
      <c r="J120" s="1082">
        <f t="shared" si="25"/>
        <v>0</v>
      </c>
      <c r="K120" s="1061">
        <v>1</v>
      </c>
      <c r="L120" s="1305"/>
      <c r="M120" s="1086">
        <f t="shared" si="26"/>
        <v>0</v>
      </c>
      <c r="N120" s="506"/>
      <c r="O120" s="365">
        <f t="shared" si="27"/>
        <v>30</v>
      </c>
      <c r="P120" s="366"/>
      <c r="Q120" s="135"/>
      <c r="R120" s="136"/>
      <c r="S120" s="129"/>
      <c r="T120" s="129"/>
      <c r="U120" s="129"/>
      <c r="V120" s="129"/>
      <c r="W120" s="129"/>
      <c r="X120" s="129"/>
      <c r="Y120" s="129"/>
      <c r="Z120" s="133"/>
      <c r="AA120" s="133"/>
      <c r="AB120" s="133"/>
      <c r="AC120" s="133"/>
      <c r="AD120" s="133"/>
      <c r="AE120" s="133"/>
      <c r="AF120" s="222"/>
      <c r="AG120" s="222"/>
      <c r="AH120" s="222"/>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row>
    <row r="121" spans="1:67" s="36" customFormat="1" ht="10.5" customHeight="1" x14ac:dyDescent="0.2">
      <c r="A121" s="1043" t="s">
        <v>292</v>
      </c>
      <c r="B121" s="2594"/>
      <c r="C121" s="2595"/>
      <c r="D121" s="2596"/>
      <c r="E121" s="2395"/>
      <c r="F121" s="2789"/>
      <c r="G121" s="1058">
        <v>20</v>
      </c>
      <c r="H121" s="1059"/>
      <c r="I121" s="1081">
        <f t="shared" si="24"/>
        <v>6.2642070767998229E-2</v>
      </c>
      <c r="J121" s="1082">
        <f t="shared" si="25"/>
        <v>0</v>
      </c>
      <c r="K121" s="1061">
        <v>1.5</v>
      </c>
      <c r="L121" s="1305"/>
      <c r="M121" s="1086">
        <f t="shared" si="26"/>
        <v>0</v>
      </c>
      <c r="N121" s="506"/>
      <c r="O121" s="365">
        <f t="shared" si="27"/>
        <v>20</v>
      </c>
      <c r="P121" s="366"/>
      <c r="Q121" s="135"/>
      <c r="R121" s="136"/>
      <c r="S121" s="129"/>
      <c r="T121" s="129"/>
      <c r="U121" s="129"/>
      <c r="V121" s="129"/>
      <c r="W121" s="129"/>
      <c r="X121" s="129"/>
      <c r="Y121" s="129"/>
      <c r="Z121" s="133"/>
      <c r="AA121" s="133"/>
      <c r="AB121" s="133"/>
      <c r="AC121" s="133"/>
      <c r="AD121" s="133"/>
      <c r="AE121" s="133"/>
      <c r="AF121" s="222"/>
      <c r="AG121" s="222"/>
      <c r="AH121" s="222"/>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row>
    <row r="122" spans="1:67" s="36" customFormat="1" ht="10.5" customHeight="1" x14ac:dyDescent="0.2">
      <c r="A122" s="1043" t="s">
        <v>293</v>
      </c>
      <c r="B122" s="2594"/>
      <c r="C122" s="2595"/>
      <c r="D122" s="2596"/>
      <c r="E122" s="2395"/>
      <c r="F122" s="2789"/>
      <c r="G122" s="1058">
        <v>30</v>
      </c>
      <c r="H122" s="1059"/>
      <c r="I122" s="1081">
        <f t="shared" si="24"/>
        <v>4.6199342169092869E-2</v>
      </c>
      <c r="J122" s="1082">
        <f t="shared" si="25"/>
        <v>0</v>
      </c>
      <c r="K122" s="1061">
        <v>1</v>
      </c>
      <c r="L122" s="1305"/>
      <c r="M122" s="1086">
        <f t="shared" si="26"/>
        <v>0</v>
      </c>
      <c r="N122" s="506"/>
      <c r="O122" s="365">
        <f t="shared" si="27"/>
        <v>30</v>
      </c>
      <c r="P122" s="366"/>
      <c r="Q122" s="135"/>
      <c r="R122" s="136"/>
      <c r="S122" s="129"/>
      <c r="T122" s="129"/>
      <c r="U122" s="129"/>
      <c r="V122" s="129"/>
      <c r="W122" s="129"/>
      <c r="X122" s="129"/>
      <c r="Y122" s="129"/>
      <c r="Z122" s="133"/>
      <c r="AA122" s="133"/>
      <c r="AB122" s="133"/>
      <c r="AC122" s="133"/>
      <c r="AD122" s="133"/>
      <c r="AE122" s="133"/>
      <c r="AF122" s="222"/>
      <c r="AG122" s="222"/>
      <c r="AH122" s="222"/>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row>
    <row r="123" spans="1:67" s="36" customFormat="1" ht="10.5" customHeight="1" x14ac:dyDescent="0.2">
      <c r="A123" s="1043" t="s">
        <v>294</v>
      </c>
      <c r="B123" s="2594"/>
      <c r="C123" s="2595"/>
      <c r="D123" s="2596"/>
      <c r="E123" s="2395"/>
      <c r="F123" s="2789"/>
      <c r="G123" s="1058">
        <v>20</v>
      </c>
      <c r="H123" s="1059"/>
      <c r="I123" s="1081">
        <f t="shared" si="24"/>
        <v>6.2642070767998229E-2</v>
      </c>
      <c r="J123" s="1082">
        <f t="shared" si="25"/>
        <v>0</v>
      </c>
      <c r="K123" s="1061">
        <v>1</v>
      </c>
      <c r="L123" s="1305"/>
      <c r="M123" s="1086">
        <f t="shared" si="26"/>
        <v>0</v>
      </c>
      <c r="N123" s="506"/>
      <c r="O123" s="365">
        <f t="shared" si="27"/>
        <v>20</v>
      </c>
      <c r="P123" s="366"/>
      <c r="Q123" s="135"/>
      <c r="R123" s="136"/>
      <c r="S123" s="129"/>
      <c r="T123" s="129"/>
      <c r="U123" s="129"/>
      <c r="V123" s="129"/>
      <c r="W123" s="129"/>
      <c r="X123" s="129"/>
      <c r="Y123" s="129"/>
      <c r="Z123" s="133"/>
      <c r="AA123" s="133"/>
      <c r="AB123" s="133"/>
      <c r="AC123" s="133"/>
      <c r="AD123" s="133"/>
      <c r="AE123" s="133"/>
      <c r="AF123" s="222"/>
      <c r="AG123" s="222"/>
      <c r="AH123" s="222"/>
      <c r="AI123" s="176"/>
      <c r="AJ123" s="176"/>
      <c r="AK123" s="176"/>
      <c r="AL123" s="176"/>
      <c r="AM123" s="176"/>
      <c r="AN123" s="176"/>
      <c r="AO123" s="176"/>
      <c r="AP123" s="176"/>
      <c r="AQ123" s="176"/>
      <c r="AR123" s="176"/>
      <c r="AS123" s="176"/>
      <c r="AT123" s="176"/>
      <c r="AU123" s="176"/>
      <c r="AV123" s="176"/>
      <c r="AW123" s="176"/>
      <c r="AX123" s="176"/>
      <c r="AY123" s="176"/>
      <c r="AZ123" s="176"/>
      <c r="BA123" s="176"/>
      <c r="BB123" s="176"/>
      <c r="BC123" s="176"/>
      <c r="BD123" s="176"/>
      <c r="BE123" s="176"/>
      <c r="BF123" s="176"/>
      <c r="BG123" s="176"/>
      <c r="BH123" s="176"/>
      <c r="BI123" s="176"/>
      <c r="BJ123" s="176"/>
      <c r="BK123" s="176"/>
      <c r="BL123" s="176"/>
      <c r="BM123" s="176"/>
      <c r="BN123" s="176"/>
      <c r="BO123" s="176"/>
    </row>
    <row r="124" spans="1:67" s="36" customFormat="1" ht="10.5" customHeight="1" x14ac:dyDescent="0.2">
      <c r="A124" s="1043" t="s">
        <v>678</v>
      </c>
      <c r="B124" s="2594"/>
      <c r="C124" s="2595"/>
      <c r="D124" s="2596"/>
      <c r="E124" s="2395"/>
      <c r="F124" s="2789"/>
      <c r="G124" s="1058">
        <v>30</v>
      </c>
      <c r="H124" s="1059"/>
      <c r="I124" s="1081">
        <f t="shared" si="24"/>
        <v>4.6199342169092869E-2</v>
      </c>
      <c r="J124" s="1082">
        <f t="shared" si="25"/>
        <v>0</v>
      </c>
      <c r="K124" s="1061">
        <v>1</v>
      </c>
      <c r="L124" s="1305"/>
      <c r="M124" s="1086">
        <f t="shared" si="26"/>
        <v>0</v>
      </c>
      <c r="N124" s="506"/>
      <c r="O124" s="365">
        <f t="shared" si="27"/>
        <v>30</v>
      </c>
      <c r="P124" s="366"/>
      <c r="Q124" s="135"/>
      <c r="R124" s="136"/>
      <c r="S124" s="129"/>
      <c r="T124" s="129"/>
      <c r="U124" s="129"/>
      <c r="V124" s="129"/>
      <c r="W124" s="129"/>
      <c r="X124" s="129"/>
      <c r="Y124" s="129"/>
      <c r="Z124" s="133"/>
      <c r="AA124" s="133"/>
      <c r="AB124" s="133"/>
      <c r="AC124" s="133"/>
      <c r="AD124" s="133"/>
      <c r="AE124" s="133"/>
      <c r="AF124" s="222"/>
      <c r="AG124" s="222"/>
      <c r="AH124" s="222"/>
      <c r="AI124" s="176"/>
      <c r="AJ124" s="176"/>
      <c r="AK124" s="176"/>
      <c r="AL124" s="176"/>
      <c r="AM124" s="176"/>
      <c r="AN124" s="176"/>
      <c r="AO124" s="176"/>
      <c r="AP124" s="176"/>
      <c r="AQ124" s="176"/>
      <c r="AR124" s="176"/>
      <c r="AS124" s="176"/>
      <c r="AT124" s="176"/>
      <c r="AU124" s="176"/>
      <c r="AV124" s="176"/>
      <c r="AW124" s="176"/>
      <c r="AX124" s="176"/>
      <c r="AY124" s="176"/>
      <c r="AZ124" s="176"/>
      <c r="BA124" s="176"/>
      <c r="BB124" s="176"/>
      <c r="BC124" s="176"/>
      <c r="BD124" s="176"/>
      <c r="BE124" s="176"/>
      <c r="BF124" s="176"/>
      <c r="BG124" s="176"/>
      <c r="BH124" s="176"/>
      <c r="BI124" s="176"/>
      <c r="BJ124" s="176"/>
      <c r="BK124" s="176"/>
      <c r="BL124" s="176"/>
      <c r="BM124" s="176"/>
      <c r="BN124" s="176"/>
      <c r="BO124" s="176"/>
    </row>
    <row r="125" spans="1:67" s="36" customFormat="1" ht="10.5" customHeight="1" x14ac:dyDescent="0.2">
      <c r="A125" s="1043" t="s">
        <v>295</v>
      </c>
      <c r="B125" s="2594"/>
      <c r="C125" s="2595"/>
      <c r="D125" s="2596"/>
      <c r="E125" s="2395"/>
      <c r="F125" s="2789"/>
      <c r="G125" s="1058">
        <v>20</v>
      </c>
      <c r="H125" s="1059"/>
      <c r="I125" s="1081">
        <f t="shared" si="24"/>
        <v>6.2642070767998229E-2</v>
      </c>
      <c r="J125" s="1082">
        <f t="shared" si="25"/>
        <v>0</v>
      </c>
      <c r="K125" s="1061">
        <v>1.5</v>
      </c>
      <c r="L125" s="1305"/>
      <c r="M125" s="1086">
        <f t="shared" si="26"/>
        <v>0</v>
      </c>
      <c r="N125" s="506"/>
      <c r="O125" s="365">
        <f t="shared" si="27"/>
        <v>20</v>
      </c>
      <c r="P125" s="366"/>
      <c r="Q125" s="135"/>
      <c r="R125" s="136"/>
      <c r="S125" s="129"/>
      <c r="T125" s="129"/>
      <c r="U125" s="129"/>
      <c r="V125" s="129"/>
      <c r="W125" s="129"/>
      <c r="X125" s="129"/>
      <c r="Y125" s="129"/>
      <c r="Z125" s="133"/>
      <c r="AA125" s="133"/>
      <c r="AB125" s="133"/>
      <c r="AC125" s="133"/>
      <c r="AD125" s="133"/>
      <c r="AE125" s="133"/>
      <c r="AF125" s="222"/>
      <c r="AG125" s="222"/>
      <c r="AH125" s="222"/>
      <c r="AI125" s="176"/>
      <c r="AJ125" s="176"/>
      <c r="AK125" s="176"/>
      <c r="AL125" s="176"/>
      <c r="AM125" s="176"/>
      <c r="AN125" s="176"/>
      <c r="AO125" s="176"/>
      <c r="AP125" s="176"/>
      <c r="AQ125" s="176"/>
      <c r="AR125" s="176"/>
      <c r="AS125" s="176"/>
      <c r="AT125" s="176"/>
      <c r="AU125" s="176"/>
      <c r="AV125" s="176"/>
      <c r="AW125" s="176"/>
      <c r="AX125" s="176"/>
      <c r="AY125" s="176"/>
      <c r="AZ125" s="176"/>
      <c r="BA125" s="176"/>
      <c r="BB125" s="176"/>
      <c r="BC125" s="176"/>
      <c r="BD125" s="176"/>
      <c r="BE125" s="176"/>
      <c r="BF125" s="176"/>
      <c r="BG125" s="176"/>
      <c r="BH125" s="176"/>
      <c r="BI125" s="176"/>
      <c r="BJ125" s="176"/>
      <c r="BK125" s="176"/>
      <c r="BL125" s="176"/>
      <c r="BM125" s="176"/>
      <c r="BN125" s="176"/>
      <c r="BO125" s="176"/>
    </row>
    <row r="126" spans="1:67" s="36" customFormat="1" ht="10.5" customHeight="1" x14ac:dyDescent="0.2">
      <c r="A126" s="1043" t="s">
        <v>273</v>
      </c>
      <c r="B126" s="2594"/>
      <c r="C126" s="2595"/>
      <c r="D126" s="2596"/>
      <c r="E126" s="2395"/>
      <c r="F126" s="2789"/>
      <c r="G126" s="1058">
        <v>20</v>
      </c>
      <c r="H126" s="1059"/>
      <c r="I126" s="1081">
        <f t="shared" si="24"/>
        <v>6.2642070767998229E-2</v>
      </c>
      <c r="J126" s="1082">
        <f t="shared" si="25"/>
        <v>0</v>
      </c>
      <c r="K126" s="1061">
        <v>8</v>
      </c>
      <c r="L126" s="1305"/>
      <c r="M126" s="1086">
        <f t="shared" si="26"/>
        <v>0</v>
      </c>
      <c r="N126" s="506"/>
      <c r="O126" s="365">
        <f t="shared" si="27"/>
        <v>20</v>
      </c>
      <c r="P126" s="366"/>
      <c r="Q126" s="135"/>
      <c r="R126" s="136"/>
      <c r="S126" s="129"/>
      <c r="T126" s="129"/>
      <c r="U126" s="129"/>
      <c r="V126" s="129"/>
      <c r="W126" s="129"/>
      <c r="X126" s="129"/>
      <c r="Y126" s="129"/>
      <c r="Z126" s="133"/>
      <c r="AA126" s="133"/>
      <c r="AB126" s="133"/>
      <c r="AC126" s="133"/>
      <c r="AD126" s="133"/>
      <c r="AE126" s="133"/>
      <c r="AF126" s="222"/>
      <c r="AG126" s="222"/>
      <c r="AH126" s="222"/>
      <c r="AI126" s="176"/>
      <c r="AJ126" s="176"/>
      <c r="AK126" s="176"/>
      <c r="AL126" s="176"/>
      <c r="AM126" s="176"/>
      <c r="AN126" s="176"/>
      <c r="AO126" s="176"/>
      <c r="AP126" s="176"/>
      <c r="AQ126" s="176"/>
      <c r="AR126" s="176"/>
      <c r="AS126" s="176"/>
      <c r="AT126" s="176"/>
      <c r="AU126" s="176"/>
      <c r="AV126" s="176"/>
      <c r="AW126" s="176"/>
      <c r="AX126" s="176"/>
      <c r="AY126" s="176"/>
      <c r="AZ126" s="176"/>
      <c r="BA126" s="176"/>
      <c r="BB126" s="176"/>
      <c r="BC126" s="176"/>
      <c r="BD126" s="176"/>
      <c r="BE126" s="176"/>
      <c r="BF126" s="176"/>
      <c r="BG126" s="176"/>
      <c r="BH126" s="176"/>
      <c r="BI126" s="176"/>
      <c r="BJ126" s="176"/>
      <c r="BK126" s="176"/>
      <c r="BL126" s="176"/>
      <c r="BM126" s="176"/>
      <c r="BN126" s="176"/>
      <c r="BO126" s="176"/>
    </row>
    <row r="127" spans="1:67" s="36" customFormat="1" ht="10.5" customHeight="1" x14ac:dyDescent="0.2">
      <c r="A127" s="1043" t="s">
        <v>274</v>
      </c>
      <c r="B127" s="2594"/>
      <c r="C127" s="2595"/>
      <c r="D127" s="2596"/>
      <c r="E127" s="2395"/>
      <c r="F127" s="2789"/>
      <c r="G127" s="1058">
        <v>30</v>
      </c>
      <c r="H127" s="1059"/>
      <c r="I127" s="1081">
        <f t="shared" si="24"/>
        <v>4.6199342169092869E-2</v>
      </c>
      <c r="J127" s="1082">
        <f t="shared" si="25"/>
        <v>0</v>
      </c>
      <c r="K127" s="1061"/>
      <c r="L127" s="1305"/>
      <c r="M127" s="1086">
        <f t="shared" si="26"/>
        <v>0</v>
      </c>
      <c r="N127" s="506"/>
      <c r="O127" s="365">
        <f t="shared" si="27"/>
        <v>30</v>
      </c>
      <c r="P127" s="366"/>
      <c r="Q127" s="135"/>
      <c r="R127" s="136"/>
      <c r="S127" s="129"/>
      <c r="T127" s="129"/>
      <c r="U127" s="129"/>
      <c r="V127" s="129"/>
      <c r="W127" s="129"/>
      <c r="X127" s="129"/>
      <c r="Y127" s="129"/>
      <c r="Z127" s="133"/>
      <c r="AA127" s="133"/>
      <c r="AB127" s="133"/>
      <c r="AC127" s="133"/>
      <c r="AD127" s="133"/>
      <c r="AE127" s="133"/>
      <c r="AF127" s="222"/>
      <c r="AG127" s="222"/>
      <c r="AH127" s="222"/>
      <c r="AI127" s="176"/>
      <c r="AJ127" s="176"/>
      <c r="AK127" s="176"/>
      <c r="AL127" s="176"/>
      <c r="AM127" s="176"/>
      <c r="AN127" s="176"/>
      <c r="AO127" s="176"/>
      <c r="AP127" s="176"/>
      <c r="AQ127" s="176"/>
      <c r="AR127" s="176"/>
      <c r="AS127" s="176"/>
      <c r="AT127" s="176"/>
      <c r="AU127" s="176"/>
      <c r="AV127" s="176"/>
      <c r="AW127" s="176"/>
      <c r="AX127" s="176"/>
      <c r="AY127" s="176"/>
      <c r="AZ127" s="176"/>
      <c r="BA127" s="176"/>
      <c r="BB127" s="176"/>
      <c r="BC127" s="176"/>
      <c r="BD127" s="176"/>
      <c r="BE127" s="176"/>
      <c r="BF127" s="176"/>
      <c r="BG127" s="176"/>
      <c r="BH127" s="176"/>
      <c r="BI127" s="176"/>
      <c r="BJ127" s="176"/>
      <c r="BK127" s="176"/>
      <c r="BL127" s="176"/>
      <c r="BM127" s="176"/>
      <c r="BN127" s="176"/>
      <c r="BO127" s="176"/>
    </row>
    <row r="128" spans="1:67" s="36" customFormat="1" ht="10.5" customHeight="1" x14ac:dyDescent="0.2">
      <c r="A128" s="1055"/>
      <c r="B128" s="2594"/>
      <c r="C128" s="2595"/>
      <c r="D128" s="2596"/>
      <c r="E128" s="2395"/>
      <c r="F128" s="2396"/>
      <c r="G128" s="2590"/>
      <c r="H128" s="2591"/>
      <c r="I128" s="1081">
        <f t="shared" si="24"/>
        <v>0</v>
      </c>
      <c r="J128" s="1082">
        <f t="shared" si="25"/>
        <v>0</v>
      </c>
      <c r="K128" s="2588"/>
      <c r="L128" s="2589"/>
      <c r="M128" s="1086">
        <f t="shared" si="26"/>
        <v>0</v>
      </c>
      <c r="N128" s="506"/>
      <c r="O128" s="365">
        <f t="shared" si="27"/>
        <v>0</v>
      </c>
      <c r="P128" s="366"/>
      <c r="Q128" s="135"/>
      <c r="R128" s="136"/>
      <c r="S128" s="129"/>
      <c r="T128" s="129"/>
      <c r="U128" s="129"/>
      <c r="V128" s="129"/>
      <c r="W128" s="129"/>
      <c r="X128" s="129"/>
      <c r="Y128" s="129"/>
      <c r="Z128" s="133"/>
      <c r="AA128" s="133"/>
      <c r="AB128" s="133"/>
      <c r="AC128" s="133"/>
      <c r="AD128" s="133"/>
      <c r="AE128" s="133"/>
      <c r="AF128" s="222"/>
      <c r="AG128" s="222"/>
      <c r="AH128" s="222"/>
      <c r="AI128" s="176"/>
      <c r="AJ128" s="176"/>
      <c r="AK128" s="176"/>
      <c r="AL128" s="176"/>
      <c r="AM128" s="176"/>
      <c r="AN128" s="176"/>
      <c r="AO128" s="176"/>
      <c r="AP128" s="176"/>
      <c r="AQ128" s="176"/>
      <c r="AR128" s="176"/>
      <c r="AS128" s="176"/>
      <c r="AT128" s="176"/>
      <c r="AU128" s="176"/>
      <c r="AV128" s="176"/>
      <c r="AW128" s="176"/>
      <c r="AX128" s="176"/>
      <c r="AY128" s="176"/>
      <c r="AZ128" s="176"/>
      <c r="BA128" s="176"/>
      <c r="BB128" s="176"/>
      <c r="BC128" s="176"/>
      <c r="BD128" s="176"/>
      <c r="BE128" s="176"/>
      <c r="BF128" s="176"/>
      <c r="BG128" s="176"/>
      <c r="BH128" s="176"/>
      <c r="BI128" s="176"/>
      <c r="BJ128" s="176"/>
      <c r="BK128" s="176"/>
      <c r="BL128" s="176"/>
      <c r="BM128" s="176"/>
      <c r="BN128" s="176"/>
      <c r="BO128" s="176"/>
    </row>
    <row r="129" spans="1:67" s="36" customFormat="1" ht="10.5" customHeight="1" x14ac:dyDescent="0.2">
      <c r="A129" s="1055"/>
      <c r="B129" s="2594"/>
      <c r="C129" s="2595"/>
      <c r="D129" s="2596"/>
      <c r="E129" s="2395"/>
      <c r="F129" s="2396"/>
      <c r="G129" s="2590"/>
      <c r="H129" s="2591"/>
      <c r="I129" s="1081">
        <f t="shared" si="24"/>
        <v>0</v>
      </c>
      <c r="J129" s="1082">
        <f t="shared" si="25"/>
        <v>0</v>
      </c>
      <c r="K129" s="2588"/>
      <c r="L129" s="2589"/>
      <c r="M129" s="1086">
        <f t="shared" si="26"/>
        <v>0</v>
      </c>
      <c r="N129" s="506"/>
      <c r="O129" s="365">
        <f t="shared" si="27"/>
        <v>0</v>
      </c>
      <c r="P129" s="366"/>
      <c r="Q129" s="135"/>
      <c r="R129" s="136"/>
      <c r="S129" s="129"/>
      <c r="T129" s="129"/>
      <c r="U129" s="129"/>
      <c r="V129" s="129"/>
      <c r="W129" s="129"/>
      <c r="X129" s="129"/>
      <c r="Y129" s="129"/>
      <c r="Z129" s="133"/>
      <c r="AA129" s="133"/>
      <c r="AB129" s="133"/>
      <c r="AC129" s="133"/>
      <c r="AD129" s="133"/>
      <c r="AE129" s="133"/>
      <c r="AF129" s="222"/>
      <c r="AG129" s="222"/>
      <c r="AH129" s="222"/>
      <c r="AI129" s="176"/>
      <c r="AJ129" s="176"/>
      <c r="AK129" s="176"/>
      <c r="AL129" s="176"/>
      <c r="AM129" s="176"/>
      <c r="AN129" s="176"/>
      <c r="AO129" s="176"/>
      <c r="AP129" s="176"/>
      <c r="AQ129" s="176"/>
      <c r="AR129" s="176"/>
      <c r="AS129" s="176"/>
      <c r="AT129" s="176"/>
      <c r="AU129" s="176"/>
      <c r="AV129" s="176"/>
      <c r="AW129" s="176"/>
      <c r="AX129" s="176"/>
      <c r="AY129" s="176"/>
      <c r="AZ129" s="176"/>
      <c r="BA129" s="176"/>
      <c r="BB129" s="176"/>
      <c r="BC129" s="176"/>
      <c r="BD129" s="176"/>
      <c r="BE129" s="176"/>
      <c r="BF129" s="176"/>
      <c r="BG129" s="176"/>
      <c r="BH129" s="176"/>
      <c r="BI129" s="176"/>
      <c r="BJ129" s="176"/>
      <c r="BK129" s="176"/>
      <c r="BL129" s="176"/>
      <c r="BM129" s="176"/>
      <c r="BN129" s="176"/>
      <c r="BO129" s="176"/>
    </row>
    <row r="130" spans="1:67" s="36" customFormat="1" ht="10.5" customHeight="1" x14ac:dyDescent="0.2">
      <c r="A130" s="1055"/>
      <c r="B130" s="2594"/>
      <c r="C130" s="2595"/>
      <c r="D130" s="2596"/>
      <c r="E130" s="2395"/>
      <c r="F130" s="2396"/>
      <c r="G130" s="2590"/>
      <c r="H130" s="2591"/>
      <c r="I130" s="1081">
        <f t="shared" si="24"/>
        <v>0</v>
      </c>
      <c r="J130" s="1082">
        <f t="shared" si="25"/>
        <v>0</v>
      </c>
      <c r="K130" s="2588"/>
      <c r="L130" s="2589"/>
      <c r="M130" s="1086">
        <f t="shared" si="26"/>
        <v>0</v>
      </c>
      <c r="N130" s="506"/>
      <c r="O130" s="365">
        <f t="shared" si="27"/>
        <v>0</v>
      </c>
      <c r="P130" s="366"/>
      <c r="Q130" s="135"/>
      <c r="R130" s="136"/>
      <c r="S130" s="129"/>
      <c r="T130" s="129"/>
      <c r="U130" s="129"/>
      <c r="V130" s="129"/>
      <c r="W130" s="129"/>
      <c r="X130" s="129"/>
      <c r="Y130" s="129"/>
      <c r="Z130" s="133"/>
      <c r="AA130" s="133"/>
      <c r="AB130" s="133"/>
      <c r="AC130" s="133"/>
      <c r="AD130" s="133"/>
      <c r="AE130" s="133"/>
      <c r="AF130" s="222"/>
      <c r="AG130" s="222"/>
      <c r="AH130" s="222"/>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row>
    <row r="131" spans="1:67" s="36" customFormat="1" ht="10.5" customHeight="1" x14ac:dyDescent="0.2">
      <c r="A131" s="1348"/>
      <c r="B131" s="2690"/>
      <c r="C131" s="2691"/>
      <c r="D131" s="2692"/>
      <c r="E131" s="2601"/>
      <c r="F131" s="2602"/>
      <c r="G131" s="1088"/>
      <c r="H131" s="1089"/>
      <c r="I131" s="1083">
        <f t="shared" si="24"/>
        <v>0</v>
      </c>
      <c r="J131" s="1084"/>
      <c r="K131" s="1087"/>
      <c r="L131" s="1307"/>
      <c r="M131" s="1317">
        <f t="shared" si="26"/>
        <v>0</v>
      </c>
      <c r="N131" s="506"/>
      <c r="O131" s="365">
        <f t="shared" si="27"/>
        <v>0</v>
      </c>
      <c r="P131" s="366"/>
      <c r="Q131" s="135"/>
      <c r="R131" s="136"/>
      <c r="S131" s="129"/>
      <c r="T131" s="129"/>
      <c r="U131" s="129"/>
      <c r="V131" s="129"/>
      <c r="W131" s="129"/>
      <c r="X131" s="129"/>
      <c r="Y131" s="129"/>
      <c r="Z131" s="133"/>
      <c r="AA131" s="133"/>
      <c r="AB131" s="133"/>
      <c r="AC131" s="133"/>
      <c r="AD131" s="133"/>
      <c r="AE131" s="133"/>
      <c r="AF131" s="222"/>
      <c r="AG131" s="222"/>
      <c r="AH131" s="222"/>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row>
    <row r="132" spans="1:67" s="36" customFormat="1" ht="10.5" customHeight="1" x14ac:dyDescent="0.2">
      <c r="A132" s="1115" t="s">
        <v>296</v>
      </c>
      <c r="B132" s="2611"/>
      <c r="C132" s="2612"/>
      <c r="D132" s="2613"/>
      <c r="E132" s="2676">
        <f>SUM(E133:E145)</f>
        <v>0</v>
      </c>
      <c r="F132" s="2677"/>
      <c r="G132" s="2678"/>
      <c r="H132" s="2679"/>
      <c r="I132" s="1116">
        <f>IF(E132=0,0,J132/E132)</f>
        <v>0</v>
      </c>
      <c r="J132" s="1117">
        <f>SUM(J133:J145)</f>
        <v>0</v>
      </c>
      <c r="K132" s="2686">
        <f>IF(E132=0,0,M132/E132*100)</f>
        <v>0</v>
      </c>
      <c r="L132" s="2687"/>
      <c r="M132" s="1118">
        <f>SUM(M133:M145)</f>
        <v>0</v>
      </c>
      <c r="N132" s="506"/>
      <c r="O132" s="178">
        <f>IF(H132="",G132,H132)</f>
        <v>0</v>
      </c>
      <c r="P132" s="366"/>
      <c r="Q132" s="135"/>
      <c r="R132" s="136"/>
      <c r="S132" s="129"/>
      <c r="T132" s="129"/>
      <c r="U132" s="129"/>
      <c r="V132" s="129"/>
      <c r="W132" s="129"/>
      <c r="X132" s="129"/>
      <c r="Y132" s="129"/>
      <c r="Z132" s="133"/>
      <c r="AA132" s="133"/>
      <c r="AB132" s="133"/>
      <c r="AC132" s="133"/>
      <c r="AD132" s="133"/>
      <c r="AE132" s="133"/>
      <c r="AF132" s="222"/>
      <c r="AG132" s="222"/>
      <c r="AH132" s="222"/>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row>
    <row r="133" spans="1:67" s="36" customFormat="1" ht="10.5" customHeight="1" x14ac:dyDescent="0.2">
      <c r="A133" s="1359" t="s">
        <v>297</v>
      </c>
      <c r="B133" s="2743"/>
      <c r="C133" s="2744"/>
      <c r="D133" s="2745"/>
      <c r="E133" s="2746"/>
      <c r="F133" s="2788"/>
      <c r="G133" s="1056">
        <v>40</v>
      </c>
      <c r="H133" s="1057"/>
      <c r="I133" s="1079">
        <f t="shared" ref="I133:I146" si="28">IF($O133&gt;0,-PMT(($I$9),$O133,1),0)</f>
        <v>3.8177378061076156E-2</v>
      </c>
      <c r="J133" s="1080">
        <f t="shared" ref="J133:J145" si="29">ROUND(E133*I133,0)</f>
        <v>0</v>
      </c>
      <c r="K133" s="1060">
        <v>1</v>
      </c>
      <c r="L133" s="1304"/>
      <c r="M133" s="1085">
        <f t="shared" ref="M133:M146" si="30">ROUND(E133/100*IF(ISBLANK(L133),K133,L133),0)</f>
        <v>0</v>
      </c>
      <c r="N133" s="506"/>
      <c r="O133" s="365">
        <f t="shared" ref="O133:O146" si="31">IF(ISBLANK(H133),G133,H133)</f>
        <v>40</v>
      </c>
      <c r="P133" s="366"/>
      <c r="Q133" s="135"/>
      <c r="R133" s="136"/>
      <c r="S133" s="129"/>
      <c r="T133" s="129"/>
      <c r="U133" s="129"/>
      <c r="V133" s="129"/>
      <c r="W133" s="129"/>
      <c r="X133" s="129"/>
      <c r="Y133" s="129"/>
      <c r="Z133" s="133"/>
      <c r="AA133" s="133"/>
      <c r="AB133" s="133"/>
      <c r="AC133" s="133"/>
      <c r="AD133" s="133"/>
      <c r="AE133" s="133"/>
      <c r="AF133" s="222"/>
      <c r="AG133" s="222"/>
      <c r="AH133" s="222"/>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row>
    <row r="134" spans="1:67" s="36" customFormat="1" ht="10.5" customHeight="1" x14ac:dyDescent="0.2">
      <c r="A134" s="1043" t="s">
        <v>298</v>
      </c>
      <c r="B134" s="2594"/>
      <c r="C134" s="2595"/>
      <c r="D134" s="2596"/>
      <c r="E134" s="2395"/>
      <c r="F134" s="2789"/>
      <c r="G134" s="1058">
        <v>30</v>
      </c>
      <c r="H134" s="1059"/>
      <c r="I134" s="1081">
        <f t="shared" si="28"/>
        <v>4.6199342169092869E-2</v>
      </c>
      <c r="J134" s="1082">
        <f t="shared" si="29"/>
        <v>0</v>
      </c>
      <c r="K134" s="1061">
        <v>1</v>
      </c>
      <c r="L134" s="1305"/>
      <c r="M134" s="1086">
        <f t="shared" si="30"/>
        <v>0</v>
      </c>
      <c r="N134" s="506"/>
      <c r="O134" s="365">
        <f t="shared" si="31"/>
        <v>30</v>
      </c>
      <c r="P134" s="366"/>
      <c r="Q134" s="135"/>
      <c r="R134" s="136"/>
      <c r="S134" s="129"/>
      <c r="T134" s="129"/>
      <c r="U134" s="129"/>
      <c r="V134" s="129"/>
      <c r="W134" s="129"/>
      <c r="X134" s="129"/>
      <c r="Y134" s="129"/>
      <c r="Z134" s="133"/>
      <c r="AA134" s="133"/>
      <c r="AB134" s="133"/>
      <c r="AC134" s="133"/>
      <c r="AD134" s="133"/>
      <c r="AE134" s="133"/>
      <c r="AF134" s="222"/>
      <c r="AG134" s="222"/>
      <c r="AH134" s="222"/>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row>
    <row r="135" spans="1:67" s="36" customFormat="1" ht="10.5" customHeight="1" x14ac:dyDescent="0.2">
      <c r="A135" s="1043" t="s">
        <v>299</v>
      </c>
      <c r="B135" s="2594"/>
      <c r="C135" s="2595"/>
      <c r="D135" s="2596"/>
      <c r="E135" s="2395"/>
      <c r="F135" s="2789"/>
      <c r="G135" s="1058">
        <v>40</v>
      </c>
      <c r="H135" s="1059"/>
      <c r="I135" s="1081">
        <f t="shared" si="28"/>
        <v>3.8177378061076156E-2</v>
      </c>
      <c r="J135" s="1082">
        <f t="shared" si="29"/>
        <v>0</v>
      </c>
      <c r="K135" s="1061">
        <v>1</v>
      </c>
      <c r="L135" s="1305"/>
      <c r="M135" s="1086">
        <f t="shared" si="30"/>
        <v>0</v>
      </c>
      <c r="N135" s="506"/>
      <c r="O135" s="365">
        <f t="shared" si="31"/>
        <v>40</v>
      </c>
      <c r="P135" s="366"/>
      <c r="Q135" s="135"/>
      <c r="R135" s="136"/>
      <c r="S135" s="129"/>
      <c r="T135" s="129"/>
      <c r="U135" s="129"/>
      <c r="V135" s="129"/>
      <c r="W135" s="129"/>
      <c r="X135" s="129"/>
      <c r="Y135" s="129"/>
      <c r="Z135" s="133"/>
      <c r="AA135" s="133"/>
      <c r="AB135" s="133"/>
      <c r="AC135" s="133"/>
      <c r="AD135" s="133"/>
      <c r="AE135" s="133"/>
      <c r="AF135" s="222"/>
      <c r="AG135" s="222"/>
      <c r="AH135" s="222"/>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row>
    <row r="136" spans="1:67" s="36" customFormat="1" ht="10.5" customHeight="1" x14ac:dyDescent="0.2">
      <c r="A136" s="1043" t="s">
        <v>300</v>
      </c>
      <c r="B136" s="2594"/>
      <c r="C136" s="2595"/>
      <c r="D136" s="2596"/>
      <c r="E136" s="2395"/>
      <c r="F136" s="2789"/>
      <c r="G136" s="1058">
        <v>20</v>
      </c>
      <c r="H136" s="1059"/>
      <c r="I136" s="1081">
        <f t="shared" si="28"/>
        <v>6.2642070767998229E-2</v>
      </c>
      <c r="J136" s="1082">
        <f t="shared" si="29"/>
        <v>0</v>
      </c>
      <c r="K136" s="1061">
        <v>2</v>
      </c>
      <c r="L136" s="1305"/>
      <c r="M136" s="1086">
        <f t="shared" si="30"/>
        <v>0</v>
      </c>
      <c r="N136" s="506"/>
      <c r="O136" s="365">
        <f t="shared" si="31"/>
        <v>20</v>
      </c>
      <c r="P136" s="366"/>
      <c r="Q136" s="135"/>
      <c r="R136" s="136"/>
      <c r="S136" s="129"/>
      <c r="T136" s="129"/>
      <c r="U136" s="129"/>
      <c r="V136" s="129"/>
      <c r="W136" s="129"/>
      <c r="X136" s="129"/>
      <c r="Y136" s="129"/>
      <c r="Z136" s="133"/>
      <c r="AA136" s="133"/>
      <c r="AB136" s="133"/>
      <c r="AC136" s="133"/>
      <c r="AD136" s="133"/>
      <c r="AE136" s="133"/>
      <c r="AF136" s="222"/>
      <c r="AG136" s="222"/>
      <c r="AH136" s="222"/>
      <c r="AI136" s="176"/>
      <c r="AJ136" s="176"/>
      <c r="AK136" s="176"/>
      <c r="AL136" s="176"/>
      <c r="AM136" s="176"/>
      <c r="AN136" s="176"/>
      <c r="AO136" s="176"/>
      <c r="AP136" s="176"/>
      <c r="AQ136" s="176"/>
      <c r="AR136" s="176"/>
      <c r="AS136" s="176"/>
      <c r="AT136" s="176"/>
      <c r="AU136" s="176"/>
      <c r="AV136" s="176"/>
      <c r="AW136" s="176"/>
      <c r="AX136" s="176"/>
      <c r="AY136" s="176"/>
      <c r="AZ136" s="176"/>
      <c r="BA136" s="176"/>
      <c r="BB136" s="176"/>
      <c r="BC136" s="176"/>
      <c r="BD136" s="176"/>
      <c r="BE136" s="176"/>
      <c r="BF136" s="176"/>
      <c r="BG136" s="176"/>
      <c r="BH136" s="176"/>
      <c r="BI136" s="176"/>
      <c r="BJ136" s="176"/>
      <c r="BK136" s="176"/>
      <c r="BL136" s="176"/>
      <c r="BM136" s="176"/>
      <c r="BN136" s="176"/>
      <c r="BO136" s="176"/>
    </row>
    <row r="137" spans="1:67" s="36" customFormat="1" ht="10.5" customHeight="1" x14ac:dyDescent="0.2">
      <c r="A137" s="1043" t="s">
        <v>301</v>
      </c>
      <c r="B137" s="2594"/>
      <c r="C137" s="2595"/>
      <c r="D137" s="2596"/>
      <c r="E137" s="2395"/>
      <c r="F137" s="2789"/>
      <c r="G137" s="1058">
        <v>20</v>
      </c>
      <c r="H137" s="1059"/>
      <c r="I137" s="1081">
        <f t="shared" si="28"/>
        <v>6.2642070767998229E-2</v>
      </c>
      <c r="J137" s="1082">
        <f t="shared" si="29"/>
        <v>0</v>
      </c>
      <c r="K137" s="1061">
        <v>1.5</v>
      </c>
      <c r="L137" s="1305"/>
      <c r="M137" s="1086">
        <f t="shared" si="30"/>
        <v>0</v>
      </c>
      <c r="N137" s="506"/>
      <c r="O137" s="365">
        <f t="shared" si="31"/>
        <v>20</v>
      </c>
      <c r="P137" s="366"/>
      <c r="Q137" s="135"/>
      <c r="R137" s="136"/>
      <c r="S137" s="129"/>
      <c r="T137" s="129"/>
      <c r="U137" s="129"/>
      <c r="V137" s="129"/>
      <c r="W137" s="129"/>
      <c r="X137" s="129"/>
      <c r="Y137" s="129"/>
      <c r="Z137" s="133"/>
      <c r="AA137" s="133"/>
      <c r="AB137" s="133"/>
      <c r="AC137" s="133"/>
      <c r="AD137" s="133"/>
      <c r="AE137" s="133"/>
      <c r="AF137" s="222"/>
      <c r="AG137" s="222"/>
      <c r="AH137" s="222"/>
      <c r="AI137" s="176"/>
      <c r="AJ137" s="176"/>
      <c r="AK137" s="176"/>
      <c r="AL137" s="176"/>
      <c r="AM137" s="176"/>
      <c r="AN137" s="176"/>
      <c r="AO137" s="176"/>
      <c r="AP137" s="176"/>
      <c r="AQ137" s="176"/>
      <c r="AR137" s="176"/>
      <c r="AS137" s="176"/>
      <c r="AT137" s="176"/>
      <c r="AU137" s="176"/>
      <c r="AV137" s="176"/>
      <c r="AW137" s="176"/>
      <c r="AX137" s="176"/>
      <c r="AY137" s="176"/>
      <c r="AZ137" s="176"/>
      <c r="BA137" s="176"/>
      <c r="BB137" s="176"/>
      <c r="BC137" s="176"/>
      <c r="BD137" s="176"/>
      <c r="BE137" s="176"/>
      <c r="BF137" s="176"/>
      <c r="BG137" s="176"/>
      <c r="BH137" s="176"/>
      <c r="BI137" s="176"/>
      <c r="BJ137" s="176"/>
      <c r="BK137" s="176"/>
      <c r="BL137" s="176"/>
      <c r="BM137" s="176"/>
      <c r="BN137" s="176"/>
      <c r="BO137" s="176"/>
    </row>
    <row r="138" spans="1:67" s="36" customFormat="1" ht="10.5" customHeight="1" x14ac:dyDescent="0.2">
      <c r="A138" s="1043" t="s">
        <v>302</v>
      </c>
      <c r="B138" s="2594"/>
      <c r="C138" s="2595"/>
      <c r="D138" s="2596"/>
      <c r="E138" s="2395"/>
      <c r="F138" s="2789"/>
      <c r="G138" s="1058">
        <v>20</v>
      </c>
      <c r="H138" s="1059"/>
      <c r="I138" s="1081">
        <f t="shared" si="28"/>
        <v>6.2642070767998229E-2</v>
      </c>
      <c r="J138" s="1082">
        <f t="shared" si="29"/>
        <v>0</v>
      </c>
      <c r="K138" s="1061">
        <v>1.5</v>
      </c>
      <c r="L138" s="1305"/>
      <c r="M138" s="1086">
        <f t="shared" si="30"/>
        <v>0</v>
      </c>
      <c r="N138" s="506"/>
      <c r="O138" s="365">
        <f t="shared" si="31"/>
        <v>20</v>
      </c>
      <c r="P138" s="366"/>
      <c r="Q138" s="135"/>
      <c r="R138" s="136"/>
      <c r="S138" s="129"/>
      <c r="T138" s="129"/>
      <c r="U138" s="129"/>
      <c r="V138" s="129"/>
      <c r="W138" s="129"/>
      <c r="X138" s="129"/>
      <c r="Y138" s="129"/>
      <c r="Z138" s="133"/>
      <c r="AA138" s="133"/>
      <c r="AB138" s="133"/>
      <c r="AC138" s="133"/>
      <c r="AD138" s="133"/>
      <c r="AE138" s="133"/>
      <c r="AF138" s="222"/>
      <c r="AG138" s="222"/>
      <c r="AH138" s="222"/>
      <c r="AI138" s="176"/>
      <c r="AJ138" s="176"/>
      <c r="AK138" s="176"/>
      <c r="AL138" s="176"/>
      <c r="AM138" s="176"/>
      <c r="AN138" s="176"/>
      <c r="AO138" s="176"/>
      <c r="AP138" s="176"/>
      <c r="AQ138" s="176"/>
      <c r="AR138" s="176"/>
      <c r="AS138" s="176"/>
      <c r="AT138" s="176"/>
      <c r="AU138" s="176"/>
      <c r="AV138" s="176"/>
      <c r="AW138" s="176"/>
      <c r="AX138" s="176"/>
      <c r="AY138" s="176"/>
      <c r="AZ138" s="176"/>
      <c r="BA138" s="176"/>
      <c r="BB138" s="176"/>
      <c r="BC138" s="176"/>
      <c r="BD138" s="176"/>
      <c r="BE138" s="176"/>
      <c r="BF138" s="176"/>
      <c r="BG138" s="176"/>
      <c r="BH138" s="176"/>
      <c r="BI138" s="176"/>
      <c r="BJ138" s="176"/>
      <c r="BK138" s="176"/>
      <c r="BL138" s="176"/>
      <c r="BM138" s="176"/>
      <c r="BN138" s="176"/>
      <c r="BO138" s="176"/>
    </row>
    <row r="139" spans="1:67" s="36" customFormat="1" ht="10.5" customHeight="1" x14ac:dyDescent="0.2">
      <c r="A139" s="1043" t="s">
        <v>679</v>
      </c>
      <c r="B139" s="2594"/>
      <c r="C139" s="2595"/>
      <c r="D139" s="2596"/>
      <c r="E139" s="2395"/>
      <c r="F139" s="2789"/>
      <c r="G139" s="1058">
        <v>20</v>
      </c>
      <c r="H139" s="1059"/>
      <c r="I139" s="1081">
        <f t="shared" si="28"/>
        <v>6.2642070767998229E-2</v>
      </c>
      <c r="J139" s="1082">
        <f t="shared" si="29"/>
        <v>0</v>
      </c>
      <c r="K139" s="1061">
        <v>2.5</v>
      </c>
      <c r="L139" s="1305"/>
      <c r="M139" s="1086">
        <f t="shared" si="30"/>
        <v>0</v>
      </c>
      <c r="N139" s="506"/>
      <c r="O139" s="365">
        <f t="shared" si="31"/>
        <v>20</v>
      </c>
      <c r="P139" s="366"/>
      <c r="Q139" s="135"/>
      <c r="R139" s="136"/>
      <c r="S139" s="129"/>
      <c r="T139" s="129"/>
      <c r="U139" s="129"/>
      <c r="V139" s="129"/>
      <c r="W139" s="129"/>
      <c r="X139" s="129"/>
      <c r="Y139" s="129"/>
      <c r="Z139" s="133"/>
      <c r="AA139" s="133"/>
      <c r="AB139" s="133"/>
      <c r="AC139" s="133"/>
      <c r="AD139" s="133"/>
      <c r="AE139" s="133"/>
      <c r="AF139" s="222"/>
      <c r="AG139" s="222"/>
      <c r="AH139" s="222"/>
      <c r="AI139" s="176"/>
      <c r="AJ139" s="176"/>
      <c r="AK139" s="176"/>
      <c r="AL139" s="176"/>
      <c r="AM139" s="176"/>
      <c r="AN139" s="176"/>
      <c r="AO139" s="176"/>
      <c r="AP139" s="176"/>
      <c r="AQ139" s="176"/>
      <c r="AR139" s="176"/>
      <c r="AS139" s="176"/>
      <c r="AT139" s="176"/>
      <c r="AU139" s="176"/>
      <c r="AV139" s="176"/>
      <c r="AW139" s="176"/>
      <c r="AX139" s="176"/>
      <c r="AY139" s="176"/>
      <c r="AZ139" s="176"/>
      <c r="BA139" s="176"/>
      <c r="BB139" s="176"/>
      <c r="BC139" s="176"/>
      <c r="BD139" s="176"/>
      <c r="BE139" s="176"/>
      <c r="BF139" s="176"/>
      <c r="BG139" s="176"/>
      <c r="BH139" s="176"/>
      <c r="BI139" s="176"/>
      <c r="BJ139" s="176"/>
      <c r="BK139" s="176"/>
      <c r="BL139" s="176"/>
      <c r="BM139" s="176"/>
      <c r="BN139" s="176"/>
      <c r="BO139" s="176"/>
    </row>
    <row r="140" spans="1:67" s="36" customFormat="1" ht="10.5" customHeight="1" x14ac:dyDescent="0.2">
      <c r="A140" s="1043" t="s">
        <v>273</v>
      </c>
      <c r="B140" s="2594"/>
      <c r="C140" s="2595"/>
      <c r="D140" s="2596"/>
      <c r="E140" s="2395"/>
      <c r="F140" s="2789"/>
      <c r="G140" s="1058">
        <v>20</v>
      </c>
      <c r="H140" s="1059"/>
      <c r="I140" s="1081">
        <f t="shared" si="28"/>
        <v>6.2642070767998229E-2</v>
      </c>
      <c r="J140" s="1082">
        <f t="shared" si="29"/>
        <v>0</v>
      </c>
      <c r="K140" s="1061">
        <v>8</v>
      </c>
      <c r="L140" s="1305"/>
      <c r="M140" s="1086">
        <f t="shared" si="30"/>
        <v>0</v>
      </c>
      <c r="N140" s="506"/>
      <c r="O140" s="365">
        <f t="shared" si="31"/>
        <v>20</v>
      </c>
      <c r="P140" s="366"/>
      <c r="Q140" s="135"/>
      <c r="R140" s="136"/>
      <c r="S140" s="129"/>
      <c r="T140" s="129"/>
      <c r="U140" s="129"/>
      <c r="V140" s="129"/>
      <c r="W140" s="129"/>
      <c r="X140" s="129"/>
      <c r="Y140" s="129"/>
      <c r="Z140" s="133"/>
      <c r="AA140" s="133"/>
      <c r="AB140" s="133"/>
      <c r="AC140" s="133"/>
      <c r="AD140" s="133"/>
      <c r="AE140" s="133"/>
      <c r="AF140" s="222"/>
      <c r="AG140" s="222"/>
      <c r="AH140" s="222"/>
      <c r="AI140" s="176"/>
      <c r="AJ140" s="176"/>
      <c r="AK140" s="176"/>
      <c r="AL140" s="176"/>
      <c r="AM140" s="176"/>
      <c r="AN140" s="176"/>
      <c r="AO140" s="176"/>
      <c r="AP140" s="176"/>
      <c r="AQ140" s="176"/>
      <c r="AR140" s="176"/>
      <c r="AS140" s="176"/>
      <c r="AT140" s="176"/>
      <c r="AU140" s="176"/>
      <c r="AV140" s="176"/>
      <c r="AW140" s="176"/>
      <c r="AX140" s="176"/>
      <c r="AY140" s="176"/>
      <c r="AZ140" s="176"/>
      <c r="BA140" s="176"/>
      <c r="BB140" s="176"/>
      <c r="BC140" s="176"/>
      <c r="BD140" s="176"/>
      <c r="BE140" s="176"/>
      <c r="BF140" s="176"/>
      <c r="BG140" s="176"/>
      <c r="BH140" s="176"/>
      <c r="BI140" s="176"/>
      <c r="BJ140" s="176"/>
      <c r="BK140" s="176"/>
      <c r="BL140" s="176"/>
      <c r="BM140" s="176"/>
      <c r="BN140" s="176"/>
      <c r="BO140" s="176"/>
    </row>
    <row r="141" spans="1:67" s="36" customFormat="1" ht="10.5" customHeight="1" x14ac:dyDescent="0.2">
      <c r="A141" s="1043" t="s">
        <v>274</v>
      </c>
      <c r="B141" s="2594"/>
      <c r="C141" s="2595"/>
      <c r="D141" s="2596"/>
      <c r="E141" s="2395"/>
      <c r="F141" s="2789"/>
      <c r="G141" s="1058">
        <v>30</v>
      </c>
      <c r="H141" s="1059"/>
      <c r="I141" s="1081">
        <f t="shared" si="28"/>
        <v>4.6199342169092869E-2</v>
      </c>
      <c r="J141" s="1082">
        <f t="shared" si="29"/>
        <v>0</v>
      </c>
      <c r="K141" s="1061"/>
      <c r="L141" s="1305"/>
      <c r="M141" s="1086">
        <f t="shared" si="30"/>
        <v>0</v>
      </c>
      <c r="N141" s="506"/>
      <c r="O141" s="365">
        <f t="shared" si="31"/>
        <v>30</v>
      </c>
      <c r="P141" s="366"/>
      <c r="Q141" s="135"/>
      <c r="R141" s="136"/>
      <c r="S141" s="129"/>
      <c r="T141" s="129"/>
      <c r="U141" s="129"/>
      <c r="V141" s="129"/>
      <c r="W141" s="129"/>
      <c r="X141" s="129"/>
      <c r="Y141" s="129"/>
      <c r="Z141" s="133"/>
      <c r="AA141" s="133"/>
      <c r="AB141" s="133"/>
      <c r="AC141" s="133"/>
      <c r="AD141" s="133"/>
      <c r="AE141" s="133"/>
      <c r="AF141" s="222"/>
      <c r="AG141" s="222"/>
      <c r="AH141" s="222"/>
      <c r="AI141" s="176"/>
      <c r="AJ141" s="176"/>
      <c r="AK141" s="176"/>
      <c r="AL141" s="176"/>
      <c r="AM141" s="176"/>
      <c r="AN141" s="176"/>
      <c r="AO141" s="176"/>
      <c r="AP141" s="176"/>
      <c r="AQ141" s="176"/>
      <c r="AR141" s="176"/>
      <c r="AS141" s="176"/>
      <c r="AT141" s="176"/>
      <c r="AU141" s="176"/>
      <c r="AV141" s="176"/>
      <c r="AW141" s="176"/>
      <c r="AX141" s="176"/>
      <c r="AY141" s="176"/>
      <c r="AZ141" s="176"/>
      <c r="BA141" s="176"/>
      <c r="BB141" s="176"/>
      <c r="BC141" s="176"/>
      <c r="BD141" s="176"/>
      <c r="BE141" s="176"/>
      <c r="BF141" s="176"/>
      <c r="BG141" s="176"/>
      <c r="BH141" s="176"/>
      <c r="BI141" s="176"/>
      <c r="BJ141" s="176"/>
      <c r="BK141" s="176"/>
      <c r="BL141" s="176"/>
      <c r="BM141" s="176"/>
      <c r="BN141" s="176"/>
      <c r="BO141" s="176"/>
    </row>
    <row r="142" spans="1:67" s="36" customFormat="1" ht="10.5" customHeight="1" x14ac:dyDescent="0.2">
      <c r="A142" s="1055"/>
      <c r="B142" s="2594"/>
      <c r="C142" s="2595"/>
      <c r="D142" s="2596"/>
      <c r="E142" s="2395"/>
      <c r="F142" s="2396"/>
      <c r="G142" s="2590"/>
      <c r="H142" s="2591"/>
      <c r="I142" s="1081">
        <f t="shared" si="28"/>
        <v>0</v>
      </c>
      <c r="J142" s="1082">
        <f t="shared" si="29"/>
        <v>0</v>
      </c>
      <c r="K142" s="2588"/>
      <c r="L142" s="2589"/>
      <c r="M142" s="1086">
        <f t="shared" si="30"/>
        <v>0</v>
      </c>
      <c r="N142" s="506"/>
      <c r="O142" s="365">
        <f t="shared" si="31"/>
        <v>0</v>
      </c>
      <c r="P142" s="366"/>
      <c r="Q142" s="135"/>
      <c r="R142" s="136"/>
      <c r="S142" s="129"/>
      <c r="T142" s="129"/>
      <c r="U142" s="129"/>
      <c r="V142" s="129"/>
      <c r="W142" s="129"/>
      <c r="X142" s="129"/>
      <c r="Y142" s="129"/>
      <c r="Z142" s="133"/>
      <c r="AA142" s="133"/>
      <c r="AB142" s="133"/>
      <c r="AC142" s="133"/>
      <c r="AD142" s="133"/>
      <c r="AE142" s="133"/>
      <c r="AF142" s="222"/>
      <c r="AG142" s="222"/>
      <c r="AH142" s="222"/>
      <c r="AI142" s="176"/>
      <c r="AJ142" s="176"/>
      <c r="AK142" s="176"/>
      <c r="AL142" s="176"/>
      <c r="AM142" s="176"/>
      <c r="AN142" s="176"/>
      <c r="AO142" s="176"/>
      <c r="AP142" s="176"/>
      <c r="AQ142" s="176"/>
      <c r="AR142" s="176"/>
      <c r="AS142" s="176"/>
      <c r="AT142" s="176"/>
      <c r="AU142" s="176"/>
      <c r="AV142" s="176"/>
      <c r="AW142" s="176"/>
      <c r="AX142" s="176"/>
      <c r="AY142" s="176"/>
      <c r="AZ142" s="176"/>
      <c r="BA142" s="176"/>
      <c r="BB142" s="176"/>
      <c r="BC142" s="176"/>
      <c r="BD142" s="176"/>
      <c r="BE142" s="176"/>
      <c r="BF142" s="176"/>
      <c r="BG142" s="176"/>
      <c r="BH142" s="176"/>
      <c r="BI142" s="176"/>
      <c r="BJ142" s="176"/>
      <c r="BK142" s="176"/>
      <c r="BL142" s="176"/>
      <c r="BM142" s="176"/>
      <c r="BN142" s="176"/>
      <c r="BO142" s="176"/>
    </row>
    <row r="143" spans="1:67" s="36" customFormat="1" ht="10.5" customHeight="1" x14ac:dyDescent="0.2">
      <c r="A143" s="1055"/>
      <c r="B143" s="2594"/>
      <c r="C143" s="2595"/>
      <c r="D143" s="2596"/>
      <c r="E143" s="2395"/>
      <c r="F143" s="2396"/>
      <c r="G143" s="2590"/>
      <c r="H143" s="2591"/>
      <c r="I143" s="1081">
        <f t="shared" si="28"/>
        <v>0</v>
      </c>
      <c r="J143" s="1082">
        <f t="shared" si="29"/>
        <v>0</v>
      </c>
      <c r="K143" s="2588"/>
      <c r="L143" s="2589"/>
      <c r="M143" s="1086">
        <f t="shared" si="30"/>
        <v>0</v>
      </c>
      <c r="N143" s="506"/>
      <c r="O143" s="365">
        <f t="shared" si="31"/>
        <v>0</v>
      </c>
      <c r="P143" s="366"/>
      <c r="Q143" s="135"/>
      <c r="R143" s="136"/>
      <c r="S143" s="129"/>
      <c r="T143" s="129"/>
      <c r="U143" s="129"/>
      <c r="V143" s="129"/>
      <c r="W143" s="129"/>
      <c r="X143" s="129"/>
      <c r="Y143" s="129"/>
      <c r="Z143" s="133"/>
      <c r="AA143" s="133"/>
      <c r="AB143" s="133"/>
      <c r="AC143" s="133"/>
      <c r="AD143" s="133"/>
      <c r="AE143" s="133"/>
      <c r="AF143" s="222"/>
      <c r="AG143" s="222"/>
      <c r="AH143" s="222"/>
      <c r="AI143" s="176"/>
      <c r="AJ143" s="176"/>
      <c r="AK143" s="176"/>
      <c r="AL143" s="176"/>
      <c r="AM143" s="176"/>
      <c r="AN143" s="176"/>
      <c r="AO143" s="176"/>
      <c r="AP143" s="176"/>
      <c r="AQ143" s="176"/>
      <c r="AR143" s="176"/>
      <c r="AS143" s="176"/>
      <c r="AT143" s="176"/>
      <c r="AU143" s="176"/>
      <c r="AV143" s="176"/>
      <c r="AW143" s="176"/>
      <c r="AX143" s="176"/>
      <c r="AY143" s="176"/>
      <c r="AZ143" s="176"/>
      <c r="BA143" s="176"/>
      <c r="BB143" s="176"/>
      <c r="BC143" s="176"/>
      <c r="BD143" s="176"/>
      <c r="BE143" s="176"/>
      <c r="BF143" s="176"/>
      <c r="BG143" s="176"/>
      <c r="BH143" s="176"/>
      <c r="BI143" s="176"/>
      <c r="BJ143" s="176"/>
      <c r="BK143" s="176"/>
      <c r="BL143" s="176"/>
      <c r="BM143" s="176"/>
      <c r="BN143" s="176"/>
      <c r="BO143" s="176"/>
    </row>
    <row r="144" spans="1:67" s="36" customFormat="1" ht="10.5" customHeight="1" x14ac:dyDescent="0.2">
      <c r="A144" s="1055"/>
      <c r="B144" s="2594"/>
      <c r="C144" s="2595"/>
      <c r="D144" s="2596"/>
      <c r="E144" s="2395"/>
      <c r="F144" s="2396"/>
      <c r="G144" s="2590"/>
      <c r="H144" s="2591"/>
      <c r="I144" s="1081">
        <f t="shared" si="28"/>
        <v>0</v>
      </c>
      <c r="J144" s="1082">
        <f t="shared" si="29"/>
        <v>0</v>
      </c>
      <c r="K144" s="2588"/>
      <c r="L144" s="2589"/>
      <c r="M144" s="1086">
        <f t="shared" si="30"/>
        <v>0</v>
      </c>
      <c r="N144" s="506"/>
      <c r="O144" s="365">
        <f t="shared" si="31"/>
        <v>0</v>
      </c>
      <c r="P144" s="366"/>
      <c r="Q144" s="135"/>
      <c r="R144" s="136"/>
      <c r="S144" s="129"/>
      <c r="T144" s="129"/>
      <c r="U144" s="129"/>
      <c r="V144" s="129"/>
      <c r="W144" s="129"/>
      <c r="X144" s="129"/>
      <c r="Y144" s="129"/>
      <c r="Z144" s="133"/>
      <c r="AA144" s="133"/>
      <c r="AB144" s="133"/>
      <c r="AC144" s="133"/>
      <c r="AD144" s="133"/>
      <c r="AE144" s="133"/>
      <c r="AF144" s="222"/>
      <c r="AG144" s="222"/>
      <c r="AH144" s="222"/>
      <c r="AI144" s="176"/>
      <c r="AJ144" s="176"/>
      <c r="AK144" s="176"/>
      <c r="AL144" s="176"/>
      <c r="AM144" s="176"/>
      <c r="AN144" s="176"/>
      <c r="AO144" s="176"/>
      <c r="AP144" s="176"/>
      <c r="AQ144" s="176"/>
      <c r="AR144" s="176"/>
      <c r="AS144" s="176"/>
      <c r="AT144" s="176"/>
      <c r="AU144" s="176"/>
      <c r="AV144" s="176"/>
      <c r="AW144" s="176"/>
      <c r="AX144" s="176"/>
      <c r="AY144" s="176"/>
      <c r="AZ144" s="176"/>
      <c r="BA144" s="176"/>
      <c r="BB144" s="176"/>
      <c r="BC144" s="176"/>
      <c r="BD144" s="176"/>
      <c r="BE144" s="176"/>
      <c r="BF144" s="176"/>
      <c r="BG144" s="176"/>
      <c r="BH144" s="176"/>
      <c r="BI144" s="176"/>
      <c r="BJ144" s="176"/>
      <c r="BK144" s="176"/>
      <c r="BL144" s="176"/>
      <c r="BM144" s="176"/>
      <c r="BN144" s="176"/>
      <c r="BO144" s="176"/>
    </row>
    <row r="145" spans="1:67" s="36" customFormat="1" ht="10.5" customHeight="1" x14ac:dyDescent="0.2">
      <c r="A145" s="1055"/>
      <c r="B145" s="2594"/>
      <c r="C145" s="2595"/>
      <c r="D145" s="2596"/>
      <c r="E145" s="2395"/>
      <c r="F145" s="2396"/>
      <c r="G145" s="2590"/>
      <c r="H145" s="2591"/>
      <c r="I145" s="1081">
        <f t="shared" si="28"/>
        <v>0</v>
      </c>
      <c r="J145" s="1082">
        <f t="shared" si="29"/>
        <v>0</v>
      </c>
      <c r="K145" s="2588"/>
      <c r="L145" s="2589"/>
      <c r="M145" s="1086">
        <f t="shared" si="30"/>
        <v>0</v>
      </c>
      <c r="N145" s="506"/>
      <c r="O145" s="365">
        <f t="shared" si="31"/>
        <v>0</v>
      </c>
      <c r="P145" s="366"/>
      <c r="Q145" s="135"/>
      <c r="R145" s="136"/>
      <c r="S145" s="129"/>
      <c r="T145" s="129"/>
      <c r="U145" s="129"/>
      <c r="V145" s="129"/>
      <c r="W145" s="129"/>
      <c r="X145" s="129"/>
      <c r="Y145" s="129"/>
      <c r="Z145" s="133"/>
      <c r="AA145" s="133"/>
      <c r="AB145" s="133"/>
      <c r="AC145" s="133"/>
      <c r="AD145" s="133"/>
      <c r="AE145" s="133"/>
      <c r="AF145" s="222"/>
      <c r="AG145" s="222"/>
      <c r="AH145" s="222"/>
      <c r="AI145" s="176"/>
      <c r="AJ145" s="176"/>
      <c r="AK145" s="176"/>
      <c r="AL145" s="176"/>
      <c r="AM145" s="176"/>
      <c r="AN145" s="176"/>
      <c r="AO145" s="176"/>
      <c r="AP145" s="176"/>
      <c r="AQ145" s="176"/>
      <c r="AR145" s="176"/>
      <c r="AS145" s="176"/>
      <c r="AT145" s="176"/>
      <c r="AU145" s="176"/>
      <c r="AV145" s="176"/>
      <c r="AW145" s="176"/>
      <c r="AX145" s="176"/>
      <c r="AY145" s="176"/>
      <c r="AZ145" s="176"/>
      <c r="BA145" s="176"/>
      <c r="BB145" s="176"/>
      <c r="BC145" s="176"/>
      <c r="BD145" s="176"/>
      <c r="BE145" s="176"/>
      <c r="BF145" s="176"/>
      <c r="BG145" s="176"/>
      <c r="BH145" s="176"/>
      <c r="BI145" s="176"/>
      <c r="BJ145" s="176"/>
      <c r="BK145" s="176"/>
      <c r="BL145" s="176"/>
      <c r="BM145" s="176"/>
      <c r="BN145" s="176"/>
      <c r="BO145" s="176"/>
    </row>
    <row r="146" spans="1:67" s="36" customFormat="1" ht="10.5" customHeight="1" x14ac:dyDescent="0.2">
      <c r="A146" s="1348"/>
      <c r="B146" s="2690"/>
      <c r="C146" s="2691"/>
      <c r="D146" s="2692"/>
      <c r="E146" s="2601"/>
      <c r="F146" s="2602"/>
      <c r="G146" s="1088"/>
      <c r="H146" s="1089"/>
      <c r="I146" s="1083">
        <f t="shared" si="28"/>
        <v>0</v>
      </c>
      <c r="J146" s="1084"/>
      <c r="K146" s="1087"/>
      <c r="L146" s="1307"/>
      <c r="M146" s="1317">
        <f t="shared" si="30"/>
        <v>0</v>
      </c>
      <c r="N146" s="506"/>
      <c r="O146" s="365">
        <f t="shared" si="31"/>
        <v>0</v>
      </c>
      <c r="P146" s="366"/>
      <c r="Q146" s="135"/>
      <c r="R146" s="136"/>
      <c r="S146" s="129"/>
      <c r="T146" s="129"/>
      <c r="U146" s="129"/>
      <c r="V146" s="129"/>
      <c r="W146" s="129"/>
      <c r="X146" s="129"/>
      <c r="Y146" s="129"/>
      <c r="Z146" s="133"/>
      <c r="AA146" s="133"/>
      <c r="AB146" s="133"/>
      <c r="AC146" s="133"/>
      <c r="AD146" s="133"/>
      <c r="AE146" s="133"/>
      <c r="AF146" s="222"/>
      <c r="AG146" s="222"/>
      <c r="AH146" s="222"/>
      <c r="AI146" s="176"/>
      <c r="AJ146" s="176"/>
      <c r="AK146" s="176"/>
      <c r="AL146" s="176"/>
      <c r="AM146" s="176"/>
      <c r="AN146" s="176"/>
      <c r="AO146" s="176"/>
      <c r="AP146" s="176"/>
      <c r="AQ146" s="176"/>
      <c r="AR146" s="176"/>
      <c r="AS146" s="176"/>
      <c r="AT146" s="176"/>
      <c r="AU146" s="176"/>
      <c r="AV146" s="176"/>
      <c r="AW146" s="176"/>
      <c r="AX146" s="176"/>
      <c r="AY146" s="176"/>
      <c r="AZ146" s="176"/>
      <c r="BA146" s="176"/>
      <c r="BB146" s="176"/>
      <c r="BC146" s="176"/>
      <c r="BD146" s="176"/>
      <c r="BE146" s="176"/>
      <c r="BF146" s="176"/>
      <c r="BG146" s="176"/>
      <c r="BH146" s="176"/>
      <c r="BI146" s="176"/>
      <c r="BJ146" s="176"/>
      <c r="BK146" s="176"/>
      <c r="BL146" s="176"/>
      <c r="BM146" s="176"/>
      <c r="BN146" s="176"/>
      <c r="BO146" s="176"/>
    </row>
    <row r="147" spans="1:67" s="36" customFormat="1" ht="10.5" customHeight="1" x14ac:dyDescent="0.2">
      <c r="A147" s="1115" t="s">
        <v>303</v>
      </c>
      <c r="B147" s="2611"/>
      <c r="C147" s="2612"/>
      <c r="D147" s="2613"/>
      <c r="E147" s="2676">
        <f>SUM(E148:E160)</f>
        <v>0</v>
      </c>
      <c r="F147" s="2677"/>
      <c r="G147" s="2678"/>
      <c r="H147" s="2679"/>
      <c r="I147" s="1116">
        <f>IF(E147=0,0,J147/E147)</f>
        <v>0</v>
      </c>
      <c r="J147" s="1117">
        <f>SUM(J148:J160)</f>
        <v>0</v>
      </c>
      <c r="K147" s="2686">
        <f>IF(E147=0,0,M147/E147*100)</f>
        <v>0</v>
      </c>
      <c r="L147" s="2687"/>
      <c r="M147" s="1118">
        <f>SUM(M148:M160)</f>
        <v>0</v>
      </c>
      <c r="N147" s="506"/>
      <c r="O147" s="178">
        <f>IF(H147="",G147,H147)</f>
        <v>0</v>
      </c>
      <c r="P147" s="366"/>
      <c r="Q147" s="135"/>
      <c r="R147" s="136"/>
      <c r="S147" s="129"/>
      <c r="T147" s="129"/>
      <c r="U147" s="129"/>
      <c r="V147" s="129"/>
      <c r="W147" s="129"/>
      <c r="X147" s="129"/>
      <c r="Y147" s="129"/>
      <c r="Z147" s="133"/>
      <c r="AA147" s="133"/>
      <c r="AB147" s="133"/>
      <c r="AC147" s="133"/>
      <c r="AD147" s="133"/>
      <c r="AE147" s="133"/>
      <c r="AF147" s="222"/>
      <c r="AG147" s="222"/>
      <c r="AH147" s="222"/>
      <c r="AI147" s="176"/>
      <c r="AJ147" s="176"/>
      <c r="AK147" s="176"/>
      <c r="AL147" s="176"/>
      <c r="AM147" s="176"/>
      <c r="AN147" s="176"/>
      <c r="AO147" s="176"/>
      <c r="AP147" s="176"/>
      <c r="AQ147" s="176"/>
      <c r="AR147" s="176"/>
      <c r="AS147" s="176"/>
      <c r="AT147" s="176"/>
      <c r="AU147" s="176"/>
      <c r="AV147" s="176"/>
      <c r="AW147" s="176"/>
      <c r="AX147" s="176"/>
      <c r="AY147" s="176"/>
      <c r="AZ147" s="176"/>
      <c r="BA147" s="176"/>
      <c r="BB147" s="176"/>
      <c r="BC147" s="176"/>
      <c r="BD147" s="176"/>
      <c r="BE147" s="176"/>
      <c r="BF147" s="176"/>
      <c r="BG147" s="176"/>
      <c r="BH147" s="176"/>
      <c r="BI147" s="176"/>
      <c r="BJ147" s="176"/>
      <c r="BK147" s="176"/>
      <c r="BL147" s="176"/>
      <c r="BM147" s="176"/>
      <c r="BN147" s="176"/>
      <c r="BO147" s="176"/>
    </row>
    <row r="148" spans="1:67" s="36" customFormat="1" ht="10.5" customHeight="1" x14ac:dyDescent="0.2">
      <c r="A148" s="1359" t="s">
        <v>304</v>
      </c>
      <c r="B148" s="2743"/>
      <c r="C148" s="2744"/>
      <c r="D148" s="2745"/>
      <c r="E148" s="2746"/>
      <c r="F148" s="2788"/>
      <c r="G148" s="1056">
        <v>15</v>
      </c>
      <c r="H148" s="1057"/>
      <c r="I148" s="1079">
        <f t="shared" ref="I148:I161" si="32">IF($O148&gt;0,-PMT(($I$9),$O148,1),0)</f>
        <v>7.9288524964265278E-2</v>
      </c>
      <c r="J148" s="1080">
        <f t="shared" ref="J148:J160" si="33">ROUND(E148*I148,0)</f>
        <v>0</v>
      </c>
      <c r="K148" s="1060">
        <v>3</v>
      </c>
      <c r="L148" s="1304"/>
      <c r="M148" s="1085">
        <f t="shared" ref="M148:M161" si="34">ROUND(E148/100*IF(ISBLANK(L148),K148,L148),0)</f>
        <v>0</v>
      </c>
      <c r="N148" s="506"/>
      <c r="O148" s="365">
        <f t="shared" ref="O148:O161" si="35">IF(ISBLANK(H148),G148,H148)</f>
        <v>15</v>
      </c>
      <c r="P148" s="366"/>
      <c r="Q148" s="135"/>
      <c r="R148" s="136"/>
      <c r="S148" s="129"/>
      <c r="T148" s="129"/>
      <c r="U148" s="129"/>
      <c r="V148" s="129"/>
      <c r="W148" s="129"/>
      <c r="X148" s="129"/>
      <c r="Y148" s="129"/>
      <c r="Z148" s="133"/>
      <c r="AA148" s="133"/>
      <c r="AB148" s="133"/>
      <c r="AC148" s="133"/>
      <c r="AD148" s="133"/>
      <c r="AE148" s="133"/>
      <c r="AF148" s="222"/>
      <c r="AG148" s="222"/>
      <c r="AH148" s="222"/>
      <c r="AI148" s="176"/>
      <c r="AJ148" s="176"/>
      <c r="AK148" s="176"/>
      <c r="AL148" s="176"/>
      <c r="AM148" s="176"/>
      <c r="AN148" s="176"/>
      <c r="AO148" s="176"/>
      <c r="AP148" s="176"/>
      <c r="AQ148" s="176"/>
      <c r="AR148" s="176"/>
      <c r="AS148" s="176"/>
      <c r="AT148" s="176"/>
      <c r="AU148" s="176"/>
      <c r="AV148" s="176"/>
      <c r="AW148" s="176"/>
      <c r="AX148" s="176"/>
      <c r="AY148" s="176"/>
      <c r="AZ148" s="176"/>
      <c r="BA148" s="176"/>
      <c r="BB148" s="176"/>
      <c r="BC148" s="176"/>
      <c r="BD148" s="176"/>
      <c r="BE148" s="176"/>
      <c r="BF148" s="176"/>
      <c r="BG148" s="176"/>
      <c r="BH148" s="176"/>
      <c r="BI148" s="176"/>
      <c r="BJ148" s="176"/>
      <c r="BK148" s="176"/>
      <c r="BL148" s="176"/>
      <c r="BM148" s="176"/>
      <c r="BN148" s="176"/>
      <c r="BO148" s="176"/>
    </row>
    <row r="149" spans="1:67" s="36" customFormat="1" ht="10.5" customHeight="1" x14ac:dyDescent="0.2">
      <c r="A149" s="1043" t="s">
        <v>305</v>
      </c>
      <c r="B149" s="2594"/>
      <c r="C149" s="2595"/>
      <c r="D149" s="2596"/>
      <c r="E149" s="2395"/>
      <c r="F149" s="2789"/>
      <c r="G149" s="1058">
        <v>15</v>
      </c>
      <c r="H149" s="1059"/>
      <c r="I149" s="1081">
        <f t="shared" si="32"/>
        <v>7.9288524964265278E-2</v>
      </c>
      <c r="J149" s="1082">
        <f t="shared" si="33"/>
        <v>0</v>
      </c>
      <c r="K149" s="1061">
        <v>3</v>
      </c>
      <c r="L149" s="1305"/>
      <c r="M149" s="1086">
        <f t="shared" si="34"/>
        <v>0</v>
      </c>
      <c r="N149" s="506"/>
      <c r="O149" s="365">
        <f t="shared" si="35"/>
        <v>15</v>
      </c>
      <c r="P149" s="366"/>
      <c r="Q149" s="135"/>
      <c r="R149" s="136"/>
      <c r="S149" s="129"/>
      <c r="T149" s="129"/>
      <c r="U149" s="129"/>
      <c r="V149" s="129"/>
      <c r="W149" s="129"/>
      <c r="X149" s="129"/>
      <c r="Y149" s="129"/>
      <c r="Z149" s="133"/>
      <c r="AA149" s="133"/>
      <c r="AB149" s="133"/>
      <c r="AC149" s="133"/>
      <c r="AD149" s="133"/>
      <c r="AE149" s="133"/>
      <c r="AF149" s="222"/>
      <c r="AG149" s="222"/>
      <c r="AH149" s="222"/>
      <c r="AI149" s="176"/>
      <c r="AJ149" s="176"/>
      <c r="AK149" s="176"/>
      <c r="AL149" s="176"/>
      <c r="AM149" s="176"/>
      <c r="AN149" s="176"/>
      <c r="AO149" s="176"/>
      <c r="AP149" s="176"/>
      <c r="AQ149" s="176"/>
      <c r="AR149" s="176"/>
      <c r="AS149" s="176"/>
      <c r="AT149" s="176"/>
      <c r="AU149" s="176"/>
      <c r="AV149" s="176"/>
      <c r="AW149" s="176"/>
      <c r="AX149" s="176"/>
      <c r="AY149" s="176"/>
      <c r="AZ149" s="176"/>
      <c r="BA149" s="176"/>
      <c r="BB149" s="176"/>
      <c r="BC149" s="176"/>
      <c r="BD149" s="176"/>
      <c r="BE149" s="176"/>
      <c r="BF149" s="176"/>
      <c r="BG149" s="176"/>
      <c r="BH149" s="176"/>
      <c r="BI149" s="176"/>
      <c r="BJ149" s="176"/>
      <c r="BK149" s="176"/>
      <c r="BL149" s="176"/>
      <c r="BM149" s="176"/>
      <c r="BN149" s="176"/>
      <c r="BO149" s="176"/>
    </row>
    <row r="150" spans="1:67" s="36" customFormat="1" ht="10.5" customHeight="1" x14ac:dyDescent="0.2">
      <c r="A150" s="1043" t="s">
        <v>306</v>
      </c>
      <c r="B150" s="2594"/>
      <c r="C150" s="2595"/>
      <c r="D150" s="2596"/>
      <c r="E150" s="2395"/>
      <c r="F150" s="2789"/>
      <c r="G150" s="1058">
        <v>15</v>
      </c>
      <c r="H150" s="1059"/>
      <c r="I150" s="1081">
        <f t="shared" si="32"/>
        <v>7.9288524964265278E-2</v>
      </c>
      <c r="J150" s="1082">
        <f t="shared" si="33"/>
        <v>0</v>
      </c>
      <c r="K150" s="1061">
        <v>3</v>
      </c>
      <c r="L150" s="1305"/>
      <c r="M150" s="1086">
        <f t="shared" si="34"/>
        <v>0</v>
      </c>
      <c r="N150" s="506"/>
      <c r="O150" s="365">
        <f t="shared" si="35"/>
        <v>15</v>
      </c>
      <c r="P150" s="366"/>
      <c r="Q150" s="135"/>
      <c r="R150" s="136"/>
      <c r="S150" s="129"/>
      <c r="T150" s="129"/>
      <c r="U150" s="129"/>
      <c r="V150" s="129"/>
      <c r="W150" s="129"/>
      <c r="X150" s="129"/>
      <c r="Y150" s="129"/>
      <c r="Z150" s="133"/>
      <c r="AA150" s="133"/>
      <c r="AB150" s="133"/>
      <c r="AC150" s="133"/>
      <c r="AD150" s="133"/>
      <c r="AE150" s="133"/>
      <c r="AF150" s="222"/>
      <c r="AG150" s="222"/>
      <c r="AH150" s="222"/>
      <c r="AI150" s="176"/>
      <c r="AJ150" s="176"/>
      <c r="AK150" s="176"/>
      <c r="AL150" s="176"/>
      <c r="AM150" s="176"/>
      <c r="AN150" s="176"/>
      <c r="AO150" s="176"/>
      <c r="AP150" s="176"/>
      <c r="AQ150" s="176"/>
      <c r="AR150" s="176"/>
      <c r="AS150" s="176"/>
      <c r="AT150" s="176"/>
      <c r="AU150" s="176"/>
      <c r="AV150" s="176"/>
      <c r="AW150" s="176"/>
      <c r="AX150" s="176"/>
      <c r="AY150" s="176"/>
      <c r="AZ150" s="176"/>
      <c r="BA150" s="176"/>
      <c r="BB150" s="176"/>
      <c r="BC150" s="176"/>
      <c r="BD150" s="176"/>
      <c r="BE150" s="176"/>
      <c r="BF150" s="176"/>
      <c r="BG150" s="176"/>
      <c r="BH150" s="176"/>
      <c r="BI150" s="176"/>
      <c r="BJ150" s="176"/>
      <c r="BK150" s="176"/>
      <c r="BL150" s="176"/>
      <c r="BM150" s="176"/>
      <c r="BN150" s="176"/>
      <c r="BO150" s="176"/>
    </row>
    <row r="151" spans="1:67" s="36" customFormat="1" ht="10.5" customHeight="1" x14ac:dyDescent="0.2">
      <c r="A151" s="1043" t="s">
        <v>307</v>
      </c>
      <c r="B151" s="2594"/>
      <c r="C151" s="2595"/>
      <c r="D151" s="2596"/>
      <c r="E151" s="2395"/>
      <c r="F151" s="2789"/>
      <c r="G151" s="1058">
        <v>15</v>
      </c>
      <c r="H151" s="1059"/>
      <c r="I151" s="1081">
        <f t="shared" si="32"/>
        <v>7.9288524964265278E-2</v>
      </c>
      <c r="J151" s="1082">
        <f t="shared" si="33"/>
        <v>0</v>
      </c>
      <c r="K151" s="1061">
        <v>3</v>
      </c>
      <c r="L151" s="1305"/>
      <c r="M151" s="1086">
        <f t="shared" si="34"/>
        <v>0</v>
      </c>
      <c r="N151" s="506"/>
      <c r="O151" s="365">
        <f t="shared" si="35"/>
        <v>15</v>
      </c>
      <c r="P151" s="366"/>
      <c r="Q151" s="135"/>
      <c r="R151" s="136"/>
      <c r="S151" s="129"/>
      <c r="T151" s="129"/>
      <c r="U151" s="129"/>
      <c r="V151" s="129"/>
      <c r="W151" s="129"/>
      <c r="X151" s="129"/>
      <c r="Y151" s="129"/>
      <c r="Z151" s="133"/>
      <c r="AA151" s="133"/>
      <c r="AB151" s="133"/>
      <c r="AC151" s="133"/>
      <c r="AD151" s="133"/>
      <c r="AE151" s="133"/>
      <c r="AF151" s="222"/>
      <c r="AG151" s="222"/>
      <c r="AH151" s="222"/>
      <c r="AI151" s="176"/>
      <c r="AJ151" s="176"/>
      <c r="AK151" s="176"/>
      <c r="AL151" s="176"/>
      <c r="AM151" s="176"/>
      <c r="AN151" s="176"/>
      <c r="AO151" s="176"/>
      <c r="AP151" s="176"/>
      <c r="AQ151" s="176"/>
      <c r="AR151" s="176"/>
      <c r="AS151" s="176"/>
      <c r="AT151" s="176"/>
      <c r="AU151" s="176"/>
      <c r="AV151" s="176"/>
      <c r="AW151" s="176"/>
      <c r="AX151" s="176"/>
      <c r="AY151" s="176"/>
      <c r="AZ151" s="176"/>
      <c r="BA151" s="176"/>
      <c r="BB151" s="176"/>
      <c r="BC151" s="176"/>
      <c r="BD151" s="176"/>
      <c r="BE151" s="176"/>
      <c r="BF151" s="176"/>
      <c r="BG151" s="176"/>
      <c r="BH151" s="176"/>
      <c r="BI151" s="176"/>
      <c r="BJ151" s="176"/>
      <c r="BK151" s="176"/>
      <c r="BL151" s="176"/>
      <c r="BM151" s="176"/>
      <c r="BN151" s="176"/>
      <c r="BO151" s="176"/>
    </row>
    <row r="152" spans="1:67" s="36" customFormat="1" ht="10.5" customHeight="1" x14ac:dyDescent="0.2">
      <c r="A152" s="1055"/>
      <c r="B152" s="2594"/>
      <c r="C152" s="2595"/>
      <c r="D152" s="2596"/>
      <c r="E152" s="2395"/>
      <c r="F152" s="2396"/>
      <c r="G152" s="2590"/>
      <c r="H152" s="2591"/>
      <c r="I152" s="1081">
        <f t="shared" si="32"/>
        <v>0</v>
      </c>
      <c r="J152" s="1082">
        <f t="shared" si="33"/>
        <v>0</v>
      </c>
      <c r="K152" s="2588"/>
      <c r="L152" s="2589"/>
      <c r="M152" s="1086">
        <f t="shared" si="34"/>
        <v>0</v>
      </c>
      <c r="N152" s="506"/>
      <c r="O152" s="365">
        <f t="shared" si="35"/>
        <v>0</v>
      </c>
      <c r="P152" s="366"/>
      <c r="Q152" s="135"/>
      <c r="R152" s="136"/>
      <c r="S152" s="129"/>
      <c r="T152" s="129"/>
      <c r="U152" s="129"/>
      <c r="V152" s="129"/>
      <c r="W152" s="129"/>
      <c r="X152" s="129"/>
      <c r="Y152" s="129"/>
      <c r="Z152" s="133"/>
      <c r="AA152" s="133"/>
      <c r="AB152" s="133"/>
      <c r="AC152" s="133"/>
      <c r="AD152" s="133"/>
      <c r="AE152" s="133"/>
      <c r="AF152" s="222"/>
      <c r="AG152" s="222"/>
      <c r="AH152" s="222"/>
      <c r="AI152" s="176"/>
      <c r="AJ152" s="176"/>
      <c r="AK152" s="176"/>
      <c r="AL152" s="176"/>
      <c r="AM152" s="176"/>
      <c r="AN152" s="176"/>
      <c r="AO152" s="176"/>
      <c r="AP152" s="176"/>
      <c r="AQ152" s="176"/>
      <c r="AR152" s="176"/>
      <c r="AS152" s="176"/>
      <c r="AT152" s="176"/>
      <c r="AU152" s="176"/>
      <c r="AV152" s="176"/>
      <c r="AW152" s="176"/>
      <c r="AX152" s="176"/>
      <c r="AY152" s="176"/>
      <c r="AZ152" s="176"/>
      <c r="BA152" s="176"/>
      <c r="BB152" s="176"/>
      <c r="BC152" s="176"/>
      <c r="BD152" s="176"/>
      <c r="BE152" s="176"/>
      <c r="BF152" s="176"/>
      <c r="BG152" s="176"/>
      <c r="BH152" s="176"/>
      <c r="BI152" s="176"/>
      <c r="BJ152" s="176"/>
      <c r="BK152" s="176"/>
      <c r="BL152" s="176"/>
      <c r="BM152" s="176"/>
      <c r="BN152" s="176"/>
      <c r="BO152" s="176"/>
    </row>
    <row r="153" spans="1:67" s="36" customFormat="1" ht="10.5" customHeight="1" x14ac:dyDescent="0.2">
      <c r="A153" s="1055"/>
      <c r="B153" s="2594"/>
      <c r="C153" s="2595"/>
      <c r="D153" s="2596"/>
      <c r="E153" s="2395"/>
      <c r="F153" s="2396"/>
      <c r="G153" s="2590"/>
      <c r="H153" s="2591"/>
      <c r="I153" s="1081">
        <f t="shared" si="32"/>
        <v>0</v>
      </c>
      <c r="J153" s="1082">
        <f t="shared" si="33"/>
        <v>0</v>
      </c>
      <c r="K153" s="2588"/>
      <c r="L153" s="2589"/>
      <c r="M153" s="1086">
        <f t="shared" si="34"/>
        <v>0</v>
      </c>
      <c r="N153" s="506"/>
      <c r="O153" s="365">
        <f t="shared" si="35"/>
        <v>0</v>
      </c>
      <c r="P153" s="366"/>
      <c r="Q153" s="135"/>
      <c r="R153" s="136"/>
      <c r="S153" s="129"/>
      <c r="T153" s="129"/>
      <c r="U153" s="129"/>
      <c r="V153" s="129"/>
      <c r="W153" s="129"/>
      <c r="X153" s="129"/>
      <c r="Y153" s="129"/>
      <c r="Z153" s="133"/>
      <c r="AA153" s="133"/>
      <c r="AB153" s="133"/>
      <c r="AC153" s="133"/>
      <c r="AD153" s="133"/>
      <c r="AE153" s="133"/>
      <c r="AF153" s="222"/>
      <c r="AG153" s="222"/>
      <c r="AH153" s="222"/>
      <c r="AI153" s="176"/>
      <c r="AJ153" s="176"/>
      <c r="AK153" s="176"/>
      <c r="AL153" s="176"/>
      <c r="AM153" s="176"/>
      <c r="AN153" s="176"/>
      <c r="AO153" s="176"/>
      <c r="AP153" s="176"/>
      <c r="AQ153" s="176"/>
      <c r="AR153" s="176"/>
      <c r="AS153" s="176"/>
      <c r="AT153" s="176"/>
      <c r="AU153" s="176"/>
      <c r="AV153" s="176"/>
      <c r="AW153" s="176"/>
      <c r="AX153" s="176"/>
      <c r="AY153" s="176"/>
      <c r="AZ153" s="176"/>
      <c r="BA153" s="176"/>
      <c r="BB153" s="176"/>
      <c r="BC153" s="176"/>
      <c r="BD153" s="176"/>
      <c r="BE153" s="176"/>
      <c r="BF153" s="176"/>
      <c r="BG153" s="176"/>
      <c r="BH153" s="176"/>
      <c r="BI153" s="176"/>
      <c r="BJ153" s="176"/>
      <c r="BK153" s="176"/>
      <c r="BL153" s="176"/>
      <c r="BM153" s="176"/>
      <c r="BN153" s="176"/>
      <c r="BO153" s="176"/>
    </row>
    <row r="154" spans="1:67" s="36" customFormat="1" ht="10.5" customHeight="1" x14ac:dyDescent="0.2">
      <c r="A154" s="1055"/>
      <c r="B154" s="2594"/>
      <c r="C154" s="2595"/>
      <c r="D154" s="2596"/>
      <c r="E154" s="2395"/>
      <c r="F154" s="2396"/>
      <c r="G154" s="2590"/>
      <c r="H154" s="2591"/>
      <c r="I154" s="1081">
        <f t="shared" si="32"/>
        <v>0</v>
      </c>
      <c r="J154" s="1082">
        <f t="shared" si="33"/>
        <v>0</v>
      </c>
      <c r="K154" s="2588"/>
      <c r="L154" s="2589"/>
      <c r="M154" s="1086">
        <f t="shared" si="34"/>
        <v>0</v>
      </c>
      <c r="N154" s="506"/>
      <c r="O154" s="365">
        <f t="shared" si="35"/>
        <v>0</v>
      </c>
      <c r="P154" s="366"/>
      <c r="Q154" s="135"/>
      <c r="R154" s="136"/>
      <c r="S154" s="129"/>
      <c r="T154" s="129"/>
      <c r="U154" s="129"/>
      <c r="V154" s="129"/>
      <c r="W154" s="129"/>
      <c r="X154" s="129"/>
      <c r="Y154" s="129"/>
      <c r="Z154" s="133"/>
      <c r="AA154" s="133"/>
      <c r="AB154" s="133"/>
      <c r="AC154" s="133"/>
      <c r="AD154" s="133"/>
      <c r="AE154" s="133"/>
      <c r="AF154" s="222"/>
      <c r="AG154" s="222"/>
      <c r="AH154" s="222"/>
      <c r="AI154" s="176"/>
      <c r="AJ154" s="176"/>
      <c r="AK154" s="176"/>
      <c r="AL154" s="176"/>
      <c r="AM154" s="176"/>
      <c r="AN154" s="176"/>
      <c r="AO154" s="176"/>
      <c r="AP154" s="176"/>
      <c r="AQ154" s="176"/>
      <c r="AR154" s="176"/>
      <c r="AS154" s="176"/>
      <c r="AT154" s="176"/>
      <c r="AU154" s="176"/>
      <c r="AV154" s="176"/>
      <c r="AW154" s="176"/>
      <c r="AX154" s="176"/>
      <c r="AY154" s="176"/>
      <c r="AZ154" s="176"/>
      <c r="BA154" s="176"/>
      <c r="BB154" s="176"/>
      <c r="BC154" s="176"/>
      <c r="BD154" s="176"/>
      <c r="BE154" s="176"/>
      <c r="BF154" s="176"/>
      <c r="BG154" s="176"/>
      <c r="BH154" s="176"/>
      <c r="BI154" s="176"/>
      <c r="BJ154" s="176"/>
      <c r="BK154" s="176"/>
      <c r="BL154" s="176"/>
      <c r="BM154" s="176"/>
      <c r="BN154" s="176"/>
      <c r="BO154" s="176"/>
    </row>
    <row r="155" spans="1:67" s="36" customFormat="1" ht="10.5" customHeight="1" x14ac:dyDescent="0.2">
      <c r="A155" s="1055"/>
      <c r="B155" s="2594"/>
      <c r="C155" s="2595"/>
      <c r="D155" s="2596"/>
      <c r="E155" s="2395"/>
      <c r="F155" s="2396"/>
      <c r="G155" s="2590"/>
      <c r="H155" s="2591"/>
      <c r="I155" s="1081">
        <f t="shared" si="32"/>
        <v>0</v>
      </c>
      <c r="J155" s="1082">
        <f t="shared" si="33"/>
        <v>0</v>
      </c>
      <c r="K155" s="2588"/>
      <c r="L155" s="2589"/>
      <c r="M155" s="1086">
        <f t="shared" si="34"/>
        <v>0</v>
      </c>
      <c r="N155" s="506"/>
      <c r="O155" s="365">
        <f t="shared" si="35"/>
        <v>0</v>
      </c>
      <c r="P155" s="366"/>
      <c r="Q155" s="135"/>
      <c r="R155" s="136"/>
      <c r="S155" s="129"/>
      <c r="T155" s="129"/>
      <c r="U155" s="129"/>
      <c r="V155" s="129"/>
      <c r="W155" s="129"/>
      <c r="X155" s="129"/>
      <c r="Y155" s="129"/>
      <c r="Z155" s="133"/>
      <c r="AA155" s="133"/>
      <c r="AB155" s="133"/>
      <c r="AC155" s="133"/>
      <c r="AD155" s="133"/>
      <c r="AE155" s="133"/>
      <c r="AF155" s="222"/>
      <c r="AG155" s="222"/>
      <c r="AH155" s="222"/>
      <c r="AI155" s="176"/>
      <c r="AJ155" s="176"/>
      <c r="AK155" s="176"/>
      <c r="AL155" s="176"/>
      <c r="AM155" s="176"/>
      <c r="AN155" s="176"/>
      <c r="AO155" s="176"/>
      <c r="AP155" s="176"/>
      <c r="AQ155" s="176"/>
      <c r="AR155" s="176"/>
      <c r="AS155" s="176"/>
      <c r="AT155" s="176"/>
      <c r="AU155" s="176"/>
      <c r="AV155" s="176"/>
      <c r="AW155" s="176"/>
      <c r="AX155" s="176"/>
      <c r="AY155" s="176"/>
      <c r="AZ155" s="176"/>
      <c r="BA155" s="176"/>
      <c r="BB155" s="176"/>
      <c r="BC155" s="176"/>
      <c r="BD155" s="176"/>
      <c r="BE155" s="176"/>
      <c r="BF155" s="176"/>
      <c r="BG155" s="176"/>
      <c r="BH155" s="176"/>
      <c r="BI155" s="176"/>
      <c r="BJ155" s="176"/>
      <c r="BK155" s="176"/>
      <c r="BL155" s="176"/>
      <c r="BM155" s="176"/>
      <c r="BN155" s="176"/>
      <c r="BO155" s="176"/>
    </row>
    <row r="156" spans="1:67" s="36" customFormat="1" ht="10.5" customHeight="1" x14ac:dyDescent="0.2">
      <c r="A156" s="1055"/>
      <c r="B156" s="2594"/>
      <c r="C156" s="2595"/>
      <c r="D156" s="2596"/>
      <c r="E156" s="2395"/>
      <c r="F156" s="2396"/>
      <c r="G156" s="2590"/>
      <c r="H156" s="2591"/>
      <c r="I156" s="1081">
        <f t="shared" si="32"/>
        <v>0</v>
      </c>
      <c r="J156" s="1082">
        <f t="shared" si="33"/>
        <v>0</v>
      </c>
      <c r="K156" s="2588"/>
      <c r="L156" s="2589"/>
      <c r="M156" s="1086">
        <f t="shared" si="34"/>
        <v>0</v>
      </c>
      <c r="N156" s="506"/>
      <c r="O156" s="365">
        <f t="shared" si="35"/>
        <v>0</v>
      </c>
      <c r="P156" s="366"/>
      <c r="Q156" s="135"/>
      <c r="R156" s="136"/>
      <c r="S156" s="129"/>
      <c r="T156" s="129"/>
      <c r="U156" s="129"/>
      <c r="V156" s="129"/>
      <c r="W156" s="129"/>
      <c r="X156" s="129"/>
      <c r="Y156" s="129"/>
      <c r="Z156" s="133"/>
      <c r="AA156" s="133"/>
      <c r="AB156" s="133"/>
      <c r="AC156" s="133"/>
      <c r="AD156" s="133"/>
      <c r="AE156" s="133"/>
      <c r="AF156" s="222"/>
      <c r="AG156" s="222"/>
      <c r="AH156" s="222"/>
      <c r="AI156" s="176"/>
      <c r="AJ156" s="176"/>
      <c r="AK156" s="176"/>
      <c r="AL156" s="176"/>
      <c r="AM156" s="176"/>
      <c r="AN156" s="176"/>
      <c r="AO156" s="176"/>
      <c r="AP156" s="176"/>
      <c r="AQ156" s="176"/>
      <c r="AR156" s="176"/>
      <c r="AS156" s="176"/>
      <c r="AT156" s="176"/>
      <c r="AU156" s="176"/>
      <c r="AV156" s="176"/>
      <c r="AW156" s="176"/>
      <c r="AX156" s="176"/>
      <c r="AY156" s="176"/>
      <c r="AZ156" s="176"/>
      <c r="BA156" s="176"/>
      <c r="BB156" s="176"/>
      <c r="BC156" s="176"/>
      <c r="BD156" s="176"/>
      <c r="BE156" s="176"/>
      <c r="BF156" s="176"/>
      <c r="BG156" s="176"/>
      <c r="BH156" s="176"/>
      <c r="BI156" s="176"/>
      <c r="BJ156" s="176"/>
      <c r="BK156" s="176"/>
      <c r="BL156" s="176"/>
      <c r="BM156" s="176"/>
      <c r="BN156" s="176"/>
      <c r="BO156" s="176"/>
    </row>
    <row r="157" spans="1:67" s="36" customFormat="1" ht="10.5" customHeight="1" x14ac:dyDescent="0.2">
      <c r="A157" s="1055"/>
      <c r="B157" s="2594"/>
      <c r="C157" s="2595"/>
      <c r="D157" s="2596"/>
      <c r="E157" s="2395"/>
      <c r="F157" s="2396"/>
      <c r="G157" s="2590"/>
      <c r="H157" s="2591"/>
      <c r="I157" s="1081">
        <f t="shared" si="32"/>
        <v>0</v>
      </c>
      <c r="J157" s="1082">
        <f t="shared" si="33"/>
        <v>0</v>
      </c>
      <c r="K157" s="2588"/>
      <c r="L157" s="2589"/>
      <c r="M157" s="1086">
        <f t="shared" si="34"/>
        <v>0</v>
      </c>
      <c r="N157" s="506"/>
      <c r="O157" s="365">
        <f t="shared" si="35"/>
        <v>0</v>
      </c>
      <c r="P157" s="366"/>
      <c r="Q157" s="135"/>
      <c r="R157" s="136"/>
      <c r="S157" s="129"/>
      <c r="T157" s="129"/>
      <c r="U157" s="129"/>
      <c r="V157" s="129"/>
      <c r="W157" s="129"/>
      <c r="X157" s="129"/>
      <c r="Y157" s="129"/>
      <c r="Z157" s="133"/>
      <c r="AA157" s="133"/>
      <c r="AB157" s="133"/>
      <c r="AC157" s="133"/>
      <c r="AD157" s="133"/>
      <c r="AE157" s="133"/>
      <c r="AF157" s="222"/>
      <c r="AG157" s="222"/>
      <c r="AH157" s="222"/>
      <c r="AI157" s="176"/>
      <c r="AJ157" s="176"/>
      <c r="AK157" s="176"/>
      <c r="AL157" s="176"/>
      <c r="AM157" s="176"/>
      <c r="AN157" s="176"/>
      <c r="AO157" s="176"/>
      <c r="AP157" s="176"/>
      <c r="AQ157" s="176"/>
      <c r="AR157" s="176"/>
      <c r="AS157" s="176"/>
      <c r="AT157" s="176"/>
      <c r="AU157" s="176"/>
      <c r="AV157" s="176"/>
      <c r="AW157" s="176"/>
      <c r="AX157" s="176"/>
      <c r="AY157" s="176"/>
      <c r="AZ157" s="176"/>
      <c r="BA157" s="176"/>
      <c r="BB157" s="176"/>
      <c r="BC157" s="176"/>
      <c r="BD157" s="176"/>
      <c r="BE157" s="176"/>
      <c r="BF157" s="176"/>
      <c r="BG157" s="176"/>
      <c r="BH157" s="176"/>
      <c r="BI157" s="176"/>
      <c r="BJ157" s="176"/>
      <c r="BK157" s="176"/>
      <c r="BL157" s="176"/>
      <c r="BM157" s="176"/>
      <c r="BN157" s="176"/>
      <c r="BO157" s="176"/>
    </row>
    <row r="158" spans="1:67" s="36" customFormat="1" ht="10.5" customHeight="1" x14ac:dyDescent="0.2">
      <c r="A158" s="1055"/>
      <c r="B158" s="2594"/>
      <c r="C158" s="2595"/>
      <c r="D158" s="2596"/>
      <c r="E158" s="2395"/>
      <c r="F158" s="2396"/>
      <c r="G158" s="2590"/>
      <c r="H158" s="2591"/>
      <c r="I158" s="1081">
        <f t="shared" si="32"/>
        <v>0</v>
      </c>
      <c r="J158" s="1082">
        <f t="shared" si="33"/>
        <v>0</v>
      </c>
      <c r="K158" s="2588"/>
      <c r="L158" s="2589"/>
      <c r="M158" s="1086">
        <f t="shared" si="34"/>
        <v>0</v>
      </c>
      <c r="N158" s="506"/>
      <c r="O158" s="365">
        <f t="shared" si="35"/>
        <v>0</v>
      </c>
      <c r="P158" s="366"/>
      <c r="Q158" s="135"/>
      <c r="R158" s="136"/>
      <c r="S158" s="129"/>
      <c r="T158" s="129"/>
      <c r="U158" s="129"/>
      <c r="V158" s="129"/>
      <c r="W158" s="129"/>
      <c r="X158" s="129"/>
      <c r="Y158" s="129"/>
      <c r="Z158" s="133"/>
      <c r="AA158" s="133"/>
      <c r="AB158" s="133"/>
      <c r="AC158" s="133"/>
      <c r="AD158" s="133"/>
      <c r="AE158" s="133"/>
      <c r="AF158" s="222"/>
      <c r="AG158" s="222"/>
      <c r="AH158" s="222"/>
      <c r="AI158" s="176"/>
      <c r="AJ158" s="176"/>
      <c r="AK158" s="176"/>
      <c r="AL158" s="176"/>
      <c r="AM158" s="176"/>
      <c r="AN158" s="176"/>
      <c r="AO158" s="176"/>
      <c r="AP158" s="176"/>
      <c r="AQ158" s="176"/>
      <c r="AR158" s="176"/>
      <c r="AS158" s="176"/>
      <c r="AT158" s="176"/>
      <c r="AU158" s="176"/>
      <c r="AV158" s="176"/>
      <c r="AW158" s="176"/>
      <c r="AX158" s="176"/>
      <c r="AY158" s="176"/>
      <c r="AZ158" s="176"/>
      <c r="BA158" s="176"/>
      <c r="BB158" s="176"/>
      <c r="BC158" s="176"/>
      <c r="BD158" s="176"/>
      <c r="BE158" s="176"/>
      <c r="BF158" s="176"/>
      <c r="BG158" s="176"/>
      <c r="BH158" s="176"/>
      <c r="BI158" s="176"/>
      <c r="BJ158" s="176"/>
      <c r="BK158" s="176"/>
      <c r="BL158" s="176"/>
      <c r="BM158" s="176"/>
      <c r="BN158" s="176"/>
      <c r="BO158" s="176"/>
    </row>
    <row r="159" spans="1:67" s="36" customFormat="1" ht="10.5" customHeight="1" x14ac:dyDescent="0.2">
      <c r="A159" s="1055"/>
      <c r="B159" s="2594"/>
      <c r="C159" s="2595"/>
      <c r="D159" s="2596"/>
      <c r="E159" s="2395"/>
      <c r="F159" s="2396"/>
      <c r="G159" s="2590"/>
      <c r="H159" s="2591"/>
      <c r="I159" s="1081">
        <f t="shared" si="32"/>
        <v>0</v>
      </c>
      <c r="J159" s="1082">
        <f t="shared" si="33"/>
        <v>0</v>
      </c>
      <c r="K159" s="2588"/>
      <c r="L159" s="2589"/>
      <c r="M159" s="1086">
        <f t="shared" si="34"/>
        <v>0</v>
      </c>
      <c r="N159" s="506"/>
      <c r="O159" s="365">
        <f t="shared" si="35"/>
        <v>0</v>
      </c>
      <c r="P159" s="366"/>
      <c r="Q159" s="135"/>
      <c r="R159" s="136"/>
      <c r="S159" s="129"/>
      <c r="T159" s="129"/>
      <c r="U159" s="129"/>
      <c r="V159" s="129"/>
      <c r="W159" s="129"/>
      <c r="X159" s="129"/>
      <c r="Y159" s="129"/>
      <c r="Z159" s="133"/>
      <c r="AA159" s="133"/>
      <c r="AB159" s="133"/>
      <c r="AC159" s="133"/>
      <c r="AD159" s="133"/>
      <c r="AE159" s="133"/>
      <c r="AF159" s="222"/>
      <c r="AG159" s="222"/>
      <c r="AH159" s="222"/>
      <c r="AI159" s="176"/>
      <c r="AJ159" s="176"/>
      <c r="AK159" s="176"/>
      <c r="AL159" s="176"/>
      <c r="AM159" s="176"/>
      <c r="AN159" s="176"/>
      <c r="AO159" s="176"/>
      <c r="AP159" s="176"/>
      <c r="AQ159" s="176"/>
      <c r="AR159" s="176"/>
      <c r="AS159" s="176"/>
      <c r="AT159" s="176"/>
      <c r="AU159" s="176"/>
      <c r="AV159" s="176"/>
      <c r="AW159" s="176"/>
      <c r="AX159" s="176"/>
      <c r="AY159" s="176"/>
      <c r="AZ159" s="176"/>
      <c r="BA159" s="176"/>
      <c r="BB159" s="176"/>
      <c r="BC159" s="176"/>
      <c r="BD159" s="176"/>
      <c r="BE159" s="176"/>
      <c r="BF159" s="176"/>
      <c r="BG159" s="176"/>
      <c r="BH159" s="176"/>
      <c r="BI159" s="176"/>
      <c r="BJ159" s="176"/>
      <c r="BK159" s="176"/>
      <c r="BL159" s="176"/>
      <c r="BM159" s="176"/>
      <c r="BN159" s="176"/>
      <c r="BO159" s="176"/>
    </row>
    <row r="160" spans="1:67" s="36" customFormat="1" ht="10.5" customHeight="1" x14ac:dyDescent="0.2">
      <c r="A160" s="1055"/>
      <c r="B160" s="2594"/>
      <c r="C160" s="2595"/>
      <c r="D160" s="2596"/>
      <c r="E160" s="2395"/>
      <c r="F160" s="2396"/>
      <c r="G160" s="2590"/>
      <c r="H160" s="2591"/>
      <c r="I160" s="1081">
        <f t="shared" si="32"/>
        <v>0</v>
      </c>
      <c r="J160" s="1082">
        <f t="shared" si="33"/>
        <v>0</v>
      </c>
      <c r="K160" s="2588"/>
      <c r="L160" s="2589"/>
      <c r="M160" s="1086">
        <f t="shared" si="34"/>
        <v>0</v>
      </c>
      <c r="N160" s="506"/>
      <c r="O160" s="365">
        <f t="shared" si="35"/>
        <v>0</v>
      </c>
      <c r="P160" s="366"/>
      <c r="Q160" s="135"/>
      <c r="R160" s="136"/>
      <c r="S160" s="129"/>
      <c r="T160" s="129"/>
      <c r="U160" s="129"/>
      <c r="V160" s="129"/>
      <c r="W160" s="129"/>
      <c r="X160" s="129"/>
      <c r="Y160" s="129"/>
      <c r="Z160" s="133"/>
      <c r="AA160" s="133"/>
      <c r="AB160" s="133"/>
      <c r="AC160" s="133"/>
      <c r="AD160" s="133"/>
      <c r="AE160" s="133"/>
      <c r="AF160" s="222"/>
      <c r="AG160" s="222"/>
      <c r="AH160" s="222"/>
      <c r="AI160" s="176"/>
      <c r="AJ160" s="176"/>
      <c r="AK160" s="176"/>
      <c r="AL160" s="176"/>
      <c r="AM160" s="176"/>
      <c r="AN160" s="176"/>
      <c r="AO160" s="176"/>
      <c r="AP160" s="176"/>
      <c r="AQ160" s="176"/>
      <c r="AR160" s="176"/>
      <c r="AS160" s="176"/>
      <c r="AT160" s="176"/>
      <c r="AU160" s="176"/>
      <c r="AV160" s="176"/>
      <c r="AW160" s="176"/>
      <c r="AX160" s="176"/>
      <c r="AY160" s="176"/>
      <c r="AZ160" s="176"/>
      <c r="BA160" s="176"/>
      <c r="BB160" s="176"/>
      <c r="BC160" s="176"/>
      <c r="BD160" s="176"/>
      <c r="BE160" s="176"/>
      <c r="BF160" s="176"/>
      <c r="BG160" s="176"/>
      <c r="BH160" s="176"/>
      <c r="BI160" s="176"/>
      <c r="BJ160" s="176"/>
      <c r="BK160" s="176"/>
      <c r="BL160" s="176"/>
      <c r="BM160" s="176"/>
      <c r="BN160" s="176"/>
      <c r="BO160" s="176"/>
    </row>
    <row r="161" spans="1:67" s="36" customFormat="1" ht="10.5" customHeight="1" x14ac:dyDescent="0.2">
      <c r="A161" s="1348"/>
      <c r="B161" s="2690"/>
      <c r="C161" s="2691"/>
      <c r="D161" s="2692"/>
      <c r="E161" s="2601"/>
      <c r="F161" s="2602"/>
      <c r="G161" s="1088"/>
      <c r="H161" s="1089"/>
      <c r="I161" s="1083">
        <f t="shared" si="32"/>
        <v>0</v>
      </c>
      <c r="J161" s="1084"/>
      <c r="K161" s="1087"/>
      <c r="L161" s="1307"/>
      <c r="M161" s="1317">
        <f t="shared" si="34"/>
        <v>0</v>
      </c>
      <c r="N161" s="506"/>
      <c r="O161" s="365">
        <f t="shared" si="35"/>
        <v>0</v>
      </c>
      <c r="P161" s="366"/>
      <c r="Q161" s="135"/>
      <c r="R161" s="136"/>
      <c r="S161" s="129"/>
      <c r="T161" s="129"/>
      <c r="U161" s="129"/>
      <c r="V161" s="129"/>
      <c r="W161" s="129"/>
      <c r="X161" s="129"/>
      <c r="Y161" s="129"/>
      <c r="Z161" s="133"/>
      <c r="AA161" s="133"/>
      <c r="AB161" s="133"/>
      <c r="AC161" s="133"/>
      <c r="AD161" s="133"/>
      <c r="AE161" s="133"/>
      <c r="AF161" s="222"/>
      <c r="AG161" s="222"/>
      <c r="AH161" s="222"/>
      <c r="AI161" s="176"/>
      <c r="AJ161" s="176"/>
      <c r="AK161" s="176"/>
      <c r="AL161" s="176"/>
      <c r="AM161" s="176"/>
      <c r="AN161" s="176"/>
      <c r="AO161" s="176"/>
      <c r="AP161" s="176"/>
      <c r="AQ161" s="176"/>
      <c r="AR161" s="176"/>
      <c r="AS161" s="176"/>
      <c r="AT161" s="176"/>
      <c r="AU161" s="176"/>
      <c r="AV161" s="176"/>
      <c r="AW161" s="176"/>
      <c r="AX161" s="176"/>
      <c r="AY161" s="176"/>
      <c r="AZ161" s="176"/>
      <c r="BA161" s="176"/>
      <c r="BB161" s="176"/>
      <c r="BC161" s="176"/>
      <c r="BD161" s="176"/>
      <c r="BE161" s="176"/>
      <c r="BF161" s="176"/>
      <c r="BG161" s="176"/>
      <c r="BH161" s="176"/>
      <c r="BI161" s="176"/>
      <c r="BJ161" s="176"/>
      <c r="BK161" s="176"/>
      <c r="BL161" s="176"/>
      <c r="BM161" s="176"/>
      <c r="BN161" s="176"/>
      <c r="BO161" s="176"/>
    </row>
    <row r="162" spans="1:67" s="36" customFormat="1" ht="10.5" customHeight="1" x14ac:dyDescent="0.2">
      <c r="A162" s="1115" t="s">
        <v>308</v>
      </c>
      <c r="B162" s="2611"/>
      <c r="C162" s="2612"/>
      <c r="D162" s="2613"/>
      <c r="E162" s="2676">
        <f>SUM(E163:E175)</f>
        <v>0</v>
      </c>
      <c r="F162" s="2677"/>
      <c r="G162" s="2678"/>
      <c r="H162" s="2679"/>
      <c r="I162" s="1116">
        <f>IF(E162=0,0,J162/E162)</f>
        <v>0</v>
      </c>
      <c r="J162" s="1117">
        <f>SUM(J163:J175)</f>
        <v>0</v>
      </c>
      <c r="K162" s="2686">
        <f>IF(E162=0,0,M162/E162*100)</f>
        <v>0</v>
      </c>
      <c r="L162" s="2687"/>
      <c r="M162" s="1118">
        <f>SUM(M163:M175)</f>
        <v>0</v>
      </c>
      <c r="N162" s="506"/>
      <c r="O162" s="178">
        <f>IF(H162="",G162,H162)</f>
        <v>0</v>
      </c>
      <c r="P162" s="366"/>
      <c r="Q162" s="135"/>
      <c r="R162" s="136"/>
      <c r="S162" s="129"/>
      <c r="T162" s="129"/>
      <c r="U162" s="129"/>
      <c r="V162" s="129"/>
      <c r="W162" s="129"/>
      <c r="X162" s="129"/>
      <c r="Y162" s="129"/>
      <c r="Z162" s="133"/>
      <c r="AA162" s="133"/>
      <c r="AB162" s="133"/>
      <c r="AC162" s="133"/>
      <c r="AD162" s="133"/>
      <c r="AE162" s="133"/>
      <c r="AF162" s="222"/>
      <c r="AG162" s="222"/>
      <c r="AH162" s="222"/>
      <c r="AI162" s="176"/>
      <c r="AJ162" s="176"/>
      <c r="AK162" s="176"/>
      <c r="AL162" s="176"/>
      <c r="AM162" s="176"/>
      <c r="AN162" s="176"/>
      <c r="AO162" s="176"/>
      <c r="AP162" s="176"/>
      <c r="AQ162" s="176"/>
      <c r="AR162" s="176"/>
      <c r="AS162" s="176"/>
      <c r="AT162" s="176"/>
      <c r="AU162" s="176"/>
      <c r="AV162" s="176"/>
      <c r="AW162" s="176"/>
      <c r="AX162" s="176"/>
      <c r="AY162" s="176"/>
      <c r="AZ162" s="176"/>
      <c r="BA162" s="176"/>
      <c r="BB162" s="176"/>
      <c r="BC162" s="176"/>
      <c r="BD162" s="176"/>
      <c r="BE162" s="176"/>
      <c r="BF162" s="176"/>
      <c r="BG162" s="176"/>
      <c r="BH162" s="176"/>
      <c r="BI162" s="176"/>
      <c r="BJ162" s="176"/>
      <c r="BK162" s="176"/>
      <c r="BL162" s="176"/>
      <c r="BM162" s="176"/>
      <c r="BN162" s="176"/>
      <c r="BO162" s="176"/>
    </row>
    <row r="163" spans="1:67" s="36" customFormat="1" ht="10.5" customHeight="1" x14ac:dyDescent="0.2">
      <c r="A163" s="1359" t="s">
        <v>309</v>
      </c>
      <c r="B163" s="2743"/>
      <c r="C163" s="2744"/>
      <c r="D163" s="2745"/>
      <c r="E163" s="2746"/>
      <c r="F163" s="2788"/>
      <c r="G163" s="1056">
        <v>30</v>
      </c>
      <c r="H163" s="1057"/>
      <c r="I163" s="1079">
        <f t="shared" ref="I163:I176" si="36">IF($O163&gt;0,-PMT(($I$9),$O163,1),0)</f>
        <v>4.6199342169092869E-2</v>
      </c>
      <c r="J163" s="1080">
        <f t="shared" ref="J163:J175" si="37">ROUND(E163*I163,0)</f>
        <v>0</v>
      </c>
      <c r="K163" s="1060">
        <v>1</v>
      </c>
      <c r="L163" s="1304"/>
      <c r="M163" s="1085">
        <f t="shared" ref="M163:M176" si="38">ROUND(E163/100*IF(ISBLANK(L163),K163,L163),0)</f>
        <v>0</v>
      </c>
      <c r="N163" s="506"/>
      <c r="O163" s="365">
        <f t="shared" ref="O163:O176" si="39">IF(ISBLANK(H163),G163,H163)</f>
        <v>30</v>
      </c>
      <c r="P163" s="366"/>
      <c r="Q163" s="135"/>
      <c r="R163" s="136"/>
      <c r="S163" s="129"/>
      <c r="T163" s="129"/>
      <c r="U163" s="129"/>
      <c r="V163" s="129"/>
      <c r="W163" s="129"/>
      <c r="X163" s="129"/>
      <c r="Y163" s="129"/>
      <c r="Z163" s="133"/>
      <c r="AA163" s="133"/>
      <c r="AB163" s="133"/>
      <c r="AC163" s="133"/>
      <c r="AD163" s="133"/>
      <c r="AE163" s="133"/>
      <c r="AF163" s="222"/>
      <c r="AG163" s="222"/>
      <c r="AH163" s="222"/>
      <c r="AI163" s="176"/>
      <c r="AJ163" s="176"/>
      <c r="AK163" s="176"/>
      <c r="AL163" s="176"/>
      <c r="AM163" s="176"/>
      <c r="AN163" s="176"/>
      <c r="AO163" s="176"/>
      <c r="AP163" s="176"/>
      <c r="AQ163" s="176"/>
      <c r="AR163" s="176"/>
      <c r="AS163" s="176"/>
      <c r="AT163" s="176"/>
      <c r="AU163" s="176"/>
      <c r="AV163" s="176"/>
      <c r="AW163" s="176"/>
      <c r="AX163" s="176"/>
      <c r="AY163" s="176"/>
      <c r="AZ163" s="176"/>
      <c r="BA163" s="176"/>
      <c r="BB163" s="176"/>
      <c r="BC163" s="176"/>
      <c r="BD163" s="176"/>
      <c r="BE163" s="176"/>
      <c r="BF163" s="176"/>
      <c r="BG163" s="176"/>
      <c r="BH163" s="176"/>
      <c r="BI163" s="176"/>
      <c r="BJ163" s="176"/>
      <c r="BK163" s="176"/>
      <c r="BL163" s="176"/>
      <c r="BM163" s="176"/>
      <c r="BN163" s="176"/>
      <c r="BO163" s="176"/>
    </row>
    <row r="164" spans="1:67" s="36" customFormat="1" ht="10.5" customHeight="1" x14ac:dyDescent="0.2">
      <c r="A164" s="1043" t="s">
        <v>310</v>
      </c>
      <c r="B164" s="2594"/>
      <c r="C164" s="2595"/>
      <c r="D164" s="2596"/>
      <c r="E164" s="2395"/>
      <c r="F164" s="2789"/>
      <c r="G164" s="1058">
        <v>40</v>
      </c>
      <c r="H164" s="1059"/>
      <c r="I164" s="1081">
        <f t="shared" si="36"/>
        <v>3.8177378061076156E-2</v>
      </c>
      <c r="J164" s="1082">
        <f t="shared" si="37"/>
        <v>0</v>
      </c>
      <c r="K164" s="1061">
        <v>1.5</v>
      </c>
      <c r="L164" s="1305"/>
      <c r="M164" s="1086">
        <f t="shared" si="38"/>
        <v>0</v>
      </c>
      <c r="N164" s="506"/>
      <c r="O164" s="365">
        <f t="shared" si="39"/>
        <v>40</v>
      </c>
      <c r="P164" s="366"/>
      <c r="Q164" s="135"/>
      <c r="R164" s="136"/>
      <c r="S164" s="129"/>
      <c r="T164" s="129"/>
      <c r="U164" s="129"/>
      <c r="V164" s="129"/>
      <c r="W164" s="129"/>
      <c r="X164" s="129"/>
      <c r="Y164" s="129"/>
      <c r="Z164" s="133"/>
      <c r="AA164" s="133"/>
      <c r="AB164" s="133"/>
      <c r="AC164" s="133"/>
      <c r="AD164" s="133"/>
      <c r="AE164" s="133"/>
      <c r="AF164" s="222"/>
      <c r="AG164" s="222"/>
      <c r="AH164" s="222"/>
      <c r="AI164" s="176"/>
      <c r="AJ164" s="176"/>
      <c r="AK164" s="176"/>
      <c r="AL164" s="176"/>
      <c r="AM164" s="176"/>
      <c r="AN164" s="176"/>
      <c r="AO164" s="176"/>
      <c r="AP164" s="176"/>
      <c r="AQ164" s="176"/>
      <c r="AR164" s="176"/>
      <c r="AS164" s="176"/>
      <c r="AT164" s="176"/>
      <c r="AU164" s="176"/>
      <c r="AV164" s="176"/>
      <c r="AW164" s="176"/>
      <c r="AX164" s="176"/>
      <c r="AY164" s="176"/>
      <c r="AZ164" s="176"/>
      <c r="BA164" s="176"/>
      <c r="BB164" s="176"/>
      <c r="BC164" s="176"/>
      <c r="BD164" s="176"/>
      <c r="BE164" s="176"/>
      <c r="BF164" s="176"/>
      <c r="BG164" s="176"/>
      <c r="BH164" s="176"/>
      <c r="BI164" s="176"/>
      <c r="BJ164" s="176"/>
      <c r="BK164" s="176"/>
      <c r="BL164" s="176"/>
      <c r="BM164" s="176"/>
      <c r="BN164" s="176"/>
      <c r="BO164" s="176"/>
    </row>
    <row r="165" spans="1:67" s="36" customFormat="1" ht="10.5" customHeight="1" x14ac:dyDescent="0.2">
      <c r="A165" s="1043" t="s">
        <v>311</v>
      </c>
      <c r="B165" s="2594"/>
      <c r="C165" s="2595"/>
      <c r="D165" s="2596"/>
      <c r="E165" s="2395"/>
      <c r="F165" s="2789"/>
      <c r="G165" s="1058">
        <v>40</v>
      </c>
      <c r="H165" s="1059"/>
      <c r="I165" s="1081">
        <f t="shared" si="36"/>
        <v>3.8177378061076156E-2</v>
      </c>
      <c r="J165" s="1082">
        <f t="shared" si="37"/>
        <v>0</v>
      </c>
      <c r="K165" s="1061">
        <v>1.5</v>
      </c>
      <c r="L165" s="1305"/>
      <c r="M165" s="1086">
        <f t="shared" si="38"/>
        <v>0</v>
      </c>
      <c r="N165" s="506"/>
      <c r="O165" s="365">
        <f t="shared" si="39"/>
        <v>40</v>
      </c>
      <c r="P165" s="366"/>
      <c r="Q165" s="135"/>
      <c r="R165" s="136"/>
      <c r="S165" s="129"/>
      <c r="T165" s="129"/>
      <c r="U165" s="129"/>
      <c r="V165" s="129"/>
      <c r="W165" s="129"/>
      <c r="X165" s="129"/>
      <c r="Y165" s="129"/>
      <c r="Z165" s="133"/>
      <c r="AA165" s="133"/>
      <c r="AB165" s="133"/>
      <c r="AC165" s="133"/>
      <c r="AD165" s="133"/>
      <c r="AE165" s="133"/>
      <c r="AF165" s="222"/>
      <c r="AG165" s="222"/>
      <c r="AH165" s="222"/>
      <c r="AI165" s="176"/>
      <c r="AJ165" s="176"/>
      <c r="AK165" s="176"/>
      <c r="AL165" s="176"/>
      <c r="AM165" s="176"/>
      <c r="AN165" s="176"/>
      <c r="AO165" s="176"/>
      <c r="AP165" s="176"/>
      <c r="AQ165" s="176"/>
      <c r="AR165" s="176"/>
      <c r="AS165" s="176"/>
      <c r="AT165" s="176"/>
      <c r="AU165" s="176"/>
      <c r="AV165" s="176"/>
      <c r="AW165" s="176"/>
      <c r="AX165" s="176"/>
      <c r="AY165" s="176"/>
      <c r="AZ165" s="176"/>
      <c r="BA165" s="176"/>
      <c r="BB165" s="176"/>
      <c r="BC165" s="176"/>
      <c r="BD165" s="176"/>
      <c r="BE165" s="176"/>
      <c r="BF165" s="176"/>
      <c r="BG165" s="176"/>
      <c r="BH165" s="176"/>
      <c r="BI165" s="176"/>
      <c r="BJ165" s="176"/>
      <c r="BK165" s="176"/>
      <c r="BL165" s="176"/>
      <c r="BM165" s="176"/>
      <c r="BN165" s="176"/>
      <c r="BO165" s="176"/>
    </row>
    <row r="166" spans="1:67" s="36" customFormat="1" ht="10.5" customHeight="1" x14ac:dyDescent="0.2">
      <c r="A166" s="1043" t="s">
        <v>312</v>
      </c>
      <c r="B166" s="2594"/>
      <c r="C166" s="2595"/>
      <c r="D166" s="2596"/>
      <c r="E166" s="2395"/>
      <c r="F166" s="2789"/>
      <c r="G166" s="1058">
        <v>40</v>
      </c>
      <c r="H166" s="1059"/>
      <c r="I166" s="1081">
        <f t="shared" si="36"/>
        <v>3.8177378061076156E-2</v>
      </c>
      <c r="J166" s="1082">
        <f t="shared" si="37"/>
        <v>0</v>
      </c>
      <c r="K166" s="1061">
        <v>1</v>
      </c>
      <c r="L166" s="1305"/>
      <c r="M166" s="1086">
        <f t="shared" si="38"/>
        <v>0</v>
      </c>
      <c r="N166" s="506"/>
      <c r="O166" s="365">
        <f t="shared" si="39"/>
        <v>40</v>
      </c>
      <c r="P166" s="366"/>
      <c r="Q166" s="135"/>
      <c r="R166" s="136"/>
      <c r="S166" s="129"/>
      <c r="T166" s="129"/>
      <c r="U166" s="129"/>
      <c r="V166" s="129"/>
      <c r="W166" s="129"/>
      <c r="X166" s="129"/>
      <c r="Y166" s="129"/>
      <c r="Z166" s="133"/>
      <c r="AA166" s="133"/>
      <c r="AB166" s="133"/>
      <c r="AC166" s="133"/>
      <c r="AD166" s="133"/>
      <c r="AE166" s="133"/>
      <c r="AF166" s="222"/>
      <c r="AG166" s="222"/>
      <c r="AH166" s="222"/>
      <c r="AI166" s="176"/>
      <c r="AJ166" s="176"/>
      <c r="AK166" s="176"/>
      <c r="AL166" s="176"/>
      <c r="AM166" s="176"/>
      <c r="AN166" s="176"/>
      <c r="AO166" s="176"/>
      <c r="AP166" s="176"/>
      <c r="AQ166" s="176"/>
      <c r="AR166" s="176"/>
      <c r="AS166" s="176"/>
      <c r="AT166" s="176"/>
      <c r="AU166" s="176"/>
      <c r="AV166" s="176"/>
      <c r="AW166" s="176"/>
      <c r="AX166" s="176"/>
      <c r="AY166" s="176"/>
      <c r="AZ166" s="176"/>
      <c r="BA166" s="176"/>
      <c r="BB166" s="176"/>
      <c r="BC166" s="176"/>
      <c r="BD166" s="176"/>
      <c r="BE166" s="176"/>
      <c r="BF166" s="176"/>
      <c r="BG166" s="176"/>
      <c r="BH166" s="176"/>
      <c r="BI166" s="176"/>
      <c r="BJ166" s="176"/>
      <c r="BK166" s="176"/>
      <c r="BL166" s="176"/>
      <c r="BM166" s="176"/>
      <c r="BN166" s="176"/>
      <c r="BO166" s="176"/>
    </row>
    <row r="167" spans="1:67" s="36" customFormat="1" ht="10.5" customHeight="1" x14ac:dyDescent="0.2">
      <c r="A167" s="1043" t="s">
        <v>313</v>
      </c>
      <c r="B167" s="2594"/>
      <c r="C167" s="2595"/>
      <c r="D167" s="2596"/>
      <c r="E167" s="2395"/>
      <c r="F167" s="2789"/>
      <c r="G167" s="1058">
        <v>40</v>
      </c>
      <c r="H167" s="1059"/>
      <c r="I167" s="1081">
        <f t="shared" si="36"/>
        <v>3.8177378061076156E-2</v>
      </c>
      <c r="J167" s="1082">
        <f t="shared" si="37"/>
        <v>0</v>
      </c>
      <c r="K167" s="1061">
        <v>1.5</v>
      </c>
      <c r="L167" s="1305"/>
      <c r="M167" s="1086">
        <f t="shared" si="38"/>
        <v>0</v>
      </c>
      <c r="N167" s="506"/>
      <c r="O167" s="365">
        <f t="shared" si="39"/>
        <v>40</v>
      </c>
      <c r="P167" s="366"/>
      <c r="Q167" s="135"/>
      <c r="R167" s="136"/>
      <c r="S167" s="129"/>
      <c r="T167" s="129"/>
      <c r="U167" s="129"/>
      <c r="V167" s="129"/>
      <c r="W167" s="129"/>
      <c r="X167" s="129"/>
      <c r="Y167" s="129"/>
      <c r="Z167" s="133"/>
      <c r="AA167" s="133"/>
      <c r="AB167" s="133"/>
      <c r="AC167" s="133"/>
      <c r="AD167" s="133"/>
      <c r="AE167" s="133"/>
      <c r="AF167" s="222"/>
      <c r="AG167" s="222"/>
      <c r="AH167" s="222"/>
      <c r="AI167" s="176"/>
      <c r="AJ167" s="176"/>
      <c r="AK167" s="176"/>
      <c r="AL167" s="176"/>
      <c r="AM167" s="176"/>
      <c r="AN167" s="176"/>
      <c r="AO167" s="176"/>
      <c r="AP167" s="176"/>
      <c r="AQ167" s="176"/>
      <c r="AR167" s="176"/>
      <c r="AS167" s="176"/>
      <c r="AT167" s="176"/>
      <c r="AU167" s="176"/>
      <c r="AV167" s="176"/>
      <c r="AW167" s="176"/>
      <c r="AX167" s="176"/>
      <c r="AY167" s="176"/>
      <c r="AZ167" s="176"/>
      <c r="BA167" s="176"/>
      <c r="BB167" s="176"/>
      <c r="BC167" s="176"/>
      <c r="BD167" s="176"/>
      <c r="BE167" s="176"/>
      <c r="BF167" s="176"/>
      <c r="BG167" s="176"/>
      <c r="BH167" s="176"/>
      <c r="BI167" s="176"/>
      <c r="BJ167" s="176"/>
      <c r="BK167" s="176"/>
      <c r="BL167" s="176"/>
      <c r="BM167" s="176"/>
      <c r="BN167" s="176"/>
      <c r="BO167" s="176"/>
    </row>
    <row r="168" spans="1:67" s="36" customFormat="1" ht="10.5" customHeight="1" x14ac:dyDescent="0.2">
      <c r="A168" s="1043" t="s">
        <v>314</v>
      </c>
      <c r="B168" s="2594"/>
      <c r="C168" s="2595"/>
      <c r="D168" s="2596"/>
      <c r="E168" s="2395"/>
      <c r="F168" s="2789"/>
      <c r="G168" s="1058">
        <v>20</v>
      </c>
      <c r="H168" s="1059"/>
      <c r="I168" s="1081">
        <f t="shared" si="36"/>
        <v>6.2642070767998229E-2</v>
      </c>
      <c r="J168" s="1082">
        <f t="shared" si="37"/>
        <v>0</v>
      </c>
      <c r="K168" s="1061">
        <v>1.5</v>
      </c>
      <c r="L168" s="1305"/>
      <c r="M168" s="1086">
        <f t="shared" si="38"/>
        <v>0</v>
      </c>
      <c r="N168" s="506"/>
      <c r="O168" s="365">
        <f t="shared" si="39"/>
        <v>20</v>
      </c>
      <c r="P168" s="366"/>
      <c r="Q168" s="135"/>
      <c r="R168" s="136"/>
      <c r="S168" s="129"/>
      <c r="T168" s="129"/>
      <c r="U168" s="129"/>
      <c r="V168" s="129"/>
      <c r="W168" s="129"/>
      <c r="X168" s="129"/>
      <c r="Y168" s="129"/>
      <c r="Z168" s="133"/>
      <c r="AA168" s="133"/>
      <c r="AB168" s="133"/>
      <c r="AC168" s="133"/>
      <c r="AD168" s="133"/>
      <c r="AE168" s="133"/>
      <c r="AF168" s="222"/>
      <c r="AG168" s="222"/>
      <c r="AH168" s="222"/>
      <c r="AI168" s="176"/>
      <c r="AJ168" s="176"/>
      <c r="AK168" s="176"/>
      <c r="AL168" s="176"/>
      <c r="AM168" s="176"/>
      <c r="AN168" s="176"/>
      <c r="AO168" s="176"/>
      <c r="AP168" s="176"/>
      <c r="AQ168" s="176"/>
      <c r="AR168" s="176"/>
      <c r="AS168" s="176"/>
      <c r="AT168" s="176"/>
      <c r="AU168" s="176"/>
      <c r="AV168" s="176"/>
      <c r="AW168" s="176"/>
      <c r="AX168" s="176"/>
      <c r="AY168" s="176"/>
      <c r="AZ168" s="176"/>
      <c r="BA168" s="176"/>
      <c r="BB168" s="176"/>
      <c r="BC168" s="176"/>
      <c r="BD168" s="176"/>
      <c r="BE168" s="176"/>
      <c r="BF168" s="176"/>
      <c r="BG168" s="176"/>
      <c r="BH168" s="176"/>
      <c r="BI168" s="176"/>
      <c r="BJ168" s="176"/>
      <c r="BK168" s="176"/>
      <c r="BL168" s="176"/>
      <c r="BM168" s="176"/>
      <c r="BN168" s="176"/>
      <c r="BO168" s="176"/>
    </row>
    <row r="169" spans="1:67" s="36" customFormat="1" ht="10.5" customHeight="1" x14ac:dyDescent="0.2">
      <c r="A169" s="1043" t="s">
        <v>315</v>
      </c>
      <c r="B169" s="2594"/>
      <c r="C169" s="2595"/>
      <c r="D169" s="2596"/>
      <c r="E169" s="2395"/>
      <c r="F169" s="2789"/>
      <c r="G169" s="1058">
        <v>40</v>
      </c>
      <c r="H169" s="1059"/>
      <c r="I169" s="1081">
        <f t="shared" si="36"/>
        <v>3.8177378061076156E-2</v>
      </c>
      <c r="J169" s="1082">
        <f t="shared" si="37"/>
        <v>0</v>
      </c>
      <c r="K169" s="1061">
        <v>1</v>
      </c>
      <c r="L169" s="1305"/>
      <c r="M169" s="1086">
        <f t="shared" si="38"/>
        <v>0</v>
      </c>
      <c r="N169" s="506"/>
      <c r="O169" s="365">
        <f t="shared" si="39"/>
        <v>40</v>
      </c>
      <c r="P169" s="366"/>
      <c r="Q169" s="135"/>
      <c r="R169" s="136"/>
      <c r="S169" s="129"/>
      <c r="T169" s="129"/>
      <c r="U169" s="129"/>
      <c r="V169" s="129"/>
      <c r="W169" s="129"/>
      <c r="X169" s="129"/>
      <c r="Y169" s="129"/>
      <c r="Z169" s="133"/>
      <c r="AA169" s="133"/>
      <c r="AB169" s="133"/>
      <c r="AC169" s="133"/>
      <c r="AD169" s="133"/>
      <c r="AE169" s="133"/>
      <c r="AF169" s="222"/>
      <c r="AG169" s="222"/>
      <c r="AH169" s="222"/>
      <c r="AI169" s="176"/>
      <c r="AJ169" s="176"/>
      <c r="AK169" s="176"/>
      <c r="AL169" s="176"/>
      <c r="AM169" s="176"/>
      <c r="AN169" s="176"/>
      <c r="AO169" s="176"/>
      <c r="AP169" s="176"/>
      <c r="AQ169" s="176"/>
      <c r="AR169" s="176"/>
      <c r="AS169" s="176"/>
      <c r="AT169" s="176"/>
      <c r="AU169" s="176"/>
      <c r="AV169" s="176"/>
      <c r="AW169" s="176"/>
      <c r="AX169" s="176"/>
      <c r="AY169" s="176"/>
      <c r="AZ169" s="176"/>
      <c r="BA169" s="176"/>
      <c r="BB169" s="176"/>
      <c r="BC169" s="176"/>
      <c r="BD169" s="176"/>
      <c r="BE169" s="176"/>
      <c r="BF169" s="176"/>
      <c r="BG169" s="176"/>
      <c r="BH169" s="176"/>
      <c r="BI169" s="176"/>
      <c r="BJ169" s="176"/>
      <c r="BK169" s="176"/>
      <c r="BL169" s="176"/>
      <c r="BM169" s="176"/>
      <c r="BN169" s="176"/>
      <c r="BO169" s="176"/>
    </row>
    <row r="170" spans="1:67" s="36" customFormat="1" ht="10.5" customHeight="1" x14ac:dyDescent="0.2">
      <c r="A170" s="1043" t="s">
        <v>273</v>
      </c>
      <c r="B170" s="2594"/>
      <c r="C170" s="2595"/>
      <c r="D170" s="2596"/>
      <c r="E170" s="2395"/>
      <c r="F170" s="2789"/>
      <c r="G170" s="1058">
        <v>20</v>
      </c>
      <c r="H170" s="1059"/>
      <c r="I170" s="1081">
        <f t="shared" si="36"/>
        <v>6.2642070767998229E-2</v>
      </c>
      <c r="J170" s="1082">
        <f t="shared" si="37"/>
        <v>0</v>
      </c>
      <c r="K170" s="1061">
        <v>8</v>
      </c>
      <c r="L170" s="1305"/>
      <c r="M170" s="1086">
        <f t="shared" si="38"/>
        <v>0</v>
      </c>
      <c r="N170" s="506"/>
      <c r="O170" s="365">
        <f t="shared" si="39"/>
        <v>20</v>
      </c>
      <c r="P170" s="366"/>
      <c r="Q170" s="135"/>
      <c r="R170" s="136"/>
      <c r="S170" s="129"/>
      <c r="T170" s="129"/>
      <c r="U170" s="129"/>
      <c r="V170" s="129"/>
      <c r="W170" s="129"/>
      <c r="X170" s="129"/>
      <c r="Y170" s="129"/>
      <c r="Z170" s="133"/>
      <c r="AA170" s="133"/>
      <c r="AB170" s="133"/>
      <c r="AC170" s="133"/>
      <c r="AD170" s="133"/>
      <c r="AE170" s="133"/>
      <c r="AF170" s="222"/>
      <c r="AG170" s="222"/>
      <c r="AH170" s="222"/>
      <c r="AI170" s="176"/>
      <c r="AJ170" s="176"/>
      <c r="AK170" s="176"/>
      <c r="AL170" s="176"/>
      <c r="AM170" s="176"/>
      <c r="AN170" s="176"/>
      <c r="AO170" s="176"/>
      <c r="AP170" s="176"/>
      <c r="AQ170" s="176"/>
      <c r="AR170" s="176"/>
      <c r="AS170" s="176"/>
      <c r="AT170" s="176"/>
      <c r="AU170" s="176"/>
      <c r="AV170" s="176"/>
      <c r="AW170" s="176"/>
      <c r="AX170" s="176"/>
      <c r="AY170" s="176"/>
      <c r="AZ170" s="176"/>
      <c r="BA170" s="176"/>
      <c r="BB170" s="176"/>
      <c r="BC170" s="176"/>
      <c r="BD170" s="176"/>
      <c r="BE170" s="176"/>
      <c r="BF170" s="176"/>
      <c r="BG170" s="176"/>
      <c r="BH170" s="176"/>
      <c r="BI170" s="176"/>
      <c r="BJ170" s="176"/>
      <c r="BK170" s="176"/>
      <c r="BL170" s="176"/>
      <c r="BM170" s="176"/>
      <c r="BN170" s="176"/>
      <c r="BO170" s="176"/>
    </row>
    <row r="171" spans="1:67" s="36" customFormat="1" ht="10.5" customHeight="1" x14ac:dyDescent="0.2">
      <c r="A171" s="1043" t="s">
        <v>274</v>
      </c>
      <c r="B171" s="2594"/>
      <c r="C171" s="2595"/>
      <c r="D171" s="2596"/>
      <c r="E171" s="2395"/>
      <c r="F171" s="2789"/>
      <c r="G171" s="1058">
        <v>30</v>
      </c>
      <c r="H171" s="1059"/>
      <c r="I171" s="1081">
        <f t="shared" si="36"/>
        <v>4.6199342169092869E-2</v>
      </c>
      <c r="J171" s="1082">
        <f t="shared" si="37"/>
        <v>0</v>
      </c>
      <c r="K171" s="1061"/>
      <c r="L171" s="1305"/>
      <c r="M171" s="1086">
        <f t="shared" si="38"/>
        <v>0</v>
      </c>
      <c r="N171" s="506"/>
      <c r="O171" s="365">
        <f t="shared" si="39"/>
        <v>30</v>
      </c>
      <c r="P171" s="366"/>
      <c r="Q171" s="135"/>
      <c r="R171" s="136"/>
      <c r="S171" s="129"/>
      <c r="T171" s="129"/>
      <c r="U171" s="129"/>
      <c r="V171" s="129"/>
      <c r="W171" s="129"/>
      <c r="X171" s="129"/>
      <c r="Y171" s="129"/>
      <c r="Z171" s="133"/>
      <c r="AA171" s="133"/>
      <c r="AB171" s="133"/>
      <c r="AC171" s="133"/>
      <c r="AD171" s="133"/>
      <c r="AE171" s="133"/>
      <c r="AF171" s="222"/>
      <c r="AG171" s="222"/>
      <c r="AH171" s="222"/>
      <c r="AI171" s="176"/>
      <c r="AJ171" s="176"/>
      <c r="AK171" s="176"/>
      <c r="AL171" s="176"/>
      <c r="AM171" s="176"/>
      <c r="AN171" s="176"/>
      <c r="AO171" s="176"/>
      <c r="AP171" s="176"/>
      <c r="AQ171" s="176"/>
      <c r="AR171" s="176"/>
      <c r="AS171" s="176"/>
      <c r="AT171" s="176"/>
      <c r="AU171" s="176"/>
      <c r="AV171" s="176"/>
      <c r="AW171" s="176"/>
      <c r="AX171" s="176"/>
      <c r="AY171" s="176"/>
      <c r="AZ171" s="176"/>
      <c r="BA171" s="176"/>
      <c r="BB171" s="176"/>
      <c r="BC171" s="176"/>
      <c r="BD171" s="176"/>
      <c r="BE171" s="176"/>
      <c r="BF171" s="176"/>
      <c r="BG171" s="176"/>
      <c r="BH171" s="176"/>
      <c r="BI171" s="176"/>
      <c r="BJ171" s="176"/>
      <c r="BK171" s="176"/>
      <c r="BL171" s="176"/>
      <c r="BM171" s="176"/>
      <c r="BN171" s="176"/>
      <c r="BO171" s="176"/>
    </row>
    <row r="172" spans="1:67" s="36" customFormat="1" ht="10.5" customHeight="1" x14ac:dyDescent="0.2">
      <c r="A172" s="1055"/>
      <c r="B172" s="2594"/>
      <c r="C172" s="2595"/>
      <c r="D172" s="2596"/>
      <c r="E172" s="2395"/>
      <c r="F172" s="2396"/>
      <c r="G172" s="2590"/>
      <c r="H172" s="2591"/>
      <c r="I172" s="1081">
        <f t="shared" si="36"/>
        <v>0</v>
      </c>
      <c r="J172" s="1082">
        <f t="shared" si="37"/>
        <v>0</v>
      </c>
      <c r="K172" s="2588"/>
      <c r="L172" s="2589"/>
      <c r="M172" s="1086">
        <f t="shared" si="38"/>
        <v>0</v>
      </c>
      <c r="N172" s="506"/>
      <c r="O172" s="365">
        <f t="shared" si="39"/>
        <v>0</v>
      </c>
      <c r="P172" s="366"/>
      <c r="Q172" s="135"/>
      <c r="R172" s="136"/>
      <c r="S172" s="129"/>
      <c r="T172" s="129"/>
      <c r="U172" s="129"/>
      <c r="V172" s="129"/>
      <c r="W172" s="129"/>
      <c r="X172" s="129"/>
      <c r="Y172" s="129"/>
      <c r="Z172" s="133"/>
      <c r="AA172" s="133"/>
      <c r="AB172" s="133"/>
      <c r="AC172" s="133"/>
      <c r="AD172" s="133"/>
      <c r="AE172" s="133"/>
      <c r="AF172" s="222"/>
      <c r="AG172" s="222"/>
      <c r="AH172" s="222"/>
      <c r="AI172" s="176"/>
      <c r="AJ172" s="176"/>
      <c r="AK172" s="176"/>
      <c r="AL172" s="176"/>
      <c r="AM172" s="176"/>
      <c r="AN172" s="176"/>
      <c r="AO172" s="176"/>
      <c r="AP172" s="176"/>
      <c r="AQ172" s="176"/>
      <c r="AR172" s="176"/>
      <c r="AS172" s="176"/>
      <c r="AT172" s="176"/>
      <c r="AU172" s="176"/>
      <c r="AV172" s="176"/>
      <c r="AW172" s="176"/>
      <c r="AX172" s="176"/>
      <c r="AY172" s="176"/>
      <c r="AZ172" s="176"/>
      <c r="BA172" s="176"/>
      <c r="BB172" s="176"/>
      <c r="BC172" s="176"/>
      <c r="BD172" s="176"/>
      <c r="BE172" s="176"/>
      <c r="BF172" s="176"/>
      <c r="BG172" s="176"/>
      <c r="BH172" s="176"/>
      <c r="BI172" s="176"/>
      <c r="BJ172" s="176"/>
      <c r="BK172" s="176"/>
      <c r="BL172" s="176"/>
      <c r="BM172" s="176"/>
      <c r="BN172" s="176"/>
      <c r="BO172" s="176"/>
    </row>
    <row r="173" spans="1:67" s="36" customFormat="1" ht="10.5" customHeight="1" x14ac:dyDescent="0.2">
      <c r="A173" s="1055"/>
      <c r="B173" s="2594"/>
      <c r="C173" s="2595"/>
      <c r="D173" s="2596"/>
      <c r="E173" s="2395"/>
      <c r="F173" s="2396"/>
      <c r="G173" s="2590"/>
      <c r="H173" s="2591"/>
      <c r="I173" s="1081">
        <f t="shared" si="36"/>
        <v>0</v>
      </c>
      <c r="J173" s="1082">
        <f t="shared" si="37"/>
        <v>0</v>
      </c>
      <c r="K173" s="2588"/>
      <c r="L173" s="2589"/>
      <c r="M173" s="1086">
        <f t="shared" si="38"/>
        <v>0</v>
      </c>
      <c r="N173" s="506"/>
      <c r="O173" s="365">
        <f t="shared" si="39"/>
        <v>0</v>
      </c>
      <c r="P173" s="366"/>
      <c r="Q173" s="135"/>
      <c r="R173" s="136"/>
      <c r="S173" s="129"/>
      <c r="T173" s="129"/>
      <c r="U173" s="129"/>
      <c r="V173" s="129"/>
      <c r="W173" s="129"/>
      <c r="X173" s="129"/>
      <c r="Y173" s="129"/>
      <c r="Z173" s="133"/>
      <c r="AA173" s="133"/>
      <c r="AB173" s="133"/>
      <c r="AC173" s="133"/>
      <c r="AD173" s="133"/>
      <c r="AE173" s="133"/>
      <c r="AF173" s="222"/>
      <c r="AG173" s="222"/>
      <c r="AH173" s="222"/>
      <c r="AI173" s="176"/>
      <c r="AJ173" s="176"/>
      <c r="AK173" s="176"/>
      <c r="AL173" s="176"/>
      <c r="AM173" s="176"/>
      <c r="AN173" s="176"/>
      <c r="AO173" s="176"/>
      <c r="AP173" s="176"/>
      <c r="AQ173" s="176"/>
      <c r="AR173" s="176"/>
      <c r="AS173" s="176"/>
      <c r="AT173" s="176"/>
      <c r="AU173" s="176"/>
      <c r="AV173" s="176"/>
      <c r="AW173" s="176"/>
      <c r="AX173" s="176"/>
      <c r="AY173" s="176"/>
      <c r="AZ173" s="176"/>
      <c r="BA173" s="176"/>
      <c r="BB173" s="176"/>
      <c r="BC173" s="176"/>
      <c r="BD173" s="176"/>
      <c r="BE173" s="176"/>
      <c r="BF173" s="176"/>
      <c r="BG173" s="176"/>
      <c r="BH173" s="176"/>
      <c r="BI173" s="176"/>
      <c r="BJ173" s="176"/>
      <c r="BK173" s="176"/>
      <c r="BL173" s="176"/>
      <c r="BM173" s="176"/>
      <c r="BN173" s="176"/>
      <c r="BO173" s="176"/>
    </row>
    <row r="174" spans="1:67" s="36" customFormat="1" ht="10.5" customHeight="1" x14ac:dyDescent="0.2">
      <c r="A174" s="1055"/>
      <c r="B174" s="2594"/>
      <c r="C174" s="2595"/>
      <c r="D174" s="2596"/>
      <c r="E174" s="2395"/>
      <c r="F174" s="2396"/>
      <c r="G174" s="2590"/>
      <c r="H174" s="2591"/>
      <c r="I174" s="1081">
        <f t="shared" si="36"/>
        <v>0</v>
      </c>
      <c r="J174" s="1082">
        <f t="shared" si="37"/>
        <v>0</v>
      </c>
      <c r="K174" s="2588"/>
      <c r="L174" s="2589"/>
      <c r="M174" s="1086">
        <f t="shared" si="38"/>
        <v>0</v>
      </c>
      <c r="N174" s="506"/>
      <c r="O174" s="365">
        <f t="shared" si="39"/>
        <v>0</v>
      </c>
      <c r="P174" s="366"/>
      <c r="Q174" s="135"/>
      <c r="R174" s="136"/>
      <c r="S174" s="129"/>
      <c r="T174" s="129"/>
      <c r="U174" s="129"/>
      <c r="V174" s="129"/>
      <c r="W174" s="129"/>
      <c r="X174" s="129"/>
      <c r="Y174" s="129"/>
      <c r="Z174" s="133"/>
      <c r="AA174" s="133"/>
      <c r="AB174" s="133"/>
      <c r="AC174" s="133"/>
      <c r="AD174" s="133"/>
      <c r="AE174" s="133"/>
      <c r="AF174" s="222"/>
      <c r="AG174" s="222"/>
      <c r="AH174" s="222"/>
      <c r="AI174" s="176"/>
      <c r="AJ174" s="176"/>
      <c r="AK174" s="176"/>
      <c r="AL174" s="176"/>
      <c r="AM174" s="176"/>
      <c r="AN174" s="176"/>
      <c r="AO174" s="176"/>
      <c r="AP174" s="176"/>
      <c r="AQ174" s="176"/>
      <c r="AR174" s="176"/>
      <c r="AS174" s="176"/>
      <c r="AT174" s="176"/>
      <c r="AU174" s="176"/>
      <c r="AV174" s="176"/>
      <c r="AW174" s="176"/>
      <c r="AX174" s="176"/>
      <c r="AY174" s="176"/>
      <c r="AZ174" s="176"/>
      <c r="BA174" s="176"/>
      <c r="BB174" s="176"/>
      <c r="BC174" s="176"/>
      <c r="BD174" s="176"/>
      <c r="BE174" s="176"/>
      <c r="BF174" s="176"/>
      <c r="BG174" s="176"/>
      <c r="BH174" s="176"/>
      <c r="BI174" s="176"/>
      <c r="BJ174" s="176"/>
      <c r="BK174" s="176"/>
      <c r="BL174" s="176"/>
      <c r="BM174" s="176"/>
      <c r="BN174" s="176"/>
      <c r="BO174" s="176"/>
    </row>
    <row r="175" spans="1:67" s="36" customFormat="1" ht="10.5" customHeight="1" x14ac:dyDescent="0.2">
      <c r="A175" s="1055"/>
      <c r="B175" s="2594"/>
      <c r="C175" s="2595"/>
      <c r="D175" s="2596"/>
      <c r="E175" s="2395"/>
      <c r="F175" s="2396"/>
      <c r="G175" s="2590"/>
      <c r="H175" s="2591"/>
      <c r="I175" s="1081">
        <f t="shared" si="36"/>
        <v>0</v>
      </c>
      <c r="J175" s="1082">
        <f t="shared" si="37"/>
        <v>0</v>
      </c>
      <c r="K175" s="2588"/>
      <c r="L175" s="2589"/>
      <c r="M175" s="1086">
        <f t="shared" si="38"/>
        <v>0</v>
      </c>
      <c r="N175" s="506"/>
      <c r="O175" s="365">
        <f t="shared" si="39"/>
        <v>0</v>
      </c>
      <c r="P175" s="366"/>
      <c r="Q175" s="135"/>
      <c r="R175" s="136"/>
      <c r="S175" s="129"/>
      <c r="T175" s="129"/>
      <c r="U175" s="129"/>
      <c r="V175" s="129"/>
      <c r="W175" s="129"/>
      <c r="X175" s="129"/>
      <c r="Y175" s="129"/>
      <c r="Z175" s="133"/>
      <c r="AA175" s="133"/>
      <c r="AB175" s="133"/>
      <c r="AC175" s="133"/>
      <c r="AD175" s="133"/>
      <c r="AE175" s="133"/>
      <c r="AF175" s="222"/>
      <c r="AG175" s="222"/>
      <c r="AH175" s="222"/>
      <c r="AI175" s="176"/>
      <c r="AJ175" s="176"/>
      <c r="AK175" s="176"/>
      <c r="AL175" s="176"/>
      <c r="AM175" s="176"/>
      <c r="AN175" s="176"/>
      <c r="AO175" s="176"/>
      <c r="AP175" s="176"/>
      <c r="AQ175" s="176"/>
      <c r="AR175" s="176"/>
      <c r="AS175" s="176"/>
      <c r="AT175" s="176"/>
      <c r="AU175" s="176"/>
      <c r="AV175" s="176"/>
      <c r="AW175" s="176"/>
      <c r="AX175" s="176"/>
      <c r="AY175" s="176"/>
      <c r="AZ175" s="176"/>
      <c r="BA175" s="176"/>
      <c r="BB175" s="176"/>
      <c r="BC175" s="176"/>
      <c r="BD175" s="176"/>
      <c r="BE175" s="176"/>
      <c r="BF175" s="176"/>
      <c r="BG175" s="176"/>
      <c r="BH175" s="176"/>
      <c r="BI175" s="176"/>
      <c r="BJ175" s="176"/>
      <c r="BK175" s="176"/>
      <c r="BL175" s="176"/>
      <c r="BM175" s="176"/>
      <c r="BN175" s="176"/>
      <c r="BO175" s="176"/>
    </row>
    <row r="176" spans="1:67" s="36" customFormat="1" ht="10.5" customHeight="1" x14ac:dyDescent="0.2">
      <c r="A176" s="1348"/>
      <c r="B176" s="2690"/>
      <c r="C176" s="2691"/>
      <c r="D176" s="2692"/>
      <c r="E176" s="2601"/>
      <c r="F176" s="2602"/>
      <c r="G176" s="1088"/>
      <c r="H176" s="1089"/>
      <c r="I176" s="1083">
        <f t="shared" si="36"/>
        <v>0</v>
      </c>
      <c r="J176" s="1084"/>
      <c r="K176" s="1087"/>
      <c r="L176" s="1307"/>
      <c r="M176" s="1317">
        <f t="shared" si="38"/>
        <v>0</v>
      </c>
      <c r="N176" s="506"/>
      <c r="O176" s="365">
        <f t="shared" si="39"/>
        <v>0</v>
      </c>
      <c r="P176" s="366"/>
      <c r="Q176" s="135"/>
      <c r="R176" s="136"/>
      <c r="S176" s="129"/>
      <c r="T176" s="129"/>
      <c r="U176" s="129"/>
      <c r="V176" s="129"/>
      <c r="W176" s="129"/>
      <c r="X176" s="129"/>
      <c r="Y176" s="129"/>
      <c r="Z176" s="133"/>
      <c r="AA176" s="133"/>
      <c r="AB176" s="133"/>
      <c r="AC176" s="133"/>
      <c r="AD176" s="133"/>
      <c r="AE176" s="133"/>
      <c r="AF176" s="222"/>
      <c r="AG176" s="222"/>
      <c r="AH176" s="222"/>
      <c r="AI176" s="176"/>
      <c r="AJ176" s="176"/>
      <c r="AK176" s="176"/>
      <c r="AL176" s="176"/>
      <c r="AM176" s="176"/>
      <c r="AN176" s="176"/>
      <c r="AO176" s="176"/>
      <c r="AP176" s="176"/>
      <c r="AQ176" s="176"/>
      <c r="AR176" s="176"/>
      <c r="AS176" s="176"/>
      <c r="AT176" s="176"/>
      <c r="AU176" s="176"/>
      <c r="AV176" s="176"/>
      <c r="AW176" s="176"/>
      <c r="AX176" s="176"/>
      <c r="AY176" s="176"/>
      <c r="AZ176" s="176"/>
      <c r="BA176" s="176"/>
      <c r="BB176" s="176"/>
      <c r="BC176" s="176"/>
      <c r="BD176" s="176"/>
      <c r="BE176" s="176"/>
      <c r="BF176" s="176"/>
      <c r="BG176" s="176"/>
      <c r="BH176" s="176"/>
      <c r="BI176" s="176"/>
      <c r="BJ176" s="176"/>
      <c r="BK176" s="176"/>
      <c r="BL176" s="176"/>
      <c r="BM176" s="176"/>
      <c r="BN176" s="176"/>
      <c r="BO176" s="176"/>
    </row>
    <row r="177" spans="1:67" s="36" customFormat="1" ht="10.5" customHeight="1" x14ac:dyDescent="0.2">
      <c r="A177" s="1115" t="s">
        <v>316</v>
      </c>
      <c r="B177" s="2611"/>
      <c r="C177" s="2612"/>
      <c r="D177" s="2613"/>
      <c r="E177" s="2676">
        <f>SUM(E178:E190)</f>
        <v>0</v>
      </c>
      <c r="F177" s="2677"/>
      <c r="G177" s="2678"/>
      <c r="H177" s="2679"/>
      <c r="I177" s="1116">
        <f>IF(E177=0,0,J177/E177)</f>
        <v>0</v>
      </c>
      <c r="J177" s="1117">
        <f>SUM(J178:J190)</f>
        <v>0</v>
      </c>
      <c r="K177" s="2686">
        <f>IF(E177=0,0,M177/E177*100)</f>
        <v>0</v>
      </c>
      <c r="L177" s="2687"/>
      <c r="M177" s="1118">
        <f>SUM(M178:M190)</f>
        <v>0</v>
      </c>
      <c r="N177" s="506"/>
      <c r="O177" s="178">
        <f>IF(H177="",G177,H177)</f>
        <v>0</v>
      </c>
      <c r="P177" s="366"/>
      <c r="Q177" s="135"/>
      <c r="R177" s="136"/>
      <c r="S177" s="129"/>
      <c r="T177" s="129"/>
      <c r="U177" s="129"/>
      <c r="V177" s="129"/>
      <c r="W177" s="129"/>
      <c r="X177" s="129"/>
      <c r="Y177" s="129"/>
      <c r="Z177" s="133"/>
      <c r="AA177" s="133"/>
      <c r="AB177" s="133"/>
      <c r="AC177" s="133"/>
      <c r="AD177" s="133"/>
      <c r="AE177" s="133"/>
      <c r="AF177" s="222"/>
      <c r="AG177" s="222"/>
      <c r="AH177" s="222"/>
      <c r="AI177" s="176"/>
      <c r="AJ177" s="176"/>
      <c r="AK177" s="176"/>
      <c r="AL177" s="176"/>
      <c r="AM177" s="176"/>
      <c r="AN177" s="176"/>
      <c r="AO177" s="176"/>
      <c r="AP177" s="176"/>
      <c r="AQ177" s="176"/>
      <c r="AR177" s="176"/>
      <c r="AS177" s="176"/>
      <c r="AT177" s="176"/>
      <c r="AU177" s="176"/>
      <c r="AV177" s="176"/>
      <c r="AW177" s="176"/>
      <c r="AX177" s="176"/>
      <c r="AY177" s="176"/>
      <c r="AZ177" s="176"/>
      <c r="BA177" s="176"/>
      <c r="BB177" s="176"/>
      <c r="BC177" s="176"/>
      <c r="BD177" s="176"/>
      <c r="BE177" s="176"/>
      <c r="BF177" s="176"/>
      <c r="BG177" s="176"/>
      <c r="BH177" s="176"/>
      <c r="BI177" s="176"/>
      <c r="BJ177" s="176"/>
      <c r="BK177" s="176"/>
      <c r="BL177" s="176"/>
      <c r="BM177" s="176"/>
      <c r="BN177" s="176"/>
      <c r="BO177" s="176"/>
    </row>
    <row r="178" spans="1:67" s="36" customFormat="1" ht="10.5" customHeight="1" x14ac:dyDescent="0.2">
      <c r="A178" s="1359" t="s">
        <v>680</v>
      </c>
      <c r="B178" s="2743"/>
      <c r="C178" s="2744"/>
      <c r="D178" s="2745"/>
      <c r="E178" s="2746"/>
      <c r="F178" s="2788"/>
      <c r="G178" s="1056">
        <v>25</v>
      </c>
      <c r="H178" s="1057"/>
      <c r="I178" s="1079">
        <f t="shared" ref="I178:I191" si="40">IF($O178&gt;0,-PMT(($I$9),$O178,1),0)</f>
        <v>5.2735988908240251E-2</v>
      </c>
      <c r="J178" s="1080">
        <f t="shared" ref="J178:J190" si="41">ROUND(E178*I178,0)</f>
        <v>0</v>
      </c>
      <c r="K178" s="1060">
        <v>4</v>
      </c>
      <c r="L178" s="1304"/>
      <c r="M178" s="1085">
        <f t="shared" ref="M178:M191" si="42">ROUND(E178/100*IF(ISBLANK(L178),K178,L178),0)</f>
        <v>0</v>
      </c>
      <c r="N178" s="506"/>
      <c r="O178" s="365">
        <f t="shared" ref="O178:O191" si="43">IF(ISBLANK(H178),G178,H178)</f>
        <v>25</v>
      </c>
      <c r="P178" s="366"/>
      <c r="Q178" s="135"/>
      <c r="R178" s="136"/>
      <c r="S178" s="129"/>
      <c r="T178" s="129"/>
      <c r="U178" s="129"/>
      <c r="V178" s="129"/>
      <c r="W178" s="129"/>
      <c r="X178" s="129"/>
      <c r="Y178" s="129"/>
      <c r="Z178" s="133"/>
      <c r="AA178" s="133"/>
      <c r="AB178" s="133"/>
      <c r="AC178" s="133"/>
      <c r="AD178" s="133"/>
      <c r="AE178" s="133"/>
      <c r="AF178" s="222"/>
      <c r="AG178" s="222"/>
      <c r="AH178" s="222"/>
      <c r="AI178" s="176"/>
      <c r="AJ178" s="176"/>
      <c r="AK178" s="176"/>
      <c r="AL178" s="176"/>
      <c r="AM178" s="176"/>
      <c r="AN178" s="176"/>
      <c r="AO178" s="176"/>
      <c r="AP178" s="176"/>
      <c r="AQ178" s="176"/>
      <c r="AR178" s="176"/>
      <c r="AS178" s="176"/>
      <c r="AT178" s="176"/>
      <c r="AU178" s="176"/>
      <c r="AV178" s="176"/>
      <c r="AW178" s="176"/>
      <c r="AX178" s="176"/>
      <c r="AY178" s="176"/>
      <c r="AZ178" s="176"/>
      <c r="BA178" s="176"/>
      <c r="BB178" s="176"/>
      <c r="BC178" s="176"/>
      <c r="BD178" s="176"/>
      <c r="BE178" s="176"/>
      <c r="BF178" s="176"/>
      <c r="BG178" s="176"/>
      <c r="BH178" s="176"/>
      <c r="BI178" s="176"/>
      <c r="BJ178" s="176"/>
      <c r="BK178" s="176"/>
      <c r="BL178" s="176"/>
      <c r="BM178" s="176"/>
      <c r="BN178" s="176"/>
      <c r="BO178" s="176"/>
    </row>
    <row r="179" spans="1:67" s="36" customFormat="1" ht="10.5" customHeight="1" x14ac:dyDescent="0.2">
      <c r="A179" s="1043" t="s">
        <v>317</v>
      </c>
      <c r="B179" s="2594"/>
      <c r="C179" s="2595"/>
      <c r="D179" s="2596"/>
      <c r="E179" s="2395"/>
      <c r="F179" s="2789"/>
      <c r="G179" s="1058">
        <v>25</v>
      </c>
      <c r="H179" s="1059"/>
      <c r="I179" s="1081">
        <f t="shared" si="40"/>
        <v>5.2735988908240251E-2</v>
      </c>
      <c r="J179" s="1082">
        <f t="shared" si="41"/>
        <v>0</v>
      </c>
      <c r="K179" s="1061">
        <v>2</v>
      </c>
      <c r="L179" s="1305"/>
      <c r="M179" s="1086">
        <f t="shared" si="42"/>
        <v>0</v>
      </c>
      <c r="N179" s="506"/>
      <c r="O179" s="365">
        <f t="shared" si="43"/>
        <v>25</v>
      </c>
      <c r="P179" s="366"/>
      <c r="Q179" s="135"/>
      <c r="R179" s="136"/>
      <c r="S179" s="129"/>
      <c r="T179" s="129"/>
      <c r="U179" s="129"/>
      <c r="V179" s="129"/>
      <c r="W179" s="129"/>
      <c r="X179" s="129"/>
      <c r="Y179" s="129"/>
      <c r="Z179" s="133"/>
      <c r="AA179" s="133"/>
      <c r="AB179" s="133"/>
      <c r="AC179" s="133"/>
      <c r="AD179" s="133"/>
      <c r="AE179" s="133"/>
      <c r="AF179" s="222"/>
      <c r="AG179" s="222"/>
      <c r="AH179" s="222"/>
      <c r="AI179" s="176"/>
      <c r="AJ179" s="176"/>
      <c r="AK179" s="176"/>
      <c r="AL179" s="176"/>
      <c r="AM179" s="176"/>
      <c r="AN179" s="176"/>
      <c r="AO179" s="176"/>
      <c r="AP179" s="176"/>
      <c r="AQ179" s="176"/>
      <c r="AR179" s="176"/>
      <c r="AS179" s="176"/>
      <c r="AT179" s="176"/>
      <c r="AU179" s="176"/>
      <c r="AV179" s="176"/>
      <c r="AW179" s="176"/>
      <c r="AX179" s="176"/>
      <c r="AY179" s="176"/>
      <c r="AZ179" s="176"/>
      <c r="BA179" s="176"/>
      <c r="BB179" s="176"/>
      <c r="BC179" s="176"/>
      <c r="BD179" s="176"/>
      <c r="BE179" s="176"/>
      <c r="BF179" s="176"/>
      <c r="BG179" s="176"/>
      <c r="BH179" s="176"/>
      <c r="BI179" s="176"/>
      <c r="BJ179" s="176"/>
      <c r="BK179" s="176"/>
      <c r="BL179" s="176"/>
      <c r="BM179" s="176"/>
      <c r="BN179" s="176"/>
      <c r="BO179" s="176"/>
    </row>
    <row r="180" spans="1:67" s="36" customFormat="1" ht="10.5" customHeight="1" x14ac:dyDescent="0.2">
      <c r="A180" s="1043" t="s">
        <v>318</v>
      </c>
      <c r="B180" s="2594"/>
      <c r="C180" s="2595"/>
      <c r="D180" s="2596"/>
      <c r="E180" s="2395"/>
      <c r="F180" s="2789"/>
      <c r="G180" s="1058">
        <v>15</v>
      </c>
      <c r="H180" s="1059"/>
      <c r="I180" s="1081">
        <f t="shared" si="40"/>
        <v>7.9288524964265278E-2</v>
      </c>
      <c r="J180" s="1082">
        <f t="shared" si="41"/>
        <v>0</v>
      </c>
      <c r="K180" s="1061">
        <v>1</v>
      </c>
      <c r="L180" s="1305"/>
      <c r="M180" s="1086">
        <f t="shared" si="42"/>
        <v>0</v>
      </c>
      <c r="N180" s="506"/>
      <c r="O180" s="365">
        <f t="shared" si="43"/>
        <v>15</v>
      </c>
      <c r="P180" s="366"/>
      <c r="Q180" s="135"/>
      <c r="R180" s="136"/>
      <c r="S180" s="129"/>
      <c r="T180" s="129"/>
      <c r="U180" s="129"/>
      <c r="V180" s="129"/>
      <c r="W180" s="129"/>
      <c r="X180" s="129"/>
      <c r="Y180" s="129"/>
      <c r="Z180" s="133"/>
      <c r="AA180" s="133"/>
      <c r="AB180" s="133"/>
      <c r="AC180" s="133"/>
      <c r="AD180" s="133"/>
      <c r="AE180" s="133"/>
      <c r="AF180" s="222"/>
      <c r="AG180" s="222"/>
      <c r="AH180" s="222"/>
      <c r="AI180" s="176"/>
      <c r="AJ180" s="176"/>
      <c r="AK180" s="176"/>
      <c r="AL180" s="176"/>
      <c r="AM180" s="176"/>
      <c r="AN180" s="176"/>
      <c r="AO180" s="176"/>
      <c r="AP180" s="176"/>
      <c r="AQ180" s="176"/>
      <c r="AR180" s="176"/>
      <c r="AS180" s="176"/>
      <c r="AT180" s="176"/>
      <c r="AU180" s="176"/>
      <c r="AV180" s="176"/>
      <c r="AW180" s="176"/>
      <c r="AX180" s="176"/>
      <c r="AY180" s="176"/>
      <c r="AZ180" s="176"/>
      <c r="BA180" s="176"/>
      <c r="BB180" s="176"/>
      <c r="BC180" s="176"/>
      <c r="BD180" s="176"/>
      <c r="BE180" s="176"/>
      <c r="BF180" s="176"/>
      <c r="BG180" s="176"/>
      <c r="BH180" s="176"/>
      <c r="BI180" s="176"/>
      <c r="BJ180" s="176"/>
      <c r="BK180" s="176"/>
      <c r="BL180" s="176"/>
      <c r="BM180" s="176"/>
      <c r="BN180" s="176"/>
      <c r="BO180" s="176"/>
    </row>
    <row r="181" spans="1:67" s="36" customFormat="1" ht="10.5" customHeight="1" x14ac:dyDescent="0.2">
      <c r="A181" s="1043" t="s">
        <v>319</v>
      </c>
      <c r="B181" s="2594"/>
      <c r="C181" s="2595"/>
      <c r="D181" s="2596"/>
      <c r="E181" s="2395"/>
      <c r="F181" s="2789"/>
      <c r="G181" s="1058">
        <v>40</v>
      </c>
      <c r="H181" s="1059"/>
      <c r="I181" s="1081">
        <f t="shared" si="40"/>
        <v>3.8177378061076156E-2</v>
      </c>
      <c r="J181" s="1082">
        <f t="shared" si="41"/>
        <v>0</v>
      </c>
      <c r="K181" s="1061">
        <v>1</v>
      </c>
      <c r="L181" s="1305"/>
      <c r="M181" s="1086">
        <f t="shared" si="42"/>
        <v>0</v>
      </c>
      <c r="N181" s="506"/>
      <c r="O181" s="365">
        <f t="shared" si="43"/>
        <v>40</v>
      </c>
      <c r="P181" s="366"/>
      <c r="Q181" s="135"/>
      <c r="R181" s="136"/>
      <c r="S181" s="129"/>
      <c r="T181" s="129"/>
      <c r="U181" s="129"/>
      <c r="V181" s="129"/>
      <c r="W181" s="129"/>
      <c r="X181" s="129"/>
      <c r="Y181" s="129"/>
      <c r="Z181" s="133"/>
      <c r="AA181" s="133"/>
      <c r="AB181" s="133"/>
      <c r="AC181" s="133"/>
      <c r="AD181" s="133"/>
      <c r="AE181" s="133"/>
      <c r="AF181" s="222"/>
      <c r="AG181" s="222"/>
      <c r="AH181" s="222"/>
      <c r="AI181" s="176"/>
      <c r="AJ181" s="176"/>
      <c r="AK181" s="176"/>
      <c r="AL181" s="176"/>
      <c r="AM181" s="176"/>
      <c r="AN181" s="176"/>
      <c r="AO181" s="176"/>
      <c r="AP181" s="176"/>
      <c r="AQ181" s="176"/>
      <c r="AR181" s="176"/>
      <c r="AS181" s="176"/>
      <c r="AT181" s="176"/>
      <c r="AU181" s="176"/>
      <c r="AV181" s="176"/>
      <c r="AW181" s="176"/>
      <c r="AX181" s="176"/>
      <c r="AY181" s="176"/>
      <c r="AZ181" s="176"/>
      <c r="BA181" s="176"/>
      <c r="BB181" s="176"/>
      <c r="BC181" s="176"/>
      <c r="BD181" s="176"/>
      <c r="BE181" s="176"/>
      <c r="BF181" s="176"/>
      <c r="BG181" s="176"/>
      <c r="BH181" s="176"/>
      <c r="BI181" s="176"/>
      <c r="BJ181" s="176"/>
      <c r="BK181" s="176"/>
      <c r="BL181" s="176"/>
      <c r="BM181" s="176"/>
      <c r="BN181" s="176"/>
      <c r="BO181" s="176"/>
    </row>
    <row r="182" spans="1:67" s="36" customFormat="1" ht="10.5" customHeight="1" x14ac:dyDescent="0.2">
      <c r="A182" s="1043" t="s">
        <v>274</v>
      </c>
      <c r="B182" s="2594"/>
      <c r="C182" s="2595"/>
      <c r="D182" s="2596"/>
      <c r="E182" s="2395"/>
      <c r="F182" s="2789"/>
      <c r="G182" s="1058">
        <v>30</v>
      </c>
      <c r="H182" s="1059"/>
      <c r="I182" s="1081">
        <f t="shared" si="40"/>
        <v>4.6199342169092869E-2</v>
      </c>
      <c r="J182" s="1082">
        <f t="shared" si="41"/>
        <v>0</v>
      </c>
      <c r="K182" s="1061"/>
      <c r="L182" s="1305"/>
      <c r="M182" s="1086">
        <f t="shared" si="42"/>
        <v>0</v>
      </c>
      <c r="N182" s="506"/>
      <c r="O182" s="365">
        <f t="shared" si="43"/>
        <v>30</v>
      </c>
      <c r="P182" s="366"/>
      <c r="Q182" s="135"/>
      <c r="R182" s="136"/>
      <c r="S182" s="129"/>
      <c r="T182" s="129"/>
      <c r="U182" s="129"/>
      <c r="V182" s="129"/>
      <c r="W182" s="129"/>
      <c r="X182" s="129"/>
      <c r="Y182" s="129"/>
      <c r="Z182" s="133"/>
      <c r="AA182" s="133"/>
      <c r="AB182" s="133"/>
      <c r="AC182" s="133"/>
      <c r="AD182" s="133"/>
      <c r="AE182" s="133"/>
      <c r="AF182" s="222"/>
      <c r="AG182" s="222"/>
      <c r="AH182" s="222"/>
      <c r="AI182" s="176"/>
      <c r="AJ182" s="176"/>
      <c r="AK182" s="176"/>
      <c r="AL182" s="176"/>
      <c r="AM182" s="176"/>
      <c r="AN182" s="176"/>
      <c r="AO182" s="176"/>
      <c r="AP182" s="176"/>
      <c r="AQ182" s="176"/>
      <c r="AR182" s="176"/>
      <c r="AS182" s="176"/>
      <c r="AT182" s="176"/>
      <c r="AU182" s="176"/>
      <c r="AV182" s="176"/>
      <c r="AW182" s="176"/>
      <c r="AX182" s="176"/>
      <c r="AY182" s="176"/>
      <c r="AZ182" s="176"/>
      <c r="BA182" s="176"/>
      <c r="BB182" s="176"/>
      <c r="BC182" s="176"/>
      <c r="BD182" s="176"/>
      <c r="BE182" s="176"/>
      <c r="BF182" s="176"/>
      <c r="BG182" s="176"/>
      <c r="BH182" s="176"/>
      <c r="BI182" s="176"/>
      <c r="BJ182" s="176"/>
      <c r="BK182" s="176"/>
      <c r="BL182" s="176"/>
      <c r="BM182" s="176"/>
      <c r="BN182" s="176"/>
      <c r="BO182" s="176"/>
    </row>
    <row r="183" spans="1:67" s="36" customFormat="1" ht="10.5" customHeight="1" x14ac:dyDescent="0.2">
      <c r="A183" s="1055"/>
      <c r="B183" s="2594"/>
      <c r="C183" s="2595"/>
      <c r="D183" s="2596"/>
      <c r="E183" s="2395"/>
      <c r="F183" s="2396"/>
      <c r="G183" s="2590"/>
      <c r="H183" s="2591"/>
      <c r="I183" s="1081">
        <f t="shared" si="40"/>
        <v>0</v>
      </c>
      <c r="J183" s="1082">
        <f t="shared" si="41"/>
        <v>0</v>
      </c>
      <c r="K183" s="2588"/>
      <c r="L183" s="2589"/>
      <c r="M183" s="1086">
        <f t="shared" si="42"/>
        <v>0</v>
      </c>
      <c r="N183" s="506"/>
      <c r="O183" s="365">
        <f t="shared" si="43"/>
        <v>0</v>
      </c>
      <c r="P183" s="366"/>
      <c r="Q183" s="135"/>
      <c r="R183" s="136"/>
      <c r="S183" s="129"/>
      <c r="T183" s="129"/>
      <c r="U183" s="129"/>
      <c r="V183" s="129"/>
      <c r="W183" s="129"/>
      <c r="X183" s="129"/>
      <c r="Y183" s="129"/>
      <c r="Z183" s="133"/>
      <c r="AA183" s="133"/>
      <c r="AB183" s="133"/>
      <c r="AC183" s="133"/>
      <c r="AD183" s="133"/>
      <c r="AE183" s="133"/>
      <c r="AF183" s="222"/>
      <c r="AG183" s="222"/>
      <c r="AH183" s="222"/>
      <c r="AI183" s="176"/>
      <c r="AJ183" s="176"/>
      <c r="AK183" s="176"/>
      <c r="AL183" s="176"/>
      <c r="AM183" s="176"/>
      <c r="AN183" s="176"/>
      <c r="AO183" s="176"/>
      <c r="AP183" s="176"/>
      <c r="AQ183" s="176"/>
      <c r="AR183" s="176"/>
      <c r="AS183" s="176"/>
      <c r="AT183" s="176"/>
      <c r="AU183" s="176"/>
      <c r="AV183" s="176"/>
      <c r="AW183" s="176"/>
      <c r="AX183" s="176"/>
      <c r="AY183" s="176"/>
      <c r="AZ183" s="176"/>
      <c r="BA183" s="176"/>
      <c r="BB183" s="176"/>
      <c r="BC183" s="176"/>
      <c r="BD183" s="176"/>
      <c r="BE183" s="176"/>
      <c r="BF183" s="176"/>
      <c r="BG183" s="176"/>
      <c r="BH183" s="176"/>
      <c r="BI183" s="176"/>
      <c r="BJ183" s="176"/>
      <c r="BK183" s="176"/>
      <c r="BL183" s="176"/>
      <c r="BM183" s="176"/>
      <c r="BN183" s="176"/>
      <c r="BO183" s="176"/>
    </row>
    <row r="184" spans="1:67" s="36" customFormat="1" ht="10.5" customHeight="1" x14ac:dyDescent="0.2">
      <c r="A184" s="1055"/>
      <c r="B184" s="2594"/>
      <c r="C184" s="2595"/>
      <c r="D184" s="2596"/>
      <c r="E184" s="2395"/>
      <c r="F184" s="2396"/>
      <c r="G184" s="2590"/>
      <c r="H184" s="2591"/>
      <c r="I184" s="1081">
        <f t="shared" si="40"/>
        <v>0</v>
      </c>
      <c r="J184" s="1082">
        <f t="shared" si="41"/>
        <v>0</v>
      </c>
      <c r="K184" s="2588"/>
      <c r="L184" s="2589"/>
      <c r="M184" s="1086">
        <f t="shared" si="42"/>
        <v>0</v>
      </c>
      <c r="N184" s="506"/>
      <c r="O184" s="365">
        <f t="shared" si="43"/>
        <v>0</v>
      </c>
      <c r="P184" s="366"/>
      <c r="Q184" s="135"/>
      <c r="R184" s="136"/>
      <c r="S184" s="129"/>
      <c r="T184" s="129"/>
      <c r="U184" s="129"/>
      <c r="V184" s="129"/>
      <c r="W184" s="129"/>
      <c r="X184" s="129"/>
      <c r="Y184" s="129"/>
      <c r="Z184" s="133"/>
      <c r="AA184" s="133"/>
      <c r="AB184" s="133"/>
      <c r="AC184" s="133"/>
      <c r="AD184" s="133"/>
      <c r="AE184" s="133"/>
      <c r="AF184" s="222"/>
      <c r="AG184" s="222"/>
      <c r="AH184" s="222"/>
      <c r="AI184" s="176"/>
      <c r="AJ184" s="176"/>
      <c r="AK184" s="176"/>
      <c r="AL184" s="176"/>
      <c r="AM184" s="176"/>
      <c r="AN184" s="176"/>
      <c r="AO184" s="176"/>
      <c r="AP184" s="176"/>
      <c r="AQ184" s="176"/>
      <c r="AR184" s="176"/>
      <c r="AS184" s="176"/>
      <c r="AT184" s="176"/>
      <c r="AU184" s="176"/>
      <c r="AV184" s="176"/>
      <c r="AW184" s="176"/>
      <c r="AX184" s="176"/>
      <c r="AY184" s="176"/>
      <c r="AZ184" s="176"/>
      <c r="BA184" s="176"/>
      <c r="BB184" s="176"/>
      <c r="BC184" s="176"/>
      <c r="BD184" s="176"/>
      <c r="BE184" s="176"/>
      <c r="BF184" s="176"/>
      <c r="BG184" s="176"/>
      <c r="BH184" s="176"/>
      <c r="BI184" s="176"/>
      <c r="BJ184" s="176"/>
      <c r="BK184" s="176"/>
      <c r="BL184" s="176"/>
      <c r="BM184" s="176"/>
      <c r="BN184" s="176"/>
      <c r="BO184" s="176"/>
    </row>
    <row r="185" spans="1:67" s="36" customFormat="1" ht="10.5" customHeight="1" x14ac:dyDescent="0.2">
      <c r="A185" s="1055"/>
      <c r="B185" s="2594"/>
      <c r="C185" s="2595"/>
      <c r="D185" s="2596"/>
      <c r="E185" s="2395"/>
      <c r="F185" s="2396"/>
      <c r="G185" s="2590"/>
      <c r="H185" s="2591"/>
      <c r="I185" s="1081">
        <f t="shared" si="40"/>
        <v>0</v>
      </c>
      <c r="J185" s="1082">
        <f t="shared" si="41"/>
        <v>0</v>
      </c>
      <c r="K185" s="2588"/>
      <c r="L185" s="2589"/>
      <c r="M185" s="1086">
        <f t="shared" si="42"/>
        <v>0</v>
      </c>
      <c r="N185" s="506"/>
      <c r="O185" s="365">
        <f t="shared" si="43"/>
        <v>0</v>
      </c>
      <c r="P185" s="366"/>
      <c r="Q185" s="135"/>
      <c r="R185" s="136"/>
      <c r="S185" s="129"/>
      <c r="T185" s="129"/>
      <c r="U185" s="129"/>
      <c r="V185" s="129"/>
      <c r="W185" s="129"/>
      <c r="X185" s="129"/>
      <c r="Y185" s="129"/>
      <c r="Z185" s="133"/>
      <c r="AA185" s="133"/>
      <c r="AB185" s="133"/>
      <c r="AC185" s="133"/>
      <c r="AD185" s="133"/>
      <c r="AE185" s="133"/>
      <c r="AF185" s="222"/>
      <c r="AG185" s="222"/>
      <c r="AH185" s="222"/>
      <c r="AI185" s="176"/>
      <c r="AJ185" s="176"/>
      <c r="AK185" s="176"/>
      <c r="AL185" s="176"/>
      <c r="AM185" s="176"/>
      <c r="AN185" s="176"/>
      <c r="AO185" s="176"/>
      <c r="AP185" s="176"/>
      <c r="AQ185" s="176"/>
      <c r="AR185" s="176"/>
      <c r="AS185" s="176"/>
      <c r="AT185" s="176"/>
      <c r="AU185" s="176"/>
      <c r="AV185" s="176"/>
      <c r="AW185" s="176"/>
      <c r="AX185" s="176"/>
      <c r="AY185" s="176"/>
      <c r="AZ185" s="176"/>
      <c r="BA185" s="176"/>
      <c r="BB185" s="176"/>
      <c r="BC185" s="176"/>
      <c r="BD185" s="176"/>
      <c r="BE185" s="176"/>
      <c r="BF185" s="176"/>
      <c r="BG185" s="176"/>
      <c r="BH185" s="176"/>
      <c r="BI185" s="176"/>
      <c r="BJ185" s="176"/>
      <c r="BK185" s="176"/>
      <c r="BL185" s="176"/>
      <c r="BM185" s="176"/>
      <c r="BN185" s="176"/>
      <c r="BO185" s="176"/>
    </row>
    <row r="186" spans="1:67" s="36" customFormat="1" ht="10.5" customHeight="1" x14ac:dyDescent="0.2">
      <c r="A186" s="1055"/>
      <c r="B186" s="2594"/>
      <c r="C186" s="2595"/>
      <c r="D186" s="2596"/>
      <c r="E186" s="2395"/>
      <c r="F186" s="2396"/>
      <c r="G186" s="2590"/>
      <c r="H186" s="2591"/>
      <c r="I186" s="1081">
        <f t="shared" si="40"/>
        <v>0</v>
      </c>
      <c r="J186" s="1082">
        <f t="shared" si="41"/>
        <v>0</v>
      </c>
      <c r="K186" s="2588"/>
      <c r="L186" s="2589"/>
      <c r="M186" s="1086">
        <f t="shared" si="42"/>
        <v>0</v>
      </c>
      <c r="N186" s="506"/>
      <c r="O186" s="365">
        <f t="shared" si="43"/>
        <v>0</v>
      </c>
      <c r="P186" s="366"/>
      <c r="Q186" s="135"/>
      <c r="R186" s="136"/>
      <c r="S186" s="129"/>
      <c r="T186" s="129"/>
      <c r="U186" s="129"/>
      <c r="V186" s="129"/>
      <c r="W186" s="129"/>
      <c r="X186" s="129"/>
      <c r="Y186" s="129"/>
      <c r="Z186" s="133"/>
      <c r="AA186" s="133"/>
      <c r="AB186" s="133"/>
      <c r="AC186" s="133"/>
      <c r="AD186" s="133"/>
      <c r="AE186" s="133"/>
      <c r="AF186" s="222"/>
      <c r="AG186" s="222"/>
      <c r="AH186" s="222"/>
      <c r="AI186" s="176"/>
      <c r="AJ186" s="176"/>
      <c r="AK186" s="176"/>
      <c r="AL186" s="176"/>
      <c r="AM186" s="176"/>
      <c r="AN186" s="176"/>
      <c r="AO186" s="176"/>
      <c r="AP186" s="176"/>
      <c r="AQ186" s="176"/>
      <c r="AR186" s="176"/>
      <c r="AS186" s="176"/>
      <c r="AT186" s="176"/>
      <c r="AU186" s="176"/>
      <c r="AV186" s="176"/>
      <c r="AW186" s="176"/>
      <c r="AX186" s="176"/>
      <c r="AY186" s="176"/>
      <c r="AZ186" s="176"/>
      <c r="BA186" s="176"/>
      <c r="BB186" s="176"/>
      <c r="BC186" s="176"/>
      <c r="BD186" s="176"/>
      <c r="BE186" s="176"/>
      <c r="BF186" s="176"/>
      <c r="BG186" s="176"/>
      <c r="BH186" s="176"/>
      <c r="BI186" s="176"/>
      <c r="BJ186" s="176"/>
      <c r="BK186" s="176"/>
      <c r="BL186" s="176"/>
      <c r="BM186" s="176"/>
      <c r="BN186" s="176"/>
      <c r="BO186" s="176"/>
    </row>
    <row r="187" spans="1:67" s="36" customFormat="1" ht="10.5" customHeight="1" x14ac:dyDescent="0.2">
      <c r="A187" s="1055"/>
      <c r="B187" s="2594"/>
      <c r="C187" s="2595"/>
      <c r="D187" s="2596"/>
      <c r="E187" s="2395"/>
      <c r="F187" s="2396"/>
      <c r="G187" s="2590"/>
      <c r="H187" s="2591"/>
      <c r="I187" s="1081">
        <f t="shared" si="40"/>
        <v>0</v>
      </c>
      <c r="J187" s="1082">
        <f t="shared" si="41"/>
        <v>0</v>
      </c>
      <c r="K187" s="2588"/>
      <c r="L187" s="2589"/>
      <c r="M187" s="1086">
        <f t="shared" si="42"/>
        <v>0</v>
      </c>
      <c r="N187" s="506"/>
      <c r="O187" s="365">
        <f t="shared" si="43"/>
        <v>0</v>
      </c>
      <c r="P187" s="366"/>
      <c r="Q187" s="135"/>
      <c r="R187" s="136"/>
      <c r="S187" s="129"/>
      <c r="T187" s="129"/>
      <c r="U187" s="129"/>
      <c r="V187" s="129"/>
      <c r="W187" s="129"/>
      <c r="X187" s="129"/>
      <c r="Y187" s="129"/>
      <c r="Z187" s="133"/>
      <c r="AA187" s="133"/>
      <c r="AB187" s="133"/>
      <c r="AC187" s="133"/>
      <c r="AD187" s="133"/>
      <c r="AE187" s="133"/>
      <c r="AF187" s="222"/>
      <c r="AG187" s="222"/>
      <c r="AH187" s="222"/>
      <c r="AI187" s="176"/>
      <c r="AJ187" s="176"/>
      <c r="AK187" s="176"/>
      <c r="AL187" s="176"/>
      <c r="AM187" s="176"/>
      <c r="AN187" s="176"/>
      <c r="AO187" s="176"/>
      <c r="AP187" s="176"/>
      <c r="AQ187" s="176"/>
      <c r="AR187" s="176"/>
      <c r="AS187" s="176"/>
      <c r="AT187" s="176"/>
      <c r="AU187" s="176"/>
      <c r="AV187" s="176"/>
      <c r="AW187" s="176"/>
      <c r="AX187" s="176"/>
      <c r="AY187" s="176"/>
      <c r="AZ187" s="176"/>
      <c r="BA187" s="176"/>
      <c r="BB187" s="176"/>
      <c r="BC187" s="176"/>
      <c r="BD187" s="176"/>
      <c r="BE187" s="176"/>
      <c r="BF187" s="176"/>
      <c r="BG187" s="176"/>
      <c r="BH187" s="176"/>
      <c r="BI187" s="176"/>
      <c r="BJ187" s="176"/>
      <c r="BK187" s="176"/>
      <c r="BL187" s="176"/>
      <c r="BM187" s="176"/>
      <c r="BN187" s="176"/>
      <c r="BO187" s="176"/>
    </row>
    <row r="188" spans="1:67" s="36" customFormat="1" ht="10.5" customHeight="1" x14ac:dyDescent="0.2">
      <c r="A188" s="1055"/>
      <c r="B188" s="2594"/>
      <c r="C188" s="2595"/>
      <c r="D188" s="2596"/>
      <c r="E188" s="2395"/>
      <c r="F188" s="2396"/>
      <c r="G188" s="2590"/>
      <c r="H188" s="2591"/>
      <c r="I188" s="1081">
        <f t="shared" si="40"/>
        <v>0</v>
      </c>
      <c r="J188" s="1082">
        <f t="shared" si="41"/>
        <v>0</v>
      </c>
      <c r="K188" s="2588"/>
      <c r="L188" s="2589"/>
      <c r="M188" s="1086">
        <f t="shared" si="42"/>
        <v>0</v>
      </c>
      <c r="N188" s="506"/>
      <c r="O188" s="365">
        <f t="shared" si="43"/>
        <v>0</v>
      </c>
      <c r="P188" s="366"/>
      <c r="Q188" s="135"/>
      <c r="R188" s="136"/>
      <c r="S188" s="129"/>
      <c r="T188" s="129"/>
      <c r="U188" s="129"/>
      <c r="V188" s="129"/>
      <c r="W188" s="129"/>
      <c r="X188" s="129"/>
      <c r="Y188" s="129"/>
      <c r="Z188" s="133"/>
      <c r="AA188" s="133"/>
      <c r="AB188" s="133"/>
      <c r="AC188" s="133"/>
      <c r="AD188" s="133"/>
      <c r="AE188" s="133"/>
      <c r="AF188" s="222"/>
      <c r="AG188" s="222"/>
      <c r="AH188" s="222"/>
      <c r="AI188" s="176"/>
      <c r="AJ188" s="176"/>
      <c r="AK188" s="176"/>
      <c r="AL188" s="176"/>
      <c r="AM188" s="176"/>
      <c r="AN188" s="176"/>
      <c r="AO188" s="176"/>
      <c r="AP188" s="176"/>
      <c r="AQ188" s="176"/>
      <c r="AR188" s="176"/>
      <c r="AS188" s="176"/>
      <c r="AT188" s="176"/>
      <c r="AU188" s="176"/>
      <c r="AV188" s="176"/>
      <c r="AW188" s="176"/>
      <c r="AX188" s="176"/>
      <c r="AY188" s="176"/>
      <c r="AZ188" s="176"/>
      <c r="BA188" s="176"/>
      <c r="BB188" s="176"/>
      <c r="BC188" s="176"/>
      <c r="BD188" s="176"/>
      <c r="BE188" s="176"/>
      <c r="BF188" s="176"/>
      <c r="BG188" s="176"/>
      <c r="BH188" s="176"/>
      <c r="BI188" s="176"/>
      <c r="BJ188" s="176"/>
      <c r="BK188" s="176"/>
      <c r="BL188" s="176"/>
      <c r="BM188" s="176"/>
      <c r="BN188" s="176"/>
      <c r="BO188" s="176"/>
    </row>
    <row r="189" spans="1:67" s="36" customFormat="1" ht="10.5" customHeight="1" x14ac:dyDescent="0.2">
      <c r="A189" s="1055"/>
      <c r="B189" s="2594"/>
      <c r="C189" s="2595"/>
      <c r="D189" s="2596"/>
      <c r="E189" s="2395"/>
      <c r="F189" s="2396"/>
      <c r="G189" s="2590"/>
      <c r="H189" s="2591"/>
      <c r="I189" s="1081">
        <f t="shared" si="40"/>
        <v>0</v>
      </c>
      <c r="J189" s="1082">
        <f t="shared" si="41"/>
        <v>0</v>
      </c>
      <c r="K189" s="2588"/>
      <c r="L189" s="2589"/>
      <c r="M189" s="1086">
        <f t="shared" si="42"/>
        <v>0</v>
      </c>
      <c r="N189" s="506"/>
      <c r="O189" s="365">
        <f t="shared" si="43"/>
        <v>0</v>
      </c>
      <c r="P189" s="366"/>
      <c r="Q189" s="135"/>
      <c r="R189" s="136"/>
      <c r="S189" s="129"/>
      <c r="T189" s="129"/>
      <c r="U189" s="129"/>
      <c r="V189" s="129"/>
      <c r="W189" s="129"/>
      <c r="X189" s="129"/>
      <c r="Y189" s="129"/>
      <c r="Z189" s="133"/>
      <c r="AA189" s="133"/>
      <c r="AB189" s="133"/>
      <c r="AC189" s="133"/>
      <c r="AD189" s="133"/>
      <c r="AE189" s="133"/>
      <c r="AF189" s="222"/>
      <c r="AG189" s="222"/>
      <c r="AH189" s="222"/>
      <c r="AI189" s="176"/>
      <c r="AJ189" s="176"/>
      <c r="AK189" s="176"/>
      <c r="AL189" s="176"/>
      <c r="AM189" s="176"/>
      <c r="AN189" s="176"/>
      <c r="AO189" s="176"/>
      <c r="AP189" s="176"/>
      <c r="AQ189" s="176"/>
      <c r="AR189" s="176"/>
      <c r="AS189" s="176"/>
      <c r="AT189" s="176"/>
      <c r="AU189" s="176"/>
      <c r="AV189" s="176"/>
      <c r="AW189" s="176"/>
      <c r="AX189" s="176"/>
      <c r="AY189" s="176"/>
      <c r="AZ189" s="176"/>
      <c r="BA189" s="176"/>
      <c r="BB189" s="176"/>
      <c r="BC189" s="176"/>
      <c r="BD189" s="176"/>
      <c r="BE189" s="176"/>
      <c r="BF189" s="176"/>
      <c r="BG189" s="176"/>
      <c r="BH189" s="176"/>
      <c r="BI189" s="176"/>
      <c r="BJ189" s="176"/>
      <c r="BK189" s="176"/>
      <c r="BL189" s="176"/>
      <c r="BM189" s="176"/>
      <c r="BN189" s="176"/>
      <c r="BO189" s="176"/>
    </row>
    <row r="190" spans="1:67" s="36" customFormat="1" ht="10.5" customHeight="1" x14ac:dyDescent="0.2">
      <c r="A190" s="1055"/>
      <c r="B190" s="2594"/>
      <c r="C190" s="2595"/>
      <c r="D190" s="2596"/>
      <c r="E190" s="2395"/>
      <c r="F190" s="2396"/>
      <c r="G190" s="2590"/>
      <c r="H190" s="2591"/>
      <c r="I190" s="1081">
        <f t="shared" si="40"/>
        <v>0</v>
      </c>
      <c r="J190" s="1082">
        <f t="shared" si="41"/>
        <v>0</v>
      </c>
      <c r="K190" s="2588"/>
      <c r="L190" s="2589"/>
      <c r="M190" s="1086">
        <f t="shared" si="42"/>
        <v>0</v>
      </c>
      <c r="N190" s="506"/>
      <c r="O190" s="365">
        <f t="shared" si="43"/>
        <v>0</v>
      </c>
      <c r="P190" s="366"/>
      <c r="Q190" s="135"/>
      <c r="R190" s="136"/>
      <c r="S190" s="129"/>
      <c r="T190" s="129"/>
      <c r="U190" s="129"/>
      <c r="V190" s="129"/>
      <c r="W190" s="129"/>
      <c r="X190" s="129"/>
      <c r="Y190" s="129"/>
      <c r="Z190" s="133"/>
      <c r="AA190" s="133"/>
      <c r="AB190" s="133"/>
      <c r="AC190" s="133"/>
      <c r="AD190" s="133"/>
      <c r="AE190" s="133"/>
      <c r="AF190" s="222"/>
      <c r="AG190" s="222"/>
      <c r="AH190" s="222"/>
      <c r="AI190" s="176"/>
      <c r="AJ190" s="176"/>
      <c r="AK190" s="176"/>
      <c r="AL190" s="176"/>
      <c r="AM190" s="176"/>
      <c r="AN190" s="176"/>
      <c r="AO190" s="176"/>
      <c r="AP190" s="176"/>
      <c r="AQ190" s="176"/>
      <c r="AR190" s="176"/>
      <c r="AS190" s="176"/>
      <c r="AT190" s="176"/>
      <c r="AU190" s="176"/>
      <c r="AV190" s="176"/>
      <c r="AW190" s="176"/>
      <c r="AX190" s="176"/>
      <c r="AY190" s="176"/>
      <c r="AZ190" s="176"/>
      <c r="BA190" s="176"/>
      <c r="BB190" s="176"/>
      <c r="BC190" s="176"/>
      <c r="BD190" s="176"/>
      <c r="BE190" s="176"/>
      <c r="BF190" s="176"/>
      <c r="BG190" s="176"/>
      <c r="BH190" s="176"/>
      <c r="BI190" s="176"/>
      <c r="BJ190" s="176"/>
      <c r="BK190" s="176"/>
      <c r="BL190" s="176"/>
      <c r="BM190" s="176"/>
      <c r="BN190" s="176"/>
      <c r="BO190" s="176"/>
    </row>
    <row r="191" spans="1:67" s="36" customFormat="1" ht="10.5" customHeight="1" x14ac:dyDescent="0.2">
      <c r="A191" s="1348"/>
      <c r="B191" s="2690"/>
      <c r="C191" s="2691"/>
      <c r="D191" s="2692"/>
      <c r="E191" s="2601"/>
      <c r="F191" s="2602"/>
      <c r="G191" s="1088"/>
      <c r="H191" s="1089"/>
      <c r="I191" s="1083">
        <f t="shared" si="40"/>
        <v>0</v>
      </c>
      <c r="J191" s="1084"/>
      <c r="K191" s="1087"/>
      <c r="L191" s="1307"/>
      <c r="M191" s="1317">
        <f t="shared" si="42"/>
        <v>0</v>
      </c>
      <c r="N191" s="506"/>
      <c r="O191" s="365">
        <f t="shared" si="43"/>
        <v>0</v>
      </c>
      <c r="P191" s="366"/>
      <c r="Q191" s="135"/>
      <c r="R191" s="136"/>
      <c r="S191" s="129"/>
      <c r="T191" s="129"/>
      <c r="U191" s="129"/>
      <c r="V191" s="129"/>
      <c r="W191" s="129"/>
      <c r="X191" s="129"/>
      <c r="Y191" s="129"/>
      <c r="Z191" s="133"/>
      <c r="AA191" s="133"/>
      <c r="AB191" s="133"/>
      <c r="AC191" s="133"/>
      <c r="AD191" s="133"/>
      <c r="AE191" s="133"/>
      <c r="AF191" s="222"/>
      <c r="AG191" s="222"/>
      <c r="AH191" s="222"/>
      <c r="AI191" s="176"/>
      <c r="AJ191" s="176"/>
      <c r="AK191" s="176"/>
      <c r="AL191" s="176"/>
      <c r="AM191" s="176"/>
      <c r="AN191" s="176"/>
      <c r="AO191" s="176"/>
      <c r="AP191" s="176"/>
      <c r="AQ191" s="176"/>
      <c r="AR191" s="176"/>
      <c r="AS191" s="176"/>
      <c r="AT191" s="176"/>
      <c r="AU191" s="176"/>
      <c r="AV191" s="176"/>
      <c r="AW191" s="176"/>
      <c r="AX191" s="176"/>
      <c r="AY191" s="176"/>
      <c r="AZ191" s="176"/>
      <c r="BA191" s="176"/>
      <c r="BB191" s="176"/>
      <c r="BC191" s="176"/>
      <c r="BD191" s="176"/>
      <c r="BE191" s="176"/>
      <c r="BF191" s="176"/>
      <c r="BG191" s="176"/>
      <c r="BH191" s="176"/>
      <c r="BI191" s="176"/>
      <c r="BJ191" s="176"/>
      <c r="BK191" s="176"/>
      <c r="BL191" s="176"/>
      <c r="BM191" s="176"/>
      <c r="BN191" s="176"/>
      <c r="BO191" s="176"/>
    </row>
    <row r="192" spans="1:67" s="36" customFormat="1" ht="10.5" customHeight="1" x14ac:dyDescent="0.2">
      <c r="A192" s="1115" t="s">
        <v>320</v>
      </c>
      <c r="B192" s="2611"/>
      <c r="C192" s="2612"/>
      <c r="D192" s="2613"/>
      <c r="E192" s="2676">
        <f>SUM(E193:E205)</f>
        <v>0</v>
      </c>
      <c r="F192" s="2677"/>
      <c r="G192" s="2678"/>
      <c r="H192" s="2679"/>
      <c r="I192" s="1116">
        <f>IF(E192=0,0,J192/E192)</f>
        <v>0</v>
      </c>
      <c r="J192" s="1117">
        <f>SUM(J193:J205)</f>
        <v>0</v>
      </c>
      <c r="K192" s="2686">
        <f>IF(E192=0,0,M192/E192*100)</f>
        <v>0</v>
      </c>
      <c r="L192" s="2687"/>
      <c r="M192" s="1118">
        <f>SUM(M193:M205)</f>
        <v>0</v>
      </c>
      <c r="N192" s="506"/>
      <c r="O192" s="178">
        <f>IF(H192="",G192,H192)</f>
        <v>0</v>
      </c>
      <c r="P192" s="366"/>
      <c r="Q192" s="135"/>
      <c r="R192" s="136"/>
      <c r="S192" s="129"/>
      <c r="T192" s="129"/>
      <c r="U192" s="129"/>
      <c r="V192" s="129"/>
      <c r="W192" s="129"/>
      <c r="X192" s="129"/>
      <c r="Y192" s="129"/>
      <c r="Z192" s="133"/>
      <c r="AA192" s="133"/>
      <c r="AB192" s="133"/>
      <c r="AC192" s="133"/>
      <c r="AD192" s="133"/>
      <c r="AE192" s="133"/>
      <c r="AF192" s="222"/>
      <c r="AG192" s="222"/>
      <c r="AH192" s="222"/>
      <c r="AI192" s="176"/>
      <c r="AJ192" s="176"/>
      <c r="AK192" s="176"/>
      <c r="AL192" s="176"/>
      <c r="AM192" s="176"/>
      <c r="AN192" s="176"/>
      <c r="AO192" s="176"/>
      <c r="AP192" s="176"/>
      <c r="AQ192" s="176"/>
      <c r="AR192" s="176"/>
      <c r="AS192" s="176"/>
      <c r="AT192" s="176"/>
      <c r="AU192" s="176"/>
      <c r="AV192" s="176"/>
      <c r="AW192" s="176"/>
      <c r="AX192" s="176"/>
      <c r="AY192" s="176"/>
      <c r="AZ192" s="176"/>
      <c r="BA192" s="176"/>
      <c r="BB192" s="176"/>
      <c r="BC192" s="176"/>
      <c r="BD192" s="176"/>
      <c r="BE192" s="176"/>
      <c r="BF192" s="176"/>
      <c r="BG192" s="176"/>
      <c r="BH192" s="176"/>
      <c r="BI192" s="176"/>
      <c r="BJ192" s="176"/>
      <c r="BK192" s="176"/>
      <c r="BL192" s="176"/>
      <c r="BM192" s="176"/>
      <c r="BN192" s="176"/>
      <c r="BO192" s="176"/>
    </row>
    <row r="193" spans="1:67" s="36" customFormat="1" ht="10.5" customHeight="1" x14ac:dyDescent="0.2">
      <c r="A193" s="1359" t="s">
        <v>321</v>
      </c>
      <c r="B193" s="2743"/>
      <c r="C193" s="2744"/>
      <c r="D193" s="2745"/>
      <c r="E193" s="2746"/>
      <c r="F193" s="2788"/>
      <c r="G193" s="1056">
        <v>30</v>
      </c>
      <c r="H193" s="1057"/>
      <c r="I193" s="1079">
        <f t="shared" ref="I193:I206" si="44">IF($O193&gt;0,-PMT(($I$9),$O193,1),0)</f>
        <v>4.6199342169092869E-2</v>
      </c>
      <c r="J193" s="1080">
        <f t="shared" ref="J193:J205" si="45">ROUND(E193*I193,0)</f>
        <v>0</v>
      </c>
      <c r="K193" s="1060">
        <v>1.5</v>
      </c>
      <c r="L193" s="1304"/>
      <c r="M193" s="1085">
        <f t="shared" ref="M193:M206" si="46">ROUND(E193/100*IF(ISBLANK(L193),K193,L193),0)</f>
        <v>0</v>
      </c>
      <c r="N193" s="506"/>
      <c r="O193" s="365">
        <f t="shared" ref="O193:O206" si="47">IF(ISBLANK(H193),G193,H193)</f>
        <v>30</v>
      </c>
      <c r="P193" s="366"/>
      <c r="Q193" s="135"/>
      <c r="R193" s="136"/>
      <c r="S193" s="129"/>
      <c r="T193" s="129"/>
      <c r="U193" s="129"/>
      <c r="V193" s="129"/>
      <c r="W193" s="129"/>
      <c r="X193" s="129"/>
      <c r="Y193" s="129"/>
      <c r="Z193" s="133"/>
      <c r="AA193" s="133"/>
      <c r="AB193" s="133"/>
      <c r="AC193" s="133"/>
      <c r="AD193" s="133"/>
      <c r="AE193" s="133"/>
      <c r="AF193" s="222"/>
      <c r="AG193" s="222"/>
      <c r="AH193" s="222"/>
      <c r="AI193" s="176"/>
      <c r="AJ193" s="176"/>
      <c r="AK193" s="176"/>
      <c r="AL193" s="176"/>
      <c r="AM193" s="176"/>
      <c r="AN193" s="176"/>
      <c r="AO193" s="176"/>
      <c r="AP193" s="176"/>
      <c r="AQ193" s="176"/>
      <c r="AR193" s="176"/>
      <c r="AS193" s="176"/>
      <c r="AT193" s="176"/>
      <c r="AU193" s="176"/>
      <c r="AV193" s="176"/>
      <c r="AW193" s="176"/>
      <c r="AX193" s="176"/>
      <c r="AY193" s="176"/>
      <c r="AZ193" s="176"/>
      <c r="BA193" s="176"/>
      <c r="BB193" s="176"/>
      <c r="BC193" s="176"/>
      <c r="BD193" s="176"/>
      <c r="BE193" s="176"/>
      <c r="BF193" s="176"/>
      <c r="BG193" s="176"/>
      <c r="BH193" s="176"/>
      <c r="BI193" s="176"/>
      <c r="BJ193" s="176"/>
      <c r="BK193" s="176"/>
      <c r="BL193" s="176"/>
      <c r="BM193" s="176"/>
      <c r="BN193" s="176"/>
      <c r="BO193" s="176"/>
    </row>
    <row r="194" spans="1:67" s="36" customFormat="1" ht="10.5" customHeight="1" x14ac:dyDescent="0.2">
      <c r="A194" s="1043" t="s">
        <v>322</v>
      </c>
      <c r="B194" s="2594"/>
      <c r="C194" s="2595"/>
      <c r="D194" s="2596"/>
      <c r="E194" s="2395"/>
      <c r="F194" s="2789"/>
      <c r="G194" s="1058">
        <v>30</v>
      </c>
      <c r="H194" s="1059"/>
      <c r="I194" s="1081">
        <f t="shared" si="44"/>
        <v>4.6199342169092869E-2</v>
      </c>
      <c r="J194" s="1082">
        <f t="shared" si="45"/>
        <v>0</v>
      </c>
      <c r="K194" s="1061">
        <v>1</v>
      </c>
      <c r="L194" s="1305"/>
      <c r="M194" s="1086">
        <f t="shared" si="46"/>
        <v>0</v>
      </c>
      <c r="N194" s="506"/>
      <c r="O194" s="365">
        <f t="shared" si="47"/>
        <v>30</v>
      </c>
      <c r="P194" s="366"/>
      <c r="Q194" s="135"/>
      <c r="R194" s="136"/>
      <c r="S194" s="129"/>
      <c r="T194" s="129"/>
      <c r="U194" s="129"/>
      <c r="V194" s="129"/>
      <c r="W194" s="129"/>
      <c r="X194" s="129"/>
      <c r="Y194" s="129"/>
      <c r="Z194" s="133"/>
      <c r="AA194" s="133"/>
      <c r="AB194" s="133"/>
      <c r="AC194" s="133"/>
      <c r="AD194" s="133"/>
      <c r="AE194" s="133"/>
      <c r="AF194" s="222"/>
      <c r="AG194" s="222"/>
      <c r="AH194" s="222"/>
      <c r="AI194" s="176"/>
      <c r="AJ194" s="176"/>
      <c r="AK194" s="176"/>
      <c r="AL194" s="176"/>
      <c r="AM194" s="176"/>
      <c r="AN194" s="176"/>
      <c r="AO194" s="176"/>
      <c r="AP194" s="176"/>
      <c r="AQ194" s="176"/>
      <c r="AR194" s="176"/>
      <c r="AS194" s="176"/>
      <c r="AT194" s="176"/>
      <c r="AU194" s="176"/>
      <c r="AV194" s="176"/>
      <c r="AW194" s="176"/>
      <c r="AX194" s="176"/>
      <c r="AY194" s="176"/>
      <c r="AZ194" s="176"/>
      <c r="BA194" s="176"/>
      <c r="BB194" s="176"/>
      <c r="BC194" s="176"/>
      <c r="BD194" s="176"/>
      <c r="BE194" s="176"/>
      <c r="BF194" s="176"/>
      <c r="BG194" s="176"/>
      <c r="BH194" s="176"/>
      <c r="BI194" s="176"/>
      <c r="BJ194" s="176"/>
      <c r="BK194" s="176"/>
      <c r="BL194" s="176"/>
      <c r="BM194" s="176"/>
      <c r="BN194" s="176"/>
      <c r="BO194" s="176"/>
    </row>
    <row r="195" spans="1:67" s="36" customFormat="1" ht="10.5" customHeight="1" x14ac:dyDescent="0.2">
      <c r="A195" s="1043" t="s">
        <v>323</v>
      </c>
      <c r="B195" s="2594"/>
      <c r="C195" s="2595"/>
      <c r="D195" s="2596"/>
      <c r="E195" s="2395"/>
      <c r="F195" s="2789"/>
      <c r="G195" s="1058">
        <v>30</v>
      </c>
      <c r="H195" s="1059"/>
      <c r="I195" s="1081">
        <f t="shared" si="44"/>
        <v>4.6199342169092869E-2</v>
      </c>
      <c r="J195" s="1082">
        <f t="shared" si="45"/>
        <v>0</v>
      </c>
      <c r="K195" s="1061">
        <v>0.5</v>
      </c>
      <c r="L195" s="1305"/>
      <c r="M195" s="1086">
        <f t="shared" si="46"/>
        <v>0</v>
      </c>
      <c r="N195" s="506"/>
      <c r="O195" s="365">
        <f t="shared" si="47"/>
        <v>30</v>
      </c>
      <c r="P195" s="366"/>
      <c r="Q195" s="135"/>
      <c r="R195" s="136"/>
      <c r="S195" s="129"/>
      <c r="T195" s="129"/>
      <c r="U195" s="129"/>
      <c r="V195" s="129"/>
      <c r="W195" s="129"/>
      <c r="X195" s="129"/>
      <c r="Y195" s="129"/>
      <c r="Z195" s="133"/>
      <c r="AA195" s="133"/>
      <c r="AB195" s="133"/>
      <c r="AC195" s="133"/>
      <c r="AD195" s="133"/>
      <c r="AE195" s="133"/>
      <c r="AF195" s="222"/>
      <c r="AG195" s="222"/>
      <c r="AH195" s="222"/>
      <c r="AI195" s="176"/>
      <c r="AJ195" s="176"/>
      <c r="AK195" s="176"/>
      <c r="AL195" s="176"/>
      <c r="AM195" s="176"/>
      <c r="AN195" s="176"/>
      <c r="AO195" s="176"/>
      <c r="AP195" s="176"/>
      <c r="AQ195" s="176"/>
      <c r="AR195" s="176"/>
      <c r="AS195" s="176"/>
      <c r="AT195" s="176"/>
      <c r="AU195" s="176"/>
      <c r="AV195" s="176"/>
      <c r="AW195" s="176"/>
      <c r="AX195" s="176"/>
      <c r="AY195" s="176"/>
      <c r="AZ195" s="176"/>
      <c r="BA195" s="176"/>
      <c r="BB195" s="176"/>
      <c r="BC195" s="176"/>
      <c r="BD195" s="176"/>
      <c r="BE195" s="176"/>
      <c r="BF195" s="176"/>
      <c r="BG195" s="176"/>
      <c r="BH195" s="176"/>
      <c r="BI195" s="176"/>
      <c r="BJ195" s="176"/>
      <c r="BK195" s="176"/>
      <c r="BL195" s="176"/>
      <c r="BM195" s="176"/>
      <c r="BN195" s="176"/>
      <c r="BO195" s="176"/>
    </row>
    <row r="196" spans="1:67" s="36" customFormat="1" ht="10.5" customHeight="1" x14ac:dyDescent="0.2">
      <c r="A196" s="1043" t="s">
        <v>324</v>
      </c>
      <c r="B196" s="2594"/>
      <c r="C196" s="2595"/>
      <c r="D196" s="2596"/>
      <c r="E196" s="2395"/>
      <c r="F196" s="2789"/>
      <c r="G196" s="1058">
        <v>30</v>
      </c>
      <c r="H196" s="1059"/>
      <c r="I196" s="1081">
        <f t="shared" si="44"/>
        <v>4.6199342169092869E-2</v>
      </c>
      <c r="J196" s="1082">
        <f t="shared" si="45"/>
        <v>0</v>
      </c>
      <c r="K196" s="1061">
        <v>0.5</v>
      </c>
      <c r="L196" s="1305"/>
      <c r="M196" s="1086">
        <f t="shared" si="46"/>
        <v>0</v>
      </c>
      <c r="N196" s="506"/>
      <c r="O196" s="365">
        <f t="shared" si="47"/>
        <v>30</v>
      </c>
      <c r="P196" s="366"/>
      <c r="Q196" s="135"/>
      <c r="R196" s="136"/>
      <c r="S196" s="129"/>
      <c r="T196" s="129"/>
      <c r="U196" s="129"/>
      <c r="V196" s="129"/>
      <c r="W196" s="129"/>
      <c r="X196" s="129"/>
      <c r="Y196" s="129"/>
      <c r="Z196" s="133"/>
      <c r="AA196" s="133"/>
      <c r="AB196" s="133"/>
      <c r="AC196" s="133"/>
      <c r="AD196" s="133"/>
      <c r="AE196" s="133"/>
      <c r="AF196" s="222"/>
      <c r="AG196" s="222"/>
      <c r="AH196" s="222"/>
      <c r="AI196" s="176"/>
      <c r="AJ196" s="176"/>
      <c r="AK196" s="176"/>
      <c r="AL196" s="176"/>
      <c r="AM196" s="176"/>
      <c r="AN196" s="176"/>
      <c r="AO196" s="176"/>
      <c r="AP196" s="176"/>
      <c r="AQ196" s="176"/>
      <c r="AR196" s="176"/>
      <c r="AS196" s="176"/>
      <c r="AT196" s="176"/>
      <c r="AU196" s="176"/>
      <c r="AV196" s="176"/>
      <c r="AW196" s="176"/>
      <c r="AX196" s="176"/>
      <c r="AY196" s="176"/>
      <c r="AZ196" s="176"/>
      <c r="BA196" s="176"/>
      <c r="BB196" s="176"/>
      <c r="BC196" s="176"/>
      <c r="BD196" s="176"/>
      <c r="BE196" s="176"/>
      <c r="BF196" s="176"/>
      <c r="BG196" s="176"/>
      <c r="BH196" s="176"/>
      <c r="BI196" s="176"/>
      <c r="BJ196" s="176"/>
      <c r="BK196" s="176"/>
      <c r="BL196" s="176"/>
      <c r="BM196" s="176"/>
      <c r="BN196" s="176"/>
      <c r="BO196" s="176"/>
    </row>
    <row r="197" spans="1:67" s="36" customFormat="1" ht="10.5" customHeight="1" x14ac:dyDescent="0.2">
      <c r="A197" s="1043" t="s">
        <v>325</v>
      </c>
      <c r="B197" s="2594"/>
      <c r="C197" s="2595"/>
      <c r="D197" s="2596"/>
      <c r="E197" s="2395"/>
      <c r="F197" s="2789"/>
      <c r="G197" s="1058">
        <v>15</v>
      </c>
      <c r="H197" s="1059"/>
      <c r="I197" s="1081">
        <f t="shared" si="44"/>
        <v>7.9288524964265278E-2</v>
      </c>
      <c r="J197" s="1082">
        <f t="shared" si="45"/>
        <v>0</v>
      </c>
      <c r="K197" s="1061">
        <v>2</v>
      </c>
      <c r="L197" s="1305"/>
      <c r="M197" s="1086">
        <f t="shared" si="46"/>
        <v>0</v>
      </c>
      <c r="N197" s="506"/>
      <c r="O197" s="365">
        <f t="shared" si="47"/>
        <v>15</v>
      </c>
      <c r="P197" s="366"/>
      <c r="Q197" s="135"/>
      <c r="R197" s="136"/>
      <c r="S197" s="129"/>
      <c r="T197" s="129"/>
      <c r="U197" s="129"/>
      <c r="V197" s="129"/>
      <c r="W197" s="129"/>
      <c r="X197" s="129"/>
      <c r="Y197" s="129"/>
      <c r="Z197" s="133"/>
      <c r="AA197" s="133"/>
      <c r="AB197" s="133"/>
      <c r="AC197" s="133"/>
      <c r="AD197" s="133"/>
      <c r="AE197" s="133"/>
      <c r="AF197" s="222"/>
      <c r="AG197" s="222"/>
      <c r="AH197" s="222"/>
      <c r="AI197" s="176"/>
      <c r="AJ197" s="176"/>
      <c r="AK197" s="176"/>
      <c r="AL197" s="176"/>
      <c r="AM197" s="176"/>
      <c r="AN197" s="176"/>
      <c r="AO197" s="176"/>
      <c r="AP197" s="176"/>
      <c r="AQ197" s="176"/>
      <c r="AR197" s="176"/>
      <c r="AS197" s="176"/>
      <c r="AT197" s="176"/>
      <c r="AU197" s="176"/>
      <c r="AV197" s="176"/>
      <c r="AW197" s="176"/>
      <c r="AX197" s="176"/>
      <c r="AY197" s="176"/>
      <c r="AZ197" s="176"/>
      <c r="BA197" s="176"/>
      <c r="BB197" s="176"/>
      <c r="BC197" s="176"/>
      <c r="BD197" s="176"/>
      <c r="BE197" s="176"/>
      <c r="BF197" s="176"/>
      <c r="BG197" s="176"/>
      <c r="BH197" s="176"/>
      <c r="BI197" s="176"/>
      <c r="BJ197" s="176"/>
      <c r="BK197" s="176"/>
      <c r="BL197" s="176"/>
      <c r="BM197" s="176"/>
      <c r="BN197" s="176"/>
      <c r="BO197" s="176"/>
    </row>
    <row r="198" spans="1:67" s="36" customFormat="1" ht="10.5" customHeight="1" x14ac:dyDescent="0.2">
      <c r="A198" s="1043" t="s">
        <v>399</v>
      </c>
      <c r="B198" s="2594"/>
      <c r="C198" s="2595"/>
      <c r="D198" s="2596"/>
      <c r="E198" s="2395"/>
      <c r="F198" s="2789"/>
      <c r="G198" s="1058">
        <v>15</v>
      </c>
      <c r="H198" s="1059"/>
      <c r="I198" s="1081">
        <f t="shared" si="44"/>
        <v>7.9288524964265278E-2</v>
      </c>
      <c r="J198" s="1082">
        <f t="shared" si="45"/>
        <v>0</v>
      </c>
      <c r="K198" s="1061">
        <v>1.5</v>
      </c>
      <c r="L198" s="1305"/>
      <c r="M198" s="1086">
        <f t="shared" si="46"/>
        <v>0</v>
      </c>
      <c r="N198" s="506"/>
      <c r="O198" s="365">
        <f t="shared" si="47"/>
        <v>15</v>
      </c>
      <c r="P198" s="366"/>
      <c r="Q198" s="135"/>
      <c r="R198" s="136"/>
      <c r="S198" s="129"/>
      <c r="T198" s="129"/>
      <c r="U198" s="129"/>
      <c r="V198" s="129"/>
      <c r="W198" s="129"/>
      <c r="X198" s="129"/>
      <c r="Y198" s="129"/>
      <c r="Z198" s="133"/>
      <c r="AA198" s="133"/>
      <c r="AB198" s="133"/>
      <c r="AC198" s="133"/>
      <c r="AD198" s="133"/>
      <c r="AE198" s="133"/>
      <c r="AF198" s="222"/>
      <c r="AG198" s="222"/>
      <c r="AH198" s="222"/>
      <c r="AI198" s="176"/>
      <c r="AJ198" s="176"/>
      <c r="AK198" s="176"/>
      <c r="AL198" s="176"/>
      <c r="AM198" s="176"/>
      <c r="AN198" s="176"/>
      <c r="AO198" s="176"/>
      <c r="AP198" s="176"/>
      <c r="AQ198" s="176"/>
      <c r="AR198" s="176"/>
      <c r="AS198" s="176"/>
      <c r="AT198" s="176"/>
      <c r="AU198" s="176"/>
      <c r="AV198" s="176"/>
      <c r="AW198" s="176"/>
      <c r="AX198" s="176"/>
      <c r="AY198" s="176"/>
      <c r="AZ198" s="176"/>
      <c r="BA198" s="176"/>
      <c r="BB198" s="176"/>
      <c r="BC198" s="176"/>
      <c r="BD198" s="176"/>
      <c r="BE198" s="176"/>
      <c r="BF198" s="176"/>
      <c r="BG198" s="176"/>
      <c r="BH198" s="176"/>
      <c r="BI198" s="176"/>
      <c r="BJ198" s="176"/>
      <c r="BK198" s="176"/>
      <c r="BL198" s="176"/>
      <c r="BM198" s="176"/>
      <c r="BN198" s="176"/>
      <c r="BO198" s="176"/>
    </row>
    <row r="199" spans="1:67" s="36" customFormat="1" ht="10.5" customHeight="1" x14ac:dyDescent="0.2">
      <c r="A199" s="1055"/>
      <c r="B199" s="2594"/>
      <c r="C199" s="2595"/>
      <c r="D199" s="2596"/>
      <c r="E199" s="2395"/>
      <c r="F199" s="2396"/>
      <c r="G199" s="2590"/>
      <c r="H199" s="2591"/>
      <c r="I199" s="1081">
        <f t="shared" si="44"/>
        <v>0</v>
      </c>
      <c r="J199" s="1082">
        <f t="shared" si="45"/>
        <v>0</v>
      </c>
      <c r="K199" s="2588"/>
      <c r="L199" s="2589"/>
      <c r="M199" s="1086">
        <f t="shared" si="46"/>
        <v>0</v>
      </c>
      <c r="N199" s="506"/>
      <c r="O199" s="365">
        <f t="shared" si="47"/>
        <v>0</v>
      </c>
      <c r="P199" s="366"/>
      <c r="Q199" s="135"/>
      <c r="R199" s="136"/>
      <c r="S199" s="129"/>
      <c r="T199" s="129"/>
      <c r="U199" s="129"/>
      <c r="V199" s="129"/>
      <c r="W199" s="129"/>
      <c r="X199" s="129"/>
      <c r="Y199" s="129"/>
      <c r="Z199" s="133"/>
      <c r="AA199" s="133"/>
      <c r="AB199" s="133"/>
      <c r="AC199" s="133"/>
      <c r="AD199" s="133"/>
      <c r="AE199" s="133"/>
      <c r="AF199" s="222"/>
      <c r="AG199" s="222"/>
      <c r="AH199" s="222"/>
      <c r="AI199" s="176"/>
      <c r="AJ199" s="176"/>
      <c r="AK199" s="176"/>
      <c r="AL199" s="176"/>
      <c r="AM199" s="176"/>
      <c r="AN199" s="176"/>
      <c r="AO199" s="176"/>
      <c r="AP199" s="176"/>
      <c r="AQ199" s="176"/>
      <c r="AR199" s="176"/>
      <c r="AS199" s="176"/>
      <c r="AT199" s="176"/>
      <c r="AU199" s="176"/>
      <c r="AV199" s="176"/>
      <c r="AW199" s="176"/>
      <c r="AX199" s="176"/>
      <c r="AY199" s="176"/>
      <c r="AZ199" s="176"/>
      <c r="BA199" s="176"/>
      <c r="BB199" s="176"/>
      <c r="BC199" s="176"/>
      <c r="BD199" s="176"/>
      <c r="BE199" s="176"/>
      <c r="BF199" s="176"/>
      <c r="BG199" s="176"/>
      <c r="BH199" s="176"/>
      <c r="BI199" s="176"/>
      <c r="BJ199" s="176"/>
      <c r="BK199" s="176"/>
      <c r="BL199" s="176"/>
      <c r="BM199" s="176"/>
      <c r="BN199" s="176"/>
      <c r="BO199" s="176"/>
    </row>
    <row r="200" spans="1:67" s="36" customFormat="1" ht="10.5" customHeight="1" x14ac:dyDescent="0.2">
      <c r="A200" s="1055"/>
      <c r="B200" s="2594"/>
      <c r="C200" s="2595"/>
      <c r="D200" s="2596"/>
      <c r="E200" s="2395"/>
      <c r="F200" s="2396"/>
      <c r="G200" s="2590"/>
      <c r="H200" s="2591"/>
      <c r="I200" s="1081">
        <f t="shared" si="44"/>
        <v>0</v>
      </c>
      <c r="J200" s="1082">
        <f t="shared" si="45"/>
        <v>0</v>
      </c>
      <c r="K200" s="2588"/>
      <c r="L200" s="2589"/>
      <c r="M200" s="1086">
        <f t="shared" si="46"/>
        <v>0</v>
      </c>
      <c r="N200" s="506"/>
      <c r="O200" s="365">
        <f t="shared" si="47"/>
        <v>0</v>
      </c>
      <c r="P200" s="366"/>
      <c r="Q200" s="135"/>
      <c r="R200" s="136"/>
      <c r="S200" s="129"/>
      <c r="T200" s="129"/>
      <c r="U200" s="129"/>
      <c r="V200" s="129"/>
      <c r="W200" s="129"/>
      <c r="X200" s="129"/>
      <c r="Y200" s="129"/>
      <c r="Z200" s="133"/>
      <c r="AA200" s="133"/>
      <c r="AB200" s="133"/>
      <c r="AC200" s="133"/>
      <c r="AD200" s="133"/>
      <c r="AE200" s="133"/>
      <c r="AF200" s="222"/>
      <c r="AG200" s="222"/>
      <c r="AH200" s="222"/>
      <c r="AI200" s="176"/>
      <c r="AJ200" s="176"/>
      <c r="AK200" s="176"/>
      <c r="AL200" s="176"/>
      <c r="AM200" s="176"/>
      <c r="AN200" s="176"/>
      <c r="AO200" s="176"/>
      <c r="AP200" s="176"/>
      <c r="AQ200" s="176"/>
      <c r="AR200" s="176"/>
      <c r="AS200" s="176"/>
      <c r="AT200" s="176"/>
      <c r="AU200" s="176"/>
      <c r="AV200" s="176"/>
      <c r="AW200" s="176"/>
      <c r="AX200" s="176"/>
      <c r="AY200" s="176"/>
      <c r="AZ200" s="176"/>
      <c r="BA200" s="176"/>
      <c r="BB200" s="176"/>
      <c r="BC200" s="176"/>
      <c r="BD200" s="176"/>
      <c r="BE200" s="176"/>
      <c r="BF200" s="176"/>
      <c r="BG200" s="176"/>
      <c r="BH200" s="176"/>
      <c r="BI200" s="176"/>
      <c r="BJ200" s="176"/>
      <c r="BK200" s="176"/>
      <c r="BL200" s="176"/>
      <c r="BM200" s="176"/>
      <c r="BN200" s="176"/>
      <c r="BO200" s="176"/>
    </row>
    <row r="201" spans="1:67" s="36" customFormat="1" ht="10.5" customHeight="1" x14ac:dyDescent="0.2">
      <c r="A201" s="1055"/>
      <c r="B201" s="2594"/>
      <c r="C201" s="2595"/>
      <c r="D201" s="2596"/>
      <c r="E201" s="2395"/>
      <c r="F201" s="2396"/>
      <c r="G201" s="2590"/>
      <c r="H201" s="2591"/>
      <c r="I201" s="1081">
        <f t="shared" si="44"/>
        <v>0</v>
      </c>
      <c r="J201" s="1082">
        <f t="shared" si="45"/>
        <v>0</v>
      </c>
      <c r="K201" s="2588"/>
      <c r="L201" s="2589"/>
      <c r="M201" s="1086">
        <f t="shared" si="46"/>
        <v>0</v>
      </c>
      <c r="N201" s="506"/>
      <c r="O201" s="365">
        <f t="shared" si="47"/>
        <v>0</v>
      </c>
      <c r="P201" s="366"/>
      <c r="Q201" s="135"/>
      <c r="R201" s="136"/>
      <c r="S201" s="129"/>
      <c r="T201" s="129"/>
      <c r="U201" s="129"/>
      <c r="V201" s="129"/>
      <c r="W201" s="129"/>
      <c r="X201" s="129"/>
      <c r="Y201" s="129"/>
      <c r="Z201" s="133"/>
      <c r="AA201" s="133"/>
      <c r="AB201" s="133"/>
      <c r="AC201" s="133"/>
      <c r="AD201" s="133"/>
      <c r="AE201" s="133"/>
      <c r="AF201" s="222"/>
      <c r="AG201" s="222"/>
      <c r="AH201" s="222"/>
      <c r="AI201" s="176"/>
      <c r="AJ201" s="176"/>
      <c r="AK201" s="176"/>
      <c r="AL201" s="176"/>
      <c r="AM201" s="176"/>
      <c r="AN201" s="176"/>
      <c r="AO201" s="176"/>
      <c r="AP201" s="176"/>
      <c r="AQ201" s="176"/>
      <c r="AR201" s="176"/>
      <c r="AS201" s="176"/>
      <c r="AT201" s="176"/>
      <c r="AU201" s="176"/>
      <c r="AV201" s="176"/>
      <c r="AW201" s="176"/>
      <c r="AX201" s="176"/>
      <c r="AY201" s="176"/>
      <c r="AZ201" s="176"/>
      <c r="BA201" s="176"/>
      <c r="BB201" s="176"/>
      <c r="BC201" s="176"/>
      <c r="BD201" s="176"/>
      <c r="BE201" s="176"/>
      <c r="BF201" s="176"/>
      <c r="BG201" s="176"/>
      <c r="BH201" s="176"/>
      <c r="BI201" s="176"/>
      <c r="BJ201" s="176"/>
      <c r="BK201" s="176"/>
      <c r="BL201" s="176"/>
      <c r="BM201" s="176"/>
      <c r="BN201" s="176"/>
      <c r="BO201" s="176"/>
    </row>
    <row r="202" spans="1:67" s="36" customFormat="1" ht="10.5" customHeight="1" x14ac:dyDescent="0.2">
      <c r="A202" s="1055"/>
      <c r="B202" s="2594"/>
      <c r="C202" s="2595"/>
      <c r="D202" s="2596"/>
      <c r="E202" s="2395"/>
      <c r="F202" s="2396"/>
      <c r="G202" s="2590"/>
      <c r="H202" s="2591"/>
      <c r="I202" s="1081">
        <f t="shared" si="44"/>
        <v>0</v>
      </c>
      <c r="J202" s="1082">
        <f t="shared" si="45"/>
        <v>0</v>
      </c>
      <c r="K202" s="2588"/>
      <c r="L202" s="2589"/>
      <c r="M202" s="1086">
        <f t="shared" si="46"/>
        <v>0</v>
      </c>
      <c r="N202" s="506"/>
      <c r="O202" s="365">
        <f t="shared" si="47"/>
        <v>0</v>
      </c>
      <c r="P202" s="366"/>
      <c r="Q202" s="135"/>
      <c r="R202" s="136"/>
      <c r="S202" s="129"/>
      <c r="T202" s="129"/>
      <c r="U202" s="129"/>
      <c r="V202" s="129"/>
      <c r="W202" s="129"/>
      <c r="X202" s="129"/>
      <c r="Y202" s="129"/>
      <c r="Z202" s="133"/>
      <c r="AA202" s="133"/>
      <c r="AB202" s="133"/>
      <c r="AC202" s="133"/>
      <c r="AD202" s="133"/>
      <c r="AE202" s="133"/>
      <c r="AF202" s="222"/>
      <c r="AG202" s="222"/>
      <c r="AH202" s="222"/>
      <c r="AI202" s="176"/>
      <c r="AJ202" s="176"/>
      <c r="AK202" s="176"/>
      <c r="AL202" s="176"/>
      <c r="AM202" s="176"/>
      <c r="AN202" s="176"/>
      <c r="AO202" s="176"/>
      <c r="AP202" s="176"/>
      <c r="AQ202" s="176"/>
      <c r="AR202" s="176"/>
      <c r="AS202" s="176"/>
      <c r="AT202" s="176"/>
      <c r="AU202" s="176"/>
      <c r="AV202" s="176"/>
      <c r="AW202" s="176"/>
      <c r="AX202" s="176"/>
      <c r="AY202" s="176"/>
      <c r="AZ202" s="176"/>
      <c r="BA202" s="176"/>
      <c r="BB202" s="176"/>
      <c r="BC202" s="176"/>
      <c r="BD202" s="176"/>
      <c r="BE202" s="176"/>
      <c r="BF202" s="176"/>
      <c r="BG202" s="176"/>
      <c r="BH202" s="176"/>
      <c r="BI202" s="176"/>
      <c r="BJ202" s="176"/>
      <c r="BK202" s="176"/>
      <c r="BL202" s="176"/>
      <c r="BM202" s="176"/>
      <c r="BN202" s="176"/>
      <c r="BO202" s="176"/>
    </row>
    <row r="203" spans="1:67" s="36" customFormat="1" ht="10.5" customHeight="1" x14ac:dyDescent="0.2">
      <c r="A203" s="1055"/>
      <c r="B203" s="2594"/>
      <c r="C203" s="2595"/>
      <c r="D203" s="2596"/>
      <c r="E203" s="2395"/>
      <c r="F203" s="2396"/>
      <c r="G203" s="2590"/>
      <c r="H203" s="2591"/>
      <c r="I203" s="1081">
        <f t="shared" si="44"/>
        <v>0</v>
      </c>
      <c r="J203" s="1082">
        <f t="shared" si="45"/>
        <v>0</v>
      </c>
      <c r="K203" s="2588"/>
      <c r="L203" s="2589"/>
      <c r="M203" s="1086">
        <f t="shared" si="46"/>
        <v>0</v>
      </c>
      <c r="N203" s="506"/>
      <c r="O203" s="365">
        <f t="shared" si="47"/>
        <v>0</v>
      </c>
      <c r="P203" s="366"/>
      <c r="Q203" s="135"/>
      <c r="R203" s="136"/>
      <c r="S203" s="129"/>
      <c r="T203" s="129"/>
      <c r="U203" s="129"/>
      <c r="V203" s="129"/>
      <c r="W203" s="129"/>
      <c r="X203" s="129"/>
      <c r="Y203" s="129"/>
      <c r="Z203" s="133"/>
      <c r="AA203" s="133"/>
      <c r="AB203" s="133"/>
      <c r="AC203" s="133"/>
      <c r="AD203" s="133"/>
      <c r="AE203" s="133"/>
      <c r="AF203" s="222"/>
      <c r="AG203" s="222"/>
      <c r="AH203" s="222"/>
      <c r="AI203" s="176"/>
      <c r="AJ203" s="176"/>
      <c r="AK203" s="176"/>
      <c r="AL203" s="176"/>
      <c r="AM203" s="176"/>
      <c r="AN203" s="176"/>
      <c r="AO203" s="176"/>
      <c r="AP203" s="176"/>
      <c r="AQ203" s="176"/>
      <c r="AR203" s="176"/>
      <c r="AS203" s="176"/>
      <c r="AT203" s="176"/>
      <c r="AU203" s="176"/>
      <c r="AV203" s="176"/>
      <c r="AW203" s="176"/>
      <c r="AX203" s="176"/>
      <c r="AY203" s="176"/>
      <c r="AZ203" s="176"/>
      <c r="BA203" s="176"/>
      <c r="BB203" s="176"/>
      <c r="BC203" s="176"/>
      <c r="BD203" s="176"/>
      <c r="BE203" s="176"/>
      <c r="BF203" s="176"/>
      <c r="BG203" s="176"/>
      <c r="BH203" s="176"/>
      <c r="BI203" s="176"/>
      <c r="BJ203" s="176"/>
      <c r="BK203" s="176"/>
      <c r="BL203" s="176"/>
      <c r="BM203" s="176"/>
      <c r="BN203" s="176"/>
      <c r="BO203" s="176"/>
    </row>
    <row r="204" spans="1:67" s="36" customFormat="1" ht="10.5" customHeight="1" x14ac:dyDescent="0.2">
      <c r="A204" s="1055"/>
      <c r="B204" s="2594"/>
      <c r="C204" s="2595"/>
      <c r="D204" s="2596"/>
      <c r="E204" s="2395"/>
      <c r="F204" s="2396"/>
      <c r="G204" s="2590"/>
      <c r="H204" s="2591"/>
      <c r="I204" s="1081">
        <f t="shared" si="44"/>
        <v>0</v>
      </c>
      <c r="J204" s="1082">
        <f t="shared" si="45"/>
        <v>0</v>
      </c>
      <c r="K204" s="2588"/>
      <c r="L204" s="2589"/>
      <c r="M204" s="1086">
        <f t="shared" si="46"/>
        <v>0</v>
      </c>
      <c r="N204" s="506"/>
      <c r="O204" s="365">
        <f t="shared" si="47"/>
        <v>0</v>
      </c>
      <c r="P204" s="366"/>
      <c r="Q204" s="135"/>
      <c r="R204" s="136"/>
      <c r="S204" s="129"/>
      <c r="T204" s="129"/>
      <c r="U204" s="129"/>
      <c r="V204" s="129"/>
      <c r="W204" s="129"/>
      <c r="X204" s="129"/>
      <c r="Y204" s="129"/>
      <c r="Z204" s="133"/>
      <c r="AA204" s="133"/>
      <c r="AB204" s="133"/>
      <c r="AC204" s="133"/>
      <c r="AD204" s="133"/>
      <c r="AE204" s="133"/>
      <c r="AF204" s="222"/>
      <c r="AG204" s="222"/>
      <c r="AH204" s="222"/>
      <c r="AI204" s="176"/>
      <c r="AJ204" s="176"/>
      <c r="AK204" s="176"/>
      <c r="AL204" s="176"/>
      <c r="AM204" s="176"/>
      <c r="AN204" s="176"/>
      <c r="AO204" s="176"/>
      <c r="AP204" s="176"/>
      <c r="AQ204" s="176"/>
      <c r="AR204" s="176"/>
      <c r="AS204" s="176"/>
      <c r="AT204" s="176"/>
      <c r="AU204" s="176"/>
      <c r="AV204" s="176"/>
      <c r="AW204" s="176"/>
      <c r="AX204" s="176"/>
      <c r="AY204" s="176"/>
      <c r="AZ204" s="176"/>
      <c r="BA204" s="176"/>
      <c r="BB204" s="176"/>
      <c r="BC204" s="176"/>
      <c r="BD204" s="176"/>
      <c r="BE204" s="176"/>
      <c r="BF204" s="176"/>
      <c r="BG204" s="176"/>
      <c r="BH204" s="176"/>
      <c r="BI204" s="176"/>
      <c r="BJ204" s="176"/>
      <c r="BK204" s="176"/>
      <c r="BL204" s="176"/>
      <c r="BM204" s="176"/>
      <c r="BN204" s="176"/>
      <c r="BO204" s="176"/>
    </row>
    <row r="205" spans="1:67" s="36" customFormat="1" ht="10.5" customHeight="1" x14ac:dyDescent="0.2">
      <c r="A205" s="1055"/>
      <c r="B205" s="2594"/>
      <c r="C205" s="2595"/>
      <c r="D205" s="2596"/>
      <c r="E205" s="2395"/>
      <c r="F205" s="2396"/>
      <c r="G205" s="2590"/>
      <c r="H205" s="2591"/>
      <c r="I205" s="1081">
        <f t="shared" si="44"/>
        <v>0</v>
      </c>
      <c r="J205" s="1082">
        <f t="shared" si="45"/>
        <v>0</v>
      </c>
      <c r="K205" s="2588"/>
      <c r="L205" s="2589"/>
      <c r="M205" s="1086">
        <f t="shared" si="46"/>
        <v>0</v>
      </c>
      <c r="N205" s="506"/>
      <c r="O205" s="365">
        <f t="shared" si="47"/>
        <v>0</v>
      </c>
      <c r="P205" s="366"/>
      <c r="Q205" s="135"/>
      <c r="R205" s="136"/>
      <c r="S205" s="129"/>
      <c r="T205" s="129"/>
      <c r="U205" s="129"/>
      <c r="V205" s="129"/>
      <c r="W205" s="129"/>
      <c r="X205" s="129"/>
      <c r="Y205" s="129"/>
      <c r="Z205" s="133"/>
      <c r="AA205" s="133"/>
      <c r="AB205" s="133"/>
      <c r="AC205" s="133"/>
      <c r="AD205" s="133"/>
      <c r="AE205" s="133"/>
      <c r="AF205" s="222"/>
      <c r="AG205" s="222"/>
      <c r="AH205" s="222"/>
      <c r="AI205" s="176"/>
      <c r="AJ205" s="176"/>
      <c r="AK205" s="176"/>
      <c r="AL205" s="176"/>
      <c r="AM205" s="176"/>
      <c r="AN205" s="176"/>
      <c r="AO205" s="176"/>
      <c r="AP205" s="176"/>
      <c r="AQ205" s="176"/>
      <c r="AR205" s="176"/>
      <c r="AS205" s="176"/>
      <c r="AT205" s="176"/>
      <c r="AU205" s="176"/>
      <c r="AV205" s="176"/>
      <c r="AW205" s="176"/>
      <c r="AX205" s="176"/>
      <c r="AY205" s="176"/>
      <c r="AZ205" s="176"/>
      <c r="BA205" s="176"/>
      <c r="BB205" s="176"/>
      <c r="BC205" s="176"/>
      <c r="BD205" s="176"/>
      <c r="BE205" s="176"/>
      <c r="BF205" s="176"/>
      <c r="BG205" s="176"/>
      <c r="BH205" s="176"/>
      <c r="BI205" s="176"/>
      <c r="BJ205" s="176"/>
      <c r="BK205" s="176"/>
      <c r="BL205" s="176"/>
      <c r="BM205" s="176"/>
      <c r="BN205" s="176"/>
      <c r="BO205" s="176"/>
    </row>
    <row r="206" spans="1:67" s="36" customFormat="1" ht="10.5" customHeight="1" x14ac:dyDescent="0.2">
      <c r="A206" s="1348"/>
      <c r="B206" s="2690"/>
      <c r="C206" s="2691"/>
      <c r="D206" s="2692"/>
      <c r="E206" s="2601"/>
      <c r="F206" s="2602"/>
      <c r="G206" s="1088"/>
      <c r="H206" s="1089"/>
      <c r="I206" s="1083">
        <f t="shared" si="44"/>
        <v>0</v>
      </c>
      <c r="J206" s="1084"/>
      <c r="K206" s="1087"/>
      <c r="L206" s="1307"/>
      <c r="M206" s="1317">
        <f t="shared" si="46"/>
        <v>0</v>
      </c>
      <c r="N206" s="506"/>
      <c r="O206" s="365">
        <f t="shared" si="47"/>
        <v>0</v>
      </c>
      <c r="P206" s="366"/>
      <c r="Q206" s="135"/>
      <c r="R206" s="136"/>
      <c r="S206" s="129"/>
      <c r="T206" s="129"/>
      <c r="U206" s="129"/>
      <c r="V206" s="129"/>
      <c r="W206" s="129"/>
      <c r="X206" s="129"/>
      <c r="Y206" s="129"/>
      <c r="Z206" s="133"/>
      <c r="AA206" s="133"/>
      <c r="AB206" s="133"/>
      <c r="AC206" s="133"/>
      <c r="AD206" s="133"/>
      <c r="AE206" s="133"/>
      <c r="AF206" s="222"/>
      <c r="AG206" s="222"/>
      <c r="AH206" s="222"/>
      <c r="AI206" s="176"/>
      <c r="AJ206" s="176"/>
      <c r="AK206" s="176"/>
      <c r="AL206" s="176"/>
      <c r="AM206" s="176"/>
      <c r="AN206" s="176"/>
      <c r="AO206" s="176"/>
      <c r="AP206" s="176"/>
      <c r="AQ206" s="176"/>
      <c r="AR206" s="176"/>
      <c r="AS206" s="176"/>
      <c r="AT206" s="176"/>
      <c r="AU206" s="176"/>
      <c r="AV206" s="176"/>
      <c r="AW206" s="176"/>
      <c r="AX206" s="176"/>
      <c r="AY206" s="176"/>
      <c r="AZ206" s="176"/>
      <c r="BA206" s="176"/>
      <c r="BB206" s="176"/>
      <c r="BC206" s="176"/>
      <c r="BD206" s="176"/>
      <c r="BE206" s="176"/>
      <c r="BF206" s="176"/>
      <c r="BG206" s="176"/>
      <c r="BH206" s="176"/>
      <c r="BI206" s="176"/>
      <c r="BJ206" s="176"/>
      <c r="BK206" s="176"/>
      <c r="BL206" s="176"/>
      <c r="BM206" s="176"/>
      <c r="BN206" s="176"/>
      <c r="BO206" s="176"/>
    </row>
    <row r="207" spans="1:67" s="36" customFormat="1" ht="10.5" customHeight="1" x14ac:dyDescent="0.2">
      <c r="A207" s="1115" t="s">
        <v>326</v>
      </c>
      <c r="B207" s="2611"/>
      <c r="C207" s="2612"/>
      <c r="D207" s="2613"/>
      <c r="E207" s="2676">
        <f>SUM(E208:E220)</f>
        <v>0</v>
      </c>
      <c r="F207" s="2677"/>
      <c r="G207" s="2678"/>
      <c r="H207" s="2679"/>
      <c r="I207" s="1116">
        <f>IF(E207=0,0,J207/E207)</f>
        <v>0</v>
      </c>
      <c r="J207" s="1117">
        <f>SUM(J208:J220)</f>
        <v>0</v>
      </c>
      <c r="K207" s="2686">
        <f>IF(E207=0,0,M207/E207*100)</f>
        <v>0</v>
      </c>
      <c r="L207" s="2687"/>
      <c r="M207" s="1118">
        <f>SUM(M208:M220)</f>
        <v>0</v>
      </c>
      <c r="N207" s="506"/>
      <c r="O207" s="178">
        <f>IF(H207="",G207,H207)</f>
        <v>0</v>
      </c>
      <c r="P207" s="366"/>
      <c r="Q207" s="135"/>
      <c r="R207" s="136"/>
      <c r="S207" s="129"/>
      <c r="T207" s="129"/>
      <c r="U207" s="129"/>
      <c r="V207" s="129"/>
      <c r="W207" s="129"/>
      <c r="X207" s="129"/>
      <c r="Y207" s="129"/>
      <c r="Z207" s="133"/>
      <c r="AA207" s="133"/>
      <c r="AB207" s="133"/>
      <c r="AC207" s="133"/>
      <c r="AD207" s="133"/>
      <c r="AE207" s="133"/>
      <c r="AF207" s="222"/>
      <c r="AG207" s="222"/>
      <c r="AH207" s="222"/>
      <c r="AI207" s="176"/>
      <c r="AJ207" s="176"/>
      <c r="AK207" s="176"/>
      <c r="AL207" s="176"/>
      <c r="AM207" s="176"/>
      <c r="AN207" s="176"/>
      <c r="AO207" s="176"/>
      <c r="AP207" s="176"/>
      <c r="AQ207" s="176"/>
      <c r="AR207" s="176"/>
      <c r="AS207" s="176"/>
      <c r="AT207" s="176"/>
      <c r="AU207" s="176"/>
      <c r="AV207" s="176"/>
      <c r="AW207" s="176"/>
      <c r="AX207" s="176"/>
      <c r="AY207" s="176"/>
      <c r="AZ207" s="176"/>
      <c r="BA207" s="176"/>
      <c r="BB207" s="176"/>
      <c r="BC207" s="176"/>
      <c r="BD207" s="176"/>
      <c r="BE207" s="176"/>
      <c r="BF207" s="176"/>
      <c r="BG207" s="176"/>
      <c r="BH207" s="176"/>
      <c r="BI207" s="176"/>
      <c r="BJ207" s="176"/>
      <c r="BK207" s="176"/>
      <c r="BL207" s="176"/>
      <c r="BM207" s="176"/>
      <c r="BN207" s="176"/>
      <c r="BO207" s="176"/>
    </row>
    <row r="208" spans="1:67" s="36" customFormat="1" ht="10.5" customHeight="1" x14ac:dyDescent="0.2">
      <c r="A208" s="1359" t="s">
        <v>327</v>
      </c>
      <c r="B208" s="2743"/>
      <c r="C208" s="2744"/>
      <c r="D208" s="2745"/>
      <c r="E208" s="2746"/>
      <c r="F208" s="2788"/>
      <c r="G208" s="1056">
        <v>30</v>
      </c>
      <c r="H208" s="1057"/>
      <c r="I208" s="1079">
        <f t="shared" ref="I208:I221" si="48">IF($O208&gt;0,-PMT(($I$9),$O208,1),0)</f>
        <v>4.6199342169092869E-2</v>
      </c>
      <c r="J208" s="1080">
        <f t="shared" ref="J208:J220" si="49">ROUND(E208*I208,0)</f>
        <v>0</v>
      </c>
      <c r="K208" s="1060">
        <v>0.5</v>
      </c>
      <c r="L208" s="1304"/>
      <c r="M208" s="1085">
        <f t="shared" ref="M208:M221" si="50">ROUND(E208/100*IF(ISBLANK(L208),K208,L208),0)</f>
        <v>0</v>
      </c>
      <c r="N208" s="506"/>
      <c r="O208" s="365">
        <f t="shared" ref="O208:O221" si="51">IF(ISBLANK(H208),G208,H208)</f>
        <v>30</v>
      </c>
      <c r="P208" s="366"/>
      <c r="Q208" s="135"/>
      <c r="R208" s="136"/>
      <c r="S208" s="129"/>
      <c r="T208" s="129"/>
      <c r="U208" s="129"/>
      <c r="V208" s="129"/>
      <c r="W208" s="129"/>
      <c r="X208" s="129"/>
      <c r="Y208" s="129"/>
      <c r="Z208" s="133"/>
      <c r="AA208" s="133"/>
      <c r="AB208" s="133"/>
      <c r="AC208" s="133"/>
      <c r="AD208" s="133"/>
      <c r="AE208" s="133"/>
      <c r="AF208" s="222"/>
      <c r="AG208" s="222"/>
      <c r="AH208" s="222"/>
      <c r="AI208" s="176"/>
      <c r="AJ208" s="176"/>
      <c r="AK208" s="176"/>
      <c r="AL208" s="176"/>
      <c r="AM208" s="176"/>
      <c r="AN208" s="176"/>
      <c r="AO208" s="176"/>
      <c r="AP208" s="176"/>
      <c r="AQ208" s="176"/>
      <c r="AR208" s="176"/>
      <c r="AS208" s="176"/>
      <c r="AT208" s="176"/>
      <c r="AU208" s="176"/>
      <c r="AV208" s="176"/>
      <c r="AW208" s="176"/>
      <c r="AX208" s="176"/>
      <c r="AY208" s="176"/>
      <c r="AZ208" s="176"/>
      <c r="BA208" s="176"/>
      <c r="BB208" s="176"/>
      <c r="BC208" s="176"/>
      <c r="BD208" s="176"/>
      <c r="BE208" s="176"/>
      <c r="BF208" s="176"/>
      <c r="BG208" s="176"/>
      <c r="BH208" s="176"/>
      <c r="BI208" s="176"/>
      <c r="BJ208" s="176"/>
      <c r="BK208" s="176"/>
      <c r="BL208" s="176"/>
      <c r="BM208" s="176"/>
      <c r="BN208" s="176"/>
      <c r="BO208" s="176"/>
    </row>
    <row r="209" spans="1:67" s="36" customFormat="1" ht="10.5" customHeight="1" x14ac:dyDescent="0.2">
      <c r="A209" s="1043" t="s">
        <v>328</v>
      </c>
      <c r="B209" s="2594"/>
      <c r="C209" s="2595"/>
      <c r="D209" s="2596"/>
      <c r="E209" s="2395"/>
      <c r="F209" s="2789"/>
      <c r="G209" s="1058">
        <v>30</v>
      </c>
      <c r="H209" s="1059"/>
      <c r="I209" s="1081">
        <f t="shared" si="48"/>
        <v>4.6199342169092869E-2</v>
      </c>
      <c r="J209" s="1082">
        <f t="shared" si="49"/>
        <v>0</v>
      </c>
      <c r="K209" s="1061">
        <v>1.5</v>
      </c>
      <c r="L209" s="1305"/>
      <c r="M209" s="1086">
        <f t="shared" si="50"/>
        <v>0</v>
      </c>
      <c r="N209" s="506"/>
      <c r="O209" s="365">
        <f t="shared" si="51"/>
        <v>30</v>
      </c>
      <c r="P209" s="366"/>
      <c r="Q209" s="135"/>
      <c r="R209" s="136"/>
      <c r="S209" s="129"/>
      <c r="T209" s="129"/>
      <c r="U209" s="129"/>
      <c r="V209" s="129"/>
      <c r="W209" s="129"/>
      <c r="X209" s="129"/>
      <c r="Y209" s="129"/>
      <c r="Z209" s="133"/>
      <c r="AA209" s="133"/>
      <c r="AB209" s="133"/>
      <c r="AC209" s="133"/>
      <c r="AD209" s="133"/>
      <c r="AE209" s="133"/>
      <c r="AF209" s="222"/>
      <c r="AG209" s="222"/>
      <c r="AH209" s="222"/>
      <c r="AI209" s="176"/>
      <c r="AJ209" s="176"/>
      <c r="AK209" s="176"/>
      <c r="AL209" s="176"/>
      <c r="AM209" s="176"/>
      <c r="AN209" s="176"/>
      <c r="AO209" s="176"/>
      <c r="AP209" s="176"/>
      <c r="AQ209" s="176"/>
      <c r="AR209" s="176"/>
      <c r="AS209" s="176"/>
      <c r="AT209" s="176"/>
      <c r="AU209" s="176"/>
      <c r="AV209" s="176"/>
      <c r="AW209" s="176"/>
      <c r="AX209" s="176"/>
      <c r="AY209" s="176"/>
      <c r="AZ209" s="176"/>
      <c r="BA209" s="176"/>
      <c r="BB209" s="176"/>
      <c r="BC209" s="176"/>
      <c r="BD209" s="176"/>
      <c r="BE209" s="176"/>
      <c r="BF209" s="176"/>
      <c r="BG209" s="176"/>
      <c r="BH209" s="176"/>
      <c r="BI209" s="176"/>
      <c r="BJ209" s="176"/>
      <c r="BK209" s="176"/>
      <c r="BL209" s="176"/>
      <c r="BM209" s="176"/>
      <c r="BN209" s="176"/>
      <c r="BO209" s="176"/>
    </row>
    <row r="210" spans="1:67" s="36" customFormat="1" ht="10.5" customHeight="1" x14ac:dyDescent="0.2">
      <c r="A210" s="1043" t="s">
        <v>329</v>
      </c>
      <c r="B210" s="2594"/>
      <c r="C210" s="2595"/>
      <c r="D210" s="2596"/>
      <c r="E210" s="2395"/>
      <c r="F210" s="2789"/>
      <c r="G210" s="1058">
        <v>30</v>
      </c>
      <c r="H210" s="1059"/>
      <c r="I210" s="1081">
        <f t="shared" si="48"/>
        <v>4.6199342169092869E-2</v>
      </c>
      <c r="J210" s="1082">
        <f t="shared" si="49"/>
        <v>0</v>
      </c>
      <c r="K210" s="1061">
        <v>1.5</v>
      </c>
      <c r="L210" s="1305"/>
      <c r="M210" s="1086">
        <f t="shared" si="50"/>
        <v>0</v>
      </c>
      <c r="N210" s="506"/>
      <c r="O210" s="365">
        <f t="shared" si="51"/>
        <v>30</v>
      </c>
      <c r="P210" s="366"/>
      <c r="Q210" s="135"/>
      <c r="R210" s="136"/>
      <c r="S210" s="129"/>
      <c r="T210" s="129"/>
      <c r="U210" s="129"/>
      <c r="V210" s="129"/>
      <c r="W210" s="129"/>
      <c r="X210" s="129"/>
      <c r="Y210" s="129"/>
      <c r="Z210" s="133"/>
      <c r="AA210" s="133"/>
      <c r="AB210" s="133"/>
      <c r="AC210" s="133"/>
      <c r="AD210" s="133"/>
      <c r="AE210" s="133"/>
      <c r="AF210" s="222"/>
      <c r="AG210" s="222"/>
      <c r="AH210" s="222"/>
      <c r="AI210" s="176"/>
      <c r="AJ210" s="176"/>
      <c r="AK210" s="176"/>
      <c r="AL210" s="176"/>
      <c r="AM210" s="176"/>
      <c r="AN210" s="176"/>
      <c r="AO210" s="176"/>
      <c r="AP210" s="176"/>
      <c r="AQ210" s="176"/>
      <c r="AR210" s="176"/>
      <c r="AS210" s="176"/>
      <c r="AT210" s="176"/>
      <c r="AU210" s="176"/>
      <c r="AV210" s="176"/>
      <c r="AW210" s="176"/>
      <c r="AX210" s="176"/>
      <c r="AY210" s="176"/>
      <c r="AZ210" s="176"/>
      <c r="BA210" s="176"/>
      <c r="BB210" s="176"/>
      <c r="BC210" s="176"/>
      <c r="BD210" s="176"/>
      <c r="BE210" s="176"/>
      <c r="BF210" s="176"/>
      <c r="BG210" s="176"/>
      <c r="BH210" s="176"/>
      <c r="BI210" s="176"/>
      <c r="BJ210" s="176"/>
      <c r="BK210" s="176"/>
      <c r="BL210" s="176"/>
      <c r="BM210" s="176"/>
      <c r="BN210" s="176"/>
      <c r="BO210" s="176"/>
    </row>
    <row r="211" spans="1:67" s="36" customFormat="1" ht="10.5" customHeight="1" x14ac:dyDescent="0.2">
      <c r="A211" s="1043" t="s">
        <v>400</v>
      </c>
      <c r="B211" s="2594"/>
      <c r="C211" s="2595"/>
      <c r="D211" s="2596"/>
      <c r="E211" s="2395"/>
      <c r="F211" s="2789"/>
      <c r="G211" s="1058">
        <v>30</v>
      </c>
      <c r="H211" s="1059"/>
      <c r="I211" s="1081">
        <f t="shared" si="48"/>
        <v>4.6199342169092869E-2</v>
      </c>
      <c r="J211" s="1082">
        <f t="shared" si="49"/>
        <v>0</v>
      </c>
      <c r="K211" s="1061">
        <v>1.5</v>
      </c>
      <c r="L211" s="1305"/>
      <c r="M211" s="1086">
        <f t="shared" si="50"/>
        <v>0</v>
      </c>
      <c r="N211" s="506"/>
      <c r="O211" s="365">
        <f t="shared" si="51"/>
        <v>30</v>
      </c>
      <c r="P211" s="366"/>
      <c r="Q211" s="135"/>
      <c r="R211" s="136"/>
      <c r="S211" s="129"/>
      <c r="T211" s="129"/>
      <c r="U211" s="129"/>
      <c r="V211" s="129"/>
      <c r="W211" s="129"/>
      <c r="X211" s="129"/>
      <c r="Y211" s="129"/>
      <c r="Z211" s="133"/>
      <c r="AA211" s="133"/>
      <c r="AB211" s="133"/>
      <c r="AC211" s="133"/>
      <c r="AD211" s="133"/>
      <c r="AE211" s="133"/>
      <c r="AF211" s="222"/>
      <c r="AG211" s="222"/>
      <c r="AH211" s="222"/>
      <c r="AI211" s="176"/>
      <c r="AJ211" s="176"/>
      <c r="AK211" s="176"/>
      <c r="AL211" s="176"/>
      <c r="AM211" s="176"/>
      <c r="AN211" s="176"/>
      <c r="AO211" s="176"/>
      <c r="AP211" s="176"/>
      <c r="AQ211" s="176"/>
      <c r="AR211" s="176"/>
      <c r="AS211" s="176"/>
      <c r="AT211" s="176"/>
      <c r="AU211" s="176"/>
      <c r="AV211" s="176"/>
      <c r="AW211" s="176"/>
      <c r="AX211" s="176"/>
      <c r="AY211" s="176"/>
      <c r="AZ211" s="176"/>
      <c r="BA211" s="176"/>
      <c r="BB211" s="176"/>
      <c r="BC211" s="176"/>
      <c r="BD211" s="176"/>
      <c r="BE211" s="176"/>
      <c r="BF211" s="176"/>
      <c r="BG211" s="176"/>
      <c r="BH211" s="176"/>
      <c r="BI211" s="176"/>
      <c r="BJ211" s="176"/>
      <c r="BK211" s="176"/>
      <c r="BL211" s="176"/>
      <c r="BM211" s="176"/>
      <c r="BN211" s="176"/>
      <c r="BO211" s="176"/>
    </row>
    <row r="212" spans="1:67" s="36" customFormat="1" ht="10.5" customHeight="1" x14ac:dyDescent="0.2">
      <c r="A212" s="1043" t="s">
        <v>401</v>
      </c>
      <c r="B212" s="2594"/>
      <c r="C212" s="2595"/>
      <c r="D212" s="2596"/>
      <c r="E212" s="2395"/>
      <c r="F212" s="2789"/>
      <c r="G212" s="1058">
        <v>30</v>
      </c>
      <c r="H212" s="1059"/>
      <c r="I212" s="1081">
        <f t="shared" si="48"/>
        <v>4.6199342169092869E-2</v>
      </c>
      <c r="J212" s="1082">
        <f t="shared" si="49"/>
        <v>0</v>
      </c>
      <c r="K212" s="1061">
        <v>1.5</v>
      </c>
      <c r="L212" s="1305"/>
      <c r="M212" s="1086">
        <f t="shared" si="50"/>
        <v>0</v>
      </c>
      <c r="N212" s="506"/>
      <c r="O212" s="365">
        <f t="shared" si="51"/>
        <v>30</v>
      </c>
      <c r="P212" s="366"/>
      <c r="Q212" s="135"/>
      <c r="R212" s="136"/>
      <c r="S212" s="129"/>
      <c r="T212" s="129"/>
      <c r="U212" s="129"/>
      <c r="V212" s="129"/>
      <c r="W212" s="129"/>
      <c r="X212" s="129"/>
      <c r="Y212" s="129"/>
      <c r="Z212" s="133"/>
      <c r="AA212" s="133"/>
      <c r="AB212" s="133"/>
      <c r="AC212" s="133"/>
      <c r="AD212" s="133"/>
      <c r="AE212" s="133"/>
      <c r="AF212" s="222"/>
      <c r="AG212" s="222"/>
      <c r="AH212" s="222"/>
      <c r="AI212" s="176"/>
      <c r="AJ212" s="176"/>
      <c r="AK212" s="176"/>
      <c r="AL212" s="176"/>
      <c r="AM212" s="176"/>
      <c r="AN212" s="176"/>
      <c r="AO212" s="176"/>
      <c r="AP212" s="176"/>
      <c r="AQ212" s="176"/>
      <c r="AR212" s="176"/>
      <c r="AS212" s="176"/>
      <c r="AT212" s="176"/>
      <c r="AU212" s="176"/>
      <c r="AV212" s="176"/>
      <c r="AW212" s="176"/>
      <c r="AX212" s="176"/>
      <c r="AY212" s="176"/>
      <c r="AZ212" s="176"/>
      <c r="BA212" s="176"/>
      <c r="BB212" s="176"/>
      <c r="BC212" s="176"/>
      <c r="BD212" s="176"/>
      <c r="BE212" s="176"/>
      <c r="BF212" s="176"/>
      <c r="BG212" s="176"/>
      <c r="BH212" s="176"/>
      <c r="BI212" s="176"/>
      <c r="BJ212" s="176"/>
      <c r="BK212" s="176"/>
      <c r="BL212" s="176"/>
      <c r="BM212" s="176"/>
      <c r="BN212" s="176"/>
      <c r="BO212" s="176"/>
    </row>
    <row r="213" spans="1:67" s="36" customFormat="1" ht="10.5" customHeight="1" x14ac:dyDescent="0.2">
      <c r="A213" s="1055"/>
      <c r="B213" s="2594"/>
      <c r="C213" s="2595"/>
      <c r="D213" s="2596"/>
      <c r="E213" s="2395"/>
      <c r="F213" s="2396"/>
      <c r="G213" s="2590"/>
      <c r="H213" s="2591"/>
      <c r="I213" s="1081">
        <f t="shared" si="48"/>
        <v>0</v>
      </c>
      <c r="J213" s="1082">
        <f t="shared" si="49"/>
        <v>0</v>
      </c>
      <c r="K213" s="2588"/>
      <c r="L213" s="2589"/>
      <c r="M213" s="1086">
        <f t="shared" si="50"/>
        <v>0</v>
      </c>
      <c r="N213" s="506"/>
      <c r="O213" s="365">
        <f t="shared" si="51"/>
        <v>0</v>
      </c>
      <c r="P213" s="366"/>
      <c r="Q213" s="135"/>
      <c r="R213" s="136"/>
      <c r="S213" s="129"/>
      <c r="T213" s="129"/>
      <c r="U213" s="129"/>
      <c r="V213" s="129"/>
      <c r="W213" s="129"/>
      <c r="X213" s="129"/>
      <c r="Y213" s="129"/>
      <c r="Z213" s="133"/>
      <c r="AA213" s="133"/>
      <c r="AB213" s="133"/>
      <c r="AC213" s="133"/>
      <c r="AD213" s="133"/>
      <c r="AE213" s="133"/>
      <c r="AF213" s="222"/>
      <c r="AG213" s="222"/>
      <c r="AH213" s="222"/>
      <c r="AI213" s="176"/>
      <c r="AJ213" s="176"/>
      <c r="AK213" s="176"/>
      <c r="AL213" s="176"/>
      <c r="AM213" s="176"/>
      <c r="AN213" s="176"/>
      <c r="AO213" s="176"/>
      <c r="AP213" s="176"/>
      <c r="AQ213" s="176"/>
      <c r="AR213" s="176"/>
      <c r="AS213" s="176"/>
      <c r="AT213" s="176"/>
      <c r="AU213" s="176"/>
      <c r="AV213" s="176"/>
      <c r="AW213" s="176"/>
      <c r="AX213" s="176"/>
      <c r="AY213" s="176"/>
      <c r="AZ213" s="176"/>
      <c r="BA213" s="176"/>
      <c r="BB213" s="176"/>
      <c r="BC213" s="176"/>
      <c r="BD213" s="176"/>
      <c r="BE213" s="176"/>
      <c r="BF213" s="176"/>
      <c r="BG213" s="176"/>
      <c r="BH213" s="176"/>
      <c r="BI213" s="176"/>
      <c r="BJ213" s="176"/>
      <c r="BK213" s="176"/>
      <c r="BL213" s="176"/>
      <c r="BM213" s="176"/>
      <c r="BN213" s="176"/>
      <c r="BO213" s="176"/>
    </row>
    <row r="214" spans="1:67" s="36" customFormat="1" ht="10.5" customHeight="1" x14ac:dyDescent="0.2">
      <c r="A214" s="1055"/>
      <c r="B214" s="2594"/>
      <c r="C214" s="2595"/>
      <c r="D214" s="2596"/>
      <c r="E214" s="2395"/>
      <c r="F214" s="2396"/>
      <c r="G214" s="2590"/>
      <c r="H214" s="2591"/>
      <c r="I214" s="1081">
        <f t="shared" si="48"/>
        <v>0</v>
      </c>
      <c r="J214" s="1082">
        <f t="shared" si="49"/>
        <v>0</v>
      </c>
      <c r="K214" s="2588"/>
      <c r="L214" s="2589"/>
      <c r="M214" s="1086">
        <f t="shared" si="50"/>
        <v>0</v>
      </c>
      <c r="N214" s="506"/>
      <c r="O214" s="365">
        <f t="shared" si="51"/>
        <v>0</v>
      </c>
      <c r="P214" s="366"/>
      <c r="Q214" s="135"/>
      <c r="R214" s="136"/>
      <c r="S214" s="129"/>
      <c r="T214" s="129"/>
      <c r="U214" s="129"/>
      <c r="V214" s="129"/>
      <c r="W214" s="129"/>
      <c r="X214" s="129"/>
      <c r="Y214" s="129"/>
      <c r="Z214" s="133"/>
      <c r="AA214" s="133"/>
      <c r="AB214" s="133"/>
      <c r="AC214" s="133"/>
      <c r="AD214" s="133"/>
      <c r="AE214" s="133"/>
      <c r="AF214" s="222"/>
      <c r="AG214" s="222"/>
      <c r="AH214" s="222"/>
      <c r="AI214" s="176"/>
      <c r="AJ214" s="176"/>
      <c r="AK214" s="176"/>
      <c r="AL214" s="176"/>
      <c r="AM214" s="176"/>
      <c r="AN214" s="176"/>
      <c r="AO214" s="176"/>
      <c r="AP214" s="176"/>
      <c r="AQ214" s="176"/>
      <c r="AR214" s="176"/>
      <c r="AS214" s="176"/>
      <c r="AT214" s="176"/>
      <c r="AU214" s="176"/>
      <c r="AV214" s="176"/>
      <c r="AW214" s="176"/>
      <c r="AX214" s="176"/>
      <c r="AY214" s="176"/>
      <c r="AZ214" s="176"/>
      <c r="BA214" s="176"/>
      <c r="BB214" s="176"/>
      <c r="BC214" s="176"/>
      <c r="BD214" s="176"/>
      <c r="BE214" s="176"/>
      <c r="BF214" s="176"/>
      <c r="BG214" s="176"/>
      <c r="BH214" s="176"/>
      <c r="BI214" s="176"/>
      <c r="BJ214" s="176"/>
      <c r="BK214" s="176"/>
      <c r="BL214" s="176"/>
      <c r="BM214" s="176"/>
      <c r="BN214" s="176"/>
      <c r="BO214" s="176"/>
    </row>
    <row r="215" spans="1:67" s="36" customFormat="1" ht="10.5" customHeight="1" x14ac:dyDescent="0.2">
      <c r="A215" s="1055"/>
      <c r="B215" s="2594"/>
      <c r="C215" s="2595"/>
      <c r="D215" s="2596"/>
      <c r="E215" s="2395"/>
      <c r="F215" s="2396"/>
      <c r="G215" s="2590"/>
      <c r="H215" s="2591"/>
      <c r="I215" s="1081">
        <f t="shared" si="48"/>
        <v>0</v>
      </c>
      <c r="J215" s="1082">
        <f t="shared" si="49"/>
        <v>0</v>
      </c>
      <c r="K215" s="2588"/>
      <c r="L215" s="2589"/>
      <c r="M215" s="1086">
        <f t="shared" si="50"/>
        <v>0</v>
      </c>
      <c r="N215" s="506"/>
      <c r="O215" s="365">
        <f t="shared" si="51"/>
        <v>0</v>
      </c>
      <c r="P215" s="366"/>
      <c r="Q215" s="135"/>
      <c r="R215" s="136"/>
      <c r="S215" s="129"/>
      <c r="T215" s="129"/>
      <c r="U215" s="129"/>
      <c r="V215" s="129"/>
      <c r="W215" s="129"/>
      <c r="X215" s="129"/>
      <c r="Y215" s="129"/>
      <c r="Z215" s="133"/>
      <c r="AA215" s="133"/>
      <c r="AB215" s="133"/>
      <c r="AC215" s="133"/>
      <c r="AD215" s="133"/>
      <c r="AE215" s="133"/>
      <c r="AF215" s="222"/>
      <c r="AG215" s="222"/>
      <c r="AH215" s="222"/>
      <c r="AI215" s="176"/>
      <c r="AJ215" s="176"/>
      <c r="AK215" s="176"/>
      <c r="AL215" s="176"/>
      <c r="AM215" s="176"/>
      <c r="AN215" s="176"/>
      <c r="AO215" s="176"/>
      <c r="AP215" s="176"/>
      <c r="AQ215" s="176"/>
      <c r="AR215" s="176"/>
      <c r="AS215" s="176"/>
      <c r="AT215" s="176"/>
      <c r="AU215" s="176"/>
      <c r="AV215" s="176"/>
      <c r="AW215" s="176"/>
      <c r="AX215" s="176"/>
      <c r="AY215" s="176"/>
      <c r="AZ215" s="176"/>
      <c r="BA215" s="176"/>
      <c r="BB215" s="176"/>
      <c r="BC215" s="176"/>
      <c r="BD215" s="176"/>
      <c r="BE215" s="176"/>
      <c r="BF215" s="176"/>
      <c r="BG215" s="176"/>
      <c r="BH215" s="176"/>
      <c r="BI215" s="176"/>
      <c r="BJ215" s="176"/>
      <c r="BK215" s="176"/>
      <c r="BL215" s="176"/>
      <c r="BM215" s="176"/>
      <c r="BN215" s="176"/>
      <c r="BO215" s="176"/>
    </row>
    <row r="216" spans="1:67" s="36" customFormat="1" ht="10.5" customHeight="1" x14ac:dyDescent="0.2">
      <c r="A216" s="1055"/>
      <c r="B216" s="2594"/>
      <c r="C216" s="2595"/>
      <c r="D216" s="2596"/>
      <c r="E216" s="2395"/>
      <c r="F216" s="2396"/>
      <c r="G216" s="2590"/>
      <c r="H216" s="2591"/>
      <c r="I216" s="1081">
        <f t="shared" si="48"/>
        <v>0</v>
      </c>
      <c r="J216" s="1082">
        <f t="shared" si="49"/>
        <v>0</v>
      </c>
      <c r="K216" s="2588"/>
      <c r="L216" s="2589"/>
      <c r="M216" s="1086">
        <f t="shared" si="50"/>
        <v>0</v>
      </c>
      <c r="N216" s="506"/>
      <c r="O216" s="365">
        <f t="shared" si="51"/>
        <v>0</v>
      </c>
      <c r="P216" s="366"/>
      <c r="Q216" s="135"/>
      <c r="R216" s="136"/>
      <c r="S216" s="129"/>
      <c r="T216" s="129"/>
      <c r="U216" s="129"/>
      <c r="V216" s="129"/>
      <c r="W216" s="129"/>
      <c r="X216" s="129"/>
      <c r="Y216" s="129"/>
      <c r="Z216" s="133"/>
      <c r="AA216" s="133"/>
      <c r="AB216" s="133"/>
      <c r="AC216" s="133"/>
      <c r="AD216" s="133"/>
      <c r="AE216" s="133"/>
      <c r="AF216" s="222"/>
      <c r="AG216" s="222"/>
      <c r="AH216" s="222"/>
      <c r="AI216" s="176"/>
      <c r="AJ216" s="176"/>
      <c r="AK216" s="176"/>
      <c r="AL216" s="176"/>
      <c r="AM216" s="176"/>
      <c r="AN216" s="176"/>
      <c r="AO216" s="176"/>
      <c r="AP216" s="176"/>
      <c r="AQ216" s="176"/>
      <c r="AR216" s="176"/>
      <c r="AS216" s="176"/>
      <c r="AT216" s="176"/>
      <c r="AU216" s="176"/>
      <c r="AV216" s="176"/>
      <c r="AW216" s="176"/>
      <c r="AX216" s="176"/>
      <c r="AY216" s="176"/>
      <c r="AZ216" s="176"/>
      <c r="BA216" s="176"/>
      <c r="BB216" s="176"/>
      <c r="BC216" s="176"/>
      <c r="BD216" s="176"/>
      <c r="BE216" s="176"/>
      <c r="BF216" s="176"/>
      <c r="BG216" s="176"/>
      <c r="BH216" s="176"/>
      <c r="BI216" s="176"/>
      <c r="BJ216" s="176"/>
      <c r="BK216" s="176"/>
      <c r="BL216" s="176"/>
      <c r="BM216" s="176"/>
      <c r="BN216" s="176"/>
      <c r="BO216" s="176"/>
    </row>
    <row r="217" spans="1:67" s="36" customFormat="1" ht="10.5" customHeight="1" x14ac:dyDescent="0.2">
      <c r="A217" s="1055"/>
      <c r="B217" s="2594"/>
      <c r="C217" s="2595"/>
      <c r="D217" s="2596"/>
      <c r="E217" s="2395"/>
      <c r="F217" s="2396"/>
      <c r="G217" s="2590"/>
      <c r="H217" s="2591"/>
      <c r="I217" s="1081">
        <f t="shared" si="48"/>
        <v>0</v>
      </c>
      <c r="J217" s="1082">
        <f t="shared" si="49"/>
        <v>0</v>
      </c>
      <c r="K217" s="2588"/>
      <c r="L217" s="2589"/>
      <c r="M217" s="1086">
        <f t="shared" si="50"/>
        <v>0</v>
      </c>
      <c r="N217" s="506"/>
      <c r="O217" s="365">
        <f t="shared" si="51"/>
        <v>0</v>
      </c>
      <c r="P217" s="366"/>
      <c r="Q217" s="135"/>
      <c r="R217" s="136"/>
      <c r="S217" s="129"/>
      <c r="T217" s="129"/>
      <c r="U217" s="129"/>
      <c r="V217" s="129"/>
      <c r="W217" s="129"/>
      <c r="X217" s="129"/>
      <c r="Y217" s="129"/>
      <c r="Z217" s="133"/>
      <c r="AA217" s="133"/>
      <c r="AB217" s="133"/>
      <c r="AC217" s="133"/>
      <c r="AD217" s="133"/>
      <c r="AE217" s="133"/>
      <c r="AF217" s="222"/>
      <c r="AG217" s="222"/>
      <c r="AH217" s="222"/>
      <c r="AI217" s="176"/>
      <c r="AJ217" s="176"/>
      <c r="AK217" s="176"/>
      <c r="AL217" s="176"/>
      <c r="AM217" s="176"/>
      <c r="AN217" s="176"/>
      <c r="AO217" s="176"/>
      <c r="AP217" s="176"/>
      <c r="AQ217" s="176"/>
      <c r="AR217" s="176"/>
      <c r="AS217" s="176"/>
      <c r="AT217" s="176"/>
      <c r="AU217" s="176"/>
      <c r="AV217" s="176"/>
      <c r="AW217" s="176"/>
      <c r="AX217" s="176"/>
      <c r="AY217" s="176"/>
      <c r="AZ217" s="176"/>
      <c r="BA217" s="176"/>
      <c r="BB217" s="176"/>
      <c r="BC217" s="176"/>
      <c r="BD217" s="176"/>
      <c r="BE217" s="176"/>
      <c r="BF217" s="176"/>
      <c r="BG217" s="176"/>
      <c r="BH217" s="176"/>
      <c r="BI217" s="176"/>
      <c r="BJ217" s="176"/>
      <c r="BK217" s="176"/>
      <c r="BL217" s="176"/>
      <c r="BM217" s="176"/>
      <c r="BN217" s="176"/>
      <c r="BO217" s="176"/>
    </row>
    <row r="218" spans="1:67" s="36" customFormat="1" ht="10.5" customHeight="1" x14ac:dyDescent="0.2">
      <c r="A218" s="1055"/>
      <c r="B218" s="2594"/>
      <c r="C218" s="2595"/>
      <c r="D218" s="2596"/>
      <c r="E218" s="2395"/>
      <c r="F218" s="2396"/>
      <c r="G218" s="2590"/>
      <c r="H218" s="2591"/>
      <c r="I218" s="1081">
        <f t="shared" si="48"/>
        <v>0</v>
      </c>
      <c r="J218" s="1082">
        <f t="shared" si="49"/>
        <v>0</v>
      </c>
      <c r="K218" s="2588"/>
      <c r="L218" s="2589"/>
      <c r="M218" s="1086">
        <f t="shared" si="50"/>
        <v>0</v>
      </c>
      <c r="N218" s="506"/>
      <c r="O218" s="365">
        <f t="shared" si="51"/>
        <v>0</v>
      </c>
      <c r="P218" s="366"/>
      <c r="Q218" s="135"/>
      <c r="R218" s="136"/>
      <c r="S218" s="129"/>
      <c r="T218" s="129"/>
      <c r="U218" s="129"/>
      <c r="V218" s="129"/>
      <c r="W218" s="129"/>
      <c r="X218" s="129"/>
      <c r="Y218" s="129"/>
      <c r="Z218" s="133"/>
      <c r="AA218" s="133"/>
      <c r="AB218" s="133"/>
      <c r="AC218" s="133"/>
      <c r="AD218" s="133"/>
      <c r="AE218" s="133"/>
      <c r="AF218" s="222"/>
      <c r="AG218" s="222"/>
      <c r="AH218" s="222"/>
      <c r="AI218" s="176"/>
      <c r="AJ218" s="176"/>
      <c r="AK218" s="176"/>
      <c r="AL218" s="176"/>
      <c r="AM218" s="176"/>
      <c r="AN218" s="176"/>
      <c r="AO218" s="176"/>
      <c r="AP218" s="176"/>
      <c r="AQ218" s="176"/>
      <c r="AR218" s="176"/>
      <c r="AS218" s="176"/>
      <c r="AT218" s="176"/>
      <c r="AU218" s="176"/>
      <c r="AV218" s="176"/>
      <c r="AW218" s="176"/>
      <c r="AX218" s="176"/>
      <c r="AY218" s="176"/>
      <c r="AZ218" s="176"/>
      <c r="BA218" s="176"/>
      <c r="BB218" s="176"/>
      <c r="BC218" s="176"/>
      <c r="BD218" s="176"/>
      <c r="BE218" s="176"/>
      <c r="BF218" s="176"/>
      <c r="BG218" s="176"/>
      <c r="BH218" s="176"/>
      <c r="BI218" s="176"/>
      <c r="BJ218" s="176"/>
      <c r="BK218" s="176"/>
      <c r="BL218" s="176"/>
      <c r="BM218" s="176"/>
      <c r="BN218" s="176"/>
      <c r="BO218" s="176"/>
    </row>
    <row r="219" spans="1:67" s="36" customFormat="1" ht="10.5" customHeight="1" x14ac:dyDescent="0.2">
      <c r="A219" s="1055"/>
      <c r="B219" s="2594"/>
      <c r="C219" s="2595"/>
      <c r="D219" s="2596"/>
      <c r="E219" s="2395"/>
      <c r="F219" s="2396"/>
      <c r="G219" s="2590"/>
      <c r="H219" s="2591"/>
      <c r="I219" s="1081">
        <f t="shared" si="48"/>
        <v>0</v>
      </c>
      <c r="J219" s="1082">
        <f t="shared" si="49"/>
        <v>0</v>
      </c>
      <c r="K219" s="2588"/>
      <c r="L219" s="2589"/>
      <c r="M219" s="1086">
        <f t="shared" si="50"/>
        <v>0</v>
      </c>
      <c r="N219" s="506"/>
      <c r="O219" s="365">
        <f t="shared" si="51"/>
        <v>0</v>
      </c>
      <c r="P219" s="366"/>
      <c r="Q219" s="135"/>
      <c r="R219" s="136"/>
      <c r="S219" s="129"/>
      <c r="T219" s="129"/>
      <c r="U219" s="129"/>
      <c r="V219" s="129"/>
      <c r="W219" s="129"/>
      <c r="X219" s="129"/>
      <c r="Y219" s="129"/>
      <c r="Z219" s="133"/>
      <c r="AA219" s="133"/>
      <c r="AB219" s="133"/>
      <c r="AC219" s="133"/>
      <c r="AD219" s="133"/>
      <c r="AE219" s="133"/>
      <c r="AF219" s="222"/>
      <c r="AG219" s="222"/>
      <c r="AH219" s="222"/>
      <c r="AI219" s="176"/>
      <c r="AJ219" s="176"/>
      <c r="AK219" s="176"/>
      <c r="AL219" s="176"/>
      <c r="AM219" s="176"/>
      <c r="AN219" s="176"/>
      <c r="AO219" s="176"/>
      <c r="AP219" s="176"/>
      <c r="AQ219" s="176"/>
      <c r="AR219" s="176"/>
      <c r="AS219" s="176"/>
      <c r="AT219" s="176"/>
      <c r="AU219" s="176"/>
      <c r="AV219" s="176"/>
      <c r="AW219" s="176"/>
      <c r="AX219" s="176"/>
      <c r="AY219" s="176"/>
      <c r="AZ219" s="176"/>
      <c r="BA219" s="176"/>
      <c r="BB219" s="176"/>
      <c r="BC219" s="176"/>
      <c r="BD219" s="176"/>
      <c r="BE219" s="176"/>
      <c r="BF219" s="176"/>
      <c r="BG219" s="176"/>
      <c r="BH219" s="176"/>
      <c r="BI219" s="176"/>
      <c r="BJ219" s="176"/>
      <c r="BK219" s="176"/>
      <c r="BL219" s="176"/>
      <c r="BM219" s="176"/>
      <c r="BN219" s="176"/>
      <c r="BO219" s="176"/>
    </row>
    <row r="220" spans="1:67" s="36" customFormat="1" ht="10.5" customHeight="1" x14ac:dyDescent="0.2">
      <c r="A220" s="1055"/>
      <c r="B220" s="2594"/>
      <c r="C220" s="2595"/>
      <c r="D220" s="2596"/>
      <c r="E220" s="2395"/>
      <c r="F220" s="2396"/>
      <c r="G220" s="2590"/>
      <c r="H220" s="2591"/>
      <c r="I220" s="1081">
        <f t="shared" si="48"/>
        <v>0</v>
      </c>
      <c r="J220" s="1082">
        <f t="shared" si="49"/>
        <v>0</v>
      </c>
      <c r="K220" s="2588"/>
      <c r="L220" s="2589"/>
      <c r="M220" s="1086">
        <f t="shared" si="50"/>
        <v>0</v>
      </c>
      <c r="N220" s="506"/>
      <c r="O220" s="365">
        <f t="shared" si="51"/>
        <v>0</v>
      </c>
      <c r="P220" s="366"/>
      <c r="Q220" s="135"/>
      <c r="R220" s="136"/>
      <c r="S220" s="129"/>
      <c r="T220" s="129"/>
      <c r="U220" s="129"/>
      <c r="V220" s="129"/>
      <c r="W220" s="129"/>
      <c r="X220" s="129"/>
      <c r="Y220" s="129"/>
      <c r="Z220" s="133"/>
      <c r="AA220" s="133"/>
      <c r="AB220" s="133"/>
      <c r="AC220" s="133"/>
      <c r="AD220" s="133"/>
      <c r="AE220" s="133"/>
      <c r="AF220" s="222"/>
      <c r="AG220" s="222"/>
      <c r="AH220" s="222"/>
      <c r="AI220" s="176"/>
      <c r="AJ220" s="176"/>
      <c r="AK220" s="176"/>
      <c r="AL220" s="176"/>
      <c r="AM220" s="176"/>
      <c r="AN220" s="176"/>
      <c r="AO220" s="176"/>
      <c r="AP220" s="176"/>
      <c r="AQ220" s="176"/>
      <c r="AR220" s="176"/>
      <c r="AS220" s="176"/>
      <c r="AT220" s="176"/>
      <c r="AU220" s="176"/>
      <c r="AV220" s="176"/>
      <c r="AW220" s="176"/>
      <c r="AX220" s="176"/>
      <c r="AY220" s="176"/>
      <c r="AZ220" s="176"/>
      <c r="BA220" s="176"/>
      <c r="BB220" s="176"/>
      <c r="BC220" s="176"/>
      <c r="BD220" s="176"/>
      <c r="BE220" s="176"/>
      <c r="BF220" s="176"/>
      <c r="BG220" s="176"/>
      <c r="BH220" s="176"/>
      <c r="BI220" s="176"/>
      <c r="BJ220" s="176"/>
      <c r="BK220" s="176"/>
      <c r="BL220" s="176"/>
      <c r="BM220" s="176"/>
      <c r="BN220" s="176"/>
      <c r="BO220" s="176"/>
    </row>
    <row r="221" spans="1:67" s="36" customFormat="1" ht="10.5" customHeight="1" x14ac:dyDescent="0.2">
      <c r="A221" s="1348"/>
      <c r="B221" s="2690"/>
      <c r="C221" s="2691"/>
      <c r="D221" s="2692"/>
      <c r="E221" s="2601"/>
      <c r="F221" s="2602"/>
      <c r="G221" s="1088"/>
      <c r="H221" s="1089"/>
      <c r="I221" s="1083">
        <f t="shared" si="48"/>
        <v>0</v>
      </c>
      <c r="J221" s="1084"/>
      <c r="K221" s="1087"/>
      <c r="L221" s="1307"/>
      <c r="M221" s="1317">
        <f t="shared" si="50"/>
        <v>0</v>
      </c>
      <c r="N221" s="506"/>
      <c r="O221" s="365">
        <f t="shared" si="51"/>
        <v>0</v>
      </c>
      <c r="P221" s="366"/>
      <c r="Q221" s="135"/>
      <c r="R221" s="136"/>
      <c r="S221" s="129"/>
      <c r="T221" s="129"/>
      <c r="U221" s="129"/>
      <c r="V221" s="129"/>
      <c r="W221" s="129"/>
      <c r="X221" s="129"/>
      <c r="Y221" s="129"/>
      <c r="Z221" s="133"/>
      <c r="AA221" s="133"/>
      <c r="AB221" s="133"/>
      <c r="AC221" s="133"/>
      <c r="AD221" s="133"/>
      <c r="AE221" s="133"/>
      <c r="AF221" s="222"/>
      <c r="AG221" s="222"/>
      <c r="AH221" s="222"/>
      <c r="AI221" s="176"/>
      <c r="AJ221" s="176"/>
      <c r="AK221" s="176"/>
      <c r="AL221" s="176"/>
      <c r="AM221" s="176"/>
      <c r="AN221" s="176"/>
      <c r="AO221" s="176"/>
      <c r="AP221" s="176"/>
      <c r="AQ221" s="176"/>
      <c r="AR221" s="176"/>
      <c r="AS221" s="176"/>
      <c r="AT221" s="176"/>
      <c r="AU221" s="176"/>
      <c r="AV221" s="176"/>
      <c r="AW221" s="176"/>
      <c r="AX221" s="176"/>
      <c r="AY221" s="176"/>
      <c r="AZ221" s="176"/>
      <c r="BA221" s="176"/>
      <c r="BB221" s="176"/>
      <c r="BC221" s="176"/>
      <c r="BD221" s="176"/>
      <c r="BE221" s="176"/>
      <c r="BF221" s="176"/>
      <c r="BG221" s="176"/>
      <c r="BH221" s="176"/>
      <c r="BI221" s="176"/>
      <c r="BJ221" s="176"/>
      <c r="BK221" s="176"/>
      <c r="BL221" s="176"/>
      <c r="BM221" s="176"/>
      <c r="BN221" s="176"/>
      <c r="BO221" s="176"/>
    </row>
    <row r="222" spans="1:67" s="36" customFormat="1" ht="10.5" customHeight="1" x14ac:dyDescent="0.2">
      <c r="A222" s="1115" t="s">
        <v>330</v>
      </c>
      <c r="B222" s="2611"/>
      <c r="C222" s="2612"/>
      <c r="D222" s="2613"/>
      <c r="E222" s="2676">
        <f>SUM(E223:E235)</f>
        <v>0</v>
      </c>
      <c r="F222" s="2677"/>
      <c r="G222" s="2678"/>
      <c r="H222" s="2679"/>
      <c r="I222" s="1116">
        <f>IF(E222=0,0,J222/E222)</f>
        <v>0</v>
      </c>
      <c r="J222" s="1117">
        <f>SUM(J223:J235)</f>
        <v>0</v>
      </c>
      <c r="K222" s="2686">
        <f>IF(E222=0,0,M222/E222*100)</f>
        <v>0</v>
      </c>
      <c r="L222" s="2687"/>
      <c r="M222" s="1118">
        <f>SUM(M223:M235)</f>
        <v>0</v>
      </c>
      <c r="N222" s="506"/>
      <c r="O222" s="178">
        <f>IF(H222="",G222,H222)</f>
        <v>0</v>
      </c>
      <c r="P222" s="366"/>
      <c r="Q222" s="135"/>
      <c r="R222" s="136"/>
      <c r="S222" s="129"/>
      <c r="T222" s="129"/>
      <c r="U222" s="129"/>
      <c r="V222" s="129"/>
      <c r="W222" s="129"/>
      <c r="X222" s="129"/>
      <c r="Y222" s="129"/>
      <c r="Z222" s="133"/>
      <c r="AA222" s="133"/>
      <c r="AB222" s="133"/>
      <c r="AC222" s="133"/>
      <c r="AD222" s="133"/>
      <c r="AE222" s="133"/>
      <c r="AF222" s="222"/>
      <c r="AG222" s="222"/>
      <c r="AH222" s="222"/>
      <c r="AI222" s="176"/>
      <c r="AJ222" s="176"/>
      <c r="AK222" s="176"/>
      <c r="AL222" s="176"/>
      <c r="AM222" s="176"/>
      <c r="AN222" s="176"/>
      <c r="AO222" s="176"/>
      <c r="AP222" s="176"/>
      <c r="AQ222" s="176"/>
      <c r="AR222" s="176"/>
      <c r="AS222" s="176"/>
      <c r="AT222" s="176"/>
      <c r="AU222" s="176"/>
      <c r="AV222" s="176"/>
      <c r="AW222" s="176"/>
      <c r="AX222" s="176"/>
      <c r="AY222" s="176"/>
      <c r="AZ222" s="176"/>
      <c r="BA222" s="176"/>
      <c r="BB222" s="176"/>
      <c r="BC222" s="176"/>
      <c r="BD222" s="176"/>
      <c r="BE222" s="176"/>
      <c r="BF222" s="176"/>
      <c r="BG222" s="176"/>
      <c r="BH222" s="176"/>
      <c r="BI222" s="176"/>
      <c r="BJ222" s="176"/>
      <c r="BK222" s="176"/>
      <c r="BL222" s="176"/>
      <c r="BM222" s="176"/>
      <c r="BN222" s="176"/>
      <c r="BO222" s="176"/>
    </row>
    <row r="223" spans="1:67" s="36" customFormat="1" ht="10.5" customHeight="1" x14ac:dyDescent="0.2">
      <c r="A223" s="1359" t="s">
        <v>331</v>
      </c>
      <c r="B223" s="2743"/>
      <c r="C223" s="2744"/>
      <c r="D223" s="2745"/>
      <c r="E223" s="2746"/>
      <c r="F223" s="2788"/>
      <c r="G223" s="1056">
        <v>30</v>
      </c>
      <c r="H223" s="1057"/>
      <c r="I223" s="1079">
        <f t="shared" ref="I223:I236" si="52">IF($O223&gt;0,-PMT(($I$9),$O223,1),0)</f>
        <v>4.6199342169092869E-2</v>
      </c>
      <c r="J223" s="1080">
        <f t="shared" ref="J223:J235" si="53">ROUND(E223*I223,0)</f>
        <v>0</v>
      </c>
      <c r="K223" s="1060">
        <v>1.5</v>
      </c>
      <c r="L223" s="1304"/>
      <c r="M223" s="1085">
        <f t="shared" ref="M223:M236" si="54">ROUND(E223/100*IF(ISBLANK(L223),K223,L223),0)</f>
        <v>0</v>
      </c>
      <c r="N223" s="506"/>
      <c r="O223" s="365">
        <f t="shared" ref="O223:O236" si="55">IF(ISBLANK(H223),G223,H223)</f>
        <v>30</v>
      </c>
      <c r="P223" s="366"/>
      <c r="Q223" s="135"/>
      <c r="R223" s="136"/>
      <c r="S223" s="129"/>
      <c r="T223" s="129"/>
      <c r="U223" s="129"/>
      <c r="V223" s="129"/>
      <c r="W223" s="129"/>
      <c r="X223" s="129"/>
      <c r="Y223" s="129"/>
      <c r="Z223" s="133"/>
      <c r="AA223" s="133"/>
      <c r="AB223" s="133"/>
      <c r="AC223" s="133"/>
      <c r="AD223" s="133"/>
      <c r="AE223" s="133"/>
      <c r="AF223" s="222"/>
      <c r="AG223" s="222"/>
      <c r="AH223" s="222"/>
      <c r="AI223" s="176"/>
      <c r="AJ223" s="176"/>
      <c r="AK223" s="176"/>
      <c r="AL223" s="176"/>
      <c r="AM223" s="176"/>
      <c r="AN223" s="176"/>
      <c r="AO223" s="176"/>
      <c r="AP223" s="176"/>
      <c r="AQ223" s="176"/>
      <c r="AR223" s="176"/>
      <c r="AS223" s="176"/>
      <c r="AT223" s="176"/>
      <c r="AU223" s="176"/>
      <c r="AV223" s="176"/>
      <c r="AW223" s="176"/>
      <c r="AX223" s="176"/>
      <c r="AY223" s="176"/>
      <c r="AZ223" s="176"/>
      <c r="BA223" s="176"/>
      <c r="BB223" s="176"/>
      <c r="BC223" s="176"/>
      <c r="BD223" s="176"/>
      <c r="BE223" s="176"/>
      <c r="BF223" s="176"/>
      <c r="BG223" s="176"/>
      <c r="BH223" s="176"/>
      <c r="BI223" s="176"/>
      <c r="BJ223" s="176"/>
      <c r="BK223" s="176"/>
      <c r="BL223" s="176"/>
      <c r="BM223" s="176"/>
      <c r="BN223" s="176"/>
      <c r="BO223" s="176"/>
    </row>
    <row r="224" spans="1:67" s="36" customFormat="1" ht="10.5" customHeight="1" x14ac:dyDescent="0.2">
      <c r="A224" s="1043" t="s">
        <v>332</v>
      </c>
      <c r="B224" s="2594"/>
      <c r="C224" s="2595"/>
      <c r="D224" s="2596"/>
      <c r="E224" s="2395"/>
      <c r="F224" s="2789"/>
      <c r="G224" s="1058">
        <v>30</v>
      </c>
      <c r="H224" s="1059"/>
      <c r="I224" s="1081">
        <f t="shared" si="52"/>
        <v>4.6199342169092869E-2</v>
      </c>
      <c r="J224" s="1082">
        <f t="shared" si="53"/>
        <v>0</v>
      </c>
      <c r="K224" s="1061">
        <v>2</v>
      </c>
      <c r="L224" s="1305"/>
      <c r="M224" s="1086">
        <f t="shared" si="54"/>
        <v>0</v>
      </c>
      <c r="N224" s="506"/>
      <c r="O224" s="365">
        <f t="shared" si="55"/>
        <v>30</v>
      </c>
      <c r="P224" s="366"/>
      <c r="Q224" s="135"/>
      <c r="R224" s="136"/>
      <c r="S224" s="129"/>
      <c r="T224" s="129"/>
      <c r="U224" s="129"/>
      <c r="V224" s="129"/>
      <c r="W224" s="129"/>
      <c r="X224" s="129"/>
      <c r="Y224" s="129"/>
      <c r="Z224" s="133"/>
      <c r="AA224" s="133"/>
      <c r="AB224" s="133"/>
      <c r="AC224" s="133"/>
      <c r="AD224" s="133"/>
      <c r="AE224" s="133"/>
      <c r="AF224" s="222"/>
      <c r="AG224" s="222"/>
      <c r="AH224" s="222"/>
      <c r="AI224" s="176"/>
      <c r="AJ224" s="176"/>
      <c r="AK224" s="176"/>
      <c r="AL224" s="176"/>
      <c r="AM224" s="176"/>
      <c r="AN224" s="176"/>
      <c r="AO224" s="176"/>
      <c r="AP224" s="176"/>
      <c r="AQ224" s="176"/>
      <c r="AR224" s="176"/>
      <c r="AS224" s="176"/>
      <c r="AT224" s="176"/>
      <c r="AU224" s="176"/>
      <c r="AV224" s="176"/>
      <c r="AW224" s="176"/>
      <c r="AX224" s="176"/>
      <c r="AY224" s="176"/>
      <c r="AZ224" s="176"/>
      <c r="BA224" s="176"/>
      <c r="BB224" s="176"/>
      <c r="BC224" s="176"/>
      <c r="BD224" s="176"/>
      <c r="BE224" s="176"/>
      <c r="BF224" s="176"/>
      <c r="BG224" s="176"/>
      <c r="BH224" s="176"/>
      <c r="BI224" s="176"/>
      <c r="BJ224" s="176"/>
      <c r="BK224" s="176"/>
      <c r="BL224" s="176"/>
      <c r="BM224" s="176"/>
      <c r="BN224" s="176"/>
      <c r="BO224" s="176"/>
    </row>
    <row r="225" spans="1:67" s="36" customFormat="1" ht="10.5" customHeight="1" x14ac:dyDescent="0.2">
      <c r="A225" s="1043" t="s">
        <v>333</v>
      </c>
      <c r="B225" s="2594"/>
      <c r="C225" s="2595"/>
      <c r="D225" s="2596"/>
      <c r="E225" s="2395"/>
      <c r="F225" s="2789"/>
      <c r="G225" s="1058">
        <v>30</v>
      </c>
      <c r="H225" s="1059"/>
      <c r="I225" s="1081">
        <f t="shared" si="52"/>
        <v>4.6199342169092869E-2</v>
      </c>
      <c r="J225" s="1082">
        <f t="shared" si="53"/>
        <v>0</v>
      </c>
      <c r="K225" s="1061">
        <v>2</v>
      </c>
      <c r="L225" s="1305"/>
      <c r="M225" s="1086">
        <f t="shared" si="54"/>
        <v>0</v>
      </c>
      <c r="N225" s="506"/>
      <c r="O225" s="365">
        <f t="shared" si="55"/>
        <v>30</v>
      </c>
      <c r="P225" s="366"/>
      <c r="Q225" s="135"/>
      <c r="R225" s="136"/>
      <c r="S225" s="129"/>
      <c r="T225" s="129"/>
      <c r="U225" s="129"/>
      <c r="V225" s="129"/>
      <c r="W225" s="129"/>
      <c r="X225" s="129"/>
      <c r="Y225" s="129"/>
      <c r="Z225" s="133"/>
      <c r="AA225" s="133"/>
      <c r="AB225" s="133"/>
      <c r="AC225" s="133"/>
      <c r="AD225" s="133"/>
      <c r="AE225" s="133"/>
      <c r="AF225" s="222"/>
      <c r="AG225" s="222"/>
      <c r="AH225" s="222"/>
      <c r="AI225" s="176"/>
      <c r="AJ225" s="176"/>
      <c r="AK225" s="176"/>
      <c r="AL225" s="176"/>
      <c r="AM225" s="176"/>
      <c r="AN225" s="176"/>
      <c r="AO225" s="176"/>
      <c r="AP225" s="176"/>
      <c r="AQ225" s="176"/>
      <c r="AR225" s="176"/>
      <c r="AS225" s="176"/>
      <c r="AT225" s="176"/>
      <c r="AU225" s="176"/>
      <c r="AV225" s="176"/>
      <c r="AW225" s="176"/>
      <c r="AX225" s="176"/>
      <c r="AY225" s="176"/>
      <c r="AZ225" s="176"/>
      <c r="BA225" s="176"/>
      <c r="BB225" s="176"/>
      <c r="BC225" s="176"/>
      <c r="BD225" s="176"/>
      <c r="BE225" s="176"/>
      <c r="BF225" s="176"/>
      <c r="BG225" s="176"/>
      <c r="BH225" s="176"/>
      <c r="BI225" s="176"/>
      <c r="BJ225" s="176"/>
      <c r="BK225" s="176"/>
      <c r="BL225" s="176"/>
      <c r="BM225" s="176"/>
      <c r="BN225" s="176"/>
      <c r="BO225" s="176"/>
    </row>
    <row r="226" spans="1:67" s="36" customFormat="1" ht="10.5" customHeight="1" x14ac:dyDescent="0.2">
      <c r="A226" s="1043" t="s">
        <v>334</v>
      </c>
      <c r="B226" s="2594"/>
      <c r="C226" s="2595"/>
      <c r="D226" s="2596"/>
      <c r="E226" s="2395"/>
      <c r="F226" s="2789"/>
      <c r="G226" s="1058">
        <v>30</v>
      </c>
      <c r="H226" s="1059"/>
      <c r="I226" s="1081">
        <f t="shared" si="52"/>
        <v>4.6199342169092869E-2</v>
      </c>
      <c r="J226" s="1082">
        <f t="shared" si="53"/>
        <v>0</v>
      </c>
      <c r="K226" s="1061">
        <v>0.5</v>
      </c>
      <c r="L226" s="1305"/>
      <c r="M226" s="1086">
        <f t="shared" si="54"/>
        <v>0</v>
      </c>
      <c r="N226" s="506"/>
      <c r="O226" s="365">
        <f t="shared" si="55"/>
        <v>30</v>
      </c>
      <c r="P226" s="366"/>
      <c r="Q226" s="135"/>
      <c r="R226" s="136"/>
      <c r="S226" s="129"/>
      <c r="T226" s="129"/>
      <c r="U226" s="129"/>
      <c r="V226" s="129"/>
      <c r="W226" s="129"/>
      <c r="X226" s="129"/>
      <c r="Y226" s="129"/>
      <c r="Z226" s="133"/>
      <c r="AA226" s="133"/>
      <c r="AB226" s="133"/>
      <c r="AC226" s="133"/>
      <c r="AD226" s="133"/>
      <c r="AE226" s="133"/>
      <c r="AF226" s="222"/>
      <c r="AG226" s="222"/>
      <c r="AH226" s="222"/>
      <c r="AI226" s="176"/>
      <c r="AJ226" s="176"/>
      <c r="AK226" s="176"/>
      <c r="AL226" s="176"/>
      <c r="AM226" s="176"/>
      <c r="AN226" s="176"/>
      <c r="AO226" s="176"/>
      <c r="AP226" s="176"/>
      <c r="AQ226" s="176"/>
      <c r="AR226" s="176"/>
      <c r="AS226" s="176"/>
      <c r="AT226" s="176"/>
      <c r="AU226" s="176"/>
      <c r="AV226" s="176"/>
      <c r="AW226" s="176"/>
      <c r="AX226" s="176"/>
      <c r="AY226" s="176"/>
      <c r="AZ226" s="176"/>
      <c r="BA226" s="176"/>
      <c r="BB226" s="176"/>
      <c r="BC226" s="176"/>
      <c r="BD226" s="176"/>
      <c r="BE226" s="176"/>
      <c r="BF226" s="176"/>
      <c r="BG226" s="176"/>
      <c r="BH226" s="176"/>
      <c r="BI226" s="176"/>
      <c r="BJ226" s="176"/>
      <c r="BK226" s="176"/>
      <c r="BL226" s="176"/>
      <c r="BM226" s="176"/>
      <c r="BN226" s="176"/>
      <c r="BO226" s="176"/>
    </row>
    <row r="227" spans="1:67" s="36" customFormat="1" ht="10.5" customHeight="1" x14ac:dyDescent="0.2">
      <c r="A227" s="1055"/>
      <c r="B227" s="2594"/>
      <c r="C227" s="2595"/>
      <c r="D227" s="2596"/>
      <c r="E227" s="2395"/>
      <c r="F227" s="2396"/>
      <c r="G227" s="2590"/>
      <c r="H227" s="2591"/>
      <c r="I227" s="1081">
        <f t="shared" si="52"/>
        <v>0</v>
      </c>
      <c r="J227" s="1082">
        <f t="shared" si="53"/>
        <v>0</v>
      </c>
      <c r="K227" s="2588"/>
      <c r="L227" s="2589"/>
      <c r="M227" s="1086">
        <f t="shared" si="54"/>
        <v>0</v>
      </c>
      <c r="N227" s="506"/>
      <c r="O227" s="365">
        <f t="shared" si="55"/>
        <v>0</v>
      </c>
      <c r="P227" s="366"/>
      <c r="Q227" s="135"/>
      <c r="R227" s="136"/>
      <c r="S227" s="129"/>
      <c r="T227" s="129"/>
      <c r="U227" s="129"/>
      <c r="V227" s="129"/>
      <c r="W227" s="129"/>
      <c r="X227" s="129"/>
      <c r="Y227" s="129"/>
      <c r="Z227" s="133"/>
      <c r="AA227" s="133"/>
      <c r="AB227" s="133"/>
      <c r="AC227" s="133"/>
      <c r="AD227" s="133"/>
      <c r="AE227" s="133"/>
      <c r="AF227" s="222"/>
      <c r="AG227" s="222"/>
      <c r="AH227" s="222"/>
      <c r="AI227" s="176"/>
      <c r="AJ227" s="176"/>
      <c r="AK227" s="176"/>
      <c r="AL227" s="176"/>
      <c r="AM227" s="176"/>
      <c r="AN227" s="176"/>
      <c r="AO227" s="176"/>
      <c r="AP227" s="176"/>
      <c r="AQ227" s="176"/>
      <c r="AR227" s="176"/>
      <c r="AS227" s="176"/>
      <c r="AT227" s="176"/>
      <c r="AU227" s="176"/>
      <c r="AV227" s="176"/>
      <c r="AW227" s="176"/>
      <c r="AX227" s="176"/>
      <c r="AY227" s="176"/>
      <c r="AZ227" s="176"/>
      <c r="BA227" s="176"/>
      <c r="BB227" s="176"/>
      <c r="BC227" s="176"/>
      <c r="BD227" s="176"/>
      <c r="BE227" s="176"/>
      <c r="BF227" s="176"/>
      <c r="BG227" s="176"/>
      <c r="BH227" s="176"/>
      <c r="BI227" s="176"/>
      <c r="BJ227" s="176"/>
      <c r="BK227" s="176"/>
      <c r="BL227" s="176"/>
      <c r="BM227" s="176"/>
      <c r="BN227" s="176"/>
      <c r="BO227" s="176"/>
    </row>
    <row r="228" spans="1:67" s="36" customFormat="1" ht="10.5" customHeight="1" x14ac:dyDescent="0.2">
      <c r="A228" s="1055"/>
      <c r="B228" s="2594"/>
      <c r="C228" s="2595"/>
      <c r="D228" s="2596"/>
      <c r="E228" s="2395"/>
      <c r="F228" s="2396"/>
      <c r="G228" s="2590"/>
      <c r="H228" s="2591"/>
      <c r="I228" s="1081">
        <f t="shared" si="52"/>
        <v>0</v>
      </c>
      <c r="J228" s="1082">
        <f t="shared" si="53"/>
        <v>0</v>
      </c>
      <c r="K228" s="2588"/>
      <c r="L228" s="2589"/>
      <c r="M228" s="1086">
        <f t="shared" si="54"/>
        <v>0</v>
      </c>
      <c r="N228" s="506"/>
      <c r="O228" s="365">
        <f t="shared" si="55"/>
        <v>0</v>
      </c>
      <c r="P228" s="366"/>
      <c r="Q228" s="135"/>
      <c r="R228" s="136"/>
      <c r="S228" s="129"/>
      <c r="T228" s="129"/>
      <c r="U228" s="129"/>
      <c r="V228" s="129"/>
      <c r="W228" s="129"/>
      <c r="X228" s="129"/>
      <c r="Y228" s="129"/>
      <c r="Z228" s="133"/>
      <c r="AA228" s="133"/>
      <c r="AB228" s="133"/>
      <c r="AC228" s="133"/>
      <c r="AD228" s="133"/>
      <c r="AE228" s="133"/>
      <c r="AF228" s="222"/>
      <c r="AG228" s="222"/>
      <c r="AH228" s="222"/>
      <c r="AI228" s="176"/>
      <c r="AJ228" s="176"/>
      <c r="AK228" s="176"/>
      <c r="AL228" s="176"/>
      <c r="AM228" s="176"/>
      <c r="AN228" s="176"/>
      <c r="AO228" s="176"/>
      <c r="AP228" s="176"/>
      <c r="AQ228" s="176"/>
      <c r="AR228" s="176"/>
      <c r="AS228" s="176"/>
      <c r="AT228" s="176"/>
      <c r="AU228" s="176"/>
      <c r="AV228" s="176"/>
      <c r="AW228" s="176"/>
      <c r="AX228" s="176"/>
      <c r="AY228" s="176"/>
      <c r="AZ228" s="176"/>
      <c r="BA228" s="176"/>
      <c r="BB228" s="176"/>
      <c r="BC228" s="176"/>
      <c r="BD228" s="176"/>
      <c r="BE228" s="176"/>
      <c r="BF228" s="176"/>
      <c r="BG228" s="176"/>
      <c r="BH228" s="176"/>
      <c r="BI228" s="176"/>
      <c r="BJ228" s="176"/>
      <c r="BK228" s="176"/>
      <c r="BL228" s="176"/>
      <c r="BM228" s="176"/>
      <c r="BN228" s="176"/>
      <c r="BO228" s="176"/>
    </row>
    <row r="229" spans="1:67" s="36" customFormat="1" ht="10.5" customHeight="1" x14ac:dyDescent="0.2">
      <c r="A229" s="1055"/>
      <c r="B229" s="2594"/>
      <c r="C229" s="2595"/>
      <c r="D229" s="2596"/>
      <c r="E229" s="2395"/>
      <c r="F229" s="2396"/>
      <c r="G229" s="2590"/>
      <c r="H229" s="2591"/>
      <c r="I229" s="1081">
        <f t="shared" si="52"/>
        <v>0</v>
      </c>
      <c r="J229" s="1082">
        <f t="shared" si="53"/>
        <v>0</v>
      </c>
      <c r="K229" s="2588"/>
      <c r="L229" s="2589"/>
      <c r="M229" s="1086">
        <f t="shared" si="54"/>
        <v>0</v>
      </c>
      <c r="N229" s="506"/>
      <c r="O229" s="365">
        <f t="shared" si="55"/>
        <v>0</v>
      </c>
      <c r="P229" s="366"/>
      <c r="Q229" s="135"/>
      <c r="R229" s="136"/>
      <c r="S229" s="129"/>
      <c r="T229" s="129"/>
      <c r="U229" s="129"/>
      <c r="V229" s="129"/>
      <c r="W229" s="129"/>
      <c r="X229" s="129"/>
      <c r="Y229" s="129"/>
      <c r="Z229" s="133"/>
      <c r="AA229" s="133"/>
      <c r="AB229" s="133"/>
      <c r="AC229" s="133"/>
      <c r="AD229" s="133"/>
      <c r="AE229" s="133"/>
      <c r="AF229" s="222"/>
      <c r="AG229" s="222"/>
      <c r="AH229" s="222"/>
      <c r="AI229" s="176"/>
      <c r="AJ229" s="176"/>
      <c r="AK229" s="176"/>
      <c r="AL229" s="176"/>
      <c r="AM229" s="176"/>
      <c r="AN229" s="176"/>
      <c r="AO229" s="176"/>
      <c r="AP229" s="176"/>
      <c r="AQ229" s="176"/>
      <c r="AR229" s="176"/>
      <c r="AS229" s="176"/>
      <c r="AT229" s="176"/>
      <c r="AU229" s="176"/>
      <c r="AV229" s="176"/>
      <c r="AW229" s="176"/>
      <c r="AX229" s="176"/>
      <c r="AY229" s="176"/>
      <c r="AZ229" s="176"/>
      <c r="BA229" s="176"/>
      <c r="BB229" s="176"/>
      <c r="BC229" s="176"/>
      <c r="BD229" s="176"/>
      <c r="BE229" s="176"/>
      <c r="BF229" s="176"/>
      <c r="BG229" s="176"/>
      <c r="BH229" s="176"/>
      <c r="BI229" s="176"/>
      <c r="BJ229" s="176"/>
      <c r="BK229" s="176"/>
      <c r="BL229" s="176"/>
      <c r="BM229" s="176"/>
      <c r="BN229" s="176"/>
      <c r="BO229" s="176"/>
    </row>
    <row r="230" spans="1:67" s="36" customFormat="1" ht="10.5" customHeight="1" x14ac:dyDescent="0.2">
      <c r="A230" s="1055"/>
      <c r="B230" s="2594"/>
      <c r="C230" s="2595"/>
      <c r="D230" s="2596"/>
      <c r="E230" s="2395"/>
      <c r="F230" s="2396"/>
      <c r="G230" s="2590"/>
      <c r="H230" s="2591"/>
      <c r="I230" s="1081">
        <f t="shared" si="52"/>
        <v>0</v>
      </c>
      <c r="J230" s="1082">
        <f t="shared" si="53"/>
        <v>0</v>
      </c>
      <c r="K230" s="2588"/>
      <c r="L230" s="2589"/>
      <c r="M230" s="1086">
        <f t="shared" si="54"/>
        <v>0</v>
      </c>
      <c r="N230" s="506"/>
      <c r="O230" s="365">
        <f t="shared" si="55"/>
        <v>0</v>
      </c>
      <c r="P230" s="366"/>
      <c r="Q230" s="135"/>
      <c r="R230" s="136"/>
      <c r="S230" s="129"/>
      <c r="T230" s="129"/>
      <c r="U230" s="129"/>
      <c r="V230" s="129"/>
      <c r="W230" s="129"/>
      <c r="X230" s="129"/>
      <c r="Y230" s="129"/>
      <c r="Z230" s="133"/>
      <c r="AA230" s="133"/>
      <c r="AB230" s="133"/>
      <c r="AC230" s="133"/>
      <c r="AD230" s="133"/>
      <c r="AE230" s="133"/>
      <c r="AF230" s="222"/>
      <c r="AG230" s="222"/>
      <c r="AH230" s="222"/>
      <c r="AI230" s="176"/>
      <c r="AJ230" s="176"/>
      <c r="AK230" s="176"/>
      <c r="AL230" s="176"/>
      <c r="AM230" s="176"/>
      <c r="AN230" s="176"/>
      <c r="AO230" s="176"/>
      <c r="AP230" s="176"/>
      <c r="AQ230" s="176"/>
      <c r="AR230" s="176"/>
      <c r="AS230" s="176"/>
      <c r="AT230" s="176"/>
      <c r="AU230" s="176"/>
      <c r="AV230" s="176"/>
      <c r="AW230" s="176"/>
      <c r="AX230" s="176"/>
      <c r="AY230" s="176"/>
      <c r="AZ230" s="176"/>
      <c r="BA230" s="176"/>
      <c r="BB230" s="176"/>
      <c r="BC230" s="176"/>
      <c r="BD230" s="176"/>
      <c r="BE230" s="176"/>
      <c r="BF230" s="176"/>
      <c r="BG230" s="176"/>
      <c r="BH230" s="176"/>
      <c r="BI230" s="176"/>
      <c r="BJ230" s="176"/>
      <c r="BK230" s="176"/>
      <c r="BL230" s="176"/>
      <c r="BM230" s="176"/>
      <c r="BN230" s="176"/>
      <c r="BO230" s="176"/>
    </row>
    <row r="231" spans="1:67" s="36" customFormat="1" ht="10.5" customHeight="1" x14ac:dyDescent="0.2">
      <c r="A231" s="1055"/>
      <c r="B231" s="2594"/>
      <c r="C231" s="2595"/>
      <c r="D231" s="2596"/>
      <c r="E231" s="2395"/>
      <c r="F231" s="2396"/>
      <c r="G231" s="2590"/>
      <c r="H231" s="2591"/>
      <c r="I231" s="1081">
        <f t="shared" si="52"/>
        <v>0</v>
      </c>
      <c r="J231" s="1082">
        <f t="shared" si="53"/>
        <v>0</v>
      </c>
      <c r="K231" s="2588"/>
      <c r="L231" s="2589"/>
      <c r="M231" s="1086">
        <f t="shared" si="54"/>
        <v>0</v>
      </c>
      <c r="N231" s="506"/>
      <c r="O231" s="365">
        <f t="shared" si="55"/>
        <v>0</v>
      </c>
      <c r="P231" s="366"/>
      <c r="Q231" s="135"/>
      <c r="R231" s="136"/>
      <c r="S231" s="129"/>
      <c r="T231" s="129"/>
      <c r="U231" s="129"/>
      <c r="V231" s="129"/>
      <c r="W231" s="129"/>
      <c r="X231" s="129"/>
      <c r="Y231" s="129"/>
      <c r="Z231" s="133"/>
      <c r="AA231" s="133"/>
      <c r="AB231" s="133"/>
      <c r="AC231" s="133"/>
      <c r="AD231" s="133"/>
      <c r="AE231" s="133"/>
      <c r="AF231" s="222"/>
      <c r="AG231" s="222"/>
      <c r="AH231" s="222"/>
      <c r="AI231" s="176"/>
      <c r="AJ231" s="176"/>
      <c r="AK231" s="176"/>
      <c r="AL231" s="176"/>
      <c r="AM231" s="176"/>
      <c r="AN231" s="176"/>
      <c r="AO231" s="176"/>
      <c r="AP231" s="176"/>
      <c r="AQ231" s="176"/>
      <c r="AR231" s="176"/>
      <c r="AS231" s="176"/>
      <c r="AT231" s="176"/>
      <c r="AU231" s="176"/>
      <c r="AV231" s="176"/>
      <c r="AW231" s="176"/>
      <c r="AX231" s="176"/>
      <c r="AY231" s="176"/>
      <c r="AZ231" s="176"/>
      <c r="BA231" s="176"/>
      <c r="BB231" s="176"/>
      <c r="BC231" s="176"/>
      <c r="BD231" s="176"/>
      <c r="BE231" s="176"/>
      <c r="BF231" s="176"/>
      <c r="BG231" s="176"/>
      <c r="BH231" s="176"/>
      <c r="BI231" s="176"/>
      <c r="BJ231" s="176"/>
      <c r="BK231" s="176"/>
      <c r="BL231" s="176"/>
      <c r="BM231" s="176"/>
      <c r="BN231" s="176"/>
      <c r="BO231" s="176"/>
    </row>
    <row r="232" spans="1:67" s="36" customFormat="1" ht="10.5" customHeight="1" x14ac:dyDescent="0.2">
      <c r="A232" s="1055"/>
      <c r="B232" s="2594"/>
      <c r="C232" s="2595"/>
      <c r="D232" s="2596"/>
      <c r="E232" s="2395"/>
      <c r="F232" s="2396"/>
      <c r="G232" s="2590"/>
      <c r="H232" s="2591"/>
      <c r="I232" s="1081">
        <f t="shared" si="52"/>
        <v>0</v>
      </c>
      <c r="J232" s="1082">
        <f t="shared" si="53"/>
        <v>0</v>
      </c>
      <c r="K232" s="2588"/>
      <c r="L232" s="2589"/>
      <c r="M232" s="1086">
        <f t="shared" si="54"/>
        <v>0</v>
      </c>
      <c r="N232" s="506"/>
      <c r="O232" s="365">
        <f t="shared" si="55"/>
        <v>0</v>
      </c>
      <c r="P232" s="366"/>
      <c r="Q232" s="135"/>
      <c r="R232" s="136"/>
      <c r="S232" s="129"/>
      <c r="T232" s="129"/>
      <c r="U232" s="129"/>
      <c r="V232" s="129"/>
      <c r="W232" s="129"/>
      <c r="X232" s="129"/>
      <c r="Y232" s="129"/>
      <c r="Z232" s="133"/>
      <c r="AA232" s="133"/>
      <c r="AB232" s="133"/>
      <c r="AC232" s="133"/>
      <c r="AD232" s="133"/>
      <c r="AE232" s="133"/>
      <c r="AF232" s="222"/>
      <c r="AG232" s="222"/>
      <c r="AH232" s="222"/>
      <c r="AI232" s="176"/>
      <c r="AJ232" s="176"/>
      <c r="AK232" s="176"/>
      <c r="AL232" s="176"/>
      <c r="AM232" s="176"/>
      <c r="AN232" s="176"/>
      <c r="AO232" s="176"/>
      <c r="AP232" s="176"/>
      <c r="AQ232" s="176"/>
      <c r="AR232" s="176"/>
      <c r="AS232" s="176"/>
      <c r="AT232" s="176"/>
      <c r="AU232" s="176"/>
      <c r="AV232" s="176"/>
      <c r="AW232" s="176"/>
      <c r="AX232" s="176"/>
      <c r="AY232" s="176"/>
      <c r="AZ232" s="176"/>
      <c r="BA232" s="176"/>
      <c r="BB232" s="176"/>
      <c r="BC232" s="176"/>
      <c r="BD232" s="176"/>
      <c r="BE232" s="176"/>
      <c r="BF232" s="176"/>
      <c r="BG232" s="176"/>
      <c r="BH232" s="176"/>
      <c r="BI232" s="176"/>
      <c r="BJ232" s="176"/>
      <c r="BK232" s="176"/>
      <c r="BL232" s="176"/>
      <c r="BM232" s="176"/>
      <c r="BN232" s="176"/>
      <c r="BO232" s="176"/>
    </row>
    <row r="233" spans="1:67" s="36" customFormat="1" ht="10.5" customHeight="1" x14ac:dyDescent="0.2">
      <c r="A233" s="1055"/>
      <c r="B233" s="2594"/>
      <c r="C233" s="2595"/>
      <c r="D233" s="2596"/>
      <c r="E233" s="2395"/>
      <c r="F233" s="2396"/>
      <c r="G233" s="2590"/>
      <c r="H233" s="2591"/>
      <c r="I233" s="1081">
        <f t="shared" si="52"/>
        <v>0</v>
      </c>
      <c r="J233" s="1082">
        <f t="shared" si="53"/>
        <v>0</v>
      </c>
      <c r="K233" s="2588"/>
      <c r="L233" s="2589"/>
      <c r="M233" s="1086">
        <f t="shared" si="54"/>
        <v>0</v>
      </c>
      <c r="N233" s="506"/>
      <c r="O233" s="365">
        <f t="shared" si="55"/>
        <v>0</v>
      </c>
      <c r="P233" s="366"/>
      <c r="Q233" s="135"/>
      <c r="R233" s="136"/>
      <c r="S233" s="129"/>
      <c r="T233" s="129"/>
      <c r="U233" s="129"/>
      <c r="V233" s="129"/>
      <c r="W233" s="129"/>
      <c r="X233" s="129"/>
      <c r="Y233" s="129"/>
      <c r="Z233" s="133"/>
      <c r="AA233" s="133"/>
      <c r="AB233" s="133"/>
      <c r="AC233" s="133"/>
      <c r="AD233" s="133"/>
      <c r="AE233" s="133"/>
      <c r="AF233" s="222"/>
      <c r="AG233" s="222"/>
      <c r="AH233" s="222"/>
      <c r="AI233" s="176"/>
      <c r="AJ233" s="176"/>
      <c r="AK233" s="176"/>
      <c r="AL233" s="176"/>
      <c r="AM233" s="176"/>
      <c r="AN233" s="176"/>
      <c r="AO233" s="176"/>
      <c r="AP233" s="176"/>
      <c r="AQ233" s="176"/>
      <c r="AR233" s="176"/>
      <c r="AS233" s="176"/>
      <c r="AT233" s="176"/>
      <c r="AU233" s="176"/>
      <c r="AV233" s="176"/>
      <c r="AW233" s="176"/>
      <c r="AX233" s="176"/>
      <c r="AY233" s="176"/>
      <c r="AZ233" s="176"/>
      <c r="BA233" s="176"/>
      <c r="BB233" s="176"/>
      <c r="BC233" s="176"/>
      <c r="BD233" s="176"/>
      <c r="BE233" s="176"/>
      <c r="BF233" s="176"/>
      <c r="BG233" s="176"/>
      <c r="BH233" s="176"/>
      <c r="BI233" s="176"/>
      <c r="BJ233" s="176"/>
      <c r="BK233" s="176"/>
      <c r="BL233" s="176"/>
      <c r="BM233" s="176"/>
      <c r="BN233" s="176"/>
      <c r="BO233" s="176"/>
    </row>
    <row r="234" spans="1:67" s="36" customFormat="1" ht="10.5" customHeight="1" x14ac:dyDescent="0.2">
      <c r="A234" s="1055"/>
      <c r="B234" s="2594"/>
      <c r="C234" s="2595"/>
      <c r="D234" s="2596"/>
      <c r="E234" s="2395"/>
      <c r="F234" s="2396"/>
      <c r="G234" s="2590"/>
      <c r="H234" s="2591"/>
      <c r="I234" s="1081">
        <f t="shared" si="52"/>
        <v>0</v>
      </c>
      <c r="J234" s="1082">
        <f t="shared" si="53"/>
        <v>0</v>
      </c>
      <c r="K234" s="2588"/>
      <c r="L234" s="2589"/>
      <c r="M234" s="1086">
        <f t="shared" si="54"/>
        <v>0</v>
      </c>
      <c r="N234" s="506"/>
      <c r="O234" s="365">
        <f t="shared" si="55"/>
        <v>0</v>
      </c>
      <c r="P234" s="366"/>
      <c r="Q234" s="135"/>
      <c r="R234" s="136"/>
      <c r="S234" s="129"/>
      <c r="T234" s="129"/>
      <c r="U234" s="129"/>
      <c r="V234" s="129"/>
      <c r="W234" s="129"/>
      <c r="X234" s="129"/>
      <c r="Y234" s="129"/>
      <c r="Z234" s="133"/>
      <c r="AA234" s="133"/>
      <c r="AB234" s="133"/>
      <c r="AC234" s="133"/>
      <c r="AD234" s="133"/>
      <c r="AE234" s="133"/>
      <c r="AF234" s="222"/>
      <c r="AG234" s="222"/>
      <c r="AH234" s="222"/>
      <c r="AI234" s="176"/>
      <c r="AJ234" s="176"/>
      <c r="AK234" s="176"/>
      <c r="AL234" s="176"/>
      <c r="AM234" s="176"/>
      <c r="AN234" s="176"/>
      <c r="AO234" s="176"/>
      <c r="AP234" s="176"/>
      <c r="AQ234" s="176"/>
      <c r="AR234" s="176"/>
      <c r="AS234" s="176"/>
      <c r="AT234" s="176"/>
      <c r="AU234" s="176"/>
      <c r="AV234" s="176"/>
      <c r="AW234" s="176"/>
      <c r="AX234" s="176"/>
      <c r="AY234" s="176"/>
      <c r="AZ234" s="176"/>
      <c r="BA234" s="176"/>
      <c r="BB234" s="176"/>
      <c r="BC234" s="176"/>
      <c r="BD234" s="176"/>
      <c r="BE234" s="176"/>
      <c r="BF234" s="176"/>
      <c r="BG234" s="176"/>
      <c r="BH234" s="176"/>
      <c r="BI234" s="176"/>
      <c r="BJ234" s="176"/>
      <c r="BK234" s="176"/>
      <c r="BL234" s="176"/>
      <c r="BM234" s="176"/>
      <c r="BN234" s="176"/>
      <c r="BO234" s="176"/>
    </row>
    <row r="235" spans="1:67" s="36" customFormat="1" ht="10.5" customHeight="1" x14ac:dyDescent="0.2">
      <c r="A235" s="1055"/>
      <c r="B235" s="2594"/>
      <c r="C235" s="2595"/>
      <c r="D235" s="2596"/>
      <c r="E235" s="2395"/>
      <c r="F235" s="2396"/>
      <c r="G235" s="2590"/>
      <c r="H235" s="2591"/>
      <c r="I235" s="1081">
        <f t="shared" si="52"/>
        <v>0</v>
      </c>
      <c r="J235" s="1082">
        <f t="shared" si="53"/>
        <v>0</v>
      </c>
      <c r="K235" s="2588"/>
      <c r="L235" s="2589"/>
      <c r="M235" s="1086">
        <f t="shared" si="54"/>
        <v>0</v>
      </c>
      <c r="N235" s="506"/>
      <c r="O235" s="365">
        <f t="shared" si="55"/>
        <v>0</v>
      </c>
      <c r="P235" s="366"/>
      <c r="Q235" s="135"/>
      <c r="R235" s="136"/>
      <c r="S235" s="129"/>
      <c r="T235" s="129"/>
      <c r="U235" s="129"/>
      <c r="V235" s="129"/>
      <c r="W235" s="129"/>
      <c r="X235" s="129"/>
      <c r="Y235" s="129"/>
      <c r="Z235" s="133"/>
      <c r="AA235" s="133"/>
      <c r="AB235" s="133"/>
      <c r="AC235" s="133"/>
      <c r="AD235" s="133"/>
      <c r="AE235" s="133"/>
      <c r="AF235" s="222"/>
      <c r="AG235" s="222"/>
      <c r="AH235" s="222"/>
      <c r="AI235" s="176"/>
      <c r="AJ235" s="176"/>
      <c r="AK235" s="176"/>
      <c r="AL235" s="176"/>
      <c r="AM235" s="176"/>
      <c r="AN235" s="176"/>
      <c r="AO235" s="176"/>
      <c r="AP235" s="176"/>
      <c r="AQ235" s="176"/>
      <c r="AR235" s="176"/>
      <c r="AS235" s="176"/>
      <c r="AT235" s="176"/>
      <c r="AU235" s="176"/>
      <c r="AV235" s="176"/>
      <c r="AW235" s="176"/>
      <c r="AX235" s="176"/>
      <c r="AY235" s="176"/>
      <c r="AZ235" s="176"/>
      <c r="BA235" s="176"/>
      <c r="BB235" s="176"/>
      <c r="BC235" s="176"/>
      <c r="BD235" s="176"/>
      <c r="BE235" s="176"/>
      <c r="BF235" s="176"/>
      <c r="BG235" s="176"/>
      <c r="BH235" s="176"/>
      <c r="BI235" s="176"/>
      <c r="BJ235" s="176"/>
      <c r="BK235" s="176"/>
      <c r="BL235" s="176"/>
      <c r="BM235" s="176"/>
      <c r="BN235" s="176"/>
      <c r="BO235" s="176"/>
    </row>
    <row r="236" spans="1:67" s="36" customFormat="1" ht="10.5" customHeight="1" x14ac:dyDescent="0.2">
      <c r="A236" s="1348"/>
      <c r="B236" s="2690"/>
      <c r="C236" s="2691"/>
      <c r="D236" s="2692"/>
      <c r="E236" s="2601"/>
      <c r="F236" s="2602"/>
      <c r="G236" s="1088"/>
      <c r="H236" s="1089"/>
      <c r="I236" s="1083">
        <f t="shared" si="52"/>
        <v>0</v>
      </c>
      <c r="J236" s="1084"/>
      <c r="K236" s="1087"/>
      <c r="L236" s="1307"/>
      <c r="M236" s="1317">
        <f t="shared" si="54"/>
        <v>0</v>
      </c>
      <c r="N236" s="506"/>
      <c r="O236" s="365">
        <f t="shared" si="55"/>
        <v>0</v>
      </c>
      <c r="P236" s="366"/>
      <c r="Q236" s="135"/>
      <c r="R236" s="136"/>
      <c r="S236" s="129"/>
      <c r="T236" s="129"/>
      <c r="U236" s="129"/>
      <c r="V236" s="129"/>
      <c r="W236" s="129"/>
      <c r="X236" s="129"/>
      <c r="Y236" s="129"/>
      <c r="Z236" s="133"/>
      <c r="AA236" s="133"/>
      <c r="AB236" s="133"/>
      <c r="AC236" s="133"/>
      <c r="AD236" s="133"/>
      <c r="AE236" s="133"/>
      <c r="AF236" s="222"/>
      <c r="AG236" s="222"/>
      <c r="AH236" s="222"/>
      <c r="AI236" s="176"/>
      <c r="AJ236" s="176"/>
      <c r="AK236" s="176"/>
      <c r="AL236" s="176"/>
      <c r="AM236" s="176"/>
      <c r="AN236" s="176"/>
      <c r="AO236" s="176"/>
      <c r="AP236" s="176"/>
      <c r="AQ236" s="176"/>
      <c r="AR236" s="176"/>
      <c r="AS236" s="176"/>
      <c r="AT236" s="176"/>
      <c r="AU236" s="176"/>
      <c r="AV236" s="176"/>
      <c r="AW236" s="176"/>
      <c r="AX236" s="176"/>
      <c r="AY236" s="176"/>
      <c r="AZ236" s="176"/>
      <c r="BA236" s="176"/>
      <c r="BB236" s="176"/>
      <c r="BC236" s="176"/>
      <c r="BD236" s="176"/>
      <c r="BE236" s="176"/>
      <c r="BF236" s="176"/>
      <c r="BG236" s="176"/>
      <c r="BH236" s="176"/>
      <c r="BI236" s="176"/>
      <c r="BJ236" s="176"/>
      <c r="BK236" s="176"/>
      <c r="BL236" s="176"/>
      <c r="BM236" s="176"/>
      <c r="BN236" s="176"/>
      <c r="BO236" s="176"/>
    </row>
    <row r="237" spans="1:67" s="36" customFormat="1" ht="10.5" customHeight="1" x14ac:dyDescent="0.2">
      <c r="A237" s="1115" t="s">
        <v>335</v>
      </c>
      <c r="B237" s="2611"/>
      <c r="C237" s="2612"/>
      <c r="D237" s="2613"/>
      <c r="E237" s="2676">
        <f>SUM(E238:E250)</f>
        <v>0</v>
      </c>
      <c r="F237" s="2677"/>
      <c r="G237" s="2678"/>
      <c r="H237" s="2679"/>
      <c r="I237" s="1116">
        <f>IF(E237=0,0,J237/E237)</f>
        <v>0</v>
      </c>
      <c r="J237" s="1117">
        <f>SUM(J238:J250)</f>
        <v>0</v>
      </c>
      <c r="K237" s="2686">
        <f>IF(E237=0,0,M237/E237*100)</f>
        <v>0</v>
      </c>
      <c r="L237" s="2687"/>
      <c r="M237" s="1118">
        <f>SUM(M238:M250)</f>
        <v>0</v>
      </c>
      <c r="N237" s="506"/>
      <c r="O237" s="178">
        <f>IF(H237="",G237,H237)</f>
        <v>0</v>
      </c>
      <c r="P237" s="366"/>
      <c r="Q237" s="135"/>
      <c r="R237" s="136"/>
      <c r="S237" s="129"/>
      <c r="T237" s="129"/>
      <c r="U237" s="129"/>
      <c r="V237" s="129"/>
      <c r="W237" s="129"/>
      <c r="X237" s="129"/>
      <c r="Y237" s="129"/>
      <c r="Z237" s="133"/>
      <c r="AA237" s="133"/>
      <c r="AB237" s="133"/>
      <c r="AC237" s="133"/>
      <c r="AD237" s="133"/>
      <c r="AE237" s="133"/>
      <c r="AF237" s="222"/>
      <c r="AG237" s="222"/>
      <c r="AH237" s="222"/>
      <c r="AI237" s="176"/>
      <c r="AJ237" s="176"/>
      <c r="AK237" s="176"/>
      <c r="AL237" s="176"/>
      <c r="AM237" s="176"/>
      <c r="AN237" s="176"/>
      <c r="AO237" s="176"/>
      <c r="AP237" s="176"/>
      <c r="AQ237" s="176"/>
      <c r="AR237" s="176"/>
      <c r="AS237" s="176"/>
      <c r="AT237" s="176"/>
      <c r="AU237" s="176"/>
      <c r="AV237" s="176"/>
      <c r="AW237" s="176"/>
      <c r="AX237" s="176"/>
      <c r="AY237" s="176"/>
      <c r="AZ237" s="176"/>
      <c r="BA237" s="176"/>
      <c r="BB237" s="176"/>
      <c r="BC237" s="176"/>
      <c r="BD237" s="176"/>
      <c r="BE237" s="176"/>
      <c r="BF237" s="176"/>
      <c r="BG237" s="176"/>
      <c r="BH237" s="176"/>
      <c r="BI237" s="176"/>
      <c r="BJ237" s="176"/>
      <c r="BK237" s="176"/>
      <c r="BL237" s="176"/>
      <c r="BM237" s="176"/>
      <c r="BN237" s="176"/>
      <c r="BO237" s="176"/>
    </row>
    <row r="238" spans="1:67" s="36" customFormat="1" ht="10.5" customHeight="1" x14ac:dyDescent="0.2">
      <c r="A238" s="1359" t="s">
        <v>336</v>
      </c>
      <c r="B238" s="2743"/>
      <c r="C238" s="2744"/>
      <c r="D238" s="2745"/>
      <c r="E238" s="2746"/>
      <c r="F238" s="2788"/>
      <c r="G238" s="1056">
        <v>30</v>
      </c>
      <c r="H238" s="1057"/>
      <c r="I238" s="1079">
        <f t="shared" ref="I238:I251" si="56">IF($O238&gt;0,-PMT(($I$9),$O238,1),0)</f>
        <v>4.6199342169092869E-2</v>
      </c>
      <c r="J238" s="1080">
        <f t="shared" ref="J238:J250" si="57">ROUND(E238*I238,0)</f>
        <v>0</v>
      </c>
      <c r="K238" s="1060">
        <v>1</v>
      </c>
      <c r="L238" s="1304"/>
      <c r="M238" s="1085">
        <f t="shared" ref="M238:M251" si="58">ROUND(E238/100*IF(ISBLANK(L238),K238,L238),0)</f>
        <v>0</v>
      </c>
      <c r="N238" s="506"/>
      <c r="O238" s="365">
        <f t="shared" ref="O238:O251" si="59">IF(ISBLANK(H238),G238,H238)</f>
        <v>30</v>
      </c>
      <c r="P238" s="366"/>
      <c r="Q238" s="135"/>
      <c r="R238" s="136"/>
      <c r="S238" s="129"/>
      <c r="T238" s="129"/>
      <c r="U238" s="129"/>
      <c r="V238" s="129"/>
      <c r="W238" s="129"/>
      <c r="X238" s="129"/>
      <c r="Y238" s="129"/>
      <c r="Z238" s="133"/>
      <c r="AA238" s="133"/>
      <c r="AB238" s="133"/>
      <c r="AC238" s="133"/>
      <c r="AD238" s="133"/>
      <c r="AE238" s="133"/>
      <c r="AF238" s="222"/>
      <c r="AG238" s="222"/>
      <c r="AH238" s="222"/>
      <c r="AI238" s="176"/>
      <c r="AJ238" s="176"/>
      <c r="AK238" s="176"/>
      <c r="AL238" s="176"/>
      <c r="AM238" s="176"/>
      <c r="AN238" s="176"/>
      <c r="AO238" s="176"/>
      <c r="AP238" s="176"/>
      <c r="AQ238" s="176"/>
      <c r="AR238" s="176"/>
      <c r="AS238" s="176"/>
      <c r="AT238" s="176"/>
      <c r="AU238" s="176"/>
      <c r="AV238" s="176"/>
      <c r="AW238" s="176"/>
      <c r="AX238" s="176"/>
      <c r="AY238" s="176"/>
      <c r="AZ238" s="176"/>
      <c r="BA238" s="176"/>
      <c r="BB238" s="176"/>
      <c r="BC238" s="176"/>
      <c r="BD238" s="176"/>
      <c r="BE238" s="176"/>
      <c r="BF238" s="176"/>
      <c r="BG238" s="176"/>
      <c r="BH238" s="176"/>
      <c r="BI238" s="176"/>
      <c r="BJ238" s="176"/>
      <c r="BK238" s="176"/>
      <c r="BL238" s="176"/>
      <c r="BM238" s="176"/>
      <c r="BN238" s="176"/>
      <c r="BO238" s="176"/>
    </row>
    <row r="239" spans="1:67" s="36" customFormat="1" ht="10.5" customHeight="1" x14ac:dyDescent="0.2">
      <c r="A239" s="1043" t="s">
        <v>337</v>
      </c>
      <c r="B239" s="2594"/>
      <c r="C239" s="2595"/>
      <c r="D239" s="2596"/>
      <c r="E239" s="2395"/>
      <c r="F239" s="2789"/>
      <c r="G239" s="1058">
        <v>30</v>
      </c>
      <c r="H239" s="1059"/>
      <c r="I239" s="1081">
        <f t="shared" si="56"/>
        <v>4.6199342169092869E-2</v>
      </c>
      <c r="J239" s="1082">
        <f t="shared" si="57"/>
        <v>0</v>
      </c>
      <c r="K239" s="1061">
        <v>1</v>
      </c>
      <c r="L239" s="1305"/>
      <c r="M239" s="1086">
        <f t="shared" si="58"/>
        <v>0</v>
      </c>
      <c r="N239" s="506"/>
      <c r="O239" s="365">
        <f t="shared" si="59"/>
        <v>30</v>
      </c>
      <c r="P239" s="366"/>
      <c r="Q239" s="135"/>
      <c r="R239" s="136"/>
      <c r="S239" s="129"/>
      <c r="T239" s="129"/>
      <c r="U239" s="129"/>
      <c r="V239" s="129"/>
      <c r="W239" s="129"/>
      <c r="X239" s="129"/>
      <c r="Y239" s="129"/>
      <c r="Z239" s="133"/>
      <c r="AA239" s="133"/>
      <c r="AB239" s="133"/>
      <c r="AC239" s="133"/>
      <c r="AD239" s="133"/>
      <c r="AE239" s="133"/>
      <c r="AF239" s="222"/>
      <c r="AG239" s="222"/>
      <c r="AH239" s="222"/>
      <c r="AI239" s="176"/>
      <c r="AJ239" s="176"/>
      <c r="AK239" s="176"/>
      <c r="AL239" s="176"/>
      <c r="AM239" s="176"/>
      <c r="AN239" s="176"/>
      <c r="AO239" s="176"/>
      <c r="AP239" s="176"/>
      <c r="AQ239" s="176"/>
      <c r="AR239" s="176"/>
      <c r="AS239" s="176"/>
      <c r="AT239" s="176"/>
      <c r="AU239" s="176"/>
      <c r="AV239" s="176"/>
      <c r="AW239" s="176"/>
      <c r="AX239" s="176"/>
      <c r="AY239" s="176"/>
      <c r="AZ239" s="176"/>
      <c r="BA239" s="176"/>
      <c r="BB239" s="176"/>
      <c r="BC239" s="176"/>
      <c r="BD239" s="176"/>
      <c r="BE239" s="176"/>
      <c r="BF239" s="176"/>
      <c r="BG239" s="176"/>
      <c r="BH239" s="176"/>
      <c r="BI239" s="176"/>
      <c r="BJ239" s="176"/>
      <c r="BK239" s="176"/>
      <c r="BL239" s="176"/>
      <c r="BM239" s="176"/>
      <c r="BN239" s="176"/>
      <c r="BO239" s="176"/>
    </row>
    <row r="240" spans="1:67" s="36" customFormat="1" ht="10.5" customHeight="1" x14ac:dyDescent="0.2">
      <c r="A240" s="1043" t="s">
        <v>338</v>
      </c>
      <c r="B240" s="2594"/>
      <c r="C240" s="2595"/>
      <c r="D240" s="2596"/>
      <c r="E240" s="2395"/>
      <c r="F240" s="2789"/>
      <c r="G240" s="1058">
        <v>30</v>
      </c>
      <c r="H240" s="1059"/>
      <c r="I240" s="1081">
        <f t="shared" si="56"/>
        <v>4.6199342169092869E-2</v>
      </c>
      <c r="J240" s="1082">
        <f t="shared" si="57"/>
        <v>0</v>
      </c>
      <c r="K240" s="1061">
        <v>1</v>
      </c>
      <c r="L240" s="1305"/>
      <c r="M240" s="1086">
        <f t="shared" si="58"/>
        <v>0</v>
      </c>
      <c r="N240" s="506"/>
      <c r="O240" s="365">
        <f t="shared" si="59"/>
        <v>30</v>
      </c>
      <c r="P240" s="366"/>
      <c r="Q240" s="135"/>
      <c r="R240" s="136"/>
      <c r="S240" s="129"/>
      <c r="T240" s="129"/>
      <c r="U240" s="129"/>
      <c r="V240" s="129"/>
      <c r="W240" s="129"/>
      <c r="X240" s="129"/>
      <c r="Y240" s="129"/>
      <c r="Z240" s="133"/>
      <c r="AA240" s="133"/>
      <c r="AB240" s="133"/>
      <c r="AC240" s="133"/>
      <c r="AD240" s="133"/>
      <c r="AE240" s="133"/>
      <c r="AF240" s="222"/>
      <c r="AG240" s="222"/>
      <c r="AH240" s="222"/>
      <c r="AI240" s="176"/>
      <c r="AJ240" s="176"/>
      <c r="AK240" s="176"/>
      <c r="AL240" s="176"/>
      <c r="AM240" s="176"/>
      <c r="AN240" s="176"/>
      <c r="AO240" s="176"/>
      <c r="AP240" s="176"/>
      <c r="AQ240" s="176"/>
      <c r="AR240" s="176"/>
      <c r="AS240" s="176"/>
      <c r="AT240" s="176"/>
      <c r="AU240" s="176"/>
      <c r="AV240" s="176"/>
      <c r="AW240" s="176"/>
      <c r="AX240" s="176"/>
      <c r="AY240" s="176"/>
      <c r="AZ240" s="176"/>
      <c r="BA240" s="176"/>
      <c r="BB240" s="176"/>
      <c r="BC240" s="176"/>
      <c r="BD240" s="176"/>
      <c r="BE240" s="176"/>
      <c r="BF240" s="176"/>
      <c r="BG240" s="176"/>
      <c r="BH240" s="176"/>
      <c r="BI240" s="176"/>
      <c r="BJ240" s="176"/>
      <c r="BK240" s="176"/>
      <c r="BL240" s="176"/>
      <c r="BM240" s="176"/>
      <c r="BN240" s="176"/>
      <c r="BO240" s="176"/>
    </row>
    <row r="241" spans="1:67" s="36" customFormat="1" ht="10.5" customHeight="1" x14ac:dyDescent="0.2">
      <c r="A241" s="1043" t="s">
        <v>339</v>
      </c>
      <c r="B241" s="2594"/>
      <c r="C241" s="2595"/>
      <c r="D241" s="2596"/>
      <c r="E241" s="2395"/>
      <c r="F241" s="2789"/>
      <c r="G241" s="1058">
        <v>30</v>
      </c>
      <c r="H241" s="1059"/>
      <c r="I241" s="1081">
        <f t="shared" si="56"/>
        <v>4.6199342169092869E-2</v>
      </c>
      <c r="J241" s="1082">
        <f t="shared" si="57"/>
        <v>0</v>
      </c>
      <c r="K241" s="1061">
        <v>1.5</v>
      </c>
      <c r="L241" s="1305"/>
      <c r="M241" s="1086">
        <f t="shared" si="58"/>
        <v>0</v>
      </c>
      <c r="N241" s="506"/>
      <c r="O241" s="365">
        <f t="shared" si="59"/>
        <v>30</v>
      </c>
      <c r="P241" s="366"/>
      <c r="Q241" s="135"/>
      <c r="R241" s="136"/>
      <c r="S241" s="129"/>
      <c r="T241" s="129"/>
      <c r="U241" s="129"/>
      <c r="V241" s="129"/>
      <c r="W241" s="129"/>
      <c r="X241" s="129"/>
      <c r="Y241" s="129"/>
      <c r="Z241" s="133"/>
      <c r="AA241" s="133"/>
      <c r="AB241" s="133"/>
      <c r="AC241" s="133"/>
      <c r="AD241" s="133"/>
      <c r="AE241" s="133"/>
      <c r="AF241" s="222"/>
      <c r="AG241" s="222"/>
      <c r="AH241" s="222"/>
      <c r="AI241" s="176"/>
      <c r="AJ241" s="176"/>
      <c r="AK241" s="176"/>
      <c r="AL241" s="176"/>
      <c r="AM241" s="176"/>
      <c r="AN241" s="176"/>
      <c r="AO241" s="176"/>
      <c r="AP241" s="176"/>
      <c r="AQ241" s="176"/>
      <c r="AR241" s="176"/>
      <c r="AS241" s="176"/>
      <c r="AT241" s="176"/>
      <c r="AU241" s="176"/>
      <c r="AV241" s="176"/>
      <c r="AW241" s="176"/>
      <c r="AX241" s="176"/>
      <c r="AY241" s="176"/>
      <c r="AZ241" s="176"/>
      <c r="BA241" s="176"/>
      <c r="BB241" s="176"/>
      <c r="BC241" s="176"/>
      <c r="BD241" s="176"/>
      <c r="BE241" s="176"/>
      <c r="BF241" s="176"/>
      <c r="BG241" s="176"/>
      <c r="BH241" s="176"/>
      <c r="BI241" s="176"/>
      <c r="BJ241" s="176"/>
      <c r="BK241" s="176"/>
      <c r="BL241" s="176"/>
      <c r="BM241" s="176"/>
      <c r="BN241" s="176"/>
      <c r="BO241" s="176"/>
    </row>
    <row r="242" spans="1:67" s="36" customFormat="1" ht="10.5" customHeight="1" x14ac:dyDescent="0.2">
      <c r="A242" s="1043" t="s">
        <v>340</v>
      </c>
      <c r="B242" s="2594"/>
      <c r="C242" s="2595"/>
      <c r="D242" s="2596"/>
      <c r="E242" s="2395"/>
      <c r="F242" s="2789"/>
      <c r="G242" s="1058">
        <v>30</v>
      </c>
      <c r="H242" s="1059"/>
      <c r="I242" s="1081">
        <f t="shared" si="56"/>
        <v>4.6199342169092869E-2</v>
      </c>
      <c r="J242" s="1082">
        <f t="shared" si="57"/>
        <v>0</v>
      </c>
      <c r="K242" s="1061">
        <v>1.5</v>
      </c>
      <c r="L242" s="1305"/>
      <c r="M242" s="1086">
        <f t="shared" si="58"/>
        <v>0</v>
      </c>
      <c r="N242" s="506"/>
      <c r="O242" s="365">
        <f t="shared" si="59"/>
        <v>30</v>
      </c>
      <c r="P242" s="366"/>
      <c r="Q242" s="135"/>
      <c r="R242" s="136"/>
      <c r="S242" s="129"/>
      <c r="T242" s="129"/>
      <c r="U242" s="129"/>
      <c r="V242" s="129"/>
      <c r="W242" s="129"/>
      <c r="X242" s="129"/>
      <c r="Y242" s="129"/>
      <c r="Z242" s="133"/>
      <c r="AA242" s="133"/>
      <c r="AB242" s="133"/>
      <c r="AC242" s="133"/>
      <c r="AD242" s="133"/>
      <c r="AE242" s="133"/>
      <c r="AF242" s="222"/>
      <c r="AG242" s="222"/>
      <c r="AH242" s="222"/>
      <c r="AI242" s="176"/>
      <c r="AJ242" s="176"/>
      <c r="AK242" s="176"/>
      <c r="AL242" s="176"/>
      <c r="AM242" s="176"/>
      <c r="AN242" s="176"/>
      <c r="AO242" s="176"/>
      <c r="AP242" s="176"/>
      <c r="AQ242" s="176"/>
      <c r="AR242" s="176"/>
      <c r="AS242" s="176"/>
      <c r="AT242" s="176"/>
      <c r="AU242" s="176"/>
      <c r="AV242" s="176"/>
      <c r="AW242" s="176"/>
      <c r="AX242" s="176"/>
      <c r="AY242" s="176"/>
      <c r="AZ242" s="176"/>
      <c r="BA242" s="176"/>
      <c r="BB242" s="176"/>
      <c r="BC242" s="176"/>
      <c r="BD242" s="176"/>
      <c r="BE242" s="176"/>
      <c r="BF242" s="176"/>
      <c r="BG242" s="176"/>
      <c r="BH242" s="176"/>
      <c r="BI242" s="176"/>
      <c r="BJ242" s="176"/>
      <c r="BK242" s="176"/>
      <c r="BL242" s="176"/>
      <c r="BM242" s="176"/>
      <c r="BN242" s="176"/>
      <c r="BO242" s="176"/>
    </row>
    <row r="243" spans="1:67" s="36" customFormat="1" ht="10.5" customHeight="1" x14ac:dyDescent="0.2">
      <c r="A243" s="1043" t="s">
        <v>292</v>
      </c>
      <c r="B243" s="2594"/>
      <c r="C243" s="2595"/>
      <c r="D243" s="2596"/>
      <c r="E243" s="2395"/>
      <c r="F243" s="2789"/>
      <c r="G243" s="1058">
        <v>20</v>
      </c>
      <c r="H243" s="1059"/>
      <c r="I243" s="1081">
        <f t="shared" si="56"/>
        <v>6.2642070767998229E-2</v>
      </c>
      <c r="J243" s="1082">
        <f t="shared" si="57"/>
        <v>0</v>
      </c>
      <c r="K243" s="1061">
        <v>2</v>
      </c>
      <c r="L243" s="1305"/>
      <c r="M243" s="1086">
        <f t="shared" si="58"/>
        <v>0</v>
      </c>
      <c r="N243" s="506"/>
      <c r="O243" s="365">
        <f t="shared" si="59"/>
        <v>20</v>
      </c>
      <c r="P243" s="366"/>
      <c r="Q243" s="135"/>
      <c r="R243" s="136"/>
      <c r="S243" s="129"/>
      <c r="T243" s="129"/>
      <c r="U243" s="129"/>
      <c r="V243" s="129"/>
      <c r="W243" s="129"/>
      <c r="X243" s="129"/>
      <c r="Y243" s="129"/>
      <c r="Z243" s="133"/>
      <c r="AA243" s="133"/>
      <c r="AB243" s="133"/>
      <c r="AC243" s="133"/>
      <c r="AD243" s="133"/>
      <c r="AE243" s="133"/>
      <c r="AF243" s="222"/>
      <c r="AG243" s="222"/>
      <c r="AH243" s="222"/>
      <c r="AI243" s="176"/>
      <c r="AJ243" s="176"/>
      <c r="AK243" s="176"/>
      <c r="AL243" s="176"/>
      <c r="AM243" s="176"/>
      <c r="AN243" s="176"/>
      <c r="AO243" s="176"/>
      <c r="AP243" s="176"/>
      <c r="AQ243" s="176"/>
      <c r="AR243" s="176"/>
      <c r="AS243" s="176"/>
      <c r="AT243" s="176"/>
      <c r="AU243" s="176"/>
      <c r="AV243" s="176"/>
      <c r="AW243" s="176"/>
      <c r="AX243" s="176"/>
      <c r="AY243" s="176"/>
      <c r="AZ243" s="176"/>
      <c r="BA243" s="176"/>
      <c r="BB243" s="176"/>
      <c r="BC243" s="176"/>
      <c r="BD243" s="176"/>
      <c r="BE243" s="176"/>
      <c r="BF243" s="176"/>
      <c r="BG243" s="176"/>
      <c r="BH243" s="176"/>
      <c r="BI243" s="176"/>
      <c r="BJ243" s="176"/>
      <c r="BK243" s="176"/>
      <c r="BL243" s="176"/>
      <c r="BM243" s="176"/>
      <c r="BN243" s="176"/>
      <c r="BO243" s="176"/>
    </row>
    <row r="244" spans="1:67" s="36" customFormat="1" ht="10.5" customHeight="1" x14ac:dyDescent="0.2">
      <c r="A244" s="1043" t="s">
        <v>273</v>
      </c>
      <c r="B244" s="2594"/>
      <c r="C244" s="2595"/>
      <c r="D244" s="2596"/>
      <c r="E244" s="2395"/>
      <c r="F244" s="2789"/>
      <c r="G244" s="1058">
        <v>20</v>
      </c>
      <c r="H244" s="1059"/>
      <c r="I244" s="1081">
        <f t="shared" si="56"/>
        <v>6.2642070767998229E-2</v>
      </c>
      <c r="J244" s="1082">
        <f t="shared" si="57"/>
        <v>0</v>
      </c>
      <c r="K244" s="1061">
        <v>8</v>
      </c>
      <c r="L244" s="1305"/>
      <c r="M244" s="1086">
        <f t="shared" si="58"/>
        <v>0</v>
      </c>
      <c r="N244" s="506"/>
      <c r="O244" s="365">
        <f t="shared" si="59"/>
        <v>20</v>
      </c>
      <c r="P244" s="366"/>
      <c r="Q244" s="135"/>
      <c r="R244" s="136"/>
      <c r="S244" s="129"/>
      <c r="T244" s="129"/>
      <c r="U244" s="129"/>
      <c r="V244" s="129"/>
      <c r="W244" s="129"/>
      <c r="X244" s="129"/>
      <c r="Y244" s="129"/>
      <c r="Z244" s="133"/>
      <c r="AA244" s="133"/>
      <c r="AB244" s="133"/>
      <c r="AC244" s="133"/>
      <c r="AD244" s="133"/>
      <c r="AE244" s="133"/>
      <c r="AF244" s="222"/>
      <c r="AG244" s="222"/>
      <c r="AH244" s="222"/>
      <c r="AI244" s="176"/>
      <c r="AJ244" s="176"/>
      <c r="AK244" s="176"/>
      <c r="AL244" s="176"/>
      <c r="AM244" s="176"/>
      <c r="AN244" s="176"/>
      <c r="AO244" s="176"/>
      <c r="AP244" s="176"/>
      <c r="AQ244" s="176"/>
      <c r="AR244" s="176"/>
      <c r="AS244" s="176"/>
      <c r="AT244" s="176"/>
      <c r="AU244" s="176"/>
      <c r="AV244" s="176"/>
      <c r="AW244" s="176"/>
      <c r="AX244" s="176"/>
      <c r="AY244" s="176"/>
      <c r="AZ244" s="176"/>
      <c r="BA244" s="176"/>
      <c r="BB244" s="176"/>
      <c r="BC244" s="176"/>
      <c r="BD244" s="176"/>
      <c r="BE244" s="176"/>
      <c r="BF244" s="176"/>
      <c r="BG244" s="176"/>
      <c r="BH244" s="176"/>
      <c r="BI244" s="176"/>
      <c r="BJ244" s="176"/>
      <c r="BK244" s="176"/>
      <c r="BL244" s="176"/>
      <c r="BM244" s="176"/>
      <c r="BN244" s="176"/>
      <c r="BO244" s="176"/>
    </row>
    <row r="245" spans="1:67" s="36" customFormat="1" ht="10.5" customHeight="1" x14ac:dyDescent="0.2">
      <c r="A245" s="1043" t="s">
        <v>274</v>
      </c>
      <c r="B245" s="2594"/>
      <c r="C245" s="2595"/>
      <c r="D245" s="2596"/>
      <c r="E245" s="2395"/>
      <c r="F245" s="2789"/>
      <c r="G245" s="1058">
        <v>30</v>
      </c>
      <c r="H245" s="1059"/>
      <c r="I245" s="1081">
        <f t="shared" si="56"/>
        <v>4.6199342169092869E-2</v>
      </c>
      <c r="J245" s="1082">
        <f t="shared" si="57"/>
        <v>0</v>
      </c>
      <c r="K245" s="1061"/>
      <c r="L245" s="1305"/>
      <c r="M245" s="1086">
        <f t="shared" si="58"/>
        <v>0</v>
      </c>
      <c r="N245" s="506"/>
      <c r="O245" s="365">
        <f t="shared" si="59"/>
        <v>30</v>
      </c>
      <c r="P245" s="366"/>
      <c r="Q245" s="135"/>
      <c r="R245" s="136"/>
      <c r="S245" s="129"/>
      <c r="T245" s="129"/>
      <c r="U245" s="129"/>
      <c r="V245" s="129"/>
      <c r="W245" s="129"/>
      <c r="X245" s="129"/>
      <c r="Y245" s="129"/>
      <c r="Z245" s="133"/>
      <c r="AA245" s="133"/>
      <c r="AB245" s="133"/>
      <c r="AC245" s="133"/>
      <c r="AD245" s="133"/>
      <c r="AE245" s="133"/>
      <c r="AF245" s="222"/>
      <c r="AG245" s="222"/>
      <c r="AH245" s="222"/>
      <c r="AI245" s="176"/>
      <c r="AJ245" s="176"/>
      <c r="AK245" s="176"/>
      <c r="AL245" s="176"/>
      <c r="AM245" s="176"/>
      <c r="AN245" s="176"/>
      <c r="AO245" s="176"/>
      <c r="AP245" s="176"/>
      <c r="AQ245" s="176"/>
      <c r="AR245" s="176"/>
      <c r="AS245" s="176"/>
      <c r="AT245" s="176"/>
      <c r="AU245" s="176"/>
      <c r="AV245" s="176"/>
      <c r="AW245" s="176"/>
      <c r="AX245" s="176"/>
      <c r="AY245" s="176"/>
      <c r="AZ245" s="176"/>
      <c r="BA245" s="176"/>
      <c r="BB245" s="176"/>
      <c r="BC245" s="176"/>
      <c r="BD245" s="176"/>
      <c r="BE245" s="176"/>
      <c r="BF245" s="176"/>
      <c r="BG245" s="176"/>
      <c r="BH245" s="176"/>
      <c r="BI245" s="176"/>
      <c r="BJ245" s="176"/>
      <c r="BK245" s="176"/>
      <c r="BL245" s="176"/>
      <c r="BM245" s="176"/>
      <c r="BN245" s="176"/>
      <c r="BO245" s="176"/>
    </row>
    <row r="246" spans="1:67" s="36" customFormat="1" ht="10.5" customHeight="1" x14ac:dyDescent="0.2">
      <c r="A246" s="1055"/>
      <c r="B246" s="2594"/>
      <c r="C246" s="2595"/>
      <c r="D246" s="2596"/>
      <c r="E246" s="2395"/>
      <c r="F246" s="2396"/>
      <c r="G246" s="2590"/>
      <c r="H246" s="2591"/>
      <c r="I246" s="1081">
        <f t="shared" si="56"/>
        <v>0</v>
      </c>
      <c r="J246" s="1082">
        <f t="shared" si="57"/>
        <v>0</v>
      </c>
      <c r="K246" s="2588"/>
      <c r="L246" s="2589"/>
      <c r="M246" s="1086">
        <f t="shared" si="58"/>
        <v>0</v>
      </c>
      <c r="N246" s="506"/>
      <c r="O246" s="365">
        <f t="shared" si="59"/>
        <v>0</v>
      </c>
      <c r="P246" s="366"/>
      <c r="Q246" s="135"/>
      <c r="R246" s="136"/>
      <c r="S246" s="129"/>
      <c r="T246" s="129"/>
      <c r="U246" s="129"/>
      <c r="V246" s="129"/>
      <c r="W246" s="129"/>
      <c r="X246" s="129"/>
      <c r="Y246" s="129"/>
      <c r="Z246" s="133"/>
      <c r="AA246" s="133"/>
      <c r="AB246" s="133"/>
      <c r="AC246" s="133"/>
      <c r="AD246" s="133"/>
      <c r="AE246" s="133"/>
      <c r="AF246" s="222"/>
      <c r="AG246" s="222"/>
      <c r="AH246" s="222"/>
      <c r="AI246" s="176"/>
      <c r="AJ246" s="176"/>
      <c r="AK246" s="176"/>
      <c r="AL246" s="176"/>
      <c r="AM246" s="176"/>
      <c r="AN246" s="176"/>
      <c r="AO246" s="176"/>
      <c r="AP246" s="176"/>
      <c r="AQ246" s="176"/>
      <c r="AR246" s="176"/>
      <c r="AS246" s="176"/>
      <c r="AT246" s="176"/>
      <c r="AU246" s="176"/>
      <c r="AV246" s="176"/>
      <c r="AW246" s="176"/>
      <c r="AX246" s="176"/>
      <c r="AY246" s="176"/>
      <c r="AZ246" s="176"/>
      <c r="BA246" s="176"/>
      <c r="BB246" s="176"/>
      <c r="BC246" s="176"/>
      <c r="BD246" s="176"/>
      <c r="BE246" s="176"/>
      <c r="BF246" s="176"/>
      <c r="BG246" s="176"/>
      <c r="BH246" s="176"/>
      <c r="BI246" s="176"/>
      <c r="BJ246" s="176"/>
      <c r="BK246" s="176"/>
      <c r="BL246" s="176"/>
      <c r="BM246" s="176"/>
      <c r="BN246" s="176"/>
      <c r="BO246" s="176"/>
    </row>
    <row r="247" spans="1:67" s="36" customFormat="1" ht="10.5" customHeight="1" x14ac:dyDescent="0.2">
      <c r="A247" s="1055"/>
      <c r="B247" s="2594"/>
      <c r="C247" s="2595"/>
      <c r="D247" s="2596"/>
      <c r="E247" s="2395"/>
      <c r="F247" s="2396"/>
      <c r="G247" s="2590"/>
      <c r="H247" s="2591"/>
      <c r="I247" s="1081">
        <f t="shared" si="56"/>
        <v>0</v>
      </c>
      <c r="J247" s="1082">
        <f t="shared" si="57"/>
        <v>0</v>
      </c>
      <c r="K247" s="2588"/>
      <c r="L247" s="2589"/>
      <c r="M247" s="1086">
        <f t="shared" si="58"/>
        <v>0</v>
      </c>
      <c r="N247" s="506"/>
      <c r="O247" s="365">
        <f t="shared" si="59"/>
        <v>0</v>
      </c>
      <c r="P247" s="366"/>
      <c r="Q247" s="135"/>
      <c r="R247" s="136"/>
      <c r="S247" s="129"/>
      <c r="T247" s="129"/>
      <c r="U247" s="129"/>
      <c r="V247" s="129"/>
      <c r="W247" s="129"/>
      <c r="X247" s="129"/>
      <c r="Y247" s="129"/>
      <c r="Z247" s="133"/>
      <c r="AA247" s="133"/>
      <c r="AB247" s="133"/>
      <c r="AC247" s="133"/>
      <c r="AD247" s="133"/>
      <c r="AE247" s="133"/>
      <c r="AF247" s="222"/>
      <c r="AG247" s="222"/>
      <c r="AH247" s="222"/>
      <c r="AI247" s="176"/>
      <c r="AJ247" s="176"/>
      <c r="AK247" s="176"/>
      <c r="AL247" s="176"/>
      <c r="AM247" s="176"/>
      <c r="AN247" s="176"/>
      <c r="AO247" s="176"/>
      <c r="AP247" s="176"/>
      <c r="AQ247" s="176"/>
      <c r="AR247" s="176"/>
      <c r="AS247" s="176"/>
      <c r="AT247" s="176"/>
      <c r="AU247" s="176"/>
      <c r="AV247" s="176"/>
      <c r="AW247" s="176"/>
      <c r="AX247" s="176"/>
      <c r="AY247" s="176"/>
      <c r="AZ247" s="176"/>
      <c r="BA247" s="176"/>
      <c r="BB247" s="176"/>
      <c r="BC247" s="176"/>
      <c r="BD247" s="176"/>
      <c r="BE247" s="176"/>
      <c r="BF247" s="176"/>
      <c r="BG247" s="176"/>
      <c r="BH247" s="176"/>
      <c r="BI247" s="176"/>
      <c r="BJ247" s="176"/>
      <c r="BK247" s="176"/>
      <c r="BL247" s="176"/>
      <c r="BM247" s="176"/>
      <c r="BN247" s="176"/>
      <c r="BO247" s="176"/>
    </row>
    <row r="248" spans="1:67" s="36" customFormat="1" ht="10.5" customHeight="1" x14ac:dyDescent="0.2">
      <c r="A248" s="1055"/>
      <c r="B248" s="2594"/>
      <c r="C248" s="2595"/>
      <c r="D248" s="2596"/>
      <c r="E248" s="2395"/>
      <c r="F248" s="2396"/>
      <c r="G248" s="2590"/>
      <c r="H248" s="2591"/>
      <c r="I248" s="1081">
        <f t="shared" si="56"/>
        <v>0</v>
      </c>
      <c r="J248" s="1082">
        <f t="shared" si="57"/>
        <v>0</v>
      </c>
      <c r="K248" s="2588"/>
      <c r="L248" s="2589"/>
      <c r="M248" s="1086">
        <f t="shared" si="58"/>
        <v>0</v>
      </c>
      <c r="N248" s="506"/>
      <c r="O248" s="365">
        <f t="shared" si="59"/>
        <v>0</v>
      </c>
      <c r="P248" s="366"/>
      <c r="Q248" s="135"/>
      <c r="R248" s="136"/>
      <c r="S248" s="129"/>
      <c r="T248" s="129"/>
      <c r="U248" s="129"/>
      <c r="V248" s="129"/>
      <c r="W248" s="129"/>
      <c r="X248" s="129"/>
      <c r="Y248" s="129"/>
      <c r="Z248" s="133"/>
      <c r="AA248" s="133"/>
      <c r="AB248" s="133"/>
      <c r="AC248" s="133"/>
      <c r="AD248" s="133"/>
      <c r="AE248" s="133"/>
      <c r="AF248" s="222"/>
      <c r="AG248" s="222"/>
      <c r="AH248" s="222"/>
      <c r="AI248" s="176"/>
      <c r="AJ248" s="176"/>
      <c r="AK248" s="176"/>
      <c r="AL248" s="176"/>
      <c r="AM248" s="176"/>
      <c r="AN248" s="176"/>
      <c r="AO248" s="176"/>
      <c r="AP248" s="176"/>
      <c r="AQ248" s="176"/>
      <c r="AR248" s="176"/>
      <c r="AS248" s="176"/>
      <c r="AT248" s="176"/>
      <c r="AU248" s="176"/>
      <c r="AV248" s="176"/>
      <c r="AW248" s="176"/>
      <c r="AX248" s="176"/>
      <c r="AY248" s="176"/>
      <c r="AZ248" s="176"/>
      <c r="BA248" s="176"/>
      <c r="BB248" s="176"/>
      <c r="BC248" s="176"/>
      <c r="BD248" s="176"/>
      <c r="BE248" s="176"/>
      <c r="BF248" s="176"/>
      <c r="BG248" s="176"/>
      <c r="BH248" s="176"/>
      <c r="BI248" s="176"/>
      <c r="BJ248" s="176"/>
      <c r="BK248" s="176"/>
      <c r="BL248" s="176"/>
      <c r="BM248" s="176"/>
      <c r="BN248" s="176"/>
      <c r="BO248" s="176"/>
    </row>
    <row r="249" spans="1:67" s="36" customFormat="1" ht="10.5" customHeight="1" x14ac:dyDescent="0.2">
      <c r="A249" s="1055"/>
      <c r="B249" s="2594"/>
      <c r="C249" s="2595"/>
      <c r="D249" s="2596"/>
      <c r="E249" s="2395"/>
      <c r="F249" s="2396"/>
      <c r="G249" s="2590"/>
      <c r="H249" s="2591"/>
      <c r="I249" s="1081">
        <f t="shared" si="56"/>
        <v>0</v>
      </c>
      <c r="J249" s="1082">
        <f t="shared" si="57"/>
        <v>0</v>
      </c>
      <c r="K249" s="2588"/>
      <c r="L249" s="2589"/>
      <c r="M249" s="1086">
        <f t="shared" si="58"/>
        <v>0</v>
      </c>
      <c r="N249" s="506"/>
      <c r="O249" s="365">
        <f t="shared" si="59"/>
        <v>0</v>
      </c>
      <c r="P249" s="366"/>
      <c r="Q249" s="135"/>
      <c r="R249" s="136"/>
      <c r="S249" s="129"/>
      <c r="T249" s="129"/>
      <c r="U249" s="129"/>
      <c r="V249" s="129"/>
      <c r="W249" s="129"/>
      <c r="X249" s="129"/>
      <c r="Y249" s="129"/>
      <c r="Z249" s="133"/>
      <c r="AA249" s="133"/>
      <c r="AB249" s="133"/>
      <c r="AC249" s="133"/>
      <c r="AD249" s="133"/>
      <c r="AE249" s="133"/>
      <c r="AF249" s="222"/>
      <c r="AG249" s="222"/>
      <c r="AH249" s="222"/>
      <c r="AI249" s="176"/>
      <c r="AJ249" s="176"/>
      <c r="AK249" s="176"/>
      <c r="AL249" s="176"/>
      <c r="AM249" s="176"/>
      <c r="AN249" s="176"/>
      <c r="AO249" s="176"/>
      <c r="AP249" s="176"/>
      <c r="AQ249" s="176"/>
      <c r="AR249" s="176"/>
      <c r="AS249" s="176"/>
      <c r="AT249" s="176"/>
      <c r="AU249" s="176"/>
      <c r="AV249" s="176"/>
      <c r="AW249" s="176"/>
      <c r="AX249" s="176"/>
      <c r="AY249" s="176"/>
      <c r="AZ249" s="176"/>
      <c r="BA249" s="176"/>
      <c r="BB249" s="176"/>
      <c r="BC249" s="176"/>
      <c r="BD249" s="176"/>
      <c r="BE249" s="176"/>
      <c r="BF249" s="176"/>
      <c r="BG249" s="176"/>
      <c r="BH249" s="176"/>
      <c r="BI249" s="176"/>
      <c r="BJ249" s="176"/>
      <c r="BK249" s="176"/>
      <c r="BL249" s="176"/>
      <c r="BM249" s="176"/>
      <c r="BN249" s="176"/>
      <c r="BO249" s="176"/>
    </row>
    <row r="250" spans="1:67" s="36" customFormat="1" ht="10.5" customHeight="1" x14ac:dyDescent="0.2">
      <c r="A250" s="1055"/>
      <c r="B250" s="2594"/>
      <c r="C250" s="2595"/>
      <c r="D250" s="2596"/>
      <c r="E250" s="2395"/>
      <c r="F250" s="2396"/>
      <c r="G250" s="2590"/>
      <c r="H250" s="2591"/>
      <c r="I250" s="1081">
        <f t="shared" si="56"/>
        <v>0</v>
      </c>
      <c r="J250" s="1082">
        <f t="shared" si="57"/>
        <v>0</v>
      </c>
      <c r="K250" s="2588"/>
      <c r="L250" s="2589"/>
      <c r="M250" s="1086">
        <f t="shared" si="58"/>
        <v>0</v>
      </c>
      <c r="N250" s="506"/>
      <c r="O250" s="365">
        <f t="shared" si="59"/>
        <v>0</v>
      </c>
      <c r="P250" s="366"/>
      <c r="Q250" s="135"/>
      <c r="R250" s="136"/>
      <c r="S250" s="129"/>
      <c r="T250" s="129"/>
      <c r="U250" s="129"/>
      <c r="V250" s="129"/>
      <c r="W250" s="129"/>
      <c r="X250" s="129"/>
      <c r="Y250" s="129"/>
      <c r="Z250" s="133"/>
      <c r="AA250" s="133"/>
      <c r="AB250" s="133"/>
      <c r="AC250" s="133"/>
      <c r="AD250" s="133"/>
      <c r="AE250" s="133"/>
      <c r="AF250" s="222"/>
      <c r="AG250" s="222"/>
      <c r="AH250" s="222"/>
      <c r="AI250" s="176"/>
      <c r="AJ250" s="176"/>
      <c r="AK250" s="176"/>
      <c r="AL250" s="176"/>
      <c r="AM250" s="176"/>
      <c r="AN250" s="176"/>
      <c r="AO250" s="176"/>
      <c r="AP250" s="176"/>
      <c r="AQ250" s="176"/>
      <c r="AR250" s="176"/>
      <c r="AS250" s="176"/>
      <c r="AT250" s="176"/>
      <c r="AU250" s="176"/>
      <c r="AV250" s="176"/>
      <c r="AW250" s="176"/>
      <c r="AX250" s="176"/>
      <c r="AY250" s="176"/>
      <c r="AZ250" s="176"/>
      <c r="BA250" s="176"/>
      <c r="BB250" s="176"/>
      <c r="BC250" s="176"/>
      <c r="BD250" s="176"/>
      <c r="BE250" s="176"/>
      <c r="BF250" s="176"/>
      <c r="BG250" s="176"/>
      <c r="BH250" s="176"/>
      <c r="BI250" s="176"/>
      <c r="BJ250" s="176"/>
      <c r="BK250" s="176"/>
      <c r="BL250" s="176"/>
      <c r="BM250" s="176"/>
      <c r="BN250" s="176"/>
      <c r="BO250" s="176"/>
    </row>
    <row r="251" spans="1:67" s="36" customFormat="1" ht="10.5" customHeight="1" x14ac:dyDescent="0.2">
      <c r="A251" s="1348"/>
      <c r="B251" s="2690"/>
      <c r="C251" s="2691"/>
      <c r="D251" s="2692"/>
      <c r="E251" s="2601"/>
      <c r="F251" s="2602"/>
      <c r="G251" s="1088"/>
      <c r="H251" s="1089"/>
      <c r="I251" s="1083">
        <f t="shared" si="56"/>
        <v>0</v>
      </c>
      <c r="J251" s="1084"/>
      <c r="K251" s="1087"/>
      <c r="L251" s="1307"/>
      <c r="M251" s="1317">
        <f t="shared" si="58"/>
        <v>0</v>
      </c>
      <c r="N251" s="506"/>
      <c r="O251" s="365">
        <f t="shared" si="59"/>
        <v>0</v>
      </c>
      <c r="P251" s="366"/>
      <c r="Q251" s="135"/>
      <c r="R251" s="136"/>
      <c r="S251" s="129"/>
      <c r="T251" s="129"/>
      <c r="U251" s="129"/>
      <c r="V251" s="129"/>
      <c r="W251" s="129"/>
      <c r="X251" s="129"/>
      <c r="Y251" s="129"/>
      <c r="Z251" s="133"/>
      <c r="AA251" s="133"/>
      <c r="AB251" s="133"/>
      <c r="AC251" s="133"/>
      <c r="AD251" s="133"/>
      <c r="AE251" s="133"/>
      <c r="AF251" s="222"/>
      <c r="AG251" s="222"/>
      <c r="AH251" s="222"/>
      <c r="AI251" s="176"/>
      <c r="AJ251" s="176"/>
      <c r="AK251" s="176"/>
      <c r="AL251" s="176"/>
      <c r="AM251" s="176"/>
      <c r="AN251" s="176"/>
      <c r="AO251" s="176"/>
      <c r="AP251" s="176"/>
      <c r="AQ251" s="176"/>
      <c r="AR251" s="176"/>
      <c r="AS251" s="176"/>
      <c r="AT251" s="176"/>
      <c r="AU251" s="176"/>
      <c r="AV251" s="176"/>
      <c r="AW251" s="176"/>
      <c r="AX251" s="176"/>
      <c r="AY251" s="176"/>
      <c r="AZ251" s="176"/>
      <c r="BA251" s="176"/>
      <c r="BB251" s="176"/>
      <c r="BC251" s="176"/>
      <c r="BD251" s="176"/>
      <c r="BE251" s="176"/>
      <c r="BF251" s="176"/>
      <c r="BG251" s="176"/>
      <c r="BH251" s="176"/>
      <c r="BI251" s="176"/>
      <c r="BJ251" s="176"/>
      <c r="BK251" s="176"/>
      <c r="BL251" s="176"/>
      <c r="BM251" s="176"/>
      <c r="BN251" s="176"/>
      <c r="BO251" s="176"/>
    </row>
    <row r="252" spans="1:67" s="36" customFormat="1" ht="10.5" customHeight="1" x14ac:dyDescent="0.2">
      <c r="A252" s="1115" t="s">
        <v>341</v>
      </c>
      <c r="B252" s="2611"/>
      <c r="C252" s="2612"/>
      <c r="D252" s="2613"/>
      <c r="E252" s="2676">
        <f>SUM(E253:E265)</f>
        <v>0</v>
      </c>
      <c r="F252" s="2677"/>
      <c r="G252" s="2678"/>
      <c r="H252" s="2679"/>
      <c r="I252" s="1116">
        <f>IF(E252=0,0,J252/E252)</f>
        <v>0</v>
      </c>
      <c r="J252" s="1117">
        <f>SUM(J253:J265)</f>
        <v>0</v>
      </c>
      <c r="K252" s="2686">
        <f>IF(E252=0,0,M252/E252*100)</f>
        <v>0</v>
      </c>
      <c r="L252" s="2687"/>
      <c r="M252" s="1118">
        <f>SUM(M253:M265)</f>
        <v>0</v>
      </c>
      <c r="N252" s="506"/>
      <c r="O252" s="178">
        <f>IF(H252="",G252,H252)</f>
        <v>0</v>
      </c>
      <c r="P252" s="366"/>
      <c r="Q252" s="135"/>
      <c r="R252" s="136"/>
      <c r="S252" s="129"/>
      <c r="T252" s="129"/>
      <c r="U252" s="129"/>
      <c r="V252" s="129"/>
      <c r="W252" s="129"/>
      <c r="X252" s="129"/>
      <c r="Y252" s="129"/>
      <c r="Z252" s="133"/>
      <c r="AA252" s="133"/>
      <c r="AB252" s="133"/>
      <c r="AC252" s="133"/>
      <c r="AD252" s="133"/>
      <c r="AE252" s="133"/>
      <c r="AF252" s="222"/>
      <c r="AG252" s="222"/>
      <c r="AH252" s="222"/>
      <c r="AI252" s="176"/>
      <c r="AJ252" s="176"/>
      <c r="AK252" s="176"/>
      <c r="AL252" s="176"/>
      <c r="AM252" s="176"/>
      <c r="AN252" s="176"/>
      <c r="AO252" s="176"/>
      <c r="AP252" s="176"/>
      <c r="AQ252" s="176"/>
      <c r="AR252" s="176"/>
      <c r="AS252" s="176"/>
      <c r="AT252" s="176"/>
      <c r="AU252" s="176"/>
      <c r="AV252" s="176"/>
      <c r="AW252" s="176"/>
      <c r="AX252" s="176"/>
      <c r="AY252" s="176"/>
      <c r="AZ252" s="176"/>
      <c r="BA252" s="176"/>
      <c r="BB252" s="176"/>
      <c r="BC252" s="176"/>
      <c r="BD252" s="176"/>
      <c r="BE252" s="176"/>
      <c r="BF252" s="176"/>
      <c r="BG252" s="176"/>
      <c r="BH252" s="176"/>
      <c r="BI252" s="176"/>
      <c r="BJ252" s="176"/>
      <c r="BK252" s="176"/>
      <c r="BL252" s="176"/>
      <c r="BM252" s="176"/>
      <c r="BN252" s="176"/>
      <c r="BO252" s="176"/>
    </row>
    <row r="253" spans="1:67" s="36" customFormat="1" ht="10.5" customHeight="1" x14ac:dyDescent="0.2">
      <c r="A253" s="1359" t="s">
        <v>342</v>
      </c>
      <c r="B253" s="2743"/>
      <c r="C253" s="2744"/>
      <c r="D253" s="2745"/>
      <c r="E253" s="2746"/>
      <c r="F253" s="2788"/>
      <c r="G253" s="1056">
        <v>15</v>
      </c>
      <c r="H253" s="1057"/>
      <c r="I253" s="1079">
        <f t="shared" ref="I253:I266" si="60">IF($O253&gt;0,-PMT(($I$9),$O253,1),0)</f>
        <v>7.9288524964265278E-2</v>
      </c>
      <c r="J253" s="1080">
        <f t="shared" ref="J253:J265" si="61">ROUND(E253*I253,0)</f>
        <v>0</v>
      </c>
      <c r="K253" s="1060">
        <v>1.5</v>
      </c>
      <c r="L253" s="1304"/>
      <c r="M253" s="1085">
        <f t="shared" ref="M253:M266" si="62">ROUND(E253/100*IF(ISBLANK(L253),K253,L253),0)</f>
        <v>0</v>
      </c>
      <c r="N253" s="506"/>
      <c r="O253" s="365">
        <f t="shared" ref="O253:O266" si="63">IF(ISBLANK(H253),G253,H253)</f>
        <v>15</v>
      </c>
      <c r="P253" s="366"/>
      <c r="Q253" s="135"/>
      <c r="R253" s="136"/>
      <c r="S253" s="129"/>
      <c r="T253" s="129"/>
      <c r="U253" s="129"/>
      <c r="V253" s="129"/>
      <c r="W253" s="129"/>
      <c r="X253" s="129"/>
      <c r="Y253" s="129"/>
      <c r="Z253" s="133"/>
      <c r="AA253" s="133"/>
      <c r="AB253" s="133"/>
      <c r="AC253" s="133"/>
      <c r="AD253" s="133"/>
      <c r="AE253" s="133"/>
      <c r="AF253" s="222"/>
      <c r="AG253" s="222"/>
      <c r="AH253" s="222"/>
      <c r="AI253" s="176"/>
      <c r="AJ253" s="176"/>
      <c r="AK253" s="176"/>
      <c r="AL253" s="176"/>
      <c r="AM253" s="176"/>
      <c r="AN253" s="176"/>
      <c r="AO253" s="176"/>
      <c r="AP253" s="176"/>
      <c r="AQ253" s="176"/>
      <c r="AR253" s="176"/>
      <c r="AS253" s="176"/>
      <c r="AT253" s="176"/>
      <c r="AU253" s="176"/>
      <c r="AV253" s="176"/>
      <c r="AW253" s="176"/>
      <c r="AX253" s="176"/>
      <c r="AY253" s="176"/>
      <c r="AZ253" s="176"/>
      <c r="BA253" s="176"/>
      <c r="BB253" s="176"/>
      <c r="BC253" s="176"/>
      <c r="BD253" s="176"/>
      <c r="BE253" s="176"/>
      <c r="BF253" s="176"/>
      <c r="BG253" s="176"/>
      <c r="BH253" s="176"/>
      <c r="BI253" s="176"/>
      <c r="BJ253" s="176"/>
      <c r="BK253" s="176"/>
      <c r="BL253" s="176"/>
      <c r="BM253" s="176"/>
      <c r="BN253" s="176"/>
      <c r="BO253" s="176"/>
    </row>
    <row r="254" spans="1:67" s="36" customFormat="1" ht="10.5" customHeight="1" x14ac:dyDescent="0.2">
      <c r="A254" s="1043" t="s">
        <v>343</v>
      </c>
      <c r="B254" s="2594"/>
      <c r="C254" s="2595"/>
      <c r="D254" s="2596"/>
      <c r="E254" s="2395"/>
      <c r="F254" s="2789"/>
      <c r="G254" s="1058">
        <v>15</v>
      </c>
      <c r="H254" s="1059"/>
      <c r="I254" s="1081">
        <f t="shared" si="60"/>
        <v>7.9288524964265278E-2</v>
      </c>
      <c r="J254" s="1082">
        <f t="shared" si="61"/>
        <v>0</v>
      </c>
      <c r="K254" s="1061">
        <v>1</v>
      </c>
      <c r="L254" s="1305"/>
      <c r="M254" s="1086">
        <f t="shared" si="62"/>
        <v>0</v>
      </c>
      <c r="N254" s="506"/>
      <c r="O254" s="365">
        <f t="shared" si="63"/>
        <v>15</v>
      </c>
      <c r="P254" s="366"/>
      <c r="Q254" s="135"/>
      <c r="R254" s="136"/>
      <c r="S254" s="129"/>
      <c r="T254" s="129"/>
      <c r="U254" s="129"/>
      <c r="V254" s="129"/>
      <c r="W254" s="129"/>
      <c r="X254" s="129"/>
      <c r="Y254" s="129"/>
      <c r="Z254" s="133"/>
      <c r="AA254" s="133"/>
      <c r="AB254" s="133"/>
      <c r="AC254" s="133"/>
      <c r="AD254" s="133"/>
      <c r="AE254" s="133"/>
      <c r="AF254" s="222"/>
      <c r="AG254" s="222"/>
      <c r="AH254" s="222"/>
      <c r="AI254" s="176"/>
      <c r="AJ254" s="176"/>
      <c r="AK254" s="176"/>
      <c r="AL254" s="176"/>
      <c r="AM254" s="176"/>
      <c r="AN254" s="176"/>
      <c r="AO254" s="176"/>
      <c r="AP254" s="176"/>
      <c r="AQ254" s="176"/>
      <c r="AR254" s="176"/>
      <c r="AS254" s="176"/>
      <c r="AT254" s="176"/>
      <c r="AU254" s="176"/>
      <c r="AV254" s="176"/>
      <c r="AW254" s="176"/>
      <c r="AX254" s="176"/>
      <c r="AY254" s="176"/>
      <c r="AZ254" s="176"/>
      <c r="BA254" s="176"/>
      <c r="BB254" s="176"/>
      <c r="BC254" s="176"/>
      <c r="BD254" s="176"/>
      <c r="BE254" s="176"/>
      <c r="BF254" s="176"/>
      <c r="BG254" s="176"/>
      <c r="BH254" s="176"/>
      <c r="BI254" s="176"/>
      <c r="BJ254" s="176"/>
      <c r="BK254" s="176"/>
      <c r="BL254" s="176"/>
      <c r="BM254" s="176"/>
      <c r="BN254" s="176"/>
      <c r="BO254" s="176"/>
    </row>
    <row r="255" spans="1:67" s="36" customFormat="1" ht="10.5" customHeight="1" x14ac:dyDescent="0.2">
      <c r="A255" s="1043" t="s">
        <v>344</v>
      </c>
      <c r="B255" s="2594"/>
      <c r="C255" s="2595"/>
      <c r="D255" s="2596"/>
      <c r="E255" s="2395"/>
      <c r="F255" s="2789"/>
      <c r="G255" s="1058">
        <v>15</v>
      </c>
      <c r="H255" s="1059"/>
      <c r="I255" s="1081">
        <f t="shared" si="60"/>
        <v>7.9288524964265278E-2</v>
      </c>
      <c r="J255" s="1082">
        <f t="shared" si="61"/>
        <v>0</v>
      </c>
      <c r="K255" s="1061">
        <v>1.5</v>
      </c>
      <c r="L255" s="1305"/>
      <c r="M255" s="1086">
        <f t="shared" si="62"/>
        <v>0</v>
      </c>
      <c r="N255" s="506"/>
      <c r="O255" s="365">
        <f t="shared" si="63"/>
        <v>15</v>
      </c>
      <c r="P255" s="366"/>
      <c r="Q255" s="135"/>
      <c r="R255" s="136"/>
      <c r="S255" s="129"/>
      <c r="T255" s="129"/>
      <c r="U255" s="129"/>
      <c r="V255" s="129"/>
      <c r="W255" s="129"/>
      <c r="X255" s="129"/>
      <c r="Y255" s="129"/>
      <c r="Z255" s="133"/>
      <c r="AA255" s="133"/>
      <c r="AB255" s="133"/>
      <c r="AC255" s="133"/>
      <c r="AD255" s="133"/>
      <c r="AE255" s="133"/>
      <c r="AF255" s="222"/>
      <c r="AG255" s="222"/>
      <c r="AH255" s="222"/>
      <c r="AI255" s="176"/>
      <c r="AJ255" s="176"/>
      <c r="AK255" s="176"/>
      <c r="AL255" s="176"/>
      <c r="AM255" s="176"/>
      <c r="AN255" s="176"/>
      <c r="AO255" s="176"/>
      <c r="AP255" s="176"/>
      <c r="AQ255" s="176"/>
      <c r="AR255" s="176"/>
      <c r="AS255" s="176"/>
      <c r="AT255" s="176"/>
      <c r="AU255" s="176"/>
      <c r="AV255" s="176"/>
      <c r="AW255" s="176"/>
      <c r="AX255" s="176"/>
      <c r="AY255" s="176"/>
      <c r="AZ255" s="176"/>
      <c r="BA255" s="176"/>
      <c r="BB255" s="176"/>
      <c r="BC255" s="176"/>
      <c r="BD255" s="176"/>
      <c r="BE255" s="176"/>
      <c r="BF255" s="176"/>
      <c r="BG255" s="176"/>
      <c r="BH255" s="176"/>
      <c r="BI255" s="176"/>
      <c r="BJ255" s="176"/>
      <c r="BK255" s="176"/>
      <c r="BL255" s="176"/>
      <c r="BM255" s="176"/>
      <c r="BN255" s="176"/>
      <c r="BO255" s="176"/>
    </row>
    <row r="256" spans="1:67" s="36" customFormat="1" ht="10.5" customHeight="1" x14ac:dyDescent="0.2">
      <c r="A256" s="1043" t="s">
        <v>345</v>
      </c>
      <c r="B256" s="2594"/>
      <c r="C256" s="2595"/>
      <c r="D256" s="2596"/>
      <c r="E256" s="2395"/>
      <c r="F256" s="2789"/>
      <c r="G256" s="1058">
        <v>15</v>
      </c>
      <c r="H256" s="1059"/>
      <c r="I256" s="1081">
        <f t="shared" si="60"/>
        <v>7.9288524964265278E-2</v>
      </c>
      <c r="J256" s="1082">
        <f t="shared" si="61"/>
        <v>0</v>
      </c>
      <c r="K256" s="1061">
        <v>0</v>
      </c>
      <c r="L256" s="1305"/>
      <c r="M256" s="1086">
        <f t="shared" si="62"/>
        <v>0</v>
      </c>
      <c r="N256" s="506"/>
      <c r="O256" s="365">
        <f t="shared" si="63"/>
        <v>15</v>
      </c>
      <c r="P256" s="366"/>
      <c r="Q256" s="135"/>
      <c r="R256" s="136"/>
      <c r="S256" s="129"/>
      <c r="T256" s="129"/>
      <c r="U256" s="129"/>
      <c r="V256" s="129"/>
      <c r="W256" s="129"/>
      <c r="X256" s="129"/>
      <c r="Y256" s="129"/>
      <c r="Z256" s="133"/>
      <c r="AA256" s="133"/>
      <c r="AB256" s="133"/>
      <c r="AC256" s="133"/>
      <c r="AD256" s="133"/>
      <c r="AE256" s="133"/>
      <c r="AF256" s="222"/>
      <c r="AG256" s="222"/>
      <c r="AH256" s="222"/>
      <c r="AI256" s="176"/>
      <c r="AJ256" s="176"/>
      <c r="AK256" s="176"/>
      <c r="AL256" s="176"/>
      <c r="AM256" s="176"/>
      <c r="AN256" s="176"/>
      <c r="AO256" s="176"/>
      <c r="AP256" s="176"/>
      <c r="AQ256" s="176"/>
      <c r="AR256" s="176"/>
      <c r="AS256" s="176"/>
      <c r="AT256" s="176"/>
      <c r="AU256" s="176"/>
      <c r="AV256" s="176"/>
      <c r="AW256" s="176"/>
      <c r="AX256" s="176"/>
      <c r="AY256" s="176"/>
      <c r="AZ256" s="176"/>
      <c r="BA256" s="176"/>
      <c r="BB256" s="176"/>
      <c r="BC256" s="176"/>
      <c r="BD256" s="176"/>
      <c r="BE256" s="176"/>
      <c r="BF256" s="176"/>
      <c r="BG256" s="176"/>
      <c r="BH256" s="176"/>
      <c r="BI256" s="176"/>
      <c r="BJ256" s="176"/>
      <c r="BK256" s="176"/>
      <c r="BL256" s="176"/>
      <c r="BM256" s="176"/>
      <c r="BN256" s="176"/>
      <c r="BO256" s="176"/>
    </row>
    <row r="257" spans="1:67" s="36" customFormat="1" ht="10.5" customHeight="1" x14ac:dyDescent="0.2">
      <c r="A257" s="1055"/>
      <c r="B257" s="2594"/>
      <c r="C257" s="2595"/>
      <c r="D257" s="2596"/>
      <c r="E257" s="2395"/>
      <c r="F257" s="2396"/>
      <c r="G257" s="2590"/>
      <c r="H257" s="2591"/>
      <c r="I257" s="1081">
        <f t="shared" si="60"/>
        <v>0</v>
      </c>
      <c r="J257" s="1082">
        <f t="shared" si="61"/>
        <v>0</v>
      </c>
      <c r="K257" s="2588"/>
      <c r="L257" s="2589"/>
      <c r="M257" s="1086">
        <f t="shared" si="62"/>
        <v>0</v>
      </c>
      <c r="N257" s="506"/>
      <c r="O257" s="365">
        <f t="shared" si="63"/>
        <v>0</v>
      </c>
      <c r="P257" s="366"/>
      <c r="Q257" s="135"/>
      <c r="R257" s="136"/>
      <c r="S257" s="129"/>
      <c r="T257" s="129"/>
      <c r="U257" s="129"/>
      <c r="V257" s="129"/>
      <c r="W257" s="129"/>
      <c r="X257" s="129"/>
      <c r="Y257" s="129"/>
      <c r="Z257" s="133"/>
      <c r="AA257" s="133"/>
      <c r="AB257" s="133"/>
      <c r="AC257" s="133"/>
      <c r="AD257" s="133"/>
      <c r="AE257" s="133"/>
      <c r="AF257" s="222"/>
      <c r="AG257" s="222"/>
      <c r="AH257" s="222"/>
      <c r="AI257" s="176"/>
      <c r="AJ257" s="176"/>
      <c r="AK257" s="176"/>
      <c r="AL257" s="176"/>
      <c r="AM257" s="176"/>
      <c r="AN257" s="176"/>
      <c r="AO257" s="176"/>
      <c r="AP257" s="176"/>
      <c r="AQ257" s="176"/>
      <c r="AR257" s="176"/>
      <c r="AS257" s="176"/>
      <c r="AT257" s="176"/>
      <c r="AU257" s="176"/>
      <c r="AV257" s="176"/>
      <c r="AW257" s="176"/>
      <c r="AX257" s="176"/>
      <c r="AY257" s="176"/>
      <c r="AZ257" s="176"/>
      <c r="BA257" s="176"/>
      <c r="BB257" s="176"/>
      <c r="BC257" s="176"/>
      <c r="BD257" s="176"/>
      <c r="BE257" s="176"/>
      <c r="BF257" s="176"/>
      <c r="BG257" s="176"/>
      <c r="BH257" s="176"/>
      <c r="BI257" s="176"/>
      <c r="BJ257" s="176"/>
      <c r="BK257" s="176"/>
      <c r="BL257" s="176"/>
      <c r="BM257" s="176"/>
      <c r="BN257" s="176"/>
      <c r="BO257" s="176"/>
    </row>
    <row r="258" spans="1:67" s="36" customFormat="1" ht="10.5" customHeight="1" x14ac:dyDescent="0.2">
      <c r="A258" s="1055"/>
      <c r="B258" s="2594"/>
      <c r="C258" s="2595"/>
      <c r="D258" s="2596"/>
      <c r="E258" s="2395"/>
      <c r="F258" s="2396"/>
      <c r="G258" s="2590"/>
      <c r="H258" s="2591"/>
      <c r="I258" s="1081">
        <f t="shared" si="60"/>
        <v>0</v>
      </c>
      <c r="J258" s="1082">
        <f t="shared" si="61"/>
        <v>0</v>
      </c>
      <c r="K258" s="2588"/>
      <c r="L258" s="2589"/>
      <c r="M258" s="1086">
        <f t="shared" si="62"/>
        <v>0</v>
      </c>
      <c r="N258" s="506"/>
      <c r="O258" s="365">
        <f t="shared" si="63"/>
        <v>0</v>
      </c>
      <c r="P258" s="366"/>
      <c r="Q258" s="135"/>
      <c r="R258" s="136"/>
      <c r="S258" s="129"/>
      <c r="T258" s="129"/>
      <c r="U258" s="129"/>
      <c r="V258" s="129"/>
      <c r="W258" s="129"/>
      <c r="X258" s="129"/>
      <c r="Y258" s="129"/>
      <c r="Z258" s="133"/>
      <c r="AA258" s="133"/>
      <c r="AB258" s="133"/>
      <c r="AC258" s="133"/>
      <c r="AD258" s="133"/>
      <c r="AE258" s="133"/>
      <c r="AF258" s="222"/>
      <c r="AG258" s="222"/>
      <c r="AH258" s="222"/>
      <c r="AI258" s="176"/>
      <c r="AJ258" s="176"/>
      <c r="AK258" s="176"/>
      <c r="AL258" s="176"/>
      <c r="AM258" s="176"/>
      <c r="AN258" s="176"/>
      <c r="AO258" s="176"/>
      <c r="AP258" s="176"/>
      <c r="AQ258" s="176"/>
      <c r="AR258" s="176"/>
      <c r="AS258" s="176"/>
      <c r="AT258" s="176"/>
      <c r="AU258" s="176"/>
      <c r="AV258" s="176"/>
      <c r="AW258" s="176"/>
      <c r="AX258" s="176"/>
      <c r="AY258" s="176"/>
      <c r="AZ258" s="176"/>
      <c r="BA258" s="176"/>
      <c r="BB258" s="176"/>
      <c r="BC258" s="176"/>
      <c r="BD258" s="176"/>
      <c r="BE258" s="176"/>
      <c r="BF258" s="176"/>
      <c r="BG258" s="176"/>
      <c r="BH258" s="176"/>
      <c r="BI258" s="176"/>
      <c r="BJ258" s="176"/>
      <c r="BK258" s="176"/>
      <c r="BL258" s="176"/>
      <c r="BM258" s="176"/>
      <c r="BN258" s="176"/>
      <c r="BO258" s="176"/>
    </row>
    <row r="259" spans="1:67" s="36" customFormat="1" ht="10.5" customHeight="1" x14ac:dyDescent="0.2">
      <c r="A259" s="1055"/>
      <c r="B259" s="2594"/>
      <c r="C259" s="2595"/>
      <c r="D259" s="2596"/>
      <c r="E259" s="2395"/>
      <c r="F259" s="2396"/>
      <c r="G259" s="2590"/>
      <c r="H259" s="2591"/>
      <c r="I259" s="1081">
        <f t="shared" si="60"/>
        <v>0</v>
      </c>
      <c r="J259" s="1082">
        <f t="shared" si="61"/>
        <v>0</v>
      </c>
      <c r="K259" s="2588"/>
      <c r="L259" s="2589"/>
      <c r="M259" s="1086">
        <f t="shared" si="62"/>
        <v>0</v>
      </c>
      <c r="N259" s="506"/>
      <c r="O259" s="365">
        <f t="shared" si="63"/>
        <v>0</v>
      </c>
      <c r="P259" s="366"/>
      <c r="Q259" s="135"/>
      <c r="R259" s="136"/>
      <c r="S259" s="129"/>
      <c r="T259" s="129"/>
      <c r="U259" s="129"/>
      <c r="V259" s="129"/>
      <c r="W259" s="129"/>
      <c r="X259" s="129"/>
      <c r="Y259" s="129"/>
      <c r="Z259" s="133"/>
      <c r="AA259" s="133"/>
      <c r="AB259" s="133"/>
      <c r="AC259" s="133"/>
      <c r="AD259" s="133"/>
      <c r="AE259" s="133"/>
      <c r="AF259" s="222"/>
      <c r="AG259" s="222"/>
      <c r="AH259" s="222"/>
      <c r="AI259" s="176"/>
      <c r="AJ259" s="176"/>
      <c r="AK259" s="176"/>
      <c r="AL259" s="176"/>
      <c r="AM259" s="176"/>
      <c r="AN259" s="176"/>
      <c r="AO259" s="176"/>
      <c r="AP259" s="176"/>
      <c r="AQ259" s="176"/>
      <c r="AR259" s="176"/>
      <c r="AS259" s="176"/>
      <c r="AT259" s="176"/>
      <c r="AU259" s="176"/>
      <c r="AV259" s="176"/>
      <c r="AW259" s="176"/>
      <c r="AX259" s="176"/>
      <c r="AY259" s="176"/>
      <c r="AZ259" s="176"/>
      <c r="BA259" s="176"/>
      <c r="BB259" s="176"/>
      <c r="BC259" s="176"/>
      <c r="BD259" s="176"/>
      <c r="BE259" s="176"/>
      <c r="BF259" s="176"/>
      <c r="BG259" s="176"/>
      <c r="BH259" s="176"/>
      <c r="BI259" s="176"/>
      <c r="BJ259" s="176"/>
      <c r="BK259" s="176"/>
      <c r="BL259" s="176"/>
      <c r="BM259" s="176"/>
      <c r="BN259" s="176"/>
      <c r="BO259" s="176"/>
    </row>
    <row r="260" spans="1:67" s="36" customFormat="1" ht="10.5" customHeight="1" x14ac:dyDescent="0.2">
      <c r="A260" s="1055"/>
      <c r="B260" s="2594"/>
      <c r="C260" s="2595"/>
      <c r="D260" s="2596"/>
      <c r="E260" s="2395"/>
      <c r="F260" s="2396"/>
      <c r="G260" s="2590"/>
      <c r="H260" s="2591"/>
      <c r="I260" s="1081">
        <f t="shared" si="60"/>
        <v>0</v>
      </c>
      <c r="J260" s="1082">
        <f t="shared" si="61"/>
        <v>0</v>
      </c>
      <c r="K260" s="2588"/>
      <c r="L260" s="2589"/>
      <c r="M260" s="1086">
        <f t="shared" si="62"/>
        <v>0</v>
      </c>
      <c r="N260" s="506"/>
      <c r="O260" s="365">
        <f t="shared" si="63"/>
        <v>0</v>
      </c>
      <c r="P260" s="366"/>
      <c r="Q260" s="135"/>
      <c r="R260" s="136"/>
      <c r="S260" s="129"/>
      <c r="T260" s="129"/>
      <c r="U260" s="129"/>
      <c r="V260" s="129"/>
      <c r="W260" s="129"/>
      <c r="X260" s="129"/>
      <c r="Y260" s="129"/>
      <c r="Z260" s="133"/>
      <c r="AA260" s="133"/>
      <c r="AB260" s="133"/>
      <c r="AC260" s="133"/>
      <c r="AD260" s="133"/>
      <c r="AE260" s="133"/>
      <c r="AF260" s="222"/>
      <c r="AG260" s="222"/>
      <c r="AH260" s="222"/>
      <c r="AI260" s="176"/>
      <c r="AJ260" s="176"/>
      <c r="AK260" s="176"/>
      <c r="AL260" s="176"/>
      <c r="AM260" s="176"/>
      <c r="AN260" s="176"/>
      <c r="AO260" s="176"/>
      <c r="AP260" s="176"/>
      <c r="AQ260" s="176"/>
      <c r="AR260" s="176"/>
      <c r="AS260" s="176"/>
      <c r="AT260" s="176"/>
      <c r="AU260" s="176"/>
      <c r="AV260" s="176"/>
      <c r="AW260" s="176"/>
      <c r="AX260" s="176"/>
      <c r="AY260" s="176"/>
      <c r="AZ260" s="176"/>
      <c r="BA260" s="176"/>
      <c r="BB260" s="176"/>
      <c r="BC260" s="176"/>
      <c r="BD260" s="176"/>
      <c r="BE260" s="176"/>
      <c r="BF260" s="176"/>
      <c r="BG260" s="176"/>
      <c r="BH260" s="176"/>
      <c r="BI260" s="176"/>
      <c r="BJ260" s="176"/>
      <c r="BK260" s="176"/>
      <c r="BL260" s="176"/>
      <c r="BM260" s="176"/>
      <c r="BN260" s="176"/>
      <c r="BO260" s="176"/>
    </row>
    <row r="261" spans="1:67" s="36" customFormat="1" ht="10.5" customHeight="1" x14ac:dyDescent="0.2">
      <c r="A261" s="1055"/>
      <c r="B261" s="2594"/>
      <c r="C261" s="2595"/>
      <c r="D261" s="2596"/>
      <c r="E261" s="2395"/>
      <c r="F261" s="2396"/>
      <c r="G261" s="2590"/>
      <c r="H261" s="2591"/>
      <c r="I261" s="1081">
        <f t="shared" si="60"/>
        <v>0</v>
      </c>
      <c r="J261" s="1082">
        <f t="shared" si="61"/>
        <v>0</v>
      </c>
      <c r="K261" s="2588"/>
      <c r="L261" s="2589"/>
      <c r="M261" s="1086">
        <f t="shared" si="62"/>
        <v>0</v>
      </c>
      <c r="N261" s="506"/>
      <c r="O261" s="365">
        <f t="shared" si="63"/>
        <v>0</v>
      </c>
      <c r="P261" s="366"/>
      <c r="Q261" s="135"/>
      <c r="R261" s="136"/>
      <c r="S261" s="129"/>
      <c r="T261" s="129"/>
      <c r="U261" s="129"/>
      <c r="V261" s="129"/>
      <c r="W261" s="129"/>
      <c r="X261" s="129"/>
      <c r="Y261" s="129"/>
      <c r="Z261" s="133"/>
      <c r="AA261" s="133"/>
      <c r="AB261" s="133"/>
      <c r="AC261" s="133"/>
      <c r="AD261" s="133"/>
      <c r="AE261" s="133"/>
      <c r="AF261" s="222"/>
      <c r="AG261" s="222"/>
      <c r="AH261" s="222"/>
      <c r="AI261" s="176"/>
      <c r="AJ261" s="176"/>
      <c r="AK261" s="176"/>
      <c r="AL261" s="176"/>
      <c r="AM261" s="176"/>
      <c r="AN261" s="176"/>
      <c r="AO261" s="176"/>
      <c r="AP261" s="176"/>
      <c r="AQ261" s="176"/>
      <c r="AR261" s="176"/>
      <c r="AS261" s="176"/>
      <c r="AT261" s="176"/>
      <c r="AU261" s="176"/>
      <c r="AV261" s="176"/>
      <c r="AW261" s="176"/>
      <c r="AX261" s="176"/>
      <c r="AY261" s="176"/>
      <c r="AZ261" s="176"/>
      <c r="BA261" s="176"/>
      <c r="BB261" s="176"/>
      <c r="BC261" s="176"/>
      <c r="BD261" s="176"/>
      <c r="BE261" s="176"/>
      <c r="BF261" s="176"/>
      <c r="BG261" s="176"/>
      <c r="BH261" s="176"/>
      <c r="BI261" s="176"/>
      <c r="BJ261" s="176"/>
      <c r="BK261" s="176"/>
      <c r="BL261" s="176"/>
      <c r="BM261" s="176"/>
      <c r="BN261" s="176"/>
      <c r="BO261" s="176"/>
    </row>
    <row r="262" spans="1:67" s="36" customFormat="1" ht="10.5" customHeight="1" x14ac:dyDescent="0.2">
      <c r="A262" s="1055"/>
      <c r="B262" s="2594"/>
      <c r="C262" s="2595"/>
      <c r="D262" s="2596"/>
      <c r="E262" s="2395"/>
      <c r="F262" s="2396"/>
      <c r="G262" s="2590"/>
      <c r="H262" s="2591"/>
      <c r="I262" s="1081">
        <f t="shared" si="60"/>
        <v>0</v>
      </c>
      <c r="J262" s="1082">
        <f t="shared" si="61"/>
        <v>0</v>
      </c>
      <c r="K262" s="2588"/>
      <c r="L262" s="2589"/>
      <c r="M262" s="1086">
        <f t="shared" si="62"/>
        <v>0</v>
      </c>
      <c r="N262" s="506"/>
      <c r="O262" s="365">
        <f t="shared" si="63"/>
        <v>0</v>
      </c>
      <c r="P262" s="366"/>
      <c r="Q262" s="135"/>
      <c r="R262" s="136"/>
      <c r="S262" s="129"/>
      <c r="T262" s="129"/>
      <c r="U262" s="129"/>
      <c r="V262" s="129"/>
      <c r="W262" s="129"/>
      <c r="X262" s="129"/>
      <c r="Y262" s="129"/>
      <c r="Z262" s="133"/>
      <c r="AA262" s="133"/>
      <c r="AB262" s="133"/>
      <c r="AC262" s="133"/>
      <c r="AD262" s="133"/>
      <c r="AE262" s="133"/>
      <c r="AF262" s="222"/>
      <c r="AG262" s="222"/>
      <c r="AH262" s="222"/>
      <c r="AI262" s="176"/>
      <c r="AJ262" s="176"/>
      <c r="AK262" s="176"/>
      <c r="AL262" s="176"/>
      <c r="AM262" s="176"/>
      <c r="AN262" s="176"/>
      <c r="AO262" s="176"/>
      <c r="AP262" s="176"/>
      <c r="AQ262" s="176"/>
      <c r="AR262" s="176"/>
      <c r="AS262" s="176"/>
      <c r="AT262" s="176"/>
      <c r="AU262" s="176"/>
      <c r="AV262" s="176"/>
      <c r="AW262" s="176"/>
      <c r="AX262" s="176"/>
      <c r="AY262" s="176"/>
      <c r="AZ262" s="176"/>
      <c r="BA262" s="176"/>
      <c r="BB262" s="176"/>
      <c r="BC262" s="176"/>
      <c r="BD262" s="176"/>
      <c r="BE262" s="176"/>
      <c r="BF262" s="176"/>
      <c r="BG262" s="176"/>
      <c r="BH262" s="176"/>
      <c r="BI262" s="176"/>
      <c r="BJ262" s="176"/>
      <c r="BK262" s="176"/>
      <c r="BL262" s="176"/>
      <c r="BM262" s="176"/>
      <c r="BN262" s="176"/>
      <c r="BO262" s="176"/>
    </row>
    <row r="263" spans="1:67" s="36" customFormat="1" ht="10.5" customHeight="1" x14ac:dyDescent="0.2">
      <c r="A263" s="1055"/>
      <c r="B263" s="2594"/>
      <c r="C263" s="2595"/>
      <c r="D263" s="2596"/>
      <c r="E263" s="2395"/>
      <c r="F263" s="2396"/>
      <c r="G263" s="2590"/>
      <c r="H263" s="2591"/>
      <c r="I263" s="1081">
        <f t="shared" si="60"/>
        <v>0</v>
      </c>
      <c r="J263" s="1082">
        <f t="shared" si="61"/>
        <v>0</v>
      </c>
      <c r="K263" s="2588"/>
      <c r="L263" s="2589"/>
      <c r="M263" s="1086">
        <f t="shared" si="62"/>
        <v>0</v>
      </c>
      <c r="N263" s="506"/>
      <c r="O263" s="365">
        <f t="shared" si="63"/>
        <v>0</v>
      </c>
      <c r="P263" s="366"/>
      <c r="Q263" s="135"/>
      <c r="R263" s="136"/>
      <c r="S263" s="129"/>
      <c r="T263" s="129"/>
      <c r="U263" s="129"/>
      <c r="V263" s="129"/>
      <c r="W263" s="129"/>
      <c r="X263" s="129"/>
      <c r="Y263" s="129"/>
      <c r="Z263" s="133"/>
      <c r="AA263" s="133"/>
      <c r="AB263" s="133"/>
      <c r="AC263" s="133"/>
      <c r="AD263" s="133"/>
      <c r="AE263" s="133"/>
      <c r="AF263" s="222"/>
      <c r="AG263" s="222"/>
      <c r="AH263" s="222"/>
      <c r="AI263" s="176"/>
      <c r="AJ263" s="176"/>
      <c r="AK263" s="176"/>
      <c r="AL263" s="176"/>
      <c r="AM263" s="176"/>
      <c r="AN263" s="176"/>
      <c r="AO263" s="176"/>
      <c r="AP263" s="176"/>
      <c r="AQ263" s="176"/>
      <c r="AR263" s="176"/>
      <c r="AS263" s="176"/>
      <c r="AT263" s="176"/>
      <c r="AU263" s="176"/>
      <c r="AV263" s="176"/>
      <c r="AW263" s="176"/>
      <c r="AX263" s="176"/>
      <c r="AY263" s="176"/>
      <c r="AZ263" s="176"/>
      <c r="BA263" s="176"/>
      <c r="BB263" s="176"/>
      <c r="BC263" s="176"/>
      <c r="BD263" s="176"/>
      <c r="BE263" s="176"/>
      <c r="BF263" s="176"/>
      <c r="BG263" s="176"/>
      <c r="BH263" s="176"/>
      <c r="BI263" s="176"/>
      <c r="BJ263" s="176"/>
      <c r="BK263" s="176"/>
      <c r="BL263" s="176"/>
      <c r="BM263" s="176"/>
      <c r="BN263" s="176"/>
      <c r="BO263" s="176"/>
    </row>
    <row r="264" spans="1:67" s="36" customFormat="1" ht="10.5" customHeight="1" x14ac:dyDescent="0.2">
      <c r="A264" s="1055"/>
      <c r="B264" s="2594"/>
      <c r="C264" s="2595"/>
      <c r="D264" s="2596"/>
      <c r="E264" s="2395"/>
      <c r="F264" s="2396"/>
      <c r="G264" s="2590"/>
      <c r="H264" s="2591"/>
      <c r="I264" s="1081">
        <f t="shared" si="60"/>
        <v>0</v>
      </c>
      <c r="J264" s="1082">
        <f t="shared" si="61"/>
        <v>0</v>
      </c>
      <c r="K264" s="2588"/>
      <c r="L264" s="2589"/>
      <c r="M264" s="1086">
        <f t="shared" si="62"/>
        <v>0</v>
      </c>
      <c r="N264" s="506"/>
      <c r="O264" s="365">
        <f t="shared" si="63"/>
        <v>0</v>
      </c>
      <c r="P264" s="366"/>
      <c r="Q264" s="135"/>
      <c r="R264" s="136"/>
      <c r="S264" s="129"/>
      <c r="T264" s="129"/>
      <c r="U264" s="129"/>
      <c r="V264" s="129"/>
      <c r="W264" s="129"/>
      <c r="X264" s="129"/>
      <c r="Y264" s="129"/>
      <c r="Z264" s="133"/>
      <c r="AA264" s="133"/>
      <c r="AB264" s="133"/>
      <c r="AC264" s="133"/>
      <c r="AD264" s="133"/>
      <c r="AE264" s="133"/>
      <c r="AF264" s="222"/>
      <c r="AG264" s="222"/>
      <c r="AH264" s="222"/>
      <c r="AI264" s="176"/>
      <c r="AJ264" s="176"/>
      <c r="AK264" s="176"/>
      <c r="AL264" s="176"/>
      <c r="AM264" s="176"/>
      <c r="AN264" s="176"/>
      <c r="AO264" s="176"/>
      <c r="AP264" s="176"/>
      <c r="AQ264" s="176"/>
      <c r="AR264" s="176"/>
      <c r="AS264" s="176"/>
      <c r="AT264" s="176"/>
      <c r="AU264" s="176"/>
      <c r="AV264" s="176"/>
      <c r="AW264" s="176"/>
      <c r="AX264" s="176"/>
      <c r="AY264" s="176"/>
      <c r="AZ264" s="176"/>
      <c r="BA264" s="176"/>
      <c r="BB264" s="176"/>
      <c r="BC264" s="176"/>
      <c r="BD264" s="176"/>
      <c r="BE264" s="176"/>
      <c r="BF264" s="176"/>
      <c r="BG264" s="176"/>
      <c r="BH264" s="176"/>
      <c r="BI264" s="176"/>
      <c r="BJ264" s="176"/>
      <c r="BK264" s="176"/>
      <c r="BL264" s="176"/>
      <c r="BM264" s="176"/>
      <c r="BN264" s="176"/>
      <c r="BO264" s="176"/>
    </row>
    <row r="265" spans="1:67" s="36" customFormat="1" ht="10.5" customHeight="1" x14ac:dyDescent="0.2">
      <c r="A265" s="1055"/>
      <c r="B265" s="2594"/>
      <c r="C265" s="2595"/>
      <c r="D265" s="2596"/>
      <c r="E265" s="2395"/>
      <c r="F265" s="2396"/>
      <c r="G265" s="2590"/>
      <c r="H265" s="2591"/>
      <c r="I265" s="1081">
        <f t="shared" si="60"/>
        <v>0</v>
      </c>
      <c r="J265" s="1082">
        <f t="shared" si="61"/>
        <v>0</v>
      </c>
      <c r="K265" s="2588"/>
      <c r="L265" s="2589"/>
      <c r="M265" s="1086">
        <f t="shared" si="62"/>
        <v>0</v>
      </c>
      <c r="N265" s="506"/>
      <c r="O265" s="365">
        <f t="shared" si="63"/>
        <v>0</v>
      </c>
      <c r="P265" s="366"/>
      <c r="Q265" s="135"/>
      <c r="R265" s="136"/>
      <c r="S265" s="129"/>
      <c r="T265" s="129"/>
      <c r="U265" s="129"/>
      <c r="V265" s="129"/>
      <c r="W265" s="129"/>
      <c r="X265" s="129"/>
      <c r="Y265" s="129"/>
      <c r="Z265" s="133"/>
      <c r="AA265" s="133"/>
      <c r="AB265" s="133"/>
      <c r="AC265" s="133"/>
      <c r="AD265" s="133"/>
      <c r="AE265" s="133"/>
      <c r="AF265" s="222"/>
      <c r="AG265" s="222"/>
      <c r="AH265" s="222"/>
      <c r="AI265" s="176"/>
      <c r="AJ265" s="176"/>
      <c r="AK265" s="176"/>
      <c r="AL265" s="176"/>
      <c r="AM265" s="176"/>
      <c r="AN265" s="176"/>
      <c r="AO265" s="176"/>
      <c r="AP265" s="176"/>
      <c r="AQ265" s="176"/>
      <c r="AR265" s="176"/>
      <c r="AS265" s="176"/>
      <c r="AT265" s="176"/>
      <c r="AU265" s="176"/>
      <c r="AV265" s="176"/>
      <c r="AW265" s="176"/>
      <c r="AX265" s="176"/>
      <c r="AY265" s="176"/>
      <c r="AZ265" s="176"/>
      <c r="BA265" s="176"/>
      <c r="BB265" s="176"/>
      <c r="BC265" s="176"/>
      <c r="BD265" s="176"/>
      <c r="BE265" s="176"/>
      <c r="BF265" s="176"/>
      <c r="BG265" s="176"/>
      <c r="BH265" s="176"/>
      <c r="BI265" s="176"/>
      <c r="BJ265" s="176"/>
      <c r="BK265" s="176"/>
      <c r="BL265" s="176"/>
      <c r="BM265" s="176"/>
      <c r="BN265" s="176"/>
      <c r="BO265" s="176"/>
    </row>
    <row r="266" spans="1:67" s="36" customFormat="1" ht="10.5" customHeight="1" x14ac:dyDescent="0.2">
      <c r="A266" s="1348"/>
      <c r="B266" s="2690"/>
      <c r="C266" s="2691"/>
      <c r="D266" s="2692"/>
      <c r="E266" s="2601"/>
      <c r="F266" s="2602"/>
      <c r="G266" s="1088"/>
      <c r="H266" s="1089"/>
      <c r="I266" s="1083">
        <f t="shared" si="60"/>
        <v>0</v>
      </c>
      <c r="J266" s="1084"/>
      <c r="K266" s="1087"/>
      <c r="L266" s="1307"/>
      <c r="M266" s="1317">
        <f t="shared" si="62"/>
        <v>0</v>
      </c>
      <c r="N266" s="506"/>
      <c r="O266" s="365">
        <f t="shared" si="63"/>
        <v>0</v>
      </c>
      <c r="P266" s="366"/>
      <c r="Q266" s="135"/>
      <c r="R266" s="136"/>
      <c r="S266" s="129"/>
      <c r="T266" s="129"/>
      <c r="U266" s="129"/>
      <c r="V266" s="129"/>
      <c r="W266" s="129"/>
      <c r="X266" s="129"/>
      <c r="Y266" s="129"/>
      <c r="Z266" s="133"/>
      <c r="AA266" s="133"/>
      <c r="AB266" s="133"/>
      <c r="AC266" s="133"/>
      <c r="AD266" s="133"/>
      <c r="AE266" s="133"/>
      <c r="AF266" s="222"/>
      <c r="AG266" s="222"/>
      <c r="AH266" s="222"/>
      <c r="AI266" s="176"/>
      <c r="AJ266" s="176"/>
      <c r="AK266" s="176"/>
      <c r="AL266" s="176"/>
      <c r="AM266" s="176"/>
      <c r="AN266" s="176"/>
      <c r="AO266" s="176"/>
      <c r="AP266" s="176"/>
      <c r="AQ266" s="176"/>
      <c r="AR266" s="176"/>
      <c r="AS266" s="176"/>
      <c r="AT266" s="176"/>
      <c r="AU266" s="176"/>
      <c r="AV266" s="176"/>
      <c r="AW266" s="176"/>
      <c r="AX266" s="176"/>
      <c r="AY266" s="176"/>
      <c r="AZ266" s="176"/>
      <c r="BA266" s="176"/>
      <c r="BB266" s="176"/>
      <c r="BC266" s="176"/>
      <c r="BD266" s="176"/>
      <c r="BE266" s="176"/>
      <c r="BF266" s="176"/>
      <c r="BG266" s="176"/>
      <c r="BH266" s="176"/>
      <c r="BI266" s="176"/>
      <c r="BJ266" s="176"/>
      <c r="BK266" s="176"/>
      <c r="BL266" s="176"/>
      <c r="BM266" s="176"/>
      <c r="BN266" s="176"/>
      <c r="BO266" s="176"/>
    </row>
    <row r="267" spans="1:67" s="36" customFormat="1" ht="10.5" customHeight="1" x14ac:dyDescent="0.2">
      <c r="A267" s="1115" t="s">
        <v>346</v>
      </c>
      <c r="B267" s="2611"/>
      <c r="C267" s="2612"/>
      <c r="D267" s="2613"/>
      <c r="E267" s="2676">
        <f>SUM(E268:E280)</f>
        <v>0</v>
      </c>
      <c r="F267" s="2677"/>
      <c r="G267" s="2678"/>
      <c r="H267" s="2679"/>
      <c r="I267" s="1116">
        <f>IF(E267=0,0,J267/E267)</f>
        <v>0</v>
      </c>
      <c r="J267" s="1117">
        <f>SUM(J268:J280)</f>
        <v>0</v>
      </c>
      <c r="K267" s="2686">
        <f>IF(E267=0,0,M267/E267*100)</f>
        <v>0</v>
      </c>
      <c r="L267" s="2687"/>
      <c r="M267" s="1118">
        <f>SUM(M268:M280)</f>
        <v>0</v>
      </c>
      <c r="N267" s="506"/>
      <c r="O267" s="178">
        <f>IF(H267="",G267,H267)</f>
        <v>0</v>
      </c>
      <c r="P267" s="366"/>
      <c r="Q267" s="135"/>
      <c r="R267" s="136"/>
      <c r="S267" s="129"/>
      <c r="T267" s="129"/>
      <c r="U267" s="129"/>
      <c r="V267" s="129"/>
      <c r="W267" s="129"/>
      <c r="X267" s="129"/>
      <c r="Y267" s="129"/>
      <c r="Z267" s="133"/>
      <c r="AA267" s="133"/>
      <c r="AB267" s="133"/>
      <c r="AC267" s="133"/>
      <c r="AD267" s="133"/>
      <c r="AE267" s="133"/>
      <c r="AF267" s="222"/>
      <c r="AG267" s="222"/>
      <c r="AH267" s="222"/>
      <c r="AI267" s="176"/>
      <c r="AJ267" s="176"/>
      <c r="AK267" s="176"/>
      <c r="AL267" s="176"/>
      <c r="AM267" s="176"/>
      <c r="AN267" s="176"/>
      <c r="AO267" s="176"/>
      <c r="AP267" s="176"/>
      <c r="AQ267" s="176"/>
      <c r="AR267" s="176"/>
      <c r="AS267" s="176"/>
      <c r="AT267" s="176"/>
      <c r="AU267" s="176"/>
      <c r="AV267" s="176"/>
      <c r="AW267" s="176"/>
      <c r="AX267" s="176"/>
      <c r="AY267" s="176"/>
      <c r="AZ267" s="176"/>
      <c r="BA267" s="176"/>
      <c r="BB267" s="176"/>
      <c r="BC267" s="176"/>
      <c r="BD267" s="176"/>
      <c r="BE267" s="176"/>
      <c r="BF267" s="176"/>
      <c r="BG267" s="176"/>
      <c r="BH267" s="176"/>
      <c r="BI267" s="176"/>
      <c r="BJ267" s="176"/>
      <c r="BK267" s="176"/>
      <c r="BL267" s="176"/>
      <c r="BM267" s="176"/>
      <c r="BN267" s="176"/>
      <c r="BO267" s="176"/>
    </row>
    <row r="268" spans="1:67" s="36" customFormat="1" ht="10.5" customHeight="1" x14ac:dyDescent="0.2">
      <c r="A268" s="1359" t="s">
        <v>347</v>
      </c>
      <c r="B268" s="2743"/>
      <c r="C268" s="2744"/>
      <c r="D268" s="2745"/>
      <c r="E268" s="2746"/>
      <c r="F268" s="2788"/>
      <c r="G268" s="1056">
        <v>15</v>
      </c>
      <c r="H268" s="1057"/>
      <c r="I268" s="1079">
        <f t="shared" ref="I268:I281" si="64">IF($O268&gt;0,-PMT(($I$9),$O268,1),0)</f>
        <v>7.9288524964265278E-2</v>
      </c>
      <c r="J268" s="1080">
        <f t="shared" ref="J268:J280" si="65">ROUND(E268*I268,0)</f>
        <v>0</v>
      </c>
      <c r="K268" s="1060">
        <v>0</v>
      </c>
      <c r="L268" s="1304"/>
      <c r="M268" s="1085">
        <f t="shared" ref="M268:M281" si="66">ROUND(E268/100*IF(ISBLANK(L268),K268,L268),0)</f>
        <v>0</v>
      </c>
      <c r="N268" s="506"/>
      <c r="O268" s="365">
        <f t="shared" ref="O268:O281" si="67">IF(ISBLANK(H268),G268,H268)</f>
        <v>15</v>
      </c>
      <c r="P268" s="366"/>
      <c r="Q268" s="135"/>
      <c r="R268" s="136"/>
      <c r="S268" s="129"/>
      <c r="T268" s="129"/>
      <c r="U268" s="129"/>
      <c r="V268" s="129"/>
      <c r="W268" s="129"/>
      <c r="X268" s="129"/>
      <c r="Y268" s="129"/>
      <c r="Z268" s="133"/>
      <c r="AA268" s="133"/>
      <c r="AB268" s="133"/>
      <c r="AC268" s="133"/>
      <c r="AD268" s="133"/>
      <c r="AE268" s="133"/>
      <c r="AF268" s="222"/>
      <c r="AG268" s="222"/>
      <c r="AH268" s="222"/>
      <c r="AI268" s="176"/>
      <c r="AJ268" s="176"/>
      <c r="AK268" s="176"/>
      <c r="AL268" s="176"/>
      <c r="AM268" s="176"/>
      <c r="AN268" s="176"/>
      <c r="AO268" s="176"/>
      <c r="AP268" s="176"/>
      <c r="AQ268" s="176"/>
      <c r="AR268" s="176"/>
      <c r="AS268" s="176"/>
      <c r="AT268" s="176"/>
      <c r="AU268" s="176"/>
      <c r="AV268" s="176"/>
      <c r="AW268" s="176"/>
      <c r="AX268" s="176"/>
      <c r="AY268" s="176"/>
      <c r="AZ268" s="176"/>
      <c r="BA268" s="176"/>
      <c r="BB268" s="176"/>
      <c r="BC268" s="176"/>
      <c r="BD268" s="176"/>
      <c r="BE268" s="176"/>
      <c r="BF268" s="176"/>
      <c r="BG268" s="176"/>
      <c r="BH268" s="176"/>
      <c r="BI268" s="176"/>
      <c r="BJ268" s="176"/>
      <c r="BK268" s="176"/>
      <c r="BL268" s="176"/>
      <c r="BM268" s="176"/>
      <c r="BN268" s="176"/>
      <c r="BO268" s="176"/>
    </row>
    <row r="269" spans="1:67" s="36" customFormat="1" ht="10.5" customHeight="1" x14ac:dyDescent="0.2">
      <c r="A269" s="1043" t="s">
        <v>348</v>
      </c>
      <c r="B269" s="2594"/>
      <c r="C269" s="2595"/>
      <c r="D269" s="2596"/>
      <c r="E269" s="2395"/>
      <c r="F269" s="2789"/>
      <c r="G269" s="1058">
        <v>15</v>
      </c>
      <c r="H269" s="1059"/>
      <c r="I269" s="1081">
        <f t="shared" si="64"/>
        <v>7.9288524964265278E-2</v>
      </c>
      <c r="J269" s="1082">
        <f t="shared" si="65"/>
        <v>0</v>
      </c>
      <c r="K269" s="1061">
        <v>0</v>
      </c>
      <c r="L269" s="1305"/>
      <c r="M269" s="1086">
        <f t="shared" si="66"/>
        <v>0</v>
      </c>
      <c r="N269" s="506"/>
      <c r="O269" s="365">
        <f t="shared" si="67"/>
        <v>15</v>
      </c>
      <c r="P269" s="366"/>
      <c r="Q269" s="135"/>
      <c r="R269" s="136"/>
      <c r="S269" s="129"/>
      <c r="T269" s="129"/>
      <c r="U269" s="129"/>
      <c r="V269" s="129"/>
      <c r="W269" s="129"/>
      <c r="X269" s="129"/>
      <c r="Y269" s="129"/>
      <c r="Z269" s="133"/>
      <c r="AA269" s="133"/>
      <c r="AB269" s="133"/>
      <c r="AC269" s="133"/>
      <c r="AD269" s="133"/>
      <c r="AE269" s="133"/>
      <c r="AF269" s="222"/>
      <c r="AG269" s="222"/>
      <c r="AH269" s="222"/>
      <c r="AI269" s="176"/>
      <c r="AJ269" s="176"/>
      <c r="AK269" s="176"/>
      <c r="AL269" s="176"/>
      <c r="AM269" s="176"/>
      <c r="AN269" s="176"/>
      <c r="AO269" s="176"/>
      <c r="AP269" s="176"/>
      <c r="AQ269" s="176"/>
      <c r="AR269" s="176"/>
      <c r="AS269" s="176"/>
      <c r="AT269" s="176"/>
      <c r="AU269" s="176"/>
      <c r="AV269" s="176"/>
      <c r="AW269" s="176"/>
      <c r="AX269" s="176"/>
      <c r="AY269" s="176"/>
      <c r="AZ269" s="176"/>
      <c r="BA269" s="176"/>
      <c r="BB269" s="176"/>
      <c r="BC269" s="176"/>
      <c r="BD269" s="176"/>
      <c r="BE269" s="176"/>
      <c r="BF269" s="176"/>
      <c r="BG269" s="176"/>
      <c r="BH269" s="176"/>
      <c r="BI269" s="176"/>
      <c r="BJ269" s="176"/>
      <c r="BK269" s="176"/>
      <c r="BL269" s="176"/>
      <c r="BM269" s="176"/>
      <c r="BN269" s="176"/>
      <c r="BO269" s="176"/>
    </row>
    <row r="270" spans="1:67" s="36" customFormat="1" ht="10.5" customHeight="1" x14ac:dyDescent="0.2">
      <c r="A270" s="1043" t="s">
        <v>349</v>
      </c>
      <c r="B270" s="2594"/>
      <c r="C270" s="2595"/>
      <c r="D270" s="2596"/>
      <c r="E270" s="2395"/>
      <c r="F270" s="2789"/>
      <c r="G270" s="1058">
        <v>20</v>
      </c>
      <c r="H270" s="1059"/>
      <c r="I270" s="1081">
        <f t="shared" si="64"/>
        <v>6.2642070767998229E-2</v>
      </c>
      <c r="J270" s="1082">
        <f t="shared" si="65"/>
        <v>0</v>
      </c>
      <c r="K270" s="1061">
        <v>1</v>
      </c>
      <c r="L270" s="1305"/>
      <c r="M270" s="1086">
        <f t="shared" si="66"/>
        <v>0</v>
      </c>
      <c r="N270" s="506"/>
      <c r="O270" s="365">
        <f t="shared" si="67"/>
        <v>20</v>
      </c>
      <c r="P270" s="366"/>
      <c r="Q270" s="135"/>
      <c r="R270" s="136"/>
      <c r="S270" s="129"/>
      <c r="T270" s="129"/>
      <c r="U270" s="129"/>
      <c r="V270" s="129"/>
      <c r="W270" s="129"/>
      <c r="X270" s="129"/>
      <c r="Y270" s="129"/>
      <c r="Z270" s="133"/>
      <c r="AA270" s="133"/>
      <c r="AB270" s="133"/>
      <c r="AC270" s="133"/>
      <c r="AD270" s="133"/>
      <c r="AE270" s="133"/>
      <c r="AF270" s="222"/>
      <c r="AG270" s="222"/>
      <c r="AH270" s="222"/>
      <c r="AI270" s="176"/>
      <c r="AJ270" s="176"/>
      <c r="AK270" s="176"/>
      <c r="AL270" s="176"/>
      <c r="AM270" s="176"/>
      <c r="AN270" s="176"/>
      <c r="AO270" s="176"/>
      <c r="AP270" s="176"/>
      <c r="AQ270" s="176"/>
      <c r="AR270" s="176"/>
      <c r="AS270" s="176"/>
      <c r="AT270" s="176"/>
      <c r="AU270" s="176"/>
      <c r="AV270" s="176"/>
      <c r="AW270" s="176"/>
      <c r="AX270" s="176"/>
      <c r="AY270" s="176"/>
      <c r="AZ270" s="176"/>
      <c r="BA270" s="176"/>
      <c r="BB270" s="176"/>
      <c r="BC270" s="176"/>
      <c r="BD270" s="176"/>
      <c r="BE270" s="176"/>
      <c r="BF270" s="176"/>
      <c r="BG270" s="176"/>
      <c r="BH270" s="176"/>
      <c r="BI270" s="176"/>
      <c r="BJ270" s="176"/>
      <c r="BK270" s="176"/>
      <c r="BL270" s="176"/>
      <c r="BM270" s="176"/>
      <c r="BN270" s="176"/>
      <c r="BO270" s="176"/>
    </row>
    <row r="271" spans="1:67" s="36" customFormat="1" ht="10.5" customHeight="1" x14ac:dyDescent="0.2">
      <c r="A271" s="1043" t="s">
        <v>350</v>
      </c>
      <c r="B271" s="2594"/>
      <c r="C271" s="2595"/>
      <c r="D271" s="2596"/>
      <c r="E271" s="2395"/>
      <c r="F271" s="2789"/>
      <c r="G271" s="1058">
        <v>30</v>
      </c>
      <c r="H271" s="1059"/>
      <c r="I271" s="1081">
        <f t="shared" si="64"/>
        <v>4.6199342169092869E-2</v>
      </c>
      <c r="J271" s="1082">
        <f t="shared" si="65"/>
        <v>0</v>
      </c>
      <c r="K271" s="1061">
        <v>0.5</v>
      </c>
      <c r="L271" s="1305"/>
      <c r="M271" s="1086">
        <f t="shared" si="66"/>
        <v>0</v>
      </c>
      <c r="N271" s="506"/>
      <c r="O271" s="365">
        <f t="shared" si="67"/>
        <v>30</v>
      </c>
      <c r="P271" s="366"/>
      <c r="Q271" s="135"/>
      <c r="R271" s="136"/>
      <c r="S271" s="129"/>
      <c r="T271" s="129"/>
      <c r="U271" s="129"/>
      <c r="V271" s="129"/>
      <c r="W271" s="129"/>
      <c r="X271" s="129"/>
      <c r="Y271" s="129"/>
      <c r="Z271" s="133"/>
      <c r="AA271" s="133"/>
      <c r="AB271" s="133"/>
      <c r="AC271" s="133"/>
      <c r="AD271" s="133"/>
      <c r="AE271" s="133"/>
      <c r="AF271" s="222"/>
      <c r="AG271" s="222"/>
      <c r="AH271" s="222"/>
      <c r="AI271" s="176"/>
      <c r="AJ271" s="176"/>
      <c r="AK271" s="176"/>
      <c r="AL271" s="176"/>
      <c r="AM271" s="176"/>
      <c r="AN271" s="176"/>
      <c r="AO271" s="176"/>
      <c r="AP271" s="176"/>
      <c r="AQ271" s="176"/>
      <c r="AR271" s="176"/>
      <c r="AS271" s="176"/>
      <c r="AT271" s="176"/>
      <c r="AU271" s="176"/>
      <c r="AV271" s="176"/>
      <c r="AW271" s="176"/>
      <c r="AX271" s="176"/>
      <c r="AY271" s="176"/>
      <c r="AZ271" s="176"/>
      <c r="BA271" s="176"/>
      <c r="BB271" s="176"/>
      <c r="BC271" s="176"/>
      <c r="BD271" s="176"/>
      <c r="BE271" s="176"/>
      <c r="BF271" s="176"/>
      <c r="BG271" s="176"/>
      <c r="BH271" s="176"/>
      <c r="BI271" s="176"/>
      <c r="BJ271" s="176"/>
      <c r="BK271" s="176"/>
      <c r="BL271" s="176"/>
      <c r="BM271" s="176"/>
      <c r="BN271" s="176"/>
      <c r="BO271" s="176"/>
    </row>
    <row r="272" spans="1:67" s="36" customFormat="1" ht="10.5" customHeight="1" x14ac:dyDescent="0.2">
      <c r="A272" s="1043" t="s">
        <v>231</v>
      </c>
      <c r="B272" s="2594"/>
      <c r="C272" s="2595"/>
      <c r="D272" s="2596"/>
      <c r="E272" s="2395"/>
      <c r="F272" s="2789"/>
      <c r="G272" s="1058">
        <v>15</v>
      </c>
      <c r="H272" s="1059"/>
      <c r="I272" s="1081">
        <f t="shared" si="64"/>
        <v>7.9288524964265278E-2</v>
      </c>
      <c r="J272" s="1082">
        <f t="shared" si="65"/>
        <v>0</v>
      </c>
      <c r="K272" s="1061">
        <v>2</v>
      </c>
      <c r="L272" s="1305"/>
      <c r="M272" s="1086">
        <f t="shared" si="66"/>
        <v>0</v>
      </c>
      <c r="N272" s="506"/>
      <c r="O272" s="365">
        <f t="shared" si="67"/>
        <v>15</v>
      </c>
      <c r="P272" s="366"/>
      <c r="Q272" s="135"/>
      <c r="R272" s="136"/>
      <c r="S272" s="129"/>
      <c r="T272" s="129"/>
      <c r="U272" s="129"/>
      <c r="V272" s="129"/>
      <c r="W272" s="129"/>
      <c r="X272" s="129"/>
      <c r="Y272" s="129"/>
      <c r="Z272" s="133"/>
      <c r="AA272" s="133"/>
      <c r="AB272" s="133"/>
      <c r="AC272" s="133"/>
      <c r="AD272" s="133"/>
      <c r="AE272" s="133"/>
      <c r="AF272" s="222"/>
      <c r="AG272" s="222"/>
      <c r="AH272" s="222"/>
      <c r="AI272" s="176"/>
      <c r="AJ272" s="176"/>
      <c r="AK272" s="176"/>
      <c r="AL272" s="176"/>
      <c r="AM272" s="176"/>
      <c r="AN272" s="176"/>
      <c r="AO272" s="176"/>
      <c r="AP272" s="176"/>
      <c r="AQ272" s="176"/>
      <c r="AR272" s="176"/>
      <c r="AS272" s="176"/>
      <c r="AT272" s="176"/>
      <c r="AU272" s="176"/>
      <c r="AV272" s="176"/>
      <c r="AW272" s="176"/>
      <c r="AX272" s="176"/>
      <c r="AY272" s="176"/>
      <c r="AZ272" s="176"/>
      <c r="BA272" s="176"/>
      <c r="BB272" s="176"/>
      <c r="BC272" s="176"/>
      <c r="BD272" s="176"/>
      <c r="BE272" s="176"/>
      <c r="BF272" s="176"/>
      <c r="BG272" s="176"/>
      <c r="BH272" s="176"/>
      <c r="BI272" s="176"/>
      <c r="BJ272" s="176"/>
      <c r="BK272" s="176"/>
      <c r="BL272" s="176"/>
      <c r="BM272" s="176"/>
      <c r="BN272" s="176"/>
      <c r="BO272" s="176"/>
    </row>
    <row r="273" spans="1:67" s="36" customFormat="1" ht="10.5" customHeight="1" x14ac:dyDescent="0.2">
      <c r="A273" s="1043" t="s">
        <v>351</v>
      </c>
      <c r="B273" s="2594"/>
      <c r="C273" s="2595"/>
      <c r="D273" s="2596"/>
      <c r="E273" s="2395"/>
      <c r="F273" s="2789"/>
      <c r="G273" s="1058">
        <v>20</v>
      </c>
      <c r="H273" s="1059"/>
      <c r="I273" s="1081">
        <f t="shared" si="64"/>
        <v>6.2642070767998229E-2</v>
      </c>
      <c r="J273" s="1082">
        <f t="shared" si="65"/>
        <v>0</v>
      </c>
      <c r="K273" s="1061">
        <v>1</v>
      </c>
      <c r="L273" s="1305"/>
      <c r="M273" s="1086">
        <f t="shared" si="66"/>
        <v>0</v>
      </c>
      <c r="N273" s="506"/>
      <c r="O273" s="365">
        <f t="shared" si="67"/>
        <v>20</v>
      </c>
      <c r="P273" s="366"/>
      <c r="Q273" s="135"/>
      <c r="R273" s="136"/>
      <c r="S273" s="129"/>
      <c r="T273" s="129"/>
      <c r="U273" s="129"/>
      <c r="V273" s="129"/>
      <c r="W273" s="129"/>
      <c r="X273" s="129"/>
      <c r="Y273" s="129"/>
      <c r="Z273" s="133"/>
      <c r="AA273" s="133"/>
      <c r="AB273" s="133"/>
      <c r="AC273" s="133"/>
      <c r="AD273" s="133"/>
      <c r="AE273" s="133"/>
      <c r="AF273" s="222"/>
      <c r="AG273" s="222"/>
      <c r="AH273" s="222"/>
      <c r="AI273" s="176"/>
      <c r="AJ273" s="176"/>
      <c r="AK273" s="176"/>
      <c r="AL273" s="176"/>
      <c r="AM273" s="176"/>
      <c r="AN273" s="176"/>
      <c r="AO273" s="176"/>
      <c r="AP273" s="176"/>
      <c r="AQ273" s="176"/>
      <c r="AR273" s="176"/>
      <c r="AS273" s="176"/>
      <c r="AT273" s="176"/>
      <c r="AU273" s="176"/>
      <c r="AV273" s="176"/>
      <c r="AW273" s="176"/>
      <c r="AX273" s="176"/>
      <c r="AY273" s="176"/>
      <c r="AZ273" s="176"/>
      <c r="BA273" s="176"/>
      <c r="BB273" s="176"/>
      <c r="BC273" s="176"/>
      <c r="BD273" s="176"/>
      <c r="BE273" s="176"/>
      <c r="BF273" s="176"/>
      <c r="BG273" s="176"/>
      <c r="BH273" s="176"/>
      <c r="BI273" s="176"/>
      <c r="BJ273" s="176"/>
      <c r="BK273" s="176"/>
      <c r="BL273" s="176"/>
      <c r="BM273" s="176"/>
      <c r="BN273" s="176"/>
      <c r="BO273" s="176"/>
    </row>
    <row r="274" spans="1:67" s="36" customFormat="1" ht="10.5" customHeight="1" x14ac:dyDescent="0.2">
      <c r="A274" s="1043" t="s">
        <v>352</v>
      </c>
      <c r="B274" s="2594"/>
      <c r="C274" s="2595"/>
      <c r="D274" s="2596"/>
      <c r="E274" s="2395"/>
      <c r="F274" s="2789"/>
      <c r="G274" s="1058">
        <v>20</v>
      </c>
      <c r="H274" s="1059"/>
      <c r="I274" s="1081">
        <f t="shared" si="64"/>
        <v>6.2642070767998229E-2</v>
      </c>
      <c r="J274" s="1082">
        <f t="shared" si="65"/>
        <v>0</v>
      </c>
      <c r="K274" s="1061">
        <v>1</v>
      </c>
      <c r="L274" s="1305"/>
      <c r="M274" s="1086">
        <f t="shared" si="66"/>
        <v>0</v>
      </c>
      <c r="N274" s="506"/>
      <c r="O274" s="365">
        <f t="shared" si="67"/>
        <v>20</v>
      </c>
      <c r="P274" s="366"/>
      <c r="Q274" s="135"/>
      <c r="R274" s="136"/>
      <c r="S274" s="129"/>
      <c r="T274" s="129"/>
      <c r="U274" s="129"/>
      <c r="V274" s="129"/>
      <c r="W274" s="129"/>
      <c r="X274" s="129"/>
      <c r="Y274" s="129"/>
      <c r="Z274" s="133"/>
      <c r="AA274" s="133"/>
      <c r="AB274" s="133"/>
      <c r="AC274" s="133"/>
      <c r="AD274" s="133"/>
      <c r="AE274" s="133"/>
      <c r="AF274" s="222"/>
      <c r="AG274" s="222"/>
      <c r="AH274" s="222"/>
      <c r="AI274" s="176"/>
      <c r="AJ274" s="176"/>
      <c r="AK274" s="176"/>
      <c r="AL274" s="176"/>
      <c r="AM274" s="176"/>
      <c r="AN274" s="176"/>
      <c r="AO274" s="176"/>
      <c r="AP274" s="176"/>
      <c r="AQ274" s="176"/>
      <c r="AR274" s="176"/>
      <c r="AS274" s="176"/>
      <c r="AT274" s="176"/>
      <c r="AU274" s="176"/>
      <c r="AV274" s="176"/>
      <c r="AW274" s="176"/>
      <c r="AX274" s="176"/>
      <c r="AY274" s="176"/>
      <c r="AZ274" s="176"/>
      <c r="BA274" s="176"/>
      <c r="BB274" s="176"/>
      <c r="BC274" s="176"/>
      <c r="BD274" s="176"/>
      <c r="BE274" s="176"/>
      <c r="BF274" s="176"/>
      <c r="BG274" s="176"/>
      <c r="BH274" s="176"/>
      <c r="BI274" s="176"/>
      <c r="BJ274" s="176"/>
      <c r="BK274" s="176"/>
      <c r="BL274" s="176"/>
      <c r="BM274" s="176"/>
      <c r="BN274" s="176"/>
      <c r="BO274" s="176"/>
    </row>
    <row r="275" spans="1:67" s="36" customFormat="1" ht="10.5" customHeight="1" x14ac:dyDescent="0.2">
      <c r="A275" s="1043" t="s">
        <v>353</v>
      </c>
      <c r="B275" s="2594"/>
      <c r="C275" s="2595"/>
      <c r="D275" s="2596"/>
      <c r="E275" s="2395"/>
      <c r="F275" s="2789"/>
      <c r="G275" s="1058">
        <v>15</v>
      </c>
      <c r="H275" s="1059"/>
      <c r="I275" s="1081">
        <f t="shared" si="64"/>
        <v>7.9288524964265278E-2</v>
      </c>
      <c r="J275" s="1082">
        <f t="shared" si="65"/>
        <v>0</v>
      </c>
      <c r="K275" s="1061">
        <v>2.5</v>
      </c>
      <c r="L275" s="1305"/>
      <c r="M275" s="1086">
        <f t="shared" si="66"/>
        <v>0</v>
      </c>
      <c r="N275" s="506"/>
      <c r="O275" s="365">
        <f t="shared" si="67"/>
        <v>15</v>
      </c>
      <c r="P275" s="366"/>
      <c r="Q275" s="135"/>
      <c r="R275" s="136"/>
      <c r="S275" s="129"/>
      <c r="T275" s="129"/>
      <c r="U275" s="129"/>
      <c r="V275" s="129"/>
      <c r="W275" s="129"/>
      <c r="X275" s="129"/>
      <c r="Y275" s="129"/>
      <c r="Z275" s="133"/>
      <c r="AA275" s="133"/>
      <c r="AB275" s="133"/>
      <c r="AC275" s="133"/>
      <c r="AD275" s="133"/>
      <c r="AE275" s="133"/>
      <c r="AF275" s="222"/>
      <c r="AG275" s="222"/>
      <c r="AH275" s="222"/>
      <c r="AI275" s="176"/>
      <c r="AJ275" s="176"/>
      <c r="AK275" s="176"/>
      <c r="AL275" s="176"/>
      <c r="AM275" s="176"/>
      <c r="AN275" s="176"/>
      <c r="AO275" s="176"/>
      <c r="AP275" s="176"/>
      <c r="AQ275" s="176"/>
      <c r="AR275" s="176"/>
      <c r="AS275" s="176"/>
      <c r="AT275" s="176"/>
      <c r="AU275" s="176"/>
      <c r="AV275" s="176"/>
      <c r="AW275" s="176"/>
      <c r="AX275" s="176"/>
      <c r="AY275" s="176"/>
      <c r="AZ275" s="176"/>
      <c r="BA275" s="176"/>
      <c r="BB275" s="176"/>
      <c r="BC275" s="176"/>
      <c r="BD275" s="176"/>
      <c r="BE275" s="176"/>
      <c r="BF275" s="176"/>
      <c r="BG275" s="176"/>
      <c r="BH275" s="176"/>
      <c r="BI275" s="176"/>
      <c r="BJ275" s="176"/>
      <c r="BK275" s="176"/>
      <c r="BL275" s="176"/>
      <c r="BM275" s="176"/>
      <c r="BN275" s="176"/>
      <c r="BO275" s="176"/>
    </row>
    <row r="276" spans="1:67" s="36" customFormat="1" ht="10.5" customHeight="1" x14ac:dyDescent="0.2">
      <c r="A276" s="1043" t="s">
        <v>354</v>
      </c>
      <c r="B276" s="2594"/>
      <c r="C276" s="2595"/>
      <c r="D276" s="2596"/>
      <c r="E276" s="2395"/>
      <c r="F276" s="2789"/>
      <c r="G276" s="1058">
        <v>15</v>
      </c>
      <c r="H276" s="1059"/>
      <c r="I276" s="1081">
        <f t="shared" si="64"/>
        <v>7.9288524964265278E-2</v>
      </c>
      <c r="J276" s="1082">
        <f t="shared" si="65"/>
        <v>0</v>
      </c>
      <c r="K276" s="1061">
        <v>2.5</v>
      </c>
      <c r="L276" s="1305"/>
      <c r="M276" s="1086">
        <f t="shared" si="66"/>
        <v>0</v>
      </c>
      <c r="N276" s="506"/>
      <c r="O276" s="365">
        <f t="shared" si="67"/>
        <v>15</v>
      </c>
      <c r="P276" s="366"/>
      <c r="Q276" s="135"/>
      <c r="R276" s="136"/>
      <c r="S276" s="129"/>
      <c r="T276" s="129"/>
      <c r="U276" s="129"/>
      <c r="V276" s="129"/>
      <c r="W276" s="129"/>
      <c r="X276" s="129"/>
      <c r="Y276" s="129"/>
      <c r="Z276" s="133"/>
      <c r="AA276" s="133"/>
      <c r="AB276" s="133"/>
      <c r="AC276" s="133"/>
      <c r="AD276" s="133"/>
      <c r="AE276" s="133"/>
      <c r="AF276" s="222"/>
      <c r="AG276" s="222"/>
      <c r="AH276" s="222"/>
      <c r="AI276" s="176"/>
      <c r="AJ276" s="176"/>
      <c r="AK276" s="176"/>
      <c r="AL276" s="176"/>
      <c r="AM276" s="176"/>
      <c r="AN276" s="176"/>
      <c r="AO276" s="176"/>
      <c r="AP276" s="176"/>
      <c r="AQ276" s="176"/>
      <c r="AR276" s="176"/>
      <c r="AS276" s="176"/>
      <c r="AT276" s="176"/>
      <c r="AU276" s="176"/>
      <c r="AV276" s="176"/>
      <c r="AW276" s="176"/>
      <c r="AX276" s="176"/>
      <c r="AY276" s="176"/>
      <c r="AZ276" s="176"/>
      <c r="BA276" s="176"/>
      <c r="BB276" s="176"/>
      <c r="BC276" s="176"/>
      <c r="BD276" s="176"/>
      <c r="BE276" s="176"/>
      <c r="BF276" s="176"/>
      <c r="BG276" s="176"/>
      <c r="BH276" s="176"/>
      <c r="BI276" s="176"/>
      <c r="BJ276" s="176"/>
      <c r="BK276" s="176"/>
      <c r="BL276" s="176"/>
      <c r="BM276" s="176"/>
      <c r="BN276" s="176"/>
      <c r="BO276" s="176"/>
    </row>
    <row r="277" spans="1:67" s="36" customFormat="1" ht="10.5" customHeight="1" x14ac:dyDescent="0.2">
      <c r="A277" s="1055"/>
      <c r="B277" s="2594"/>
      <c r="C277" s="2595"/>
      <c r="D277" s="2596"/>
      <c r="E277" s="2395"/>
      <c r="F277" s="2396"/>
      <c r="G277" s="2590"/>
      <c r="H277" s="2591"/>
      <c r="I277" s="1081">
        <f t="shared" si="64"/>
        <v>0</v>
      </c>
      <c r="J277" s="1082">
        <f t="shared" si="65"/>
        <v>0</v>
      </c>
      <c r="K277" s="2588"/>
      <c r="L277" s="2589"/>
      <c r="M277" s="1086">
        <f t="shared" si="66"/>
        <v>0</v>
      </c>
      <c r="N277" s="506"/>
      <c r="O277" s="365">
        <f t="shared" si="67"/>
        <v>0</v>
      </c>
      <c r="P277" s="366"/>
      <c r="Q277" s="135"/>
      <c r="R277" s="136"/>
      <c r="S277" s="129"/>
      <c r="T277" s="129"/>
      <c r="U277" s="129"/>
      <c r="V277" s="129"/>
      <c r="W277" s="129"/>
      <c r="X277" s="129"/>
      <c r="Y277" s="129"/>
      <c r="Z277" s="133"/>
      <c r="AA277" s="133"/>
      <c r="AB277" s="133"/>
      <c r="AC277" s="133"/>
      <c r="AD277" s="133"/>
      <c r="AE277" s="133"/>
      <c r="AF277" s="222"/>
      <c r="AG277" s="222"/>
      <c r="AH277" s="222"/>
      <c r="AI277" s="176"/>
      <c r="AJ277" s="176"/>
      <c r="AK277" s="176"/>
      <c r="AL277" s="176"/>
      <c r="AM277" s="176"/>
      <c r="AN277" s="176"/>
      <c r="AO277" s="176"/>
      <c r="AP277" s="176"/>
      <c r="AQ277" s="176"/>
      <c r="AR277" s="176"/>
      <c r="AS277" s="176"/>
      <c r="AT277" s="176"/>
      <c r="AU277" s="176"/>
      <c r="AV277" s="176"/>
      <c r="AW277" s="176"/>
      <c r="AX277" s="176"/>
      <c r="AY277" s="176"/>
      <c r="AZ277" s="176"/>
      <c r="BA277" s="176"/>
      <c r="BB277" s="176"/>
      <c r="BC277" s="176"/>
      <c r="BD277" s="176"/>
      <c r="BE277" s="176"/>
      <c r="BF277" s="176"/>
      <c r="BG277" s="176"/>
      <c r="BH277" s="176"/>
      <c r="BI277" s="176"/>
      <c r="BJ277" s="176"/>
      <c r="BK277" s="176"/>
      <c r="BL277" s="176"/>
      <c r="BM277" s="176"/>
      <c r="BN277" s="176"/>
      <c r="BO277" s="176"/>
    </row>
    <row r="278" spans="1:67" s="36" customFormat="1" ht="10.5" customHeight="1" x14ac:dyDescent="0.2">
      <c r="A278" s="1055"/>
      <c r="B278" s="2594"/>
      <c r="C278" s="2595"/>
      <c r="D278" s="2596"/>
      <c r="E278" s="2395"/>
      <c r="F278" s="2396"/>
      <c r="G278" s="2590"/>
      <c r="H278" s="2591"/>
      <c r="I278" s="1081">
        <f t="shared" si="64"/>
        <v>0</v>
      </c>
      <c r="J278" s="1082">
        <f t="shared" si="65"/>
        <v>0</v>
      </c>
      <c r="K278" s="2588"/>
      <c r="L278" s="2589"/>
      <c r="M278" s="1086">
        <f t="shared" si="66"/>
        <v>0</v>
      </c>
      <c r="N278" s="506"/>
      <c r="O278" s="365">
        <f t="shared" si="67"/>
        <v>0</v>
      </c>
      <c r="P278" s="366"/>
      <c r="Q278" s="135"/>
      <c r="R278" s="136"/>
      <c r="S278" s="129"/>
      <c r="T278" s="129"/>
      <c r="U278" s="129"/>
      <c r="V278" s="129"/>
      <c r="W278" s="129"/>
      <c r="X278" s="129"/>
      <c r="Y278" s="129"/>
      <c r="Z278" s="133"/>
      <c r="AA278" s="133"/>
      <c r="AB278" s="133"/>
      <c r="AC278" s="133"/>
      <c r="AD278" s="133"/>
      <c r="AE278" s="133"/>
      <c r="AF278" s="222"/>
      <c r="AG278" s="222"/>
      <c r="AH278" s="222"/>
      <c r="AI278" s="176"/>
      <c r="AJ278" s="176"/>
      <c r="AK278" s="176"/>
      <c r="AL278" s="176"/>
      <c r="AM278" s="176"/>
      <c r="AN278" s="176"/>
      <c r="AO278" s="176"/>
      <c r="AP278" s="176"/>
      <c r="AQ278" s="176"/>
      <c r="AR278" s="176"/>
      <c r="AS278" s="176"/>
      <c r="AT278" s="176"/>
      <c r="AU278" s="176"/>
      <c r="AV278" s="176"/>
      <c r="AW278" s="176"/>
      <c r="AX278" s="176"/>
      <c r="AY278" s="176"/>
      <c r="AZ278" s="176"/>
      <c r="BA278" s="176"/>
      <c r="BB278" s="176"/>
      <c r="BC278" s="176"/>
      <c r="BD278" s="176"/>
      <c r="BE278" s="176"/>
      <c r="BF278" s="176"/>
      <c r="BG278" s="176"/>
      <c r="BH278" s="176"/>
      <c r="BI278" s="176"/>
      <c r="BJ278" s="176"/>
      <c r="BK278" s="176"/>
      <c r="BL278" s="176"/>
      <c r="BM278" s="176"/>
      <c r="BN278" s="176"/>
      <c r="BO278" s="176"/>
    </row>
    <row r="279" spans="1:67" s="36" customFormat="1" ht="10.5" customHeight="1" x14ac:dyDescent="0.2">
      <c r="A279" s="1055"/>
      <c r="B279" s="2594"/>
      <c r="C279" s="2595"/>
      <c r="D279" s="2596"/>
      <c r="E279" s="2395"/>
      <c r="F279" s="2396"/>
      <c r="G279" s="2590"/>
      <c r="H279" s="2591"/>
      <c r="I279" s="1081">
        <f t="shared" si="64"/>
        <v>0</v>
      </c>
      <c r="J279" s="1082">
        <f t="shared" si="65"/>
        <v>0</v>
      </c>
      <c r="K279" s="2588"/>
      <c r="L279" s="2589"/>
      <c r="M279" s="1086">
        <f t="shared" si="66"/>
        <v>0</v>
      </c>
      <c r="N279" s="506"/>
      <c r="O279" s="365">
        <f t="shared" si="67"/>
        <v>0</v>
      </c>
      <c r="P279" s="366"/>
      <c r="Q279" s="135"/>
      <c r="R279" s="136"/>
      <c r="S279" s="129"/>
      <c r="T279" s="129"/>
      <c r="U279" s="129"/>
      <c r="V279" s="129"/>
      <c r="W279" s="129"/>
      <c r="X279" s="129"/>
      <c r="Y279" s="129"/>
      <c r="Z279" s="133"/>
      <c r="AA279" s="133"/>
      <c r="AB279" s="133"/>
      <c r="AC279" s="133"/>
      <c r="AD279" s="133"/>
      <c r="AE279" s="133"/>
      <c r="AF279" s="222"/>
      <c r="AG279" s="222"/>
      <c r="AH279" s="222"/>
      <c r="AI279" s="176"/>
      <c r="AJ279" s="176"/>
      <c r="AK279" s="176"/>
      <c r="AL279" s="176"/>
      <c r="AM279" s="176"/>
      <c r="AN279" s="176"/>
      <c r="AO279" s="176"/>
      <c r="AP279" s="176"/>
      <c r="AQ279" s="176"/>
      <c r="AR279" s="176"/>
      <c r="AS279" s="176"/>
      <c r="AT279" s="176"/>
      <c r="AU279" s="176"/>
      <c r="AV279" s="176"/>
      <c r="AW279" s="176"/>
      <c r="AX279" s="176"/>
      <c r="AY279" s="176"/>
      <c r="AZ279" s="176"/>
      <c r="BA279" s="176"/>
      <c r="BB279" s="176"/>
      <c r="BC279" s="176"/>
      <c r="BD279" s="176"/>
      <c r="BE279" s="176"/>
      <c r="BF279" s="176"/>
      <c r="BG279" s="176"/>
      <c r="BH279" s="176"/>
      <c r="BI279" s="176"/>
      <c r="BJ279" s="176"/>
      <c r="BK279" s="176"/>
      <c r="BL279" s="176"/>
      <c r="BM279" s="176"/>
      <c r="BN279" s="176"/>
      <c r="BO279" s="176"/>
    </row>
    <row r="280" spans="1:67" s="36" customFormat="1" ht="10.5" customHeight="1" x14ac:dyDescent="0.2">
      <c r="A280" s="1055"/>
      <c r="B280" s="2594"/>
      <c r="C280" s="2595"/>
      <c r="D280" s="2596"/>
      <c r="E280" s="2395"/>
      <c r="F280" s="2396"/>
      <c r="G280" s="2590"/>
      <c r="H280" s="2591"/>
      <c r="I280" s="1081">
        <f t="shared" si="64"/>
        <v>0</v>
      </c>
      <c r="J280" s="1082">
        <f t="shared" si="65"/>
        <v>0</v>
      </c>
      <c r="K280" s="2588"/>
      <c r="L280" s="2589"/>
      <c r="M280" s="1086">
        <f t="shared" si="66"/>
        <v>0</v>
      </c>
      <c r="N280" s="506"/>
      <c r="O280" s="365">
        <f t="shared" si="67"/>
        <v>0</v>
      </c>
      <c r="P280" s="366"/>
      <c r="Q280" s="135"/>
      <c r="R280" s="136"/>
      <c r="S280" s="129"/>
      <c r="T280" s="129"/>
      <c r="U280" s="129"/>
      <c r="V280" s="129"/>
      <c r="W280" s="129"/>
      <c r="X280" s="129"/>
      <c r="Y280" s="129"/>
      <c r="Z280" s="133"/>
      <c r="AA280" s="133"/>
      <c r="AB280" s="133"/>
      <c r="AC280" s="133"/>
      <c r="AD280" s="133"/>
      <c r="AE280" s="133"/>
      <c r="AF280" s="222"/>
      <c r="AG280" s="222"/>
      <c r="AH280" s="222"/>
      <c r="AI280" s="176"/>
      <c r="AJ280" s="176"/>
      <c r="AK280" s="176"/>
      <c r="AL280" s="176"/>
      <c r="AM280" s="176"/>
      <c r="AN280" s="176"/>
      <c r="AO280" s="176"/>
      <c r="AP280" s="176"/>
      <c r="AQ280" s="176"/>
      <c r="AR280" s="176"/>
      <c r="AS280" s="176"/>
      <c r="AT280" s="176"/>
      <c r="AU280" s="176"/>
      <c r="AV280" s="176"/>
      <c r="AW280" s="176"/>
      <c r="AX280" s="176"/>
      <c r="AY280" s="176"/>
      <c r="AZ280" s="176"/>
      <c r="BA280" s="176"/>
      <c r="BB280" s="176"/>
      <c r="BC280" s="176"/>
      <c r="BD280" s="176"/>
      <c r="BE280" s="176"/>
      <c r="BF280" s="176"/>
      <c r="BG280" s="176"/>
      <c r="BH280" s="176"/>
      <c r="BI280" s="176"/>
      <c r="BJ280" s="176"/>
      <c r="BK280" s="176"/>
      <c r="BL280" s="176"/>
      <c r="BM280" s="176"/>
      <c r="BN280" s="176"/>
      <c r="BO280" s="176"/>
    </row>
    <row r="281" spans="1:67" s="36" customFormat="1" ht="10.5" customHeight="1" x14ac:dyDescent="0.2">
      <c r="A281" s="1348"/>
      <c r="B281" s="2690"/>
      <c r="C281" s="2691"/>
      <c r="D281" s="2692"/>
      <c r="E281" s="2601"/>
      <c r="F281" s="2602"/>
      <c r="G281" s="1088"/>
      <c r="H281" s="1089"/>
      <c r="I281" s="1083">
        <f t="shared" si="64"/>
        <v>0</v>
      </c>
      <c r="J281" s="1084"/>
      <c r="K281" s="1087"/>
      <c r="L281" s="1307"/>
      <c r="M281" s="1317">
        <f t="shared" si="66"/>
        <v>0</v>
      </c>
      <c r="N281" s="506"/>
      <c r="O281" s="365">
        <f t="shared" si="67"/>
        <v>0</v>
      </c>
      <c r="P281" s="366"/>
      <c r="Q281" s="135"/>
      <c r="R281" s="136"/>
      <c r="S281" s="129"/>
      <c r="T281" s="129"/>
      <c r="U281" s="129"/>
      <c r="V281" s="129"/>
      <c r="W281" s="129"/>
      <c r="X281" s="129"/>
      <c r="Y281" s="129"/>
      <c r="Z281" s="133"/>
      <c r="AA281" s="133"/>
      <c r="AB281" s="133"/>
      <c r="AC281" s="133"/>
      <c r="AD281" s="133"/>
      <c r="AE281" s="133"/>
      <c r="AF281" s="222"/>
      <c r="AG281" s="222"/>
      <c r="AH281" s="222"/>
      <c r="AI281" s="176"/>
      <c r="AJ281" s="176"/>
      <c r="AK281" s="176"/>
      <c r="AL281" s="176"/>
      <c r="AM281" s="176"/>
      <c r="AN281" s="176"/>
      <c r="AO281" s="176"/>
      <c r="AP281" s="176"/>
      <c r="AQ281" s="176"/>
      <c r="AR281" s="176"/>
      <c r="AS281" s="176"/>
      <c r="AT281" s="176"/>
      <c r="AU281" s="176"/>
      <c r="AV281" s="176"/>
      <c r="AW281" s="176"/>
      <c r="AX281" s="176"/>
      <c r="AY281" s="176"/>
      <c r="AZ281" s="176"/>
      <c r="BA281" s="176"/>
      <c r="BB281" s="176"/>
      <c r="BC281" s="176"/>
      <c r="BD281" s="176"/>
      <c r="BE281" s="176"/>
      <c r="BF281" s="176"/>
      <c r="BG281" s="176"/>
      <c r="BH281" s="176"/>
      <c r="BI281" s="176"/>
      <c r="BJ281" s="176"/>
      <c r="BK281" s="176"/>
      <c r="BL281" s="176"/>
      <c r="BM281" s="176"/>
      <c r="BN281" s="176"/>
      <c r="BO281" s="176"/>
    </row>
    <row r="282" spans="1:67" s="36" customFormat="1" ht="10.5" customHeight="1" x14ac:dyDescent="0.2">
      <c r="A282" s="1115" t="s">
        <v>355</v>
      </c>
      <c r="B282" s="2611"/>
      <c r="C282" s="2612"/>
      <c r="D282" s="2613"/>
      <c r="E282" s="2676">
        <f>SUM(E283:E295)</f>
        <v>0</v>
      </c>
      <c r="F282" s="2677"/>
      <c r="G282" s="2678"/>
      <c r="H282" s="2679"/>
      <c r="I282" s="1116">
        <f>IF(E282=0,0,J282/E282)</f>
        <v>0</v>
      </c>
      <c r="J282" s="1117">
        <f>SUM(J283:J295)</f>
        <v>0</v>
      </c>
      <c r="K282" s="2686">
        <f>IF(E282=0,0,M282/E282*100)</f>
        <v>0</v>
      </c>
      <c r="L282" s="2687"/>
      <c r="M282" s="1118">
        <f>SUM(M283:M295)</f>
        <v>0</v>
      </c>
      <c r="N282" s="506"/>
      <c r="O282" s="178">
        <f>IF(H282="",G282,H282)</f>
        <v>0</v>
      </c>
      <c r="P282" s="366"/>
      <c r="Q282" s="135"/>
      <c r="R282" s="136"/>
      <c r="S282" s="129"/>
      <c r="T282" s="129"/>
      <c r="U282" s="129"/>
      <c r="V282" s="129"/>
      <c r="W282" s="129"/>
      <c r="X282" s="129"/>
      <c r="Y282" s="129"/>
      <c r="Z282" s="133"/>
      <c r="AA282" s="133"/>
      <c r="AB282" s="133"/>
      <c r="AC282" s="133"/>
      <c r="AD282" s="133"/>
      <c r="AE282" s="133"/>
      <c r="AF282" s="222"/>
      <c r="AG282" s="222"/>
      <c r="AH282" s="222"/>
      <c r="AI282" s="176"/>
      <c r="AJ282" s="176"/>
      <c r="AK282" s="176"/>
      <c r="AL282" s="176"/>
      <c r="AM282" s="176"/>
      <c r="AN282" s="176"/>
      <c r="AO282" s="176"/>
      <c r="AP282" s="176"/>
      <c r="AQ282" s="176"/>
      <c r="AR282" s="176"/>
      <c r="AS282" s="176"/>
      <c r="AT282" s="176"/>
      <c r="AU282" s="176"/>
      <c r="AV282" s="176"/>
      <c r="AW282" s="176"/>
      <c r="AX282" s="176"/>
      <c r="AY282" s="176"/>
      <c r="AZ282" s="176"/>
      <c r="BA282" s="176"/>
      <c r="BB282" s="176"/>
      <c r="BC282" s="176"/>
      <c r="BD282" s="176"/>
      <c r="BE282" s="176"/>
      <c r="BF282" s="176"/>
      <c r="BG282" s="176"/>
      <c r="BH282" s="176"/>
      <c r="BI282" s="176"/>
      <c r="BJ282" s="176"/>
      <c r="BK282" s="176"/>
      <c r="BL282" s="176"/>
      <c r="BM282" s="176"/>
      <c r="BN282" s="176"/>
      <c r="BO282" s="176"/>
    </row>
    <row r="283" spans="1:67" s="36" customFormat="1" ht="10.5" customHeight="1" x14ac:dyDescent="0.2">
      <c r="A283" s="1359" t="s">
        <v>356</v>
      </c>
      <c r="B283" s="2743"/>
      <c r="C283" s="2744"/>
      <c r="D283" s="2745"/>
      <c r="E283" s="2746"/>
      <c r="F283" s="2788"/>
      <c r="G283" s="1056">
        <v>20</v>
      </c>
      <c r="H283" s="1057"/>
      <c r="I283" s="1079">
        <f t="shared" ref="I283:I296" si="68">IF($O283&gt;0,-PMT(($I$9),$O283,1),0)</f>
        <v>6.2642070767998229E-2</v>
      </c>
      <c r="J283" s="1080">
        <f t="shared" ref="J283:J295" si="69">ROUND(E283*I283,0)</f>
        <v>0</v>
      </c>
      <c r="K283" s="1060"/>
      <c r="L283" s="1304"/>
      <c r="M283" s="1085">
        <f t="shared" ref="M283:M296" si="70">ROUND(E283/100*IF(ISBLANK(L283),K283,L283),0)</f>
        <v>0</v>
      </c>
      <c r="N283" s="506"/>
      <c r="O283" s="365">
        <f t="shared" ref="O283:O296" si="71">IF(ISBLANK(H283),G283,H283)</f>
        <v>20</v>
      </c>
      <c r="P283" s="366"/>
      <c r="Q283" s="135"/>
      <c r="R283" s="136"/>
      <c r="S283" s="129"/>
      <c r="T283" s="129"/>
      <c r="U283" s="129"/>
      <c r="V283" s="129"/>
      <c r="W283" s="129"/>
      <c r="X283" s="129"/>
      <c r="Y283" s="129"/>
      <c r="Z283" s="133"/>
      <c r="AA283" s="133"/>
      <c r="AB283" s="133"/>
      <c r="AC283" s="133"/>
      <c r="AD283" s="133"/>
      <c r="AE283" s="133"/>
      <c r="AF283" s="222"/>
      <c r="AG283" s="222"/>
      <c r="AH283" s="222"/>
      <c r="AI283" s="176"/>
      <c r="AJ283" s="176"/>
      <c r="AK283" s="176"/>
      <c r="AL283" s="176"/>
      <c r="AM283" s="176"/>
      <c r="AN283" s="176"/>
      <c r="AO283" s="176"/>
      <c r="AP283" s="176"/>
      <c r="AQ283" s="176"/>
      <c r="AR283" s="176"/>
      <c r="AS283" s="176"/>
      <c r="AT283" s="176"/>
      <c r="AU283" s="176"/>
      <c r="AV283" s="176"/>
      <c r="AW283" s="176"/>
      <c r="AX283" s="176"/>
      <c r="AY283" s="176"/>
      <c r="AZ283" s="176"/>
      <c r="BA283" s="176"/>
      <c r="BB283" s="176"/>
      <c r="BC283" s="176"/>
      <c r="BD283" s="176"/>
      <c r="BE283" s="176"/>
      <c r="BF283" s="176"/>
      <c r="BG283" s="176"/>
      <c r="BH283" s="176"/>
      <c r="BI283" s="176"/>
      <c r="BJ283" s="176"/>
      <c r="BK283" s="176"/>
      <c r="BL283" s="176"/>
      <c r="BM283" s="176"/>
      <c r="BN283" s="176"/>
      <c r="BO283" s="176"/>
    </row>
    <row r="284" spans="1:67" s="36" customFormat="1" ht="10.5" customHeight="1" x14ac:dyDescent="0.2">
      <c r="A284" s="1043" t="s">
        <v>357</v>
      </c>
      <c r="B284" s="2594"/>
      <c r="C284" s="2595"/>
      <c r="D284" s="2596"/>
      <c r="E284" s="2395"/>
      <c r="F284" s="2789"/>
      <c r="G284" s="1058">
        <v>20</v>
      </c>
      <c r="H284" s="1059"/>
      <c r="I284" s="1081">
        <f t="shared" si="68"/>
        <v>6.2642070767998229E-2</v>
      </c>
      <c r="J284" s="1082">
        <f t="shared" si="69"/>
        <v>0</v>
      </c>
      <c r="K284" s="1061"/>
      <c r="L284" s="1305"/>
      <c r="M284" s="1086">
        <f t="shared" si="70"/>
        <v>0</v>
      </c>
      <c r="N284" s="506"/>
      <c r="O284" s="365">
        <f t="shared" si="71"/>
        <v>20</v>
      </c>
      <c r="P284" s="366"/>
      <c r="Q284" s="135"/>
      <c r="R284" s="136"/>
      <c r="S284" s="129"/>
      <c r="T284" s="129"/>
      <c r="U284" s="129"/>
      <c r="V284" s="129"/>
      <c r="W284" s="129"/>
      <c r="X284" s="129"/>
      <c r="Y284" s="129"/>
      <c r="Z284" s="133"/>
      <c r="AA284" s="133"/>
      <c r="AB284" s="133"/>
      <c r="AC284" s="133"/>
      <c r="AD284" s="133"/>
      <c r="AE284" s="133"/>
      <c r="AF284" s="222"/>
      <c r="AG284" s="222"/>
      <c r="AH284" s="222"/>
      <c r="AI284" s="176"/>
      <c r="AJ284" s="176"/>
      <c r="AK284" s="176"/>
      <c r="AL284" s="176"/>
      <c r="AM284" s="176"/>
      <c r="AN284" s="176"/>
      <c r="AO284" s="176"/>
      <c r="AP284" s="176"/>
      <c r="AQ284" s="176"/>
      <c r="AR284" s="176"/>
      <c r="AS284" s="176"/>
      <c r="AT284" s="176"/>
      <c r="AU284" s="176"/>
      <c r="AV284" s="176"/>
      <c r="AW284" s="176"/>
      <c r="AX284" s="176"/>
      <c r="AY284" s="176"/>
      <c r="AZ284" s="176"/>
      <c r="BA284" s="176"/>
      <c r="BB284" s="176"/>
      <c r="BC284" s="176"/>
      <c r="BD284" s="176"/>
      <c r="BE284" s="176"/>
      <c r="BF284" s="176"/>
      <c r="BG284" s="176"/>
      <c r="BH284" s="176"/>
      <c r="BI284" s="176"/>
      <c r="BJ284" s="176"/>
      <c r="BK284" s="176"/>
      <c r="BL284" s="176"/>
      <c r="BM284" s="176"/>
      <c r="BN284" s="176"/>
      <c r="BO284" s="176"/>
    </row>
    <row r="285" spans="1:67" s="36" customFormat="1" ht="10.5" customHeight="1" x14ac:dyDescent="0.2">
      <c r="A285" s="1043" t="s">
        <v>358</v>
      </c>
      <c r="B285" s="2594"/>
      <c r="C285" s="2595"/>
      <c r="D285" s="2596"/>
      <c r="E285" s="2395"/>
      <c r="F285" s="2789"/>
      <c r="G285" s="1058">
        <v>20</v>
      </c>
      <c r="H285" s="1059"/>
      <c r="I285" s="1081">
        <f t="shared" si="68"/>
        <v>6.2642070767998229E-2</v>
      </c>
      <c r="J285" s="1082">
        <f t="shared" si="69"/>
        <v>0</v>
      </c>
      <c r="K285" s="1061">
        <v>0.5</v>
      </c>
      <c r="L285" s="1305"/>
      <c r="M285" s="1086">
        <f t="shared" si="70"/>
        <v>0</v>
      </c>
      <c r="N285" s="506"/>
      <c r="O285" s="365">
        <f t="shared" si="71"/>
        <v>20</v>
      </c>
      <c r="P285" s="366"/>
      <c r="Q285" s="135"/>
      <c r="R285" s="136"/>
      <c r="S285" s="129"/>
      <c r="T285" s="129"/>
      <c r="U285" s="129"/>
      <c r="V285" s="129"/>
      <c r="W285" s="129"/>
      <c r="X285" s="129"/>
      <c r="Y285" s="129"/>
      <c r="Z285" s="133"/>
      <c r="AA285" s="133"/>
      <c r="AB285" s="133"/>
      <c r="AC285" s="133"/>
      <c r="AD285" s="133"/>
      <c r="AE285" s="133"/>
      <c r="AF285" s="222"/>
      <c r="AG285" s="222"/>
      <c r="AH285" s="222"/>
      <c r="AI285" s="176"/>
      <c r="AJ285" s="176"/>
      <c r="AK285" s="176"/>
      <c r="AL285" s="176"/>
      <c r="AM285" s="176"/>
      <c r="AN285" s="176"/>
      <c r="AO285" s="176"/>
      <c r="AP285" s="176"/>
      <c r="AQ285" s="176"/>
      <c r="AR285" s="176"/>
      <c r="AS285" s="176"/>
      <c r="AT285" s="176"/>
      <c r="AU285" s="176"/>
      <c r="AV285" s="176"/>
      <c r="AW285" s="176"/>
      <c r="AX285" s="176"/>
      <c r="AY285" s="176"/>
      <c r="AZ285" s="176"/>
      <c r="BA285" s="176"/>
      <c r="BB285" s="176"/>
      <c r="BC285" s="176"/>
      <c r="BD285" s="176"/>
      <c r="BE285" s="176"/>
      <c r="BF285" s="176"/>
      <c r="BG285" s="176"/>
      <c r="BH285" s="176"/>
      <c r="BI285" s="176"/>
      <c r="BJ285" s="176"/>
      <c r="BK285" s="176"/>
      <c r="BL285" s="176"/>
      <c r="BM285" s="176"/>
      <c r="BN285" s="176"/>
      <c r="BO285" s="176"/>
    </row>
    <row r="286" spans="1:67" s="36" customFormat="1" ht="10.5" customHeight="1" x14ac:dyDescent="0.2">
      <c r="A286" s="1043" t="s">
        <v>359</v>
      </c>
      <c r="B286" s="2594"/>
      <c r="C286" s="2595"/>
      <c r="D286" s="2596"/>
      <c r="E286" s="2395"/>
      <c r="F286" s="2789"/>
      <c r="G286" s="1058">
        <v>20</v>
      </c>
      <c r="H286" s="1059"/>
      <c r="I286" s="1081">
        <f t="shared" si="68"/>
        <v>6.2642070767998229E-2</v>
      </c>
      <c r="J286" s="1082">
        <f t="shared" si="69"/>
        <v>0</v>
      </c>
      <c r="K286" s="1061"/>
      <c r="L286" s="1305"/>
      <c r="M286" s="1086">
        <f t="shared" si="70"/>
        <v>0</v>
      </c>
      <c r="N286" s="506"/>
      <c r="O286" s="365">
        <f t="shared" si="71"/>
        <v>20</v>
      </c>
      <c r="P286" s="366"/>
      <c r="Q286" s="135"/>
      <c r="R286" s="136"/>
      <c r="S286" s="129"/>
      <c r="T286" s="129"/>
      <c r="U286" s="129"/>
      <c r="V286" s="129"/>
      <c r="W286" s="129"/>
      <c r="X286" s="129"/>
      <c r="Y286" s="129"/>
      <c r="Z286" s="133"/>
      <c r="AA286" s="133"/>
      <c r="AB286" s="133"/>
      <c r="AC286" s="133"/>
      <c r="AD286" s="133"/>
      <c r="AE286" s="133"/>
      <c r="AF286" s="222"/>
      <c r="AG286" s="222"/>
      <c r="AH286" s="222"/>
      <c r="AI286" s="176"/>
      <c r="AJ286" s="176"/>
      <c r="AK286" s="176"/>
      <c r="AL286" s="176"/>
      <c r="AM286" s="176"/>
      <c r="AN286" s="176"/>
      <c r="AO286" s="176"/>
      <c r="AP286" s="176"/>
      <c r="AQ286" s="176"/>
      <c r="AR286" s="176"/>
      <c r="AS286" s="176"/>
      <c r="AT286" s="176"/>
      <c r="AU286" s="176"/>
      <c r="AV286" s="176"/>
      <c r="AW286" s="176"/>
      <c r="AX286" s="176"/>
      <c r="AY286" s="176"/>
      <c r="AZ286" s="176"/>
      <c r="BA286" s="176"/>
      <c r="BB286" s="176"/>
      <c r="BC286" s="176"/>
      <c r="BD286" s="176"/>
      <c r="BE286" s="176"/>
      <c r="BF286" s="176"/>
      <c r="BG286" s="176"/>
      <c r="BH286" s="176"/>
      <c r="BI286" s="176"/>
      <c r="BJ286" s="176"/>
      <c r="BK286" s="176"/>
      <c r="BL286" s="176"/>
      <c r="BM286" s="176"/>
      <c r="BN286" s="176"/>
      <c r="BO286" s="176"/>
    </row>
    <row r="287" spans="1:67" s="36" customFormat="1" ht="10.5" customHeight="1" x14ac:dyDescent="0.2">
      <c r="A287" s="1043" t="s">
        <v>360</v>
      </c>
      <c r="B287" s="2594"/>
      <c r="C287" s="2595"/>
      <c r="D287" s="2596"/>
      <c r="E287" s="2395"/>
      <c r="F287" s="2789"/>
      <c r="G287" s="1058">
        <v>20</v>
      </c>
      <c r="H287" s="1059"/>
      <c r="I287" s="1081">
        <f t="shared" si="68"/>
        <v>6.2642070767998229E-2</v>
      </c>
      <c r="J287" s="1082">
        <f t="shared" si="69"/>
        <v>0</v>
      </c>
      <c r="K287" s="1061"/>
      <c r="L287" s="1305"/>
      <c r="M287" s="1086">
        <f t="shared" si="70"/>
        <v>0</v>
      </c>
      <c r="N287" s="506"/>
      <c r="O287" s="365">
        <f t="shared" si="71"/>
        <v>20</v>
      </c>
      <c r="P287" s="366"/>
      <c r="Q287" s="135"/>
      <c r="R287" s="136"/>
      <c r="S287" s="129"/>
      <c r="T287" s="129"/>
      <c r="U287" s="129"/>
      <c r="V287" s="129"/>
      <c r="W287" s="129"/>
      <c r="X287" s="129"/>
      <c r="Y287" s="129"/>
      <c r="Z287" s="133"/>
      <c r="AA287" s="133"/>
      <c r="AB287" s="133"/>
      <c r="AC287" s="133"/>
      <c r="AD287" s="133"/>
      <c r="AE287" s="133"/>
      <c r="AF287" s="222"/>
      <c r="AG287" s="222"/>
      <c r="AH287" s="222"/>
      <c r="AI287" s="176"/>
      <c r="AJ287" s="176"/>
      <c r="AK287" s="176"/>
      <c r="AL287" s="176"/>
      <c r="AM287" s="176"/>
      <c r="AN287" s="176"/>
      <c r="AO287" s="176"/>
      <c r="AP287" s="176"/>
      <c r="AQ287" s="176"/>
      <c r="AR287" s="176"/>
      <c r="AS287" s="176"/>
      <c r="AT287" s="176"/>
      <c r="AU287" s="176"/>
      <c r="AV287" s="176"/>
      <c r="AW287" s="176"/>
      <c r="AX287" s="176"/>
      <c r="AY287" s="176"/>
      <c r="AZ287" s="176"/>
      <c r="BA287" s="176"/>
      <c r="BB287" s="176"/>
      <c r="BC287" s="176"/>
      <c r="BD287" s="176"/>
      <c r="BE287" s="176"/>
      <c r="BF287" s="176"/>
      <c r="BG287" s="176"/>
      <c r="BH287" s="176"/>
      <c r="BI287" s="176"/>
      <c r="BJ287" s="176"/>
      <c r="BK287" s="176"/>
      <c r="BL287" s="176"/>
      <c r="BM287" s="176"/>
      <c r="BN287" s="176"/>
      <c r="BO287" s="176"/>
    </row>
    <row r="288" spans="1:67" s="36" customFormat="1" ht="10.5" customHeight="1" x14ac:dyDescent="0.2">
      <c r="A288" s="1043" t="s">
        <v>361</v>
      </c>
      <c r="B288" s="2594"/>
      <c r="C288" s="2595"/>
      <c r="D288" s="2596"/>
      <c r="E288" s="2395"/>
      <c r="F288" s="2789"/>
      <c r="G288" s="1058">
        <v>20</v>
      </c>
      <c r="H288" s="1059"/>
      <c r="I288" s="1081">
        <f t="shared" si="68"/>
        <v>6.2642070767998229E-2</v>
      </c>
      <c r="J288" s="1082">
        <f t="shared" si="69"/>
        <v>0</v>
      </c>
      <c r="K288" s="1061">
        <v>2</v>
      </c>
      <c r="L288" s="1305"/>
      <c r="M288" s="1086">
        <f t="shared" si="70"/>
        <v>0</v>
      </c>
      <c r="N288" s="506"/>
      <c r="O288" s="365">
        <f t="shared" si="71"/>
        <v>20</v>
      </c>
      <c r="P288" s="366"/>
      <c r="Q288" s="135"/>
      <c r="R288" s="136"/>
      <c r="S288" s="129"/>
      <c r="T288" s="129"/>
      <c r="U288" s="129"/>
      <c r="V288" s="129"/>
      <c r="W288" s="129"/>
      <c r="X288" s="129"/>
      <c r="Y288" s="129"/>
      <c r="Z288" s="133"/>
      <c r="AA288" s="133"/>
      <c r="AB288" s="133"/>
      <c r="AC288" s="133"/>
      <c r="AD288" s="133"/>
      <c r="AE288" s="133"/>
      <c r="AF288" s="222"/>
      <c r="AG288" s="222"/>
      <c r="AH288" s="222"/>
      <c r="AI288" s="176"/>
      <c r="AJ288" s="176"/>
      <c r="AK288" s="176"/>
      <c r="AL288" s="176"/>
      <c r="AM288" s="176"/>
      <c r="AN288" s="176"/>
      <c r="AO288" s="176"/>
      <c r="AP288" s="176"/>
      <c r="AQ288" s="176"/>
      <c r="AR288" s="176"/>
      <c r="AS288" s="176"/>
      <c r="AT288" s="176"/>
      <c r="AU288" s="176"/>
      <c r="AV288" s="176"/>
      <c r="AW288" s="176"/>
      <c r="AX288" s="176"/>
      <c r="AY288" s="176"/>
      <c r="AZ288" s="176"/>
      <c r="BA288" s="176"/>
      <c r="BB288" s="176"/>
      <c r="BC288" s="176"/>
      <c r="BD288" s="176"/>
      <c r="BE288" s="176"/>
      <c r="BF288" s="176"/>
      <c r="BG288" s="176"/>
      <c r="BH288" s="176"/>
      <c r="BI288" s="176"/>
      <c r="BJ288" s="176"/>
      <c r="BK288" s="176"/>
      <c r="BL288" s="176"/>
      <c r="BM288" s="176"/>
      <c r="BN288" s="176"/>
      <c r="BO288" s="176"/>
    </row>
    <row r="289" spans="1:67" s="36" customFormat="1" ht="10.5" customHeight="1" x14ac:dyDescent="0.2">
      <c r="A289" s="1043" t="s">
        <v>362</v>
      </c>
      <c r="B289" s="2594"/>
      <c r="C289" s="2595"/>
      <c r="D289" s="2596"/>
      <c r="E289" s="2395"/>
      <c r="F289" s="2789"/>
      <c r="G289" s="1058">
        <v>20</v>
      </c>
      <c r="H289" s="1059"/>
      <c r="I289" s="1081">
        <f t="shared" si="68"/>
        <v>6.2642070767998229E-2</v>
      </c>
      <c r="J289" s="1082">
        <f t="shared" si="69"/>
        <v>0</v>
      </c>
      <c r="K289" s="1061"/>
      <c r="L289" s="1305"/>
      <c r="M289" s="1086">
        <f t="shared" si="70"/>
        <v>0</v>
      </c>
      <c r="N289" s="506"/>
      <c r="O289" s="365">
        <f t="shared" si="71"/>
        <v>20</v>
      </c>
      <c r="P289" s="366"/>
      <c r="Q289" s="135"/>
      <c r="R289" s="136"/>
      <c r="S289" s="129"/>
      <c r="T289" s="129"/>
      <c r="U289" s="129"/>
      <c r="V289" s="129"/>
      <c r="W289" s="129"/>
      <c r="X289" s="129"/>
      <c r="Y289" s="129"/>
      <c r="Z289" s="133"/>
      <c r="AA289" s="133"/>
      <c r="AB289" s="133"/>
      <c r="AC289" s="133"/>
      <c r="AD289" s="133"/>
      <c r="AE289" s="133"/>
      <c r="AF289" s="222"/>
      <c r="AG289" s="222"/>
      <c r="AH289" s="222"/>
      <c r="AI289" s="176"/>
      <c r="AJ289" s="176"/>
      <c r="AK289" s="176"/>
      <c r="AL289" s="176"/>
      <c r="AM289" s="176"/>
      <c r="AN289" s="176"/>
      <c r="AO289" s="176"/>
      <c r="AP289" s="176"/>
      <c r="AQ289" s="176"/>
      <c r="AR289" s="176"/>
      <c r="AS289" s="176"/>
      <c r="AT289" s="176"/>
      <c r="AU289" s="176"/>
      <c r="AV289" s="176"/>
      <c r="AW289" s="176"/>
      <c r="AX289" s="176"/>
      <c r="AY289" s="176"/>
      <c r="AZ289" s="176"/>
      <c r="BA289" s="176"/>
      <c r="BB289" s="176"/>
      <c r="BC289" s="176"/>
      <c r="BD289" s="176"/>
      <c r="BE289" s="176"/>
      <c r="BF289" s="176"/>
      <c r="BG289" s="176"/>
      <c r="BH289" s="176"/>
      <c r="BI289" s="176"/>
      <c r="BJ289" s="176"/>
      <c r="BK289" s="176"/>
      <c r="BL289" s="176"/>
      <c r="BM289" s="176"/>
      <c r="BN289" s="176"/>
      <c r="BO289" s="176"/>
    </row>
    <row r="290" spans="1:67" s="36" customFormat="1" ht="10.5" customHeight="1" x14ac:dyDescent="0.2">
      <c r="A290" s="1043" t="s">
        <v>363</v>
      </c>
      <c r="B290" s="2594"/>
      <c r="C290" s="2595"/>
      <c r="D290" s="2596"/>
      <c r="E290" s="2395"/>
      <c r="F290" s="2789"/>
      <c r="G290" s="1058">
        <v>20</v>
      </c>
      <c r="H290" s="1059"/>
      <c r="I290" s="1081">
        <f t="shared" si="68"/>
        <v>6.2642070767998229E-2</v>
      </c>
      <c r="J290" s="1082">
        <f t="shared" si="69"/>
        <v>0</v>
      </c>
      <c r="K290" s="1061"/>
      <c r="L290" s="1305"/>
      <c r="M290" s="1086">
        <f t="shared" si="70"/>
        <v>0</v>
      </c>
      <c r="N290" s="506"/>
      <c r="O290" s="365">
        <f t="shared" si="71"/>
        <v>20</v>
      </c>
      <c r="P290" s="366"/>
      <c r="Q290" s="135"/>
      <c r="R290" s="136"/>
      <c r="S290" s="129"/>
      <c r="T290" s="129"/>
      <c r="U290" s="129"/>
      <c r="V290" s="129"/>
      <c r="W290" s="129"/>
      <c r="X290" s="129"/>
      <c r="Y290" s="129"/>
      <c r="Z290" s="133"/>
      <c r="AA290" s="133"/>
      <c r="AB290" s="133"/>
      <c r="AC290" s="133"/>
      <c r="AD290" s="133"/>
      <c r="AE290" s="133"/>
      <c r="AF290" s="222"/>
      <c r="AG290" s="222"/>
      <c r="AH290" s="222"/>
      <c r="AI290" s="176"/>
      <c r="AJ290" s="176"/>
      <c r="AK290" s="176"/>
      <c r="AL290" s="176"/>
      <c r="AM290" s="176"/>
      <c r="AN290" s="176"/>
      <c r="AO290" s="176"/>
      <c r="AP290" s="176"/>
      <c r="AQ290" s="176"/>
      <c r="AR290" s="176"/>
      <c r="AS290" s="176"/>
      <c r="AT290" s="176"/>
      <c r="AU290" s="176"/>
      <c r="AV290" s="176"/>
      <c r="AW290" s="176"/>
      <c r="AX290" s="176"/>
      <c r="AY290" s="176"/>
      <c r="AZ290" s="176"/>
      <c r="BA290" s="176"/>
      <c r="BB290" s="176"/>
      <c r="BC290" s="176"/>
      <c r="BD290" s="176"/>
      <c r="BE290" s="176"/>
      <c r="BF290" s="176"/>
      <c r="BG290" s="176"/>
      <c r="BH290" s="176"/>
      <c r="BI290" s="176"/>
      <c r="BJ290" s="176"/>
      <c r="BK290" s="176"/>
      <c r="BL290" s="176"/>
      <c r="BM290" s="176"/>
      <c r="BN290" s="176"/>
      <c r="BO290" s="176"/>
    </row>
    <row r="291" spans="1:67" s="36" customFormat="1" ht="10.5" customHeight="1" x14ac:dyDescent="0.2">
      <c r="A291" s="1055"/>
      <c r="B291" s="2594"/>
      <c r="C291" s="2595"/>
      <c r="D291" s="2596"/>
      <c r="E291" s="2395"/>
      <c r="F291" s="2396"/>
      <c r="G291" s="2590"/>
      <c r="H291" s="2591"/>
      <c r="I291" s="1081">
        <f t="shared" si="68"/>
        <v>0</v>
      </c>
      <c r="J291" s="1082">
        <f t="shared" si="69"/>
        <v>0</v>
      </c>
      <c r="K291" s="2588"/>
      <c r="L291" s="2589"/>
      <c r="M291" s="1086">
        <f t="shared" si="70"/>
        <v>0</v>
      </c>
      <c r="N291" s="506"/>
      <c r="O291" s="365">
        <f t="shared" si="71"/>
        <v>0</v>
      </c>
      <c r="P291" s="366"/>
      <c r="Q291" s="135"/>
      <c r="R291" s="136"/>
      <c r="S291" s="129"/>
      <c r="T291" s="129"/>
      <c r="U291" s="129"/>
      <c r="V291" s="129"/>
      <c r="W291" s="129"/>
      <c r="X291" s="129"/>
      <c r="Y291" s="129"/>
      <c r="Z291" s="133"/>
      <c r="AA291" s="133"/>
      <c r="AB291" s="133"/>
      <c r="AC291" s="133"/>
      <c r="AD291" s="133"/>
      <c r="AE291" s="133"/>
      <c r="AF291" s="222"/>
      <c r="AG291" s="222"/>
      <c r="AH291" s="222"/>
      <c r="AI291" s="176"/>
      <c r="AJ291" s="176"/>
      <c r="AK291" s="176"/>
      <c r="AL291" s="176"/>
      <c r="AM291" s="176"/>
      <c r="AN291" s="176"/>
      <c r="AO291" s="176"/>
      <c r="AP291" s="176"/>
      <c r="AQ291" s="176"/>
      <c r="AR291" s="176"/>
      <c r="AS291" s="176"/>
      <c r="AT291" s="176"/>
      <c r="AU291" s="176"/>
      <c r="AV291" s="176"/>
      <c r="AW291" s="176"/>
      <c r="AX291" s="176"/>
      <c r="AY291" s="176"/>
      <c r="AZ291" s="176"/>
      <c r="BA291" s="176"/>
      <c r="BB291" s="176"/>
      <c r="BC291" s="176"/>
      <c r="BD291" s="176"/>
      <c r="BE291" s="176"/>
      <c r="BF291" s="176"/>
      <c r="BG291" s="176"/>
      <c r="BH291" s="176"/>
      <c r="BI291" s="176"/>
      <c r="BJ291" s="176"/>
      <c r="BK291" s="176"/>
      <c r="BL291" s="176"/>
      <c r="BM291" s="176"/>
      <c r="BN291" s="176"/>
      <c r="BO291" s="176"/>
    </row>
    <row r="292" spans="1:67" s="36" customFormat="1" ht="10.5" customHeight="1" x14ac:dyDescent="0.2">
      <c r="A292" s="1055"/>
      <c r="B292" s="2594"/>
      <c r="C292" s="2595"/>
      <c r="D292" s="2596"/>
      <c r="E292" s="2395"/>
      <c r="F292" s="2396"/>
      <c r="G292" s="2590"/>
      <c r="H292" s="2591"/>
      <c r="I292" s="1081">
        <f t="shared" si="68"/>
        <v>0</v>
      </c>
      <c r="J292" s="1082">
        <f t="shared" si="69"/>
        <v>0</v>
      </c>
      <c r="K292" s="2588"/>
      <c r="L292" s="2589"/>
      <c r="M292" s="1086">
        <f t="shared" si="70"/>
        <v>0</v>
      </c>
      <c r="N292" s="506"/>
      <c r="O292" s="365">
        <f t="shared" si="71"/>
        <v>0</v>
      </c>
      <c r="P292" s="366"/>
      <c r="Q292" s="135"/>
      <c r="R292" s="136"/>
      <c r="S292" s="129"/>
      <c r="T292" s="129"/>
      <c r="U292" s="129"/>
      <c r="V292" s="129"/>
      <c r="W292" s="129"/>
      <c r="X292" s="129"/>
      <c r="Y292" s="129"/>
      <c r="Z292" s="133"/>
      <c r="AA292" s="133"/>
      <c r="AB292" s="133"/>
      <c r="AC292" s="133"/>
      <c r="AD292" s="133"/>
      <c r="AE292" s="133"/>
      <c r="AF292" s="222"/>
      <c r="AG292" s="222"/>
      <c r="AH292" s="222"/>
      <c r="AI292" s="176"/>
      <c r="AJ292" s="176"/>
      <c r="AK292" s="176"/>
      <c r="AL292" s="176"/>
      <c r="AM292" s="176"/>
      <c r="AN292" s="176"/>
      <c r="AO292" s="176"/>
      <c r="AP292" s="176"/>
      <c r="AQ292" s="176"/>
      <c r="AR292" s="176"/>
      <c r="AS292" s="176"/>
      <c r="AT292" s="176"/>
      <c r="AU292" s="176"/>
      <c r="AV292" s="176"/>
      <c r="AW292" s="176"/>
      <c r="AX292" s="176"/>
      <c r="AY292" s="176"/>
      <c r="AZ292" s="176"/>
      <c r="BA292" s="176"/>
      <c r="BB292" s="176"/>
      <c r="BC292" s="176"/>
      <c r="BD292" s="176"/>
      <c r="BE292" s="176"/>
      <c r="BF292" s="176"/>
      <c r="BG292" s="176"/>
      <c r="BH292" s="176"/>
      <c r="BI292" s="176"/>
      <c r="BJ292" s="176"/>
      <c r="BK292" s="176"/>
      <c r="BL292" s="176"/>
      <c r="BM292" s="176"/>
      <c r="BN292" s="176"/>
      <c r="BO292" s="176"/>
    </row>
    <row r="293" spans="1:67" s="36" customFormat="1" ht="10.5" customHeight="1" x14ac:dyDescent="0.2">
      <c r="A293" s="1055"/>
      <c r="B293" s="2594"/>
      <c r="C293" s="2595"/>
      <c r="D293" s="2596"/>
      <c r="E293" s="2395"/>
      <c r="F293" s="2396"/>
      <c r="G293" s="2590"/>
      <c r="H293" s="2591"/>
      <c r="I293" s="1081">
        <f t="shared" si="68"/>
        <v>0</v>
      </c>
      <c r="J293" s="1082">
        <f t="shared" si="69"/>
        <v>0</v>
      </c>
      <c r="K293" s="2588"/>
      <c r="L293" s="2589"/>
      <c r="M293" s="1086">
        <f t="shared" si="70"/>
        <v>0</v>
      </c>
      <c r="N293" s="506"/>
      <c r="O293" s="365">
        <f t="shared" si="71"/>
        <v>0</v>
      </c>
      <c r="P293" s="366"/>
      <c r="Q293" s="135"/>
      <c r="R293" s="136"/>
      <c r="S293" s="129"/>
      <c r="T293" s="129"/>
      <c r="U293" s="129"/>
      <c r="V293" s="129"/>
      <c r="W293" s="129"/>
      <c r="X293" s="129"/>
      <c r="Y293" s="129"/>
      <c r="Z293" s="133"/>
      <c r="AA293" s="133"/>
      <c r="AB293" s="133"/>
      <c r="AC293" s="133"/>
      <c r="AD293" s="133"/>
      <c r="AE293" s="133"/>
      <c r="AF293" s="222"/>
      <c r="AG293" s="222"/>
      <c r="AH293" s="222"/>
      <c r="AI293" s="176"/>
      <c r="AJ293" s="176"/>
      <c r="AK293" s="176"/>
      <c r="AL293" s="176"/>
      <c r="AM293" s="176"/>
      <c r="AN293" s="176"/>
      <c r="AO293" s="176"/>
      <c r="AP293" s="176"/>
      <c r="AQ293" s="176"/>
      <c r="AR293" s="176"/>
      <c r="AS293" s="176"/>
      <c r="AT293" s="176"/>
      <c r="AU293" s="176"/>
      <c r="AV293" s="176"/>
      <c r="AW293" s="176"/>
      <c r="AX293" s="176"/>
      <c r="AY293" s="176"/>
      <c r="AZ293" s="176"/>
      <c r="BA293" s="176"/>
      <c r="BB293" s="176"/>
      <c r="BC293" s="176"/>
      <c r="BD293" s="176"/>
      <c r="BE293" s="176"/>
      <c r="BF293" s="176"/>
      <c r="BG293" s="176"/>
      <c r="BH293" s="176"/>
      <c r="BI293" s="176"/>
      <c r="BJ293" s="176"/>
      <c r="BK293" s="176"/>
      <c r="BL293" s="176"/>
      <c r="BM293" s="176"/>
      <c r="BN293" s="176"/>
      <c r="BO293" s="176"/>
    </row>
    <row r="294" spans="1:67" s="36" customFormat="1" ht="10.5" customHeight="1" x14ac:dyDescent="0.2">
      <c r="A294" s="1055"/>
      <c r="B294" s="2594"/>
      <c r="C294" s="2595"/>
      <c r="D294" s="2596"/>
      <c r="E294" s="2395"/>
      <c r="F294" s="2396"/>
      <c r="G294" s="2590"/>
      <c r="H294" s="2591"/>
      <c r="I294" s="1081">
        <f t="shared" si="68"/>
        <v>0</v>
      </c>
      <c r="J294" s="1082">
        <f t="shared" si="69"/>
        <v>0</v>
      </c>
      <c r="K294" s="2588"/>
      <c r="L294" s="2589"/>
      <c r="M294" s="1086">
        <f t="shared" si="70"/>
        <v>0</v>
      </c>
      <c r="N294" s="506"/>
      <c r="O294" s="365">
        <f t="shared" si="71"/>
        <v>0</v>
      </c>
      <c r="P294" s="366"/>
      <c r="Q294" s="135"/>
      <c r="R294" s="136"/>
      <c r="S294" s="129"/>
      <c r="T294" s="129"/>
      <c r="U294" s="129"/>
      <c r="V294" s="129"/>
      <c r="W294" s="129"/>
      <c r="X294" s="129"/>
      <c r="Y294" s="129"/>
      <c r="Z294" s="133"/>
      <c r="AA294" s="133"/>
      <c r="AB294" s="133"/>
      <c r="AC294" s="133"/>
      <c r="AD294" s="133"/>
      <c r="AE294" s="133"/>
      <c r="AF294" s="222"/>
      <c r="AG294" s="222"/>
      <c r="AH294" s="222"/>
      <c r="AI294" s="176"/>
      <c r="AJ294" s="176"/>
      <c r="AK294" s="176"/>
      <c r="AL294" s="176"/>
      <c r="AM294" s="176"/>
      <c r="AN294" s="176"/>
      <c r="AO294" s="176"/>
      <c r="AP294" s="176"/>
      <c r="AQ294" s="176"/>
      <c r="AR294" s="176"/>
      <c r="AS294" s="176"/>
      <c r="AT294" s="176"/>
      <c r="AU294" s="176"/>
      <c r="AV294" s="176"/>
      <c r="AW294" s="176"/>
      <c r="AX294" s="176"/>
      <c r="AY294" s="176"/>
      <c r="AZ294" s="176"/>
      <c r="BA294" s="176"/>
      <c r="BB294" s="176"/>
      <c r="BC294" s="176"/>
      <c r="BD294" s="176"/>
      <c r="BE294" s="176"/>
      <c r="BF294" s="176"/>
      <c r="BG294" s="176"/>
      <c r="BH294" s="176"/>
      <c r="BI294" s="176"/>
      <c r="BJ294" s="176"/>
      <c r="BK294" s="176"/>
      <c r="BL294" s="176"/>
      <c r="BM294" s="176"/>
      <c r="BN294" s="176"/>
      <c r="BO294" s="176"/>
    </row>
    <row r="295" spans="1:67" s="36" customFormat="1" ht="10.5" customHeight="1" x14ac:dyDescent="0.2">
      <c r="A295" s="1055"/>
      <c r="B295" s="2594"/>
      <c r="C295" s="2595"/>
      <c r="D295" s="2596"/>
      <c r="E295" s="2395"/>
      <c r="F295" s="2396"/>
      <c r="G295" s="2590"/>
      <c r="H295" s="2591"/>
      <c r="I295" s="1081">
        <f t="shared" si="68"/>
        <v>0</v>
      </c>
      <c r="J295" s="1082">
        <f t="shared" si="69"/>
        <v>0</v>
      </c>
      <c r="K295" s="2588"/>
      <c r="L295" s="2589"/>
      <c r="M295" s="1086">
        <f t="shared" si="70"/>
        <v>0</v>
      </c>
      <c r="N295" s="506"/>
      <c r="O295" s="365">
        <f t="shared" si="71"/>
        <v>0</v>
      </c>
      <c r="P295" s="366"/>
      <c r="Q295" s="135"/>
      <c r="R295" s="136"/>
      <c r="S295" s="129"/>
      <c r="T295" s="129"/>
      <c r="U295" s="129"/>
      <c r="V295" s="129"/>
      <c r="W295" s="129"/>
      <c r="X295" s="129"/>
      <c r="Y295" s="129"/>
      <c r="Z295" s="133"/>
      <c r="AA295" s="133"/>
      <c r="AB295" s="133"/>
      <c r="AC295" s="133"/>
      <c r="AD295" s="133"/>
      <c r="AE295" s="133"/>
      <c r="AF295" s="222"/>
      <c r="AG295" s="222"/>
      <c r="AH295" s="222"/>
      <c r="AI295" s="176"/>
      <c r="AJ295" s="176"/>
      <c r="AK295" s="176"/>
      <c r="AL295" s="176"/>
      <c r="AM295" s="176"/>
      <c r="AN295" s="176"/>
      <c r="AO295" s="176"/>
      <c r="AP295" s="176"/>
      <c r="AQ295" s="176"/>
      <c r="AR295" s="176"/>
      <c r="AS295" s="176"/>
      <c r="AT295" s="176"/>
      <c r="AU295" s="176"/>
      <c r="AV295" s="176"/>
      <c r="AW295" s="176"/>
      <c r="AX295" s="176"/>
      <c r="AY295" s="176"/>
      <c r="AZ295" s="176"/>
      <c r="BA295" s="176"/>
      <c r="BB295" s="176"/>
      <c r="BC295" s="176"/>
      <c r="BD295" s="176"/>
      <c r="BE295" s="176"/>
      <c r="BF295" s="176"/>
      <c r="BG295" s="176"/>
      <c r="BH295" s="176"/>
      <c r="BI295" s="176"/>
      <c r="BJ295" s="176"/>
      <c r="BK295" s="176"/>
      <c r="BL295" s="176"/>
      <c r="BM295" s="176"/>
      <c r="BN295" s="176"/>
      <c r="BO295" s="176"/>
    </row>
    <row r="296" spans="1:67" s="36" customFormat="1" ht="10.5" customHeight="1" x14ac:dyDescent="0.2">
      <c r="A296" s="1348"/>
      <c r="B296" s="2690"/>
      <c r="C296" s="2691"/>
      <c r="D296" s="2692"/>
      <c r="E296" s="2601"/>
      <c r="F296" s="2602"/>
      <c r="G296" s="1088"/>
      <c r="H296" s="1089"/>
      <c r="I296" s="1083">
        <f t="shared" si="68"/>
        <v>0</v>
      </c>
      <c r="J296" s="1084"/>
      <c r="K296" s="1087"/>
      <c r="L296" s="1307"/>
      <c r="M296" s="1317">
        <f t="shared" si="70"/>
        <v>0</v>
      </c>
      <c r="N296" s="506"/>
      <c r="O296" s="365">
        <f t="shared" si="71"/>
        <v>0</v>
      </c>
      <c r="P296" s="366"/>
      <c r="Q296" s="135"/>
      <c r="R296" s="136"/>
      <c r="S296" s="129"/>
      <c r="T296" s="129"/>
      <c r="U296" s="129"/>
      <c r="V296" s="129"/>
      <c r="W296" s="129"/>
      <c r="X296" s="129"/>
      <c r="Y296" s="129"/>
      <c r="Z296" s="133"/>
      <c r="AA296" s="133"/>
      <c r="AB296" s="133"/>
      <c r="AC296" s="133"/>
      <c r="AD296" s="133"/>
      <c r="AE296" s="133"/>
      <c r="AF296" s="222"/>
      <c r="AG296" s="222"/>
      <c r="AH296" s="222"/>
      <c r="AI296" s="176"/>
      <c r="AJ296" s="176"/>
      <c r="AK296" s="176"/>
      <c r="AL296" s="176"/>
      <c r="AM296" s="176"/>
      <c r="AN296" s="176"/>
      <c r="AO296" s="176"/>
      <c r="AP296" s="176"/>
      <c r="AQ296" s="176"/>
      <c r="AR296" s="176"/>
      <c r="AS296" s="176"/>
      <c r="AT296" s="176"/>
      <c r="AU296" s="176"/>
      <c r="AV296" s="176"/>
      <c r="AW296" s="176"/>
      <c r="AX296" s="176"/>
      <c r="AY296" s="176"/>
      <c r="AZ296" s="176"/>
      <c r="BA296" s="176"/>
      <c r="BB296" s="176"/>
      <c r="BC296" s="176"/>
      <c r="BD296" s="176"/>
      <c r="BE296" s="176"/>
      <c r="BF296" s="176"/>
      <c r="BG296" s="176"/>
      <c r="BH296" s="176"/>
      <c r="BI296" s="176"/>
      <c r="BJ296" s="176"/>
      <c r="BK296" s="176"/>
      <c r="BL296" s="176"/>
      <c r="BM296" s="176"/>
      <c r="BN296" s="176"/>
      <c r="BO296" s="176"/>
    </row>
    <row r="297" spans="1:67" s="36" customFormat="1" ht="10.5" customHeight="1" x14ac:dyDescent="0.2">
      <c r="A297" s="1115" t="s">
        <v>364</v>
      </c>
      <c r="B297" s="2611"/>
      <c r="C297" s="2612"/>
      <c r="D297" s="2613"/>
      <c r="E297" s="2676">
        <f>SUM(E298:E310)</f>
        <v>0</v>
      </c>
      <c r="F297" s="2677"/>
      <c r="G297" s="2678"/>
      <c r="H297" s="2679"/>
      <c r="I297" s="1116">
        <f>IF(E297=0,0,J297/E297)</f>
        <v>0</v>
      </c>
      <c r="J297" s="1117">
        <f>SUM(J298:J310)</f>
        <v>0</v>
      </c>
      <c r="K297" s="2686">
        <f>IF(E297=0,0,M297/E297*100)</f>
        <v>0</v>
      </c>
      <c r="L297" s="2687"/>
      <c r="M297" s="1118">
        <f>SUM(M298:M310)</f>
        <v>0</v>
      </c>
      <c r="N297" s="506"/>
      <c r="O297" s="178">
        <f>IF(H297="",G297,H297)</f>
        <v>0</v>
      </c>
      <c r="P297" s="366"/>
      <c r="Q297" s="135"/>
      <c r="R297" s="136"/>
      <c r="S297" s="129"/>
      <c r="T297" s="129"/>
      <c r="U297" s="129"/>
      <c r="V297" s="129"/>
      <c r="W297" s="129"/>
      <c r="X297" s="129"/>
      <c r="Y297" s="129"/>
      <c r="Z297" s="133"/>
      <c r="AA297" s="133"/>
      <c r="AB297" s="133"/>
      <c r="AC297" s="133"/>
      <c r="AD297" s="133"/>
      <c r="AE297" s="133"/>
      <c r="AF297" s="222"/>
      <c r="AG297" s="222"/>
      <c r="AH297" s="222"/>
      <c r="AI297" s="176"/>
      <c r="AJ297" s="176"/>
      <c r="AK297" s="176"/>
      <c r="AL297" s="176"/>
      <c r="AM297" s="176"/>
      <c r="AN297" s="176"/>
      <c r="AO297" s="176"/>
      <c r="AP297" s="176"/>
      <c r="AQ297" s="176"/>
      <c r="AR297" s="176"/>
      <c r="AS297" s="176"/>
      <c r="AT297" s="176"/>
      <c r="AU297" s="176"/>
      <c r="AV297" s="176"/>
      <c r="AW297" s="176"/>
      <c r="AX297" s="176"/>
      <c r="AY297" s="176"/>
      <c r="AZ297" s="176"/>
      <c r="BA297" s="176"/>
      <c r="BB297" s="176"/>
      <c r="BC297" s="176"/>
      <c r="BD297" s="176"/>
      <c r="BE297" s="176"/>
      <c r="BF297" s="176"/>
      <c r="BG297" s="176"/>
      <c r="BH297" s="176"/>
      <c r="BI297" s="176"/>
      <c r="BJ297" s="176"/>
      <c r="BK297" s="176"/>
      <c r="BL297" s="176"/>
      <c r="BM297" s="176"/>
      <c r="BN297" s="176"/>
      <c r="BO297" s="176"/>
    </row>
    <row r="298" spans="1:67" s="36" customFormat="1" ht="10.5" customHeight="1" x14ac:dyDescent="0.2">
      <c r="A298" s="1055"/>
      <c r="B298" s="2594"/>
      <c r="C298" s="2595"/>
      <c r="D298" s="2596"/>
      <c r="E298" s="2395"/>
      <c r="F298" s="2396"/>
      <c r="G298" s="2590"/>
      <c r="H298" s="2591"/>
      <c r="I298" s="1081">
        <f t="shared" ref="I298:I311" si="72">IF($O298&gt;0,-PMT(($I$9),$O298,1),0)</f>
        <v>0</v>
      </c>
      <c r="J298" s="1082">
        <f t="shared" ref="J298:J310" si="73">ROUND(E298*I298,0)</f>
        <v>0</v>
      </c>
      <c r="K298" s="2588"/>
      <c r="L298" s="2589"/>
      <c r="M298" s="1086">
        <f t="shared" ref="M298:M311" si="74">ROUND(E298/100*IF(ISBLANK(L298),K298,L298),0)</f>
        <v>0</v>
      </c>
      <c r="N298" s="506"/>
      <c r="O298" s="365">
        <f t="shared" ref="O298:O311" si="75">IF(ISBLANK(H298),G298,H298)</f>
        <v>0</v>
      </c>
      <c r="P298" s="366"/>
      <c r="Q298" s="135"/>
      <c r="R298" s="136"/>
      <c r="S298" s="129"/>
      <c r="T298" s="129"/>
      <c r="U298" s="129"/>
      <c r="V298" s="129"/>
      <c r="W298" s="129"/>
      <c r="X298" s="129"/>
      <c r="Y298" s="129"/>
      <c r="Z298" s="133"/>
      <c r="AA298" s="133"/>
      <c r="AB298" s="133"/>
      <c r="AC298" s="133"/>
      <c r="AD298" s="133"/>
      <c r="AE298" s="133"/>
      <c r="AF298" s="222"/>
      <c r="AG298" s="222"/>
      <c r="AH298" s="222"/>
      <c r="AI298" s="176"/>
      <c r="AJ298" s="176"/>
      <c r="AK298" s="176"/>
      <c r="AL298" s="176"/>
      <c r="AM298" s="176"/>
      <c r="AN298" s="176"/>
      <c r="AO298" s="176"/>
      <c r="AP298" s="176"/>
      <c r="AQ298" s="176"/>
      <c r="AR298" s="176"/>
      <c r="AS298" s="176"/>
      <c r="AT298" s="176"/>
      <c r="AU298" s="176"/>
      <c r="AV298" s="176"/>
      <c r="AW298" s="176"/>
      <c r="AX298" s="176"/>
      <c r="AY298" s="176"/>
      <c r="AZ298" s="176"/>
      <c r="BA298" s="176"/>
      <c r="BB298" s="176"/>
      <c r="BC298" s="176"/>
      <c r="BD298" s="176"/>
      <c r="BE298" s="176"/>
      <c r="BF298" s="176"/>
      <c r="BG298" s="176"/>
      <c r="BH298" s="176"/>
      <c r="BI298" s="176"/>
      <c r="BJ298" s="176"/>
      <c r="BK298" s="176"/>
      <c r="BL298" s="176"/>
      <c r="BM298" s="176"/>
      <c r="BN298" s="176"/>
      <c r="BO298" s="176"/>
    </row>
    <row r="299" spans="1:67" s="36" customFormat="1" ht="10.5" customHeight="1" x14ac:dyDescent="0.2">
      <c r="A299" s="1055"/>
      <c r="B299" s="2594"/>
      <c r="C299" s="2595"/>
      <c r="D299" s="2596"/>
      <c r="E299" s="2395"/>
      <c r="F299" s="2396"/>
      <c r="G299" s="2590"/>
      <c r="H299" s="2591"/>
      <c r="I299" s="1081">
        <f t="shared" si="72"/>
        <v>0</v>
      </c>
      <c r="J299" s="1082">
        <f t="shared" si="73"/>
        <v>0</v>
      </c>
      <c r="K299" s="2588"/>
      <c r="L299" s="2589"/>
      <c r="M299" s="1086">
        <f t="shared" si="74"/>
        <v>0</v>
      </c>
      <c r="N299" s="506"/>
      <c r="O299" s="365">
        <f t="shared" si="75"/>
        <v>0</v>
      </c>
      <c r="P299" s="366"/>
      <c r="Q299" s="135"/>
      <c r="R299" s="136"/>
      <c r="S299" s="129"/>
      <c r="T299" s="129"/>
      <c r="U299" s="129"/>
      <c r="V299" s="129"/>
      <c r="W299" s="129"/>
      <c r="X299" s="129"/>
      <c r="Y299" s="129"/>
      <c r="Z299" s="133"/>
      <c r="AA299" s="133"/>
      <c r="AB299" s="133"/>
      <c r="AC299" s="133"/>
      <c r="AD299" s="133"/>
      <c r="AE299" s="133"/>
      <c r="AF299" s="222"/>
      <c r="AG299" s="222"/>
      <c r="AH299" s="222"/>
      <c r="AI299" s="176"/>
      <c r="AJ299" s="176"/>
      <c r="AK299" s="176"/>
      <c r="AL299" s="176"/>
      <c r="AM299" s="176"/>
      <c r="AN299" s="176"/>
      <c r="AO299" s="176"/>
      <c r="AP299" s="176"/>
      <c r="AQ299" s="176"/>
      <c r="AR299" s="176"/>
      <c r="AS299" s="176"/>
      <c r="AT299" s="176"/>
      <c r="AU299" s="176"/>
      <c r="AV299" s="176"/>
      <c r="AW299" s="176"/>
      <c r="AX299" s="176"/>
      <c r="AY299" s="176"/>
      <c r="AZ299" s="176"/>
      <c r="BA299" s="176"/>
      <c r="BB299" s="176"/>
      <c r="BC299" s="176"/>
      <c r="BD299" s="176"/>
      <c r="BE299" s="176"/>
      <c r="BF299" s="176"/>
      <c r="BG299" s="176"/>
      <c r="BH299" s="176"/>
      <c r="BI299" s="176"/>
      <c r="BJ299" s="176"/>
      <c r="BK299" s="176"/>
      <c r="BL299" s="176"/>
      <c r="BM299" s="176"/>
      <c r="BN299" s="176"/>
      <c r="BO299" s="176"/>
    </row>
    <row r="300" spans="1:67" s="36" customFormat="1" ht="10.5" customHeight="1" x14ac:dyDescent="0.2">
      <c r="A300" s="1055"/>
      <c r="B300" s="2594"/>
      <c r="C300" s="2595"/>
      <c r="D300" s="2596"/>
      <c r="E300" s="2395"/>
      <c r="F300" s="2396"/>
      <c r="G300" s="2590"/>
      <c r="H300" s="2591"/>
      <c r="I300" s="1081">
        <f t="shared" si="72"/>
        <v>0</v>
      </c>
      <c r="J300" s="1082">
        <f t="shared" si="73"/>
        <v>0</v>
      </c>
      <c r="K300" s="2588"/>
      <c r="L300" s="2589"/>
      <c r="M300" s="1086">
        <f t="shared" si="74"/>
        <v>0</v>
      </c>
      <c r="N300" s="506"/>
      <c r="O300" s="365">
        <f t="shared" si="75"/>
        <v>0</v>
      </c>
      <c r="P300" s="366"/>
      <c r="Q300" s="135"/>
      <c r="R300" s="136"/>
      <c r="S300" s="129"/>
      <c r="T300" s="129"/>
      <c r="U300" s="129"/>
      <c r="V300" s="129"/>
      <c r="W300" s="129"/>
      <c r="X300" s="129"/>
      <c r="Y300" s="129"/>
      <c r="Z300" s="133"/>
      <c r="AA300" s="133"/>
      <c r="AB300" s="133"/>
      <c r="AC300" s="133"/>
      <c r="AD300" s="133"/>
      <c r="AE300" s="133"/>
      <c r="AF300" s="222"/>
      <c r="AG300" s="222"/>
      <c r="AH300" s="222"/>
      <c r="AI300" s="176"/>
      <c r="AJ300" s="176"/>
      <c r="AK300" s="176"/>
      <c r="AL300" s="176"/>
      <c r="AM300" s="176"/>
      <c r="AN300" s="176"/>
      <c r="AO300" s="176"/>
      <c r="AP300" s="176"/>
      <c r="AQ300" s="176"/>
      <c r="AR300" s="176"/>
      <c r="AS300" s="176"/>
      <c r="AT300" s="176"/>
      <c r="AU300" s="176"/>
      <c r="AV300" s="176"/>
      <c r="AW300" s="176"/>
      <c r="AX300" s="176"/>
      <c r="AY300" s="176"/>
      <c r="AZ300" s="176"/>
      <c r="BA300" s="176"/>
      <c r="BB300" s="176"/>
      <c r="BC300" s="176"/>
      <c r="BD300" s="176"/>
      <c r="BE300" s="176"/>
      <c r="BF300" s="176"/>
      <c r="BG300" s="176"/>
      <c r="BH300" s="176"/>
      <c r="BI300" s="176"/>
      <c r="BJ300" s="176"/>
      <c r="BK300" s="176"/>
      <c r="BL300" s="176"/>
      <c r="BM300" s="176"/>
      <c r="BN300" s="176"/>
      <c r="BO300" s="176"/>
    </row>
    <row r="301" spans="1:67" s="36" customFormat="1" ht="10.5" customHeight="1" x14ac:dyDescent="0.2">
      <c r="A301" s="1055"/>
      <c r="B301" s="2594"/>
      <c r="C301" s="2595"/>
      <c r="D301" s="2596"/>
      <c r="E301" s="2395"/>
      <c r="F301" s="2396"/>
      <c r="G301" s="2590"/>
      <c r="H301" s="2591"/>
      <c r="I301" s="1081">
        <f t="shared" si="72"/>
        <v>0</v>
      </c>
      <c r="J301" s="1082">
        <f t="shared" si="73"/>
        <v>0</v>
      </c>
      <c r="K301" s="2588"/>
      <c r="L301" s="2589"/>
      <c r="M301" s="1086">
        <f t="shared" si="74"/>
        <v>0</v>
      </c>
      <c r="N301" s="506"/>
      <c r="O301" s="365">
        <f t="shared" si="75"/>
        <v>0</v>
      </c>
      <c r="P301" s="366"/>
      <c r="Q301" s="135"/>
      <c r="R301" s="136"/>
      <c r="S301" s="129"/>
      <c r="T301" s="129"/>
      <c r="U301" s="129"/>
      <c r="V301" s="129"/>
      <c r="W301" s="129"/>
      <c r="X301" s="129"/>
      <c r="Y301" s="129"/>
      <c r="Z301" s="133"/>
      <c r="AA301" s="133"/>
      <c r="AB301" s="133"/>
      <c r="AC301" s="133"/>
      <c r="AD301" s="133"/>
      <c r="AE301" s="133"/>
      <c r="AF301" s="222"/>
      <c r="AG301" s="222"/>
      <c r="AH301" s="222"/>
      <c r="AI301" s="176"/>
      <c r="AJ301" s="176"/>
      <c r="AK301" s="176"/>
      <c r="AL301" s="176"/>
      <c r="AM301" s="176"/>
      <c r="AN301" s="176"/>
      <c r="AO301" s="176"/>
      <c r="AP301" s="176"/>
      <c r="AQ301" s="176"/>
      <c r="AR301" s="176"/>
      <c r="AS301" s="176"/>
      <c r="AT301" s="176"/>
      <c r="AU301" s="176"/>
      <c r="AV301" s="176"/>
      <c r="AW301" s="176"/>
      <c r="AX301" s="176"/>
      <c r="AY301" s="176"/>
      <c r="AZ301" s="176"/>
      <c r="BA301" s="176"/>
      <c r="BB301" s="176"/>
      <c r="BC301" s="176"/>
      <c r="BD301" s="176"/>
      <c r="BE301" s="176"/>
      <c r="BF301" s="176"/>
      <c r="BG301" s="176"/>
      <c r="BH301" s="176"/>
      <c r="BI301" s="176"/>
      <c r="BJ301" s="176"/>
      <c r="BK301" s="176"/>
      <c r="BL301" s="176"/>
      <c r="BM301" s="176"/>
      <c r="BN301" s="176"/>
      <c r="BO301" s="176"/>
    </row>
    <row r="302" spans="1:67" s="36" customFormat="1" ht="10.5" customHeight="1" x14ac:dyDescent="0.2">
      <c r="A302" s="1055"/>
      <c r="B302" s="2594"/>
      <c r="C302" s="2595"/>
      <c r="D302" s="2596"/>
      <c r="E302" s="2395"/>
      <c r="F302" s="2396"/>
      <c r="G302" s="2590"/>
      <c r="H302" s="2591"/>
      <c r="I302" s="1081">
        <f t="shared" si="72"/>
        <v>0</v>
      </c>
      <c r="J302" s="1082">
        <f t="shared" si="73"/>
        <v>0</v>
      </c>
      <c r="K302" s="2588"/>
      <c r="L302" s="2589"/>
      <c r="M302" s="1086">
        <f t="shared" si="74"/>
        <v>0</v>
      </c>
      <c r="N302" s="506"/>
      <c r="O302" s="365">
        <f t="shared" si="75"/>
        <v>0</v>
      </c>
      <c r="P302" s="366"/>
      <c r="Q302" s="135"/>
      <c r="R302" s="136"/>
      <c r="S302" s="129"/>
      <c r="T302" s="129"/>
      <c r="U302" s="129"/>
      <c r="V302" s="129"/>
      <c r="W302" s="129"/>
      <c r="X302" s="129"/>
      <c r="Y302" s="129"/>
      <c r="Z302" s="133"/>
      <c r="AA302" s="133"/>
      <c r="AB302" s="133"/>
      <c r="AC302" s="133"/>
      <c r="AD302" s="133"/>
      <c r="AE302" s="133"/>
      <c r="AF302" s="222"/>
      <c r="AG302" s="222"/>
      <c r="AH302" s="222"/>
      <c r="AI302" s="176"/>
      <c r="AJ302" s="176"/>
      <c r="AK302" s="176"/>
      <c r="AL302" s="176"/>
      <c r="AM302" s="176"/>
      <c r="AN302" s="176"/>
      <c r="AO302" s="176"/>
      <c r="AP302" s="176"/>
      <c r="AQ302" s="176"/>
      <c r="AR302" s="176"/>
      <c r="AS302" s="176"/>
      <c r="AT302" s="176"/>
      <c r="AU302" s="176"/>
      <c r="AV302" s="176"/>
      <c r="AW302" s="176"/>
      <c r="AX302" s="176"/>
      <c r="AY302" s="176"/>
      <c r="AZ302" s="176"/>
      <c r="BA302" s="176"/>
      <c r="BB302" s="176"/>
      <c r="BC302" s="176"/>
      <c r="BD302" s="176"/>
      <c r="BE302" s="176"/>
      <c r="BF302" s="176"/>
      <c r="BG302" s="176"/>
      <c r="BH302" s="176"/>
      <c r="BI302" s="176"/>
      <c r="BJ302" s="176"/>
      <c r="BK302" s="176"/>
      <c r="BL302" s="176"/>
      <c r="BM302" s="176"/>
      <c r="BN302" s="176"/>
      <c r="BO302" s="176"/>
    </row>
    <row r="303" spans="1:67" s="36" customFormat="1" ht="10.5" customHeight="1" x14ac:dyDescent="0.2">
      <c r="A303" s="1055"/>
      <c r="B303" s="2594"/>
      <c r="C303" s="2595"/>
      <c r="D303" s="2596"/>
      <c r="E303" s="2395"/>
      <c r="F303" s="2396"/>
      <c r="G303" s="2590"/>
      <c r="H303" s="2591"/>
      <c r="I303" s="1081">
        <f t="shared" si="72"/>
        <v>0</v>
      </c>
      <c r="J303" s="1082">
        <f t="shared" si="73"/>
        <v>0</v>
      </c>
      <c r="K303" s="2588"/>
      <c r="L303" s="2589"/>
      <c r="M303" s="1086">
        <f t="shared" si="74"/>
        <v>0</v>
      </c>
      <c r="N303" s="506"/>
      <c r="O303" s="365">
        <f t="shared" si="75"/>
        <v>0</v>
      </c>
      <c r="P303" s="366"/>
      <c r="Q303" s="135"/>
      <c r="R303" s="136"/>
      <c r="S303" s="129"/>
      <c r="T303" s="129"/>
      <c r="U303" s="129"/>
      <c r="V303" s="129"/>
      <c r="W303" s="129"/>
      <c r="X303" s="129"/>
      <c r="Y303" s="129"/>
      <c r="Z303" s="133"/>
      <c r="AA303" s="133"/>
      <c r="AB303" s="133"/>
      <c r="AC303" s="133"/>
      <c r="AD303" s="133"/>
      <c r="AE303" s="133"/>
      <c r="AF303" s="222"/>
      <c r="AG303" s="222"/>
      <c r="AH303" s="222"/>
      <c r="AI303" s="176"/>
      <c r="AJ303" s="176"/>
      <c r="AK303" s="176"/>
      <c r="AL303" s="176"/>
      <c r="AM303" s="176"/>
      <c r="AN303" s="176"/>
      <c r="AO303" s="176"/>
      <c r="AP303" s="176"/>
      <c r="AQ303" s="176"/>
      <c r="AR303" s="176"/>
      <c r="AS303" s="176"/>
      <c r="AT303" s="176"/>
      <c r="AU303" s="176"/>
      <c r="AV303" s="176"/>
      <c r="AW303" s="176"/>
      <c r="AX303" s="176"/>
      <c r="AY303" s="176"/>
      <c r="AZ303" s="176"/>
      <c r="BA303" s="176"/>
      <c r="BB303" s="176"/>
      <c r="BC303" s="176"/>
      <c r="BD303" s="176"/>
      <c r="BE303" s="176"/>
      <c r="BF303" s="176"/>
      <c r="BG303" s="176"/>
      <c r="BH303" s="176"/>
      <c r="BI303" s="176"/>
      <c r="BJ303" s="176"/>
      <c r="BK303" s="176"/>
      <c r="BL303" s="176"/>
      <c r="BM303" s="176"/>
      <c r="BN303" s="176"/>
      <c r="BO303" s="176"/>
    </row>
    <row r="304" spans="1:67" s="36" customFormat="1" ht="10.5" customHeight="1" x14ac:dyDescent="0.2">
      <c r="A304" s="1055"/>
      <c r="B304" s="2594"/>
      <c r="C304" s="2595"/>
      <c r="D304" s="2596"/>
      <c r="E304" s="2395"/>
      <c r="F304" s="2396"/>
      <c r="G304" s="2590"/>
      <c r="H304" s="2591"/>
      <c r="I304" s="1081">
        <f t="shared" si="72"/>
        <v>0</v>
      </c>
      <c r="J304" s="1082">
        <f t="shared" si="73"/>
        <v>0</v>
      </c>
      <c r="K304" s="2588"/>
      <c r="L304" s="2589"/>
      <c r="M304" s="1086">
        <f t="shared" si="74"/>
        <v>0</v>
      </c>
      <c r="N304" s="506"/>
      <c r="O304" s="365">
        <f t="shared" si="75"/>
        <v>0</v>
      </c>
      <c r="P304" s="366"/>
      <c r="Q304" s="135"/>
      <c r="R304" s="136"/>
      <c r="S304" s="129"/>
      <c r="T304" s="129"/>
      <c r="U304" s="129"/>
      <c r="V304" s="129"/>
      <c r="W304" s="129"/>
      <c r="X304" s="129"/>
      <c r="Y304" s="129"/>
      <c r="Z304" s="133"/>
      <c r="AA304" s="133"/>
      <c r="AB304" s="133"/>
      <c r="AC304" s="133"/>
      <c r="AD304" s="133"/>
      <c r="AE304" s="133"/>
      <c r="AF304" s="222"/>
      <c r="AG304" s="222"/>
      <c r="AH304" s="222"/>
      <c r="AI304" s="176"/>
      <c r="AJ304" s="176"/>
      <c r="AK304" s="176"/>
      <c r="AL304" s="176"/>
      <c r="AM304" s="176"/>
      <c r="AN304" s="176"/>
      <c r="AO304" s="176"/>
      <c r="AP304" s="176"/>
      <c r="AQ304" s="176"/>
      <c r="AR304" s="176"/>
      <c r="AS304" s="176"/>
      <c r="AT304" s="176"/>
      <c r="AU304" s="176"/>
      <c r="AV304" s="176"/>
      <c r="AW304" s="176"/>
      <c r="AX304" s="176"/>
      <c r="AY304" s="176"/>
      <c r="AZ304" s="176"/>
      <c r="BA304" s="176"/>
      <c r="BB304" s="176"/>
      <c r="BC304" s="176"/>
      <c r="BD304" s="176"/>
      <c r="BE304" s="176"/>
      <c r="BF304" s="176"/>
      <c r="BG304" s="176"/>
      <c r="BH304" s="176"/>
      <c r="BI304" s="176"/>
      <c r="BJ304" s="176"/>
      <c r="BK304" s="176"/>
      <c r="BL304" s="176"/>
      <c r="BM304" s="176"/>
      <c r="BN304" s="176"/>
      <c r="BO304" s="176"/>
    </row>
    <row r="305" spans="1:67" s="36" customFormat="1" ht="10.5" customHeight="1" x14ac:dyDescent="0.2">
      <c r="A305" s="1055"/>
      <c r="B305" s="2594"/>
      <c r="C305" s="2595"/>
      <c r="D305" s="2596"/>
      <c r="E305" s="2395"/>
      <c r="F305" s="2396"/>
      <c r="G305" s="2590"/>
      <c r="H305" s="2591"/>
      <c r="I305" s="1081">
        <f t="shared" si="72"/>
        <v>0</v>
      </c>
      <c r="J305" s="1082">
        <f t="shared" si="73"/>
        <v>0</v>
      </c>
      <c r="K305" s="2588"/>
      <c r="L305" s="2589"/>
      <c r="M305" s="1086">
        <f t="shared" si="74"/>
        <v>0</v>
      </c>
      <c r="N305" s="506"/>
      <c r="O305" s="365">
        <f t="shared" si="75"/>
        <v>0</v>
      </c>
      <c r="P305" s="366"/>
      <c r="Q305" s="135"/>
      <c r="R305" s="136"/>
      <c r="S305" s="129"/>
      <c r="T305" s="129"/>
      <c r="U305" s="129"/>
      <c r="V305" s="129"/>
      <c r="W305" s="129"/>
      <c r="X305" s="129"/>
      <c r="Y305" s="129"/>
      <c r="Z305" s="133"/>
      <c r="AA305" s="133"/>
      <c r="AB305" s="133"/>
      <c r="AC305" s="133"/>
      <c r="AD305" s="133"/>
      <c r="AE305" s="133"/>
      <c r="AF305" s="222"/>
      <c r="AG305" s="222"/>
      <c r="AH305" s="222"/>
      <c r="AI305" s="176"/>
      <c r="AJ305" s="176"/>
      <c r="AK305" s="176"/>
      <c r="AL305" s="176"/>
      <c r="AM305" s="176"/>
      <c r="AN305" s="176"/>
      <c r="AO305" s="176"/>
      <c r="AP305" s="176"/>
      <c r="AQ305" s="176"/>
      <c r="AR305" s="176"/>
      <c r="AS305" s="176"/>
      <c r="AT305" s="176"/>
      <c r="AU305" s="176"/>
      <c r="AV305" s="176"/>
      <c r="AW305" s="176"/>
      <c r="AX305" s="176"/>
      <c r="AY305" s="176"/>
      <c r="AZ305" s="176"/>
      <c r="BA305" s="176"/>
      <c r="BB305" s="176"/>
      <c r="BC305" s="176"/>
      <c r="BD305" s="176"/>
      <c r="BE305" s="176"/>
      <c r="BF305" s="176"/>
      <c r="BG305" s="176"/>
      <c r="BH305" s="176"/>
      <c r="BI305" s="176"/>
      <c r="BJ305" s="176"/>
      <c r="BK305" s="176"/>
      <c r="BL305" s="176"/>
      <c r="BM305" s="176"/>
      <c r="BN305" s="176"/>
      <c r="BO305" s="176"/>
    </row>
    <row r="306" spans="1:67" s="36" customFormat="1" ht="10.5" customHeight="1" x14ac:dyDescent="0.2">
      <c r="A306" s="1055"/>
      <c r="B306" s="2594"/>
      <c r="C306" s="2595"/>
      <c r="D306" s="2596"/>
      <c r="E306" s="2395"/>
      <c r="F306" s="2396"/>
      <c r="G306" s="2590"/>
      <c r="H306" s="2591"/>
      <c r="I306" s="1081">
        <f t="shared" si="72"/>
        <v>0</v>
      </c>
      <c r="J306" s="1082">
        <f t="shared" si="73"/>
        <v>0</v>
      </c>
      <c r="K306" s="2588"/>
      <c r="L306" s="2589"/>
      <c r="M306" s="1086">
        <f t="shared" si="74"/>
        <v>0</v>
      </c>
      <c r="N306" s="506"/>
      <c r="O306" s="365">
        <f t="shared" si="75"/>
        <v>0</v>
      </c>
      <c r="P306" s="366"/>
      <c r="Q306" s="135"/>
      <c r="R306" s="136"/>
      <c r="S306" s="129"/>
      <c r="T306" s="129"/>
      <c r="U306" s="129"/>
      <c r="V306" s="129"/>
      <c r="W306" s="129"/>
      <c r="X306" s="129"/>
      <c r="Y306" s="129"/>
      <c r="Z306" s="133"/>
      <c r="AA306" s="133"/>
      <c r="AB306" s="133"/>
      <c r="AC306" s="133"/>
      <c r="AD306" s="133"/>
      <c r="AE306" s="133"/>
      <c r="AF306" s="222"/>
      <c r="AG306" s="222"/>
      <c r="AH306" s="222"/>
      <c r="AI306" s="176"/>
      <c r="AJ306" s="176"/>
      <c r="AK306" s="176"/>
      <c r="AL306" s="176"/>
      <c r="AM306" s="176"/>
      <c r="AN306" s="176"/>
      <c r="AO306" s="176"/>
      <c r="AP306" s="176"/>
      <c r="AQ306" s="176"/>
      <c r="AR306" s="176"/>
      <c r="AS306" s="176"/>
      <c r="AT306" s="176"/>
      <c r="AU306" s="176"/>
      <c r="AV306" s="176"/>
      <c r="AW306" s="176"/>
      <c r="AX306" s="176"/>
      <c r="AY306" s="176"/>
      <c r="AZ306" s="176"/>
      <c r="BA306" s="176"/>
      <c r="BB306" s="176"/>
      <c r="BC306" s="176"/>
      <c r="BD306" s="176"/>
      <c r="BE306" s="176"/>
      <c r="BF306" s="176"/>
      <c r="BG306" s="176"/>
      <c r="BH306" s="176"/>
      <c r="BI306" s="176"/>
      <c r="BJ306" s="176"/>
      <c r="BK306" s="176"/>
      <c r="BL306" s="176"/>
      <c r="BM306" s="176"/>
      <c r="BN306" s="176"/>
      <c r="BO306" s="176"/>
    </row>
    <row r="307" spans="1:67" s="36" customFormat="1" ht="10.5" customHeight="1" x14ac:dyDescent="0.2">
      <c r="A307" s="1055"/>
      <c r="B307" s="2594"/>
      <c r="C307" s="2595"/>
      <c r="D307" s="2596"/>
      <c r="E307" s="2395"/>
      <c r="F307" s="2396"/>
      <c r="G307" s="2590"/>
      <c r="H307" s="2591"/>
      <c r="I307" s="1081">
        <f t="shared" si="72"/>
        <v>0</v>
      </c>
      <c r="J307" s="1082">
        <f t="shared" si="73"/>
        <v>0</v>
      </c>
      <c r="K307" s="2588"/>
      <c r="L307" s="2589"/>
      <c r="M307" s="1086">
        <f t="shared" si="74"/>
        <v>0</v>
      </c>
      <c r="N307" s="506"/>
      <c r="O307" s="365">
        <f t="shared" si="75"/>
        <v>0</v>
      </c>
      <c r="P307" s="366"/>
      <c r="Q307" s="135"/>
      <c r="R307" s="136"/>
      <c r="S307" s="129"/>
      <c r="T307" s="129"/>
      <c r="U307" s="129"/>
      <c r="V307" s="129"/>
      <c r="W307" s="129"/>
      <c r="X307" s="129"/>
      <c r="Y307" s="129"/>
      <c r="Z307" s="133"/>
      <c r="AA307" s="133"/>
      <c r="AB307" s="133"/>
      <c r="AC307" s="133"/>
      <c r="AD307" s="133"/>
      <c r="AE307" s="133"/>
      <c r="AF307" s="222"/>
      <c r="AG307" s="222"/>
      <c r="AH307" s="222"/>
      <c r="AI307" s="176"/>
      <c r="AJ307" s="176"/>
      <c r="AK307" s="176"/>
      <c r="AL307" s="176"/>
      <c r="AM307" s="176"/>
      <c r="AN307" s="176"/>
      <c r="AO307" s="176"/>
      <c r="AP307" s="176"/>
      <c r="AQ307" s="176"/>
      <c r="AR307" s="176"/>
      <c r="AS307" s="176"/>
      <c r="AT307" s="176"/>
      <c r="AU307" s="176"/>
      <c r="AV307" s="176"/>
      <c r="AW307" s="176"/>
      <c r="AX307" s="176"/>
      <c r="AY307" s="176"/>
      <c r="AZ307" s="176"/>
      <c r="BA307" s="176"/>
      <c r="BB307" s="176"/>
      <c r="BC307" s="176"/>
      <c r="BD307" s="176"/>
      <c r="BE307" s="176"/>
      <c r="BF307" s="176"/>
      <c r="BG307" s="176"/>
      <c r="BH307" s="176"/>
      <c r="BI307" s="176"/>
      <c r="BJ307" s="176"/>
      <c r="BK307" s="176"/>
      <c r="BL307" s="176"/>
      <c r="BM307" s="176"/>
      <c r="BN307" s="176"/>
      <c r="BO307" s="176"/>
    </row>
    <row r="308" spans="1:67" s="36" customFormat="1" ht="10.5" customHeight="1" x14ac:dyDescent="0.2">
      <c r="A308" s="1055"/>
      <c r="B308" s="2594"/>
      <c r="C308" s="2595"/>
      <c r="D308" s="2596"/>
      <c r="E308" s="2395"/>
      <c r="F308" s="2396"/>
      <c r="G308" s="2590"/>
      <c r="H308" s="2591"/>
      <c r="I308" s="1081">
        <f t="shared" si="72"/>
        <v>0</v>
      </c>
      <c r="J308" s="1082">
        <f t="shared" si="73"/>
        <v>0</v>
      </c>
      <c r="K308" s="2588"/>
      <c r="L308" s="2589"/>
      <c r="M308" s="1086">
        <f t="shared" si="74"/>
        <v>0</v>
      </c>
      <c r="N308" s="506"/>
      <c r="O308" s="365">
        <f t="shared" si="75"/>
        <v>0</v>
      </c>
      <c r="P308" s="366"/>
      <c r="Q308" s="135"/>
      <c r="R308" s="136"/>
      <c r="S308" s="129"/>
      <c r="T308" s="129"/>
      <c r="U308" s="129"/>
      <c r="V308" s="129"/>
      <c r="W308" s="129"/>
      <c r="X308" s="129"/>
      <c r="Y308" s="129"/>
      <c r="Z308" s="133"/>
      <c r="AA308" s="133"/>
      <c r="AB308" s="133"/>
      <c r="AC308" s="133"/>
      <c r="AD308" s="133"/>
      <c r="AE308" s="133"/>
      <c r="AF308" s="222"/>
      <c r="AG308" s="222"/>
      <c r="AH308" s="222"/>
      <c r="AI308" s="176"/>
      <c r="AJ308" s="176"/>
      <c r="AK308" s="176"/>
      <c r="AL308" s="176"/>
      <c r="AM308" s="176"/>
      <c r="AN308" s="176"/>
      <c r="AO308" s="176"/>
      <c r="AP308" s="176"/>
      <c r="AQ308" s="176"/>
      <c r="AR308" s="176"/>
      <c r="AS308" s="176"/>
      <c r="AT308" s="176"/>
      <c r="AU308" s="176"/>
      <c r="AV308" s="176"/>
      <c r="AW308" s="176"/>
      <c r="AX308" s="176"/>
      <c r="AY308" s="176"/>
      <c r="AZ308" s="176"/>
      <c r="BA308" s="176"/>
      <c r="BB308" s="176"/>
      <c r="BC308" s="176"/>
      <c r="BD308" s="176"/>
      <c r="BE308" s="176"/>
      <c r="BF308" s="176"/>
      <c r="BG308" s="176"/>
      <c r="BH308" s="176"/>
      <c r="BI308" s="176"/>
      <c r="BJ308" s="176"/>
      <c r="BK308" s="176"/>
      <c r="BL308" s="176"/>
      <c r="BM308" s="176"/>
      <c r="BN308" s="176"/>
      <c r="BO308" s="176"/>
    </row>
    <row r="309" spans="1:67" s="36" customFormat="1" ht="10.5" customHeight="1" x14ac:dyDescent="0.2">
      <c r="A309" s="1055"/>
      <c r="B309" s="2594"/>
      <c r="C309" s="2595"/>
      <c r="D309" s="2596"/>
      <c r="E309" s="2395"/>
      <c r="F309" s="2396"/>
      <c r="G309" s="2590"/>
      <c r="H309" s="2591"/>
      <c r="I309" s="1081">
        <f t="shared" si="72"/>
        <v>0</v>
      </c>
      <c r="J309" s="1082">
        <f t="shared" si="73"/>
        <v>0</v>
      </c>
      <c r="K309" s="2588"/>
      <c r="L309" s="2589"/>
      <c r="M309" s="1086">
        <f t="shared" si="74"/>
        <v>0</v>
      </c>
      <c r="N309" s="506"/>
      <c r="O309" s="365">
        <f t="shared" si="75"/>
        <v>0</v>
      </c>
      <c r="P309" s="366"/>
      <c r="Q309" s="135"/>
      <c r="R309" s="136"/>
      <c r="S309" s="129"/>
      <c r="T309" s="129"/>
      <c r="U309" s="129"/>
      <c r="V309" s="129"/>
      <c r="W309" s="129"/>
      <c r="X309" s="129"/>
      <c r="Y309" s="129"/>
      <c r="Z309" s="133"/>
      <c r="AA309" s="133"/>
      <c r="AB309" s="133"/>
      <c r="AC309" s="133"/>
      <c r="AD309" s="133"/>
      <c r="AE309" s="133"/>
      <c r="AF309" s="222"/>
      <c r="AG309" s="222"/>
      <c r="AH309" s="222"/>
      <c r="AI309" s="176"/>
      <c r="AJ309" s="176"/>
      <c r="AK309" s="176"/>
      <c r="AL309" s="176"/>
      <c r="AM309" s="176"/>
      <c r="AN309" s="176"/>
      <c r="AO309" s="176"/>
      <c r="AP309" s="176"/>
      <c r="AQ309" s="176"/>
      <c r="AR309" s="176"/>
      <c r="AS309" s="176"/>
      <c r="AT309" s="176"/>
      <c r="AU309" s="176"/>
      <c r="AV309" s="176"/>
      <c r="AW309" s="176"/>
      <c r="AX309" s="176"/>
      <c r="AY309" s="176"/>
      <c r="AZ309" s="176"/>
      <c r="BA309" s="176"/>
      <c r="BB309" s="176"/>
      <c r="BC309" s="176"/>
      <c r="BD309" s="176"/>
      <c r="BE309" s="176"/>
      <c r="BF309" s="176"/>
      <c r="BG309" s="176"/>
      <c r="BH309" s="176"/>
      <c r="BI309" s="176"/>
      <c r="BJ309" s="176"/>
      <c r="BK309" s="176"/>
      <c r="BL309" s="176"/>
      <c r="BM309" s="176"/>
      <c r="BN309" s="176"/>
      <c r="BO309" s="176"/>
    </row>
    <row r="310" spans="1:67" s="36" customFormat="1" ht="10.5" customHeight="1" x14ac:dyDescent="0.2">
      <c r="A310" s="1055"/>
      <c r="B310" s="2594"/>
      <c r="C310" s="2595"/>
      <c r="D310" s="2596"/>
      <c r="E310" s="2395"/>
      <c r="F310" s="2396"/>
      <c r="G310" s="2590"/>
      <c r="H310" s="2591"/>
      <c r="I310" s="1081">
        <f t="shared" si="72"/>
        <v>0</v>
      </c>
      <c r="J310" s="1082">
        <f t="shared" si="73"/>
        <v>0</v>
      </c>
      <c r="K310" s="2588"/>
      <c r="L310" s="2589"/>
      <c r="M310" s="1086">
        <f t="shared" si="74"/>
        <v>0</v>
      </c>
      <c r="N310" s="506"/>
      <c r="O310" s="365">
        <f t="shared" si="75"/>
        <v>0</v>
      </c>
      <c r="P310" s="366"/>
      <c r="Q310" s="135"/>
      <c r="R310" s="136"/>
      <c r="S310" s="129"/>
      <c r="T310" s="129"/>
      <c r="U310" s="129"/>
      <c r="V310" s="129"/>
      <c r="W310" s="129"/>
      <c r="X310" s="129"/>
      <c r="Y310" s="129"/>
      <c r="Z310" s="133"/>
      <c r="AA310" s="133"/>
      <c r="AB310" s="133"/>
      <c r="AC310" s="133"/>
      <c r="AD310" s="133"/>
      <c r="AE310" s="133"/>
      <c r="AF310" s="222"/>
      <c r="AG310" s="222"/>
      <c r="AH310" s="222"/>
      <c r="AI310" s="176"/>
      <c r="AJ310" s="176"/>
      <c r="AK310" s="176"/>
      <c r="AL310" s="176"/>
      <c r="AM310" s="176"/>
      <c r="AN310" s="176"/>
      <c r="AO310" s="176"/>
      <c r="AP310" s="176"/>
      <c r="AQ310" s="176"/>
      <c r="AR310" s="176"/>
      <c r="AS310" s="176"/>
      <c r="AT310" s="176"/>
      <c r="AU310" s="176"/>
      <c r="AV310" s="176"/>
      <c r="AW310" s="176"/>
      <c r="AX310" s="176"/>
      <c r="AY310" s="176"/>
      <c r="AZ310" s="176"/>
      <c r="BA310" s="176"/>
      <c r="BB310" s="176"/>
      <c r="BC310" s="176"/>
      <c r="BD310" s="176"/>
      <c r="BE310" s="176"/>
      <c r="BF310" s="176"/>
      <c r="BG310" s="176"/>
      <c r="BH310" s="176"/>
      <c r="BI310" s="176"/>
      <c r="BJ310" s="176"/>
      <c r="BK310" s="176"/>
      <c r="BL310" s="176"/>
      <c r="BM310" s="176"/>
      <c r="BN310" s="176"/>
      <c r="BO310" s="176"/>
    </row>
    <row r="311" spans="1:67" s="36" customFormat="1" ht="10.5" customHeight="1" x14ac:dyDescent="0.2">
      <c r="A311" s="1348"/>
      <c r="B311" s="2690"/>
      <c r="C311" s="2691"/>
      <c r="D311" s="2692"/>
      <c r="E311" s="2601"/>
      <c r="F311" s="2602"/>
      <c r="G311" s="1088"/>
      <c r="H311" s="1089"/>
      <c r="I311" s="1083">
        <f t="shared" si="72"/>
        <v>0</v>
      </c>
      <c r="J311" s="1084"/>
      <c r="K311" s="1087"/>
      <c r="L311" s="1307"/>
      <c r="M311" s="1317">
        <f t="shared" si="74"/>
        <v>0</v>
      </c>
      <c r="N311" s="506"/>
      <c r="O311" s="365">
        <f t="shared" si="75"/>
        <v>0</v>
      </c>
      <c r="P311" s="366"/>
      <c r="Q311" s="135"/>
      <c r="R311" s="136"/>
      <c r="S311" s="129"/>
      <c r="T311" s="129"/>
      <c r="U311" s="129"/>
      <c r="V311" s="129"/>
      <c r="W311" s="129"/>
      <c r="X311" s="129"/>
      <c r="Y311" s="129"/>
      <c r="Z311" s="133"/>
      <c r="AA311" s="133"/>
      <c r="AB311" s="133"/>
      <c r="AC311" s="133"/>
      <c r="AD311" s="133"/>
      <c r="AE311" s="133"/>
      <c r="AF311" s="222"/>
      <c r="AG311" s="222"/>
      <c r="AH311" s="222"/>
      <c r="AI311" s="176"/>
      <c r="AJ311" s="176"/>
      <c r="AK311" s="176"/>
      <c r="AL311" s="176"/>
      <c r="AM311" s="176"/>
      <c r="AN311" s="176"/>
      <c r="AO311" s="176"/>
      <c r="AP311" s="176"/>
      <c r="AQ311" s="176"/>
      <c r="AR311" s="176"/>
      <c r="AS311" s="176"/>
      <c r="AT311" s="176"/>
      <c r="AU311" s="176"/>
      <c r="AV311" s="176"/>
      <c r="AW311" s="176"/>
      <c r="AX311" s="176"/>
      <c r="AY311" s="176"/>
      <c r="AZ311" s="176"/>
      <c r="BA311" s="176"/>
      <c r="BB311" s="176"/>
      <c r="BC311" s="176"/>
      <c r="BD311" s="176"/>
      <c r="BE311" s="176"/>
      <c r="BF311" s="176"/>
      <c r="BG311" s="176"/>
      <c r="BH311" s="176"/>
      <c r="BI311" s="176"/>
      <c r="BJ311" s="176"/>
      <c r="BK311" s="176"/>
      <c r="BL311" s="176"/>
      <c r="BM311" s="176"/>
      <c r="BN311" s="176"/>
      <c r="BO311" s="176"/>
    </row>
    <row r="312" spans="1:67" s="36" customFormat="1" ht="10.5" customHeight="1" x14ac:dyDescent="0.2">
      <c r="A312" s="1115" t="s">
        <v>365</v>
      </c>
      <c r="B312" s="2611"/>
      <c r="C312" s="2612"/>
      <c r="D312" s="2613"/>
      <c r="E312" s="2676">
        <f>SUM(E313:E325)</f>
        <v>0</v>
      </c>
      <c r="F312" s="2677"/>
      <c r="G312" s="2678"/>
      <c r="H312" s="2679"/>
      <c r="I312" s="1116">
        <f>IF(E312=0,0,J312/E312)</f>
        <v>0</v>
      </c>
      <c r="J312" s="1117">
        <f>SUM(J313:J325)</f>
        <v>0</v>
      </c>
      <c r="K312" s="2686">
        <f>IF(E312=0,0,M312/E312*100)</f>
        <v>0</v>
      </c>
      <c r="L312" s="2687"/>
      <c r="M312" s="1118">
        <f>SUM(M313:M325)</f>
        <v>0</v>
      </c>
      <c r="N312" s="506"/>
      <c r="O312" s="178">
        <f>IF(H312="",G312,H312)</f>
        <v>0</v>
      </c>
      <c r="P312" s="366"/>
      <c r="Q312" s="135"/>
      <c r="R312" s="136"/>
      <c r="S312" s="129"/>
      <c r="T312" s="129"/>
      <c r="U312" s="129"/>
      <c r="V312" s="129"/>
      <c r="W312" s="129"/>
      <c r="X312" s="129"/>
      <c r="Y312" s="129"/>
      <c r="Z312" s="133"/>
      <c r="AA312" s="133"/>
      <c r="AB312" s="133"/>
      <c r="AC312" s="133"/>
      <c r="AD312" s="133"/>
      <c r="AE312" s="133"/>
      <c r="AF312" s="222"/>
      <c r="AG312" s="222"/>
      <c r="AH312" s="222"/>
      <c r="AI312" s="176"/>
      <c r="AJ312" s="176"/>
      <c r="AK312" s="176"/>
      <c r="AL312" s="176"/>
      <c r="AM312" s="176"/>
      <c r="AN312" s="176"/>
      <c r="AO312" s="176"/>
      <c r="AP312" s="176"/>
      <c r="AQ312" s="176"/>
      <c r="AR312" s="176"/>
      <c r="AS312" s="176"/>
      <c r="AT312" s="176"/>
      <c r="AU312" s="176"/>
      <c r="AV312" s="176"/>
      <c r="AW312" s="176"/>
      <c r="AX312" s="176"/>
      <c r="AY312" s="176"/>
      <c r="AZ312" s="176"/>
      <c r="BA312" s="176"/>
      <c r="BB312" s="176"/>
      <c r="BC312" s="176"/>
      <c r="BD312" s="176"/>
      <c r="BE312" s="176"/>
      <c r="BF312" s="176"/>
      <c r="BG312" s="176"/>
      <c r="BH312" s="176"/>
      <c r="BI312" s="176"/>
      <c r="BJ312" s="176"/>
      <c r="BK312" s="176"/>
      <c r="BL312" s="176"/>
      <c r="BM312" s="176"/>
      <c r="BN312" s="176"/>
      <c r="BO312" s="176"/>
    </row>
    <row r="313" spans="1:67" s="36" customFormat="1" ht="10.5" customHeight="1" x14ac:dyDescent="0.2">
      <c r="A313" s="1359" t="s">
        <v>366</v>
      </c>
      <c r="B313" s="2743"/>
      <c r="C313" s="2744"/>
      <c r="D313" s="2745"/>
      <c r="E313" s="2746"/>
      <c r="F313" s="2788"/>
      <c r="G313" s="1056">
        <v>15</v>
      </c>
      <c r="H313" s="1057"/>
      <c r="I313" s="1079">
        <f t="shared" ref="I313:I326" si="76">IF($O313&gt;0,-PMT(($I$9),$O313,1),0)</f>
        <v>7.9288524964265278E-2</v>
      </c>
      <c r="J313" s="1080">
        <f t="shared" ref="J313:J325" si="77">ROUND(E313*I313,0)</f>
        <v>0</v>
      </c>
      <c r="K313" s="1060"/>
      <c r="L313" s="1304"/>
      <c r="M313" s="1085">
        <f t="shared" ref="M313:M326" si="78">ROUND(E313/100*IF(ISBLANK(L313),K313,L313),0)</f>
        <v>0</v>
      </c>
      <c r="N313" s="506"/>
      <c r="O313" s="365">
        <f t="shared" ref="O313:O326" si="79">IF(ISBLANK(H313),G313,H313)</f>
        <v>15</v>
      </c>
      <c r="P313" s="366"/>
      <c r="Q313" s="135"/>
      <c r="R313" s="136"/>
      <c r="S313" s="129"/>
      <c r="T313" s="129"/>
      <c r="U313" s="129"/>
      <c r="V313" s="129"/>
      <c r="W313" s="129"/>
      <c r="X313" s="129"/>
      <c r="Y313" s="129"/>
      <c r="Z313" s="133"/>
      <c r="AA313" s="133"/>
      <c r="AB313" s="133"/>
      <c r="AC313" s="133"/>
      <c r="AD313" s="133"/>
      <c r="AE313" s="133"/>
      <c r="AF313" s="222"/>
      <c r="AG313" s="222"/>
      <c r="AH313" s="222"/>
      <c r="AI313" s="176"/>
      <c r="AJ313" s="176"/>
      <c r="AK313" s="176"/>
      <c r="AL313" s="176"/>
      <c r="AM313" s="176"/>
      <c r="AN313" s="176"/>
      <c r="AO313" s="176"/>
      <c r="AP313" s="176"/>
      <c r="AQ313" s="176"/>
      <c r="AR313" s="176"/>
      <c r="AS313" s="176"/>
      <c r="AT313" s="176"/>
      <c r="AU313" s="176"/>
      <c r="AV313" s="176"/>
      <c r="AW313" s="176"/>
      <c r="AX313" s="176"/>
      <c r="AY313" s="176"/>
      <c r="AZ313" s="176"/>
      <c r="BA313" s="176"/>
      <c r="BB313" s="176"/>
      <c r="BC313" s="176"/>
      <c r="BD313" s="176"/>
      <c r="BE313" s="176"/>
      <c r="BF313" s="176"/>
      <c r="BG313" s="176"/>
      <c r="BH313" s="176"/>
      <c r="BI313" s="176"/>
      <c r="BJ313" s="176"/>
      <c r="BK313" s="176"/>
      <c r="BL313" s="176"/>
      <c r="BM313" s="176"/>
      <c r="BN313" s="176"/>
      <c r="BO313" s="176"/>
    </row>
    <row r="314" spans="1:67" s="36" customFormat="1" ht="10.5" customHeight="1" x14ac:dyDescent="0.2">
      <c r="A314" s="1043" t="s">
        <v>367</v>
      </c>
      <c r="B314" s="2594"/>
      <c r="C314" s="2595"/>
      <c r="D314" s="2596"/>
      <c r="E314" s="2395"/>
      <c r="F314" s="2789"/>
      <c r="G314" s="1058">
        <v>15</v>
      </c>
      <c r="H314" s="1059"/>
      <c r="I314" s="1081">
        <f t="shared" si="76"/>
        <v>7.9288524964265278E-2</v>
      </c>
      <c r="J314" s="1082">
        <f t="shared" si="77"/>
        <v>0</v>
      </c>
      <c r="K314" s="1061">
        <v>0.5</v>
      </c>
      <c r="L314" s="1305"/>
      <c r="M314" s="1086">
        <f t="shared" si="78"/>
        <v>0</v>
      </c>
      <c r="N314" s="506"/>
      <c r="O314" s="365">
        <f t="shared" si="79"/>
        <v>15</v>
      </c>
      <c r="P314" s="366"/>
      <c r="Q314" s="135"/>
      <c r="R314" s="136"/>
      <c r="S314" s="129"/>
      <c r="T314" s="129"/>
      <c r="U314" s="129"/>
      <c r="V314" s="129"/>
      <c r="W314" s="129"/>
      <c r="X314" s="129"/>
      <c r="Y314" s="129"/>
      <c r="Z314" s="133"/>
      <c r="AA314" s="133"/>
      <c r="AB314" s="133"/>
      <c r="AC314" s="133"/>
      <c r="AD314" s="133"/>
      <c r="AE314" s="133"/>
      <c r="AF314" s="222"/>
      <c r="AG314" s="222"/>
      <c r="AH314" s="222"/>
      <c r="AI314" s="176"/>
      <c r="AJ314" s="176"/>
      <c r="AK314" s="176"/>
      <c r="AL314" s="176"/>
      <c r="AM314" s="176"/>
      <c r="AN314" s="176"/>
      <c r="AO314" s="176"/>
      <c r="AP314" s="176"/>
      <c r="AQ314" s="176"/>
      <c r="AR314" s="176"/>
      <c r="AS314" s="176"/>
      <c r="AT314" s="176"/>
      <c r="AU314" s="176"/>
      <c r="AV314" s="176"/>
      <c r="AW314" s="176"/>
      <c r="AX314" s="176"/>
      <c r="AY314" s="176"/>
      <c r="AZ314" s="176"/>
      <c r="BA314" s="176"/>
      <c r="BB314" s="176"/>
      <c r="BC314" s="176"/>
      <c r="BD314" s="176"/>
      <c r="BE314" s="176"/>
      <c r="BF314" s="176"/>
      <c r="BG314" s="176"/>
      <c r="BH314" s="176"/>
      <c r="BI314" s="176"/>
      <c r="BJ314" s="176"/>
      <c r="BK314" s="176"/>
      <c r="BL314" s="176"/>
      <c r="BM314" s="176"/>
      <c r="BN314" s="176"/>
      <c r="BO314" s="176"/>
    </row>
    <row r="315" spans="1:67" s="36" customFormat="1" ht="10.5" customHeight="1" x14ac:dyDescent="0.2">
      <c r="A315" s="1043" t="s">
        <v>368</v>
      </c>
      <c r="B315" s="2594"/>
      <c r="C315" s="2595"/>
      <c r="D315" s="2596"/>
      <c r="E315" s="2395"/>
      <c r="F315" s="2789"/>
      <c r="G315" s="1058">
        <v>15</v>
      </c>
      <c r="H315" s="1059"/>
      <c r="I315" s="1081">
        <f t="shared" si="76"/>
        <v>7.9288524964265278E-2</v>
      </c>
      <c r="J315" s="1082">
        <f t="shared" si="77"/>
        <v>0</v>
      </c>
      <c r="K315" s="1061"/>
      <c r="L315" s="1305"/>
      <c r="M315" s="1086">
        <f t="shared" si="78"/>
        <v>0</v>
      </c>
      <c r="N315" s="506"/>
      <c r="O315" s="365">
        <f t="shared" si="79"/>
        <v>15</v>
      </c>
      <c r="P315" s="366"/>
      <c r="Q315" s="135"/>
      <c r="R315" s="136"/>
      <c r="S315" s="129"/>
      <c r="T315" s="129"/>
      <c r="U315" s="129"/>
      <c r="V315" s="129"/>
      <c r="W315" s="129"/>
      <c r="X315" s="129"/>
      <c r="Y315" s="129"/>
      <c r="Z315" s="133"/>
      <c r="AA315" s="133"/>
      <c r="AB315" s="133"/>
      <c r="AC315" s="133"/>
      <c r="AD315" s="133"/>
      <c r="AE315" s="133"/>
      <c r="AF315" s="222"/>
      <c r="AG315" s="222"/>
      <c r="AH315" s="222"/>
      <c r="AI315" s="176"/>
      <c r="AJ315" s="176"/>
      <c r="AK315" s="176"/>
      <c r="AL315" s="176"/>
      <c r="AM315" s="176"/>
      <c r="AN315" s="176"/>
      <c r="AO315" s="176"/>
      <c r="AP315" s="176"/>
      <c r="AQ315" s="176"/>
      <c r="AR315" s="176"/>
      <c r="AS315" s="176"/>
      <c r="AT315" s="176"/>
      <c r="AU315" s="176"/>
      <c r="AV315" s="176"/>
      <c r="AW315" s="176"/>
      <c r="AX315" s="176"/>
      <c r="AY315" s="176"/>
      <c r="AZ315" s="176"/>
      <c r="BA315" s="176"/>
      <c r="BB315" s="176"/>
      <c r="BC315" s="176"/>
      <c r="BD315" s="176"/>
      <c r="BE315" s="176"/>
      <c r="BF315" s="176"/>
      <c r="BG315" s="176"/>
      <c r="BH315" s="176"/>
      <c r="BI315" s="176"/>
      <c r="BJ315" s="176"/>
      <c r="BK315" s="176"/>
      <c r="BL315" s="176"/>
      <c r="BM315" s="176"/>
      <c r="BN315" s="176"/>
      <c r="BO315" s="176"/>
    </row>
    <row r="316" spans="1:67" s="36" customFormat="1" ht="10.5" customHeight="1" x14ac:dyDescent="0.2">
      <c r="A316" s="1043" t="s">
        <v>369</v>
      </c>
      <c r="B316" s="2594"/>
      <c r="C316" s="2595"/>
      <c r="D316" s="2596"/>
      <c r="E316" s="2395"/>
      <c r="F316" s="2789"/>
      <c r="G316" s="1058">
        <v>30</v>
      </c>
      <c r="H316" s="1059"/>
      <c r="I316" s="1081">
        <f t="shared" si="76"/>
        <v>4.6199342169092869E-2</v>
      </c>
      <c r="J316" s="1082">
        <f t="shared" si="77"/>
        <v>0</v>
      </c>
      <c r="K316" s="1061">
        <v>0.5</v>
      </c>
      <c r="L316" s="1305"/>
      <c r="M316" s="1086">
        <f t="shared" si="78"/>
        <v>0</v>
      </c>
      <c r="N316" s="506"/>
      <c r="O316" s="365">
        <f t="shared" si="79"/>
        <v>30</v>
      </c>
      <c r="P316" s="366"/>
      <c r="Q316" s="135"/>
      <c r="R316" s="136"/>
      <c r="S316" s="129"/>
      <c r="T316" s="129"/>
      <c r="U316" s="129"/>
      <c r="V316" s="129"/>
      <c r="W316" s="129"/>
      <c r="X316" s="129"/>
      <c r="Y316" s="129"/>
      <c r="Z316" s="133"/>
      <c r="AA316" s="133"/>
      <c r="AB316" s="133"/>
      <c r="AC316" s="133"/>
      <c r="AD316" s="133"/>
      <c r="AE316" s="133"/>
      <c r="AF316" s="222"/>
      <c r="AG316" s="222"/>
      <c r="AH316" s="222"/>
      <c r="AI316" s="176"/>
      <c r="AJ316" s="176"/>
      <c r="AK316" s="176"/>
      <c r="AL316" s="176"/>
      <c r="AM316" s="176"/>
      <c r="AN316" s="176"/>
      <c r="AO316" s="176"/>
      <c r="AP316" s="176"/>
      <c r="AQ316" s="176"/>
      <c r="AR316" s="176"/>
      <c r="AS316" s="176"/>
      <c r="AT316" s="176"/>
      <c r="AU316" s="176"/>
      <c r="AV316" s="176"/>
      <c r="AW316" s="176"/>
      <c r="AX316" s="176"/>
      <c r="AY316" s="176"/>
      <c r="AZ316" s="176"/>
      <c r="BA316" s="176"/>
      <c r="BB316" s="176"/>
      <c r="BC316" s="176"/>
      <c r="BD316" s="176"/>
      <c r="BE316" s="176"/>
      <c r="BF316" s="176"/>
      <c r="BG316" s="176"/>
      <c r="BH316" s="176"/>
      <c r="BI316" s="176"/>
      <c r="BJ316" s="176"/>
      <c r="BK316" s="176"/>
      <c r="BL316" s="176"/>
      <c r="BM316" s="176"/>
      <c r="BN316" s="176"/>
      <c r="BO316" s="176"/>
    </row>
    <row r="317" spans="1:67" s="36" customFormat="1" ht="10.5" customHeight="1" x14ac:dyDescent="0.2">
      <c r="A317" s="1055"/>
      <c r="B317" s="2594"/>
      <c r="C317" s="2595"/>
      <c r="D317" s="2596"/>
      <c r="E317" s="2395"/>
      <c r="F317" s="2396"/>
      <c r="G317" s="2590"/>
      <c r="H317" s="2591"/>
      <c r="I317" s="1081">
        <f t="shared" si="76"/>
        <v>0</v>
      </c>
      <c r="J317" s="1082">
        <f t="shared" si="77"/>
        <v>0</v>
      </c>
      <c r="K317" s="2588"/>
      <c r="L317" s="2589"/>
      <c r="M317" s="1086">
        <f t="shared" si="78"/>
        <v>0</v>
      </c>
      <c r="N317" s="506"/>
      <c r="O317" s="365">
        <f t="shared" si="79"/>
        <v>0</v>
      </c>
      <c r="P317" s="366"/>
      <c r="Q317" s="135"/>
      <c r="R317" s="136"/>
      <c r="S317" s="129"/>
      <c r="T317" s="129"/>
      <c r="U317" s="129"/>
      <c r="V317" s="129"/>
      <c r="W317" s="129"/>
      <c r="X317" s="129"/>
      <c r="Y317" s="129"/>
      <c r="Z317" s="133"/>
      <c r="AA317" s="133"/>
      <c r="AB317" s="133"/>
      <c r="AC317" s="133"/>
      <c r="AD317" s="133"/>
      <c r="AE317" s="133"/>
      <c r="AF317" s="222"/>
      <c r="AG317" s="222"/>
      <c r="AH317" s="222"/>
      <c r="AI317" s="176"/>
      <c r="AJ317" s="176"/>
      <c r="AK317" s="176"/>
      <c r="AL317" s="176"/>
      <c r="AM317" s="176"/>
      <c r="AN317" s="176"/>
      <c r="AO317" s="176"/>
      <c r="AP317" s="176"/>
      <c r="AQ317" s="176"/>
      <c r="AR317" s="176"/>
      <c r="AS317" s="176"/>
      <c r="AT317" s="176"/>
      <c r="AU317" s="176"/>
      <c r="AV317" s="176"/>
      <c r="AW317" s="176"/>
      <c r="AX317" s="176"/>
      <c r="AY317" s="176"/>
      <c r="AZ317" s="176"/>
      <c r="BA317" s="176"/>
      <c r="BB317" s="176"/>
      <c r="BC317" s="176"/>
      <c r="BD317" s="176"/>
      <c r="BE317" s="176"/>
      <c r="BF317" s="176"/>
      <c r="BG317" s="176"/>
      <c r="BH317" s="176"/>
      <c r="BI317" s="176"/>
      <c r="BJ317" s="176"/>
      <c r="BK317" s="176"/>
      <c r="BL317" s="176"/>
      <c r="BM317" s="176"/>
      <c r="BN317" s="176"/>
      <c r="BO317" s="176"/>
    </row>
    <row r="318" spans="1:67" s="36" customFormat="1" ht="10.5" customHeight="1" x14ac:dyDescent="0.2">
      <c r="A318" s="1055"/>
      <c r="B318" s="2594"/>
      <c r="C318" s="2595"/>
      <c r="D318" s="2596"/>
      <c r="E318" s="2395"/>
      <c r="F318" s="2396"/>
      <c r="G318" s="2590"/>
      <c r="H318" s="2591"/>
      <c r="I318" s="1081">
        <f t="shared" si="76"/>
        <v>0</v>
      </c>
      <c r="J318" s="1082">
        <f t="shared" si="77"/>
        <v>0</v>
      </c>
      <c r="K318" s="2588"/>
      <c r="L318" s="2589"/>
      <c r="M318" s="1086">
        <f t="shared" si="78"/>
        <v>0</v>
      </c>
      <c r="N318" s="506"/>
      <c r="O318" s="365">
        <f t="shared" si="79"/>
        <v>0</v>
      </c>
      <c r="P318" s="366"/>
      <c r="Q318" s="135"/>
      <c r="R318" s="136"/>
      <c r="S318" s="129"/>
      <c r="T318" s="129"/>
      <c r="U318" s="129"/>
      <c r="V318" s="129"/>
      <c r="W318" s="129"/>
      <c r="X318" s="129"/>
      <c r="Y318" s="129"/>
      <c r="Z318" s="133"/>
      <c r="AA318" s="133"/>
      <c r="AB318" s="133"/>
      <c r="AC318" s="133"/>
      <c r="AD318" s="133"/>
      <c r="AE318" s="133"/>
      <c r="AF318" s="222"/>
      <c r="AG318" s="222"/>
      <c r="AH318" s="222"/>
      <c r="AI318" s="176"/>
      <c r="AJ318" s="176"/>
      <c r="AK318" s="176"/>
      <c r="AL318" s="176"/>
      <c r="AM318" s="176"/>
      <c r="AN318" s="176"/>
      <c r="AO318" s="176"/>
      <c r="AP318" s="176"/>
      <c r="AQ318" s="176"/>
      <c r="AR318" s="176"/>
      <c r="AS318" s="176"/>
      <c r="AT318" s="176"/>
      <c r="AU318" s="176"/>
      <c r="AV318" s="176"/>
      <c r="AW318" s="176"/>
      <c r="AX318" s="176"/>
      <c r="AY318" s="176"/>
      <c r="AZ318" s="176"/>
      <c r="BA318" s="176"/>
      <c r="BB318" s="176"/>
      <c r="BC318" s="176"/>
      <c r="BD318" s="176"/>
      <c r="BE318" s="176"/>
      <c r="BF318" s="176"/>
      <c r="BG318" s="176"/>
      <c r="BH318" s="176"/>
      <c r="BI318" s="176"/>
      <c r="BJ318" s="176"/>
      <c r="BK318" s="176"/>
      <c r="BL318" s="176"/>
      <c r="BM318" s="176"/>
      <c r="BN318" s="176"/>
      <c r="BO318" s="176"/>
    </row>
    <row r="319" spans="1:67" s="36" customFormat="1" ht="10.5" customHeight="1" x14ac:dyDescent="0.2">
      <c r="A319" s="1055"/>
      <c r="B319" s="2594"/>
      <c r="C319" s="2595"/>
      <c r="D319" s="2596"/>
      <c r="E319" s="2395"/>
      <c r="F319" s="2396"/>
      <c r="G319" s="2590"/>
      <c r="H319" s="2591"/>
      <c r="I319" s="1081">
        <f t="shared" si="76"/>
        <v>0</v>
      </c>
      <c r="J319" s="1082">
        <f t="shared" si="77"/>
        <v>0</v>
      </c>
      <c r="K319" s="2588"/>
      <c r="L319" s="2589"/>
      <c r="M319" s="1086">
        <f t="shared" si="78"/>
        <v>0</v>
      </c>
      <c r="N319" s="506"/>
      <c r="O319" s="365">
        <f t="shared" si="79"/>
        <v>0</v>
      </c>
      <c r="P319" s="366"/>
      <c r="Q319" s="135"/>
      <c r="R319" s="136"/>
      <c r="S319" s="129"/>
      <c r="T319" s="129"/>
      <c r="U319" s="129"/>
      <c r="V319" s="129"/>
      <c r="W319" s="129"/>
      <c r="X319" s="129"/>
      <c r="Y319" s="129"/>
      <c r="Z319" s="133"/>
      <c r="AA319" s="133"/>
      <c r="AB319" s="133"/>
      <c r="AC319" s="133"/>
      <c r="AD319" s="133"/>
      <c r="AE319" s="133"/>
      <c r="AF319" s="222"/>
      <c r="AG319" s="222"/>
      <c r="AH319" s="222"/>
      <c r="AI319" s="176"/>
      <c r="AJ319" s="176"/>
      <c r="AK319" s="176"/>
      <c r="AL319" s="176"/>
      <c r="AM319" s="176"/>
      <c r="AN319" s="176"/>
      <c r="AO319" s="176"/>
      <c r="AP319" s="176"/>
      <c r="AQ319" s="176"/>
      <c r="AR319" s="176"/>
      <c r="AS319" s="176"/>
      <c r="AT319" s="176"/>
      <c r="AU319" s="176"/>
      <c r="AV319" s="176"/>
      <c r="AW319" s="176"/>
      <c r="AX319" s="176"/>
      <c r="AY319" s="176"/>
      <c r="AZ319" s="176"/>
      <c r="BA319" s="176"/>
      <c r="BB319" s="176"/>
      <c r="BC319" s="176"/>
      <c r="BD319" s="176"/>
      <c r="BE319" s="176"/>
      <c r="BF319" s="176"/>
      <c r="BG319" s="176"/>
      <c r="BH319" s="176"/>
      <c r="BI319" s="176"/>
      <c r="BJ319" s="176"/>
      <c r="BK319" s="176"/>
      <c r="BL319" s="176"/>
      <c r="BM319" s="176"/>
      <c r="BN319" s="176"/>
      <c r="BO319" s="176"/>
    </row>
    <row r="320" spans="1:67" s="36" customFormat="1" ht="10.5" customHeight="1" x14ac:dyDescent="0.2">
      <c r="A320" s="1055"/>
      <c r="B320" s="2594"/>
      <c r="C320" s="2595"/>
      <c r="D320" s="2596"/>
      <c r="E320" s="2395"/>
      <c r="F320" s="2396"/>
      <c r="G320" s="2590"/>
      <c r="H320" s="2591"/>
      <c r="I320" s="1081">
        <f t="shared" si="76"/>
        <v>0</v>
      </c>
      <c r="J320" s="1082">
        <f t="shared" si="77"/>
        <v>0</v>
      </c>
      <c r="K320" s="2588"/>
      <c r="L320" s="2589"/>
      <c r="M320" s="1086">
        <f t="shared" si="78"/>
        <v>0</v>
      </c>
      <c r="N320" s="506"/>
      <c r="O320" s="365">
        <f t="shared" si="79"/>
        <v>0</v>
      </c>
      <c r="P320" s="366"/>
      <c r="Q320" s="135"/>
      <c r="R320" s="136"/>
      <c r="S320" s="129"/>
      <c r="T320" s="129"/>
      <c r="U320" s="129"/>
      <c r="V320" s="129"/>
      <c r="W320" s="129"/>
      <c r="X320" s="129"/>
      <c r="Y320" s="129"/>
      <c r="Z320" s="133"/>
      <c r="AA320" s="133"/>
      <c r="AB320" s="133"/>
      <c r="AC320" s="133"/>
      <c r="AD320" s="133"/>
      <c r="AE320" s="133"/>
      <c r="AF320" s="222"/>
      <c r="AG320" s="222"/>
      <c r="AH320" s="222"/>
      <c r="AI320" s="176"/>
      <c r="AJ320" s="176"/>
      <c r="AK320" s="176"/>
      <c r="AL320" s="176"/>
      <c r="AM320" s="176"/>
      <c r="AN320" s="176"/>
      <c r="AO320" s="176"/>
      <c r="AP320" s="176"/>
      <c r="AQ320" s="176"/>
      <c r="AR320" s="176"/>
      <c r="AS320" s="176"/>
      <c r="AT320" s="176"/>
      <c r="AU320" s="176"/>
      <c r="AV320" s="176"/>
      <c r="AW320" s="176"/>
      <c r="AX320" s="176"/>
      <c r="AY320" s="176"/>
      <c r="AZ320" s="176"/>
      <c r="BA320" s="176"/>
      <c r="BB320" s="176"/>
      <c r="BC320" s="176"/>
      <c r="BD320" s="176"/>
      <c r="BE320" s="176"/>
      <c r="BF320" s="176"/>
      <c r="BG320" s="176"/>
      <c r="BH320" s="176"/>
      <c r="BI320" s="176"/>
      <c r="BJ320" s="176"/>
      <c r="BK320" s="176"/>
      <c r="BL320" s="176"/>
      <c r="BM320" s="176"/>
      <c r="BN320" s="176"/>
      <c r="BO320" s="176"/>
    </row>
    <row r="321" spans="1:67" s="36" customFormat="1" ht="10.5" customHeight="1" x14ac:dyDescent="0.2">
      <c r="A321" s="1055"/>
      <c r="B321" s="2594"/>
      <c r="C321" s="2595"/>
      <c r="D321" s="2596"/>
      <c r="E321" s="2395"/>
      <c r="F321" s="2396"/>
      <c r="G321" s="2590"/>
      <c r="H321" s="2591"/>
      <c r="I321" s="1081">
        <f t="shared" si="76"/>
        <v>0</v>
      </c>
      <c r="J321" s="1082">
        <f t="shared" si="77"/>
        <v>0</v>
      </c>
      <c r="K321" s="2588"/>
      <c r="L321" s="2589"/>
      <c r="M321" s="1086">
        <f t="shared" si="78"/>
        <v>0</v>
      </c>
      <c r="N321" s="506"/>
      <c r="O321" s="365">
        <f t="shared" si="79"/>
        <v>0</v>
      </c>
      <c r="P321" s="366"/>
      <c r="Q321" s="135"/>
      <c r="R321" s="136"/>
      <c r="S321" s="129"/>
      <c r="T321" s="129"/>
      <c r="U321" s="129"/>
      <c r="V321" s="129"/>
      <c r="W321" s="129"/>
      <c r="X321" s="129"/>
      <c r="Y321" s="129"/>
      <c r="Z321" s="133"/>
      <c r="AA321" s="133"/>
      <c r="AB321" s="133"/>
      <c r="AC321" s="133"/>
      <c r="AD321" s="133"/>
      <c r="AE321" s="133"/>
      <c r="AF321" s="222"/>
      <c r="AG321" s="222"/>
      <c r="AH321" s="222"/>
      <c r="AI321" s="176"/>
      <c r="AJ321" s="176"/>
      <c r="AK321" s="176"/>
      <c r="AL321" s="176"/>
      <c r="AM321" s="176"/>
      <c r="AN321" s="176"/>
      <c r="AO321" s="176"/>
      <c r="AP321" s="176"/>
      <c r="AQ321" s="176"/>
      <c r="AR321" s="176"/>
      <c r="AS321" s="176"/>
      <c r="AT321" s="176"/>
      <c r="AU321" s="176"/>
      <c r="AV321" s="176"/>
      <c r="AW321" s="176"/>
      <c r="AX321" s="176"/>
      <c r="AY321" s="176"/>
      <c r="AZ321" s="176"/>
      <c r="BA321" s="176"/>
      <c r="BB321" s="176"/>
      <c r="BC321" s="176"/>
      <c r="BD321" s="176"/>
      <c r="BE321" s="176"/>
      <c r="BF321" s="176"/>
      <c r="BG321" s="176"/>
      <c r="BH321" s="176"/>
      <c r="BI321" s="176"/>
      <c r="BJ321" s="176"/>
      <c r="BK321" s="176"/>
      <c r="BL321" s="176"/>
      <c r="BM321" s="176"/>
      <c r="BN321" s="176"/>
      <c r="BO321" s="176"/>
    </row>
    <row r="322" spans="1:67" s="36" customFormat="1" ht="10.5" customHeight="1" x14ac:dyDescent="0.2">
      <c r="A322" s="1055"/>
      <c r="B322" s="2594"/>
      <c r="C322" s="2595"/>
      <c r="D322" s="2596"/>
      <c r="E322" s="2395"/>
      <c r="F322" s="2396"/>
      <c r="G322" s="2590"/>
      <c r="H322" s="2591"/>
      <c r="I322" s="1081">
        <f t="shared" si="76"/>
        <v>0</v>
      </c>
      <c r="J322" s="1082">
        <f t="shared" si="77"/>
        <v>0</v>
      </c>
      <c r="K322" s="2588"/>
      <c r="L322" s="2589"/>
      <c r="M322" s="1086">
        <f t="shared" si="78"/>
        <v>0</v>
      </c>
      <c r="N322" s="506"/>
      <c r="O322" s="365">
        <f t="shared" si="79"/>
        <v>0</v>
      </c>
      <c r="P322" s="366"/>
      <c r="Q322" s="135"/>
      <c r="R322" s="136"/>
      <c r="S322" s="129"/>
      <c r="T322" s="129"/>
      <c r="U322" s="129"/>
      <c r="V322" s="129"/>
      <c r="W322" s="129"/>
      <c r="X322" s="129"/>
      <c r="Y322" s="129"/>
      <c r="Z322" s="133"/>
      <c r="AA322" s="133"/>
      <c r="AB322" s="133"/>
      <c r="AC322" s="133"/>
      <c r="AD322" s="133"/>
      <c r="AE322" s="133"/>
      <c r="AF322" s="222"/>
      <c r="AG322" s="222"/>
      <c r="AH322" s="222"/>
      <c r="AI322" s="176"/>
      <c r="AJ322" s="176"/>
      <c r="AK322" s="176"/>
      <c r="AL322" s="176"/>
      <c r="AM322" s="176"/>
      <c r="AN322" s="176"/>
      <c r="AO322" s="176"/>
      <c r="AP322" s="176"/>
      <c r="AQ322" s="176"/>
      <c r="AR322" s="176"/>
      <c r="AS322" s="176"/>
      <c r="AT322" s="176"/>
      <c r="AU322" s="176"/>
      <c r="AV322" s="176"/>
      <c r="AW322" s="176"/>
      <c r="AX322" s="176"/>
      <c r="AY322" s="176"/>
      <c r="AZ322" s="176"/>
      <c r="BA322" s="176"/>
      <c r="BB322" s="176"/>
      <c r="BC322" s="176"/>
      <c r="BD322" s="176"/>
      <c r="BE322" s="176"/>
      <c r="BF322" s="176"/>
      <c r="BG322" s="176"/>
      <c r="BH322" s="176"/>
      <c r="BI322" s="176"/>
      <c r="BJ322" s="176"/>
      <c r="BK322" s="176"/>
      <c r="BL322" s="176"/>
      <c r="BM322" s="176"/>
      <c r="BN322" s="176"/>
      <c r="BO322" s="176"/>
    </row>
    <row r="323" spans="1:67" s="36" customFormat="1" ht="10.5" customHeight="1" x14ac:dyDescent="0.2">
      <c r="A323" s="1055"/>
      <c r="B323" s="2594"/>
      <c r="C323" s="2595"/>
      <c r="D323" s="2596"/>
      <c r="E323" s="2395"/>
      <c r="F323" s="2396"/>
      <c r="G323" s="2590"/>
      <c r="H323" s="2591"/>
      <c r="I323" s="1081">
        <f t="shared" si="76"/>
        <v>0</v>
      </c>
      <c r="J323" s="1082">
        <f t="shared" si="77"/>
        <v>0</v>
      </c>
      <c r="K323" s="2588"/>
      <c r="L323" s="2589"/>
      <c r="M323" s="1086">
        <f t="shared" si="78"/>
        <v>0</v>
      </c>
      <c r="N323" s="506"/>
      <c r="O323" s="365">
        <f t="shared" si="79"/>
        <v>0</v>
      </c>
      <c r="P323" s="366"/>
      <c r="Q323" s="135"/>
      <c r="R323" s="136"/>
      <c r="S323" s="129"/>
      <c r="T323" s="129"/>
      <c r="U323" s="129"/>
      <c r="V323" s="129"/>
      <c r="W323" s="129"/>
      <c r="X323" s="129"/>
      <c r="Y323" s="129"/>
      <c r="Z323" s="133"/>
      <c r="AA323" s="133"/>
      <c r="AB323" s="133"/>
      <c r="AC323" s="133"/>
      <c r="AD323" s="133"/>
      <c r="AE323" s="133"/>
      <c r="AF323" s="222"/>
      <c r="AG323" s="222"/>
      <c r="AH323" s="222"/>
      <c r="AI323" s="176"/>
      <c r="AJ323" s="176"/>
      <c r="AK323" s="176"/>
      <c r="AL323" s="176"/>
      <c r="AM323" s="176"/>
      <c r="AN323" s="176"/>
      <c r="AO323" s="176"/>
      <c r="AP323" s="176"/>
      <c r="AQ323" s="176"/>
      <c r="AR323" s="176"/>
      <c r="AS323" s="176"/>
      <c r="AT323" s="176"/>
      <c r="AU323" s="176"/>
      <c r="AV323" s="176"/>
      <c r="AW323" s="176"/>
      <c r="AX323" s="176"/>
      <c r="AY323" s="176"/>
      <c r="AZ323" s="176"/>
      <c r="BA323" s="176"/>
      <c r="BB323" s="176"/>
      <c r="BC323" s="176"/>
      <c r="BD323" s="176"/>
      <c r="BE323" s="176"/>
      <c r="BF323" s="176"/>
      <c r="BG323" s="176"/>
      <c r="BH323" s="176"/>
      <c r="BI323" s="176"/>
      <c r="BJ323" s="176"/>
      <c r="BK323" s="176"/>
      <c r="BL323" s="176"/>
      <c r="BM323" s="176"/>
      <c r="BN323" s="176"/>
      <c r="BO323" s="176"/>
    </row>
    <row r="324" spans="1:67" s="36" customFormat="1" ht="10.5" customHeight="1" x14ac:dyDescent="0.2">
      <c r="A324" s="1055"/>
      <c r="B324" s="2594"/>
      <c r="C324" s="2595"/>
      <c r="D324" s="2596"/>
      <c r="E324" s="2395"/>
      <c r="F324" s="2396"/>
      <c r="G324" s="2590"/>
      <c r="H324" s="2591"/>
      <c r="I324" s="1081">
        <f t="shared" si="76"/>
        <v>0</v>
      </c>
      <c r="J324" s="1082">
        <f t="shared" si="77"/>
        <v>0</v>
      </c>
      <c r="K324" s="2588"/>
      <c r="L324" s="2589"/>
      <c r="M324" s="1086">
        <f t="shared" si="78"/>
        <v>0</v>
      </c>
      <c r="N324" s="506"/>
      <c r="O324" s="365">
        <f t="shared" si="79"/>
        <v>0</v>
      </c>
      <c r="P324" s="366"/>
      <c r="Q324" s="135"/>
      <c r="R324" s="136"/>
      <c r="S324" s="129"/>
      <c r="T324" s="129"/>
      <c r="U324" s="129"/>
      <c r="V324" s="129"/>
      <c r="W324" s="129"/>
      <c r="X324" s="129"/>
      <c r="Y324" s="129"/>
      <c r="Z324" s="133"/>
      <c r="AA324" s="133"/>
      <c r="AB324" s="133"/>
      <c r="AC324" s="133"/>
      <c r="AD324" s="133"/>
      <c r="AE324" s="133"/>
      <c r="AF324" s="222"/>
      <c r="AG324" s="222"/>
      <c r="AH324" s="222"/>
      <c r="AI324" s="176"/>
      <c r="AJ324" s="176"/>
      <c r="AK324" s="176"/>
      <c r="AL324" s="176"/>
      <c r="AM324" s="176"/>
      <c r="AN324" s="176"/>
      <c r="AO324" s="176"/>
      <c r="AP324" s="176"/>
      <c r="AQ324" s="176"/>
      <c r="AR324" s="176"/>
      <c r="AS324" s="176"/>
      <c r="AT324" s="176"/>
      <c r="AU324" s="176"/>
      <c r="AV324" s="176"/>
      <c r="AW324" s="176"/>
      <c r="AX324" s="176"/>
      <c r="AY324" s="176"/>
      <c r="AZ324" s="176"/>
      <c r="BA324" s="176"/>
      <c r="BB324" s="176"/>
      <c r="BC324" s="176"/>
      <c r="BD324" s="176"/>
      <c r="BE324" s="176"/>
      <c r="BF324" s="176"/>
      <c r="BG324" s="176"/>
      <c r="BH324" s="176"/>
      <c r="BI324" s="176"/>
      <c r="BJ324" s="176"/>
      <c r="BK324" s="176"/>
      <c r="BL324" s="176"/>
      <c r="BM324" s="176"/>
      <c r="BN324" s="176"/>
      <c r="BO324" s="176"/>
    </row>
    <row r="325" spans="1:67" s="36" customFormat="1" ht="10.5" customHeight="1" x14ac:dyDescent="0.2">
      <c r="A325" s="1055"/>
      <c r="B325" s="2594"/>
      <c r="C325" s="2595"/>
      <c r="D325" s="2596"/>
      <c r="E325" s="2395"/>
      <c r="F325" s="2396"/>
      <c r="G325" s="2590"/>
      <c r="H325" s="2591"/>
      <c r="I325" s="1081">
        <f t="shared" si="76"/>
        <v>0</v>
      </c>
      <c r="J325" s="1082">
        <f t="shared" si="77"/>
        <v>0</v>
      </c>
      <c r="K325" s="2588"/>
      <c r="L325" s="2589"/>
      <c r="M325" s="1086">
        <f t="shared" si="78"/>
        <v>0</v>
      </c>
      <c r="N325" s="506"/>
      <c r="O325" s="365">
        <f t="shared" si="79"/>
        <v>0</v>
      </c>
      <c r="P325" s="366"/>
      <c r="Q325" s="135"/>
      <c r="R325" s="136"/>
      <c r="S325" s="129"/>
      <c r="T325" s="129"/>
      <c r="U325" s="129"/>
      <c r="V325" s="129"/>
      <c r="W325" s="129"/>
      <c r="X325" s="129"/>
      <c r="Y325" s="129"/>
      <c r="Z325" s="133"/>
      <c r="AA325" s="133"/>
      <c r="AB325" s="133"/>
      <c r="AC325" s="133"/>
      <c r="AD325" s="133"/>
      <c r="AE325" s="133"/>
      <c r="AF325" s="222"/>
      <c r="AG325" s="222"/>
      <c r="AH325" s="222"/>
      <c r="AI325" s="176"/>
      <c r="AJ325" s="176"/>
      <c r="AK325" s="176"/>
      <c r="AL325" s="176"/>
      <c r="AM325" s="176"/>
      <c r="AN325" s="176"/>
      <c r="AO325" s="176"/>
      <c r="AP325" s="176"/>
      <c r="AQ325" s="176"/>
      <c r="AR325" s="176"/>
      <c r="AS325" s="176"/>
      <c r="AT325" s="176"/>
      <c r="AU325" s="176"/>
      <c r="AV325" s="176"/>
      <c r="AW325" s="176"/>
      <c r="AX325" s="176"/>
      <c r="AY325" s="176"/>
      <c r="AZ325" s="176"/>
      <c r="BA325" s="176"/>
      <c r="BB325" s="176"/>
      <c r="BC325" s="176"/>
      <c r="BD325" s="176"/>
      <c r="BE325" s="176"/>
      <c r="BF325" s="176"/>
      <c r="BG325" s="176"/>
      <c r="BH325" s="176"/>
      <c r="BI325" s="176"/>
      <c r="BJ325" s="176"/>
      <c r="BK325" s="176"/>
      <c r="BL325" s="176"/>
      <c r="BM325" s="176"/>
      <c r="BN325" s="176"/>
      <c r="BO325" s="176"/>
    </row>
    <row r="326" spans="1:67" s="36" customFormat="1" ht="10.5" customHeight="1" x14ac:dyDescent="0.2">
      <c r="A326" s="1348"/>
      <c r="B326" s="2690"/>
      <c r="C326" s="2691"/>
      <c r="D326" s="2692"/>
      <c r="E326" s="2601"/>
      <c r="F326" s="2602"/>
      <c r="G326" s="1088"/>
      <c r="H326" s="1089"/>
      <c r="I326" s="1083">
        <f t="shared" si="76"/>
        <v>0</v>
      </c>
      <c r="J326" s="1084"/>
      <c r="K326" s="1087"/>
      <c r="L326" s="1307"/>
      <c r="M326" s="1317">
        <f t="shared" si="78"/>
        <v>0</v>
      </c>
      <c r="N326" s="506"/>
      <c r="O326" s="365">
        <f t="shared" si="79"/>
        <v>0</v>
      </c>
      <c r="P326" s="366"/>
      <c r="Q326" s="135"/>
      <c r="R326" s="136"/>
      <c r="S326" s="129"/>
      <c r="T326" s="129"/>
      <c r="U326" s="129"/>
      <c r="V326" s="129"/>
      <c r="W326" s="129"/>
      <c r="X326" s="129"/>
      <c r="Y326" s="129"/>
      <c r="Z326" s="133"/>
      <c r="AA326" s="133"/>
      <c r="AB326" s="133"/>
      <c r="AC326" s="133"/>
      <c r="AD326" s="133"/>
      <c r="AE326" s="133"/>
      <c r="AF326" s="222"/>
      <c r="AG326" s="222"/>
      <c r="AH326" s="222"/>
      <c r="AI326" s="176"/>
      <c r="AJ326" s="176"/>
      <c r="AK326" s="176"/>
      <c r="AL326" s="176"/>
      <c r="AM326" s="176"/>
      <c r="AN326" s="176"/>
      <c r="AO326" s="176"/>
      <c r="AP326" s="176"/>
      <c r="AQ326" s="176"/>
      <c r="AR326" s="176"/>
      <c r="AS326" s="176"/>
      <c r="AT326" s="176"/>
      <c r="AU326" s="176"/>
      <c r="AV326" s="176"/>
      <c r="AW326" s="176"/>
      <c r="AX326" s="176"/>
      <c r="AY326" s="176"/>
      <c r="AZ326" s="176"/>
      <c r="BA326" s="176"/>
      <c r="BB326" s="176"/>
      <c r="BC326" s="176"/>
      <c r="BD326" s="176"/>
      <c r="BE326" s="176"/>
      <c r="BF326" s="176"/>
      <c r="BG326" s="176"/>
      <c r="BH326" s="176"/>
      <c r="BI326" s="176"/>
      <c r="BJ326" s="176"/>
      <c r="BK326" s="176"/>
      <c r="BL326" s="176"/>
      <c r="BM326" s="176"/>
      <c r="BN326" s="176"/>
      <c r="BO326" s="176"/>
    </row>
    <row r="327" spans="1:67" s="36" customFormat="1" ht="10.5" customHeight="1" x14ac:dyDescent="0.2">
      <c r="A327" s="1115" t="s">
        <v>370</v>
      </c>
      <c r="B327" s="2611"/>
      <c r="C327" s="2612"/>
      <c r="D327" s="2613"/>
      <c r="E327" s="2676">
        <f>SUM(E328:E339)</f>
        <v>0</v>
      </c>
      <c r="F327" s="2677"/>
      <c r="G327" s="2678"/>
      <c r="H327" s="2679"/>
      <c r="I327" s="1116">
        <f>IF(E327=0,0,J327/E327)</f>
        <v>0</v>
      </c>
      <c r="J327" s="1117">
        <f>SUM(J328:J339)</f>
        <v>0</v>
      </c>
      <c r="K327" s="2686">
        <f>IF(E327=0,0,M327/E327*100)</f>
        <v>0</v>
      </c>
      <c r="L327" s="2687"/>
      <c r="M327" s="1118">
        <f>SUM(M328:M339)</f>
        <v>0</v>
      </c>
      <c r="N327" s="506"/>
      <c r="O327" s="178">
        <f>IF(H327="",G327,H327)</f>
        <v>0</v>
      </c>
      <c r="P327" s="366"/>
      <c r="Q327" s="135"/>
      <c r="R327" s="136"/>
      <c r="S327" s="129"/>
      <c r="T327" s="129"/>
      <c r="U327" s="129"/>
      <c r="V327" s="129"/>
      <c r="W327" s="129"/>
      <c r="X327" s="129"/>
      <c r="Y327" s="129"/>
      <c r="Z327" s="133"/>
      <c r="AA327" s="133"/>
      <c r="AB327" s="133"/>
      <c r="AC327" s="133"/>
      <c r="AD327" s="133"/>
      <c r="AE327" s="133"/>
      <c r="AF327" s="222"/>
      <c r="AG327" s="222"/>
      <c r="AH327" s="222"/>
      <c r="AI327" s="176"/>
      <c r="AJ327" s="176"/>
      <c r="AK327" s="176"/>
      <c r="AL327" s="176"/>
      <c r="AM327" s="176"/>
      <c r="AN327" s="176"/>
      <c r="AO327" s="176"/>
      <c r="AP327" s="176"/>
      <c r="AQ327" s="176"/>
      <c r="AR327" s="176"/>
      <c r="AS327" s="176"/>
      <c r="AT327" s="176"/>
      <c r="AU327" s="176"/>
      <c r="AV327" s="176"/>
      <c r="AW327" s="176"/>
      <c r="AX327" s="176"/>
      <c r="AY327" s="176"/>
      <c r="AZ327" s="176"/>
      <c r="BA327" s="176"/>
      <c r="BB327" s="176"/>
      <c r="BC327" s="176"/>
      <c r="BD327" s="176"/>
      <c r="BE327" s="176"/>
      <c r="BF327" s="176"/>
      <c r="BG327" s="176"/>
      <c r="BH327" s="176"/>
      <c r="BI327" s="176"/>
      <c r="BJ327" s="176"/>
      <c r="BK327" s="176"/>
      <c r="BL327" s="176"/>
      <c r="BM327" s="176"/>
      <c r="BN327" s="176"/>
      <c r="BO327" s="176"/>
    </row>
    <row r="328" spans="1:67" s="36" customFormat="1" ht="10.5" customHeight="1" x14ac:dyDescent="0.2">
      <c r="A328" s="1373" t="s">
        <v>444</v>
      </c>
      <c r="B328" s="1342"/>
      <c r="C328" s="1343"/>
      <c r="D328" s="1351"/>
      <c r="E328" s="2793">
        <f>ROUND(SUM(E55,E70,E85,E102,E117,E132,E147,E162,E177,E237,E252,E267,E297,E312)*D328,-2)</f>
        <v>0</v>
      </c>
      <c r="F328" s="2793"/>
      <c r="G328" s="1372">
        <v>20</v>
      </c>
      <c r="H328" s="1057"/>
      <c r="I328" s="1079">
        <f t="shared" ref="I328:I340" si="80">IF($O328&gt;0,-PMT(($I$9),$O328,1),0)</f>
        <v>6.2642070767998229E-2</v>
      </c>
      <c r="J328" s="1080">
        <f t="shared" ref="J328:J339" si="81">ROUND(E328*I328,0)</f>
        <v>0</v>
      </c>
      <c r="K328" s="1060">
        <v>2</v>
      </c>
      <c r="L328" s="1304"/>
      <c r="M328" s="1085">
        <f t="shared" ref="M328:M354" si="82">ROUND(E328/100*IF(ISBLANK(L328),K328,L328),0)</f>
        <v>0</v>
      </c>
      <c r="N328" s="506"/>
      <c r="O328" s="365">
        <f t="shared" ref="O328:O340" si="83">IF(ISBLANK(H328),G328,H328)</f>
        <v>20</v>
      </c>
      <c r="P328" s="366"/>
      <c r="Q328" s="135"/>
      <c r="R328" s="136"/>
      <c r="S328" s="129"/>
      <c r="T328" s="129"/>
      <c r="U328" s="129"/>
      <c r="V328" s="129"/>
      <c r="W328" s="129"/>
      <c r="X328" s="129"/>
      <c r="Y328" s="129"/>
      <c r="Z328" s="133"/>
      <c r="AA328" s="133"/>
      <c r="AB328" s="133"/>
      <c r="AC328" s="133"/>
      <c r="AD328" s="133"/>
      <c r="AE328" s="133"/>
      <c r="AF328" s="222"/>
      <c r="AG328" s="222"/>
      <c r="AH328" s="222"/>
      <c r="AI328" s="176"/>
      <c r="AJ328" s="176"/>
      <c r="AK328" s="176"/>
      <c r="AL328" s="176"/>
      <c r="AM328" s="176"/>
      <c r="AN328" s="176"/>
      <c r="AO328" s="176"/>
      <c r="AP328" s="176"/>
      <c r="AQ328" s="176"/>
      <c r="AR328" s="176"/>
      <c r="AS328" s="176"/>
      <c r="AT328" s="176"/>
      <c r="AU328" s="176"/>
      <c r="AV328" s="176"/>
      <c r="AW328" s="176"/>
      <c r="AX328" s="176"/>
      <c r="AY328" s="176"/>
      <c r="AZ328" s="176"/>
      <c r="BA328" s="176"/>
      <c r="BB328" s="176"/>
      <c r="BC328" s="176"/>
      <c r="BD328" s="176"/>
      <c r="BE328" s="176"/>
      <c r="BF328" s="176"/>
      <c r="BG328" s="176"/>
      <c r="BH328" s="176"/>
      <c r="BI328" s="176"/>
      <c r="BJ328" s="176"/>
      <c r="BK328" s="176"/>
      <c r="BL328" s="176"/>
      <c r="BM328" s="176"/>
      <c r="BN328" s="176"/>
      <c r="BO328" s="176"/>
    </row>
    <row r="329" spans="1:67" s="36" customFormat="1" ht="10.5" customHeight="1" x14ac:dyDescent="0.2">
      <c r="A329" s="1055"/>
      <c r="B329" s="2594"/>
      <c r="C329" s="2595"/>
      <c r="D329" s="2596"/>
      <c r="E329" s="2395"/>
      <c r="F329" s="2396"/>
      <c r="G329" s="2590"/>
      <c r="H329" s="2591"/>
      <c r="I329" s="1081">
        <f t="shared" si="80"/>
        <v>0</v>
      </c>
      <c r="J329" s="1082">
        <f t="shared" si="81"/>
        <v>0</v>
      </c>
      <c r="K329" s="2588"/>
      <c r="L329" s="2589"/>
      <c r="M329" s="1086">
        <f t="shared" si="82"/>
        <v>0</v>
      </c>
      <c r="N329" s="506"/>
      <c r="O329" s="365">
        <f t="shared" si="83"/>
        <v>0</v>
      </c>
      <c r="P329" s="366"/>
      <c r="Q329" s="135"/>
      <c r="R329" s="136"/>
      <c r="S329" s="129"/>
      <c r="T329" s="129"/>
      <c r="U329" s="129"/>
      <c r="V329" s="129"/>
      <c r="W329" s="129"/>
      <c r="X329" s="129"/>
      <c r="Y329" s="129"/>
      <c r="Z329" s="133"/>
      <c r="AA329" s="133"/>
      <c r="AB329" s="133"/>
      <c r="AC329" s="133"/>
      <c r="AD329" s="133"/>
      <c r="AE329" s="133"/>
      <c r="AF329" s="222"/>
      <c r="AG329" s="222"/>
      <c r="AH329" s="222"/>
      <c r="AI329" s="176"/>
      <c r="AJ329" s="176"/>
      <c r="AK329" s="176"/>
      <c r="AL329" s="176"/>
      <c r="AM329" s="176"/>
      <c r="AN329" s="176"/>
      <c r="AO329" s="176"/>
      <c r="AP329" s="176"/>
      <c r="AQ329" s="176"/>
      <c r="AR329" s="176"/>
      <c r="AS329" s="176"/>
      <c r="AT329" s="176"/>
      <c r="AU329" s="176"/>
      <c r="AV329" s="176"/>
      <c r="AW329" s="176"/>
      <c r="AX329" s="176"/>
      <c r="AY329" s="176"/>
      <c r="AZ329" s="176"/>
      <c r="BA329" s="176"/>
      <c r="BB329" s="176"/>
      <c r="BC329" s="176"/>
      <c r="BD329" s="176"/>
      <c r="BE329" s="176"/>
      <c r="BF329" s="176"/>
      <c r="BG329" s="176"/>
      <c r="BH329" s="176"/>
      <c r="BI329" s="176"/>
      <c r="BJ329" s="176"/>
      <c r="BK329" s="176"/>
      <c r="BL329" s="176"/>
      <c r="BM329" s="176"/>
      <c r="BN329" s="176"/>
      <c r="BO329" s="176"/>
    </row>
    <row r="330" spans="1:67" s="36" customFormat="1" ht="10.5" customHeight="1" x14ac:dyDescent="0.2">
      <c r="A330" s="1055"/>
      <c r="B330" s="2594"/>
      <c r="C330" s="2595"/>
      <c r="D330" s="2596"/>
      <c r="E330" s="2395"/>
      <c r="F330" s="2396"/>
      <c r="G330" s="2590"/>
      <c r="H330" s="2591"/>
      <c r="I330" s="1081">
        <f t="shared" si="80"/>
        <v>0</v>
      </c>
      <c r="J330" s="1082">
        <f t="shared" si="81"/>
        <v>0</v>
      </c>
      <c r="K330" s="2588"/>
      <c r="L330" s="2589"/>
      <c r="M330" s="1086">
        <f t="shared" si="82"/>
        <v>0</v>
      </c>
      <c r="N330" s="506"/>
      <c r="O330" s="365">
        <f t="shared" si="83"/>
        <v>0</v>
      </c>
      <c r="P330" s="366"/>
      <c r="Q330" s="135"/>
      <c r="R330" s="136"/>
      <c r="S330" s="129"/>
      <c r="T330" s="129"/>
      <c r="U330" s="129"/>
      <c r="V330" s="129"/>
      <c r="W330" s="129"/>
      <c r="X330" s="129"/>
      <c r="Y330" s="129"/>
      <c r="Z330" s="133"/>
      <c r="AA330" s="133"/>
      <c r="AB330" s="133"/>
      <c r="AC330" s="133"/>
      <c r="AD330" s="133"/>
      <c r="AE330" s="133"/>
      <c r="AF330" s="222"/>
      <c r="AG330" s="222"/>
      <c r="AH330" s="222"/>
      <c r="AI330" s="176"/>
      <c r="AJ330" s="176"/>
      <c r="AK330" s="176"/>
      <c r="AL330" s="176"/>
      <c r="AM330" s="176"/>
      <c r="AN330" s="176"/>
      <c r="AO330" s="176"/>
      <c r="AP330" s="176"/>
      <c r="AQ330" s="176"/>
      <c r="AR330" s="176"/>
      <c r="AS330" s="176"/>
      <c r="AT330" s="176"/>
      <c r="AU330" s="176"/>
      <c r="AV330" s="176"/>
      <c r="AW330" s="176"/>
      <c r="AX330" s="176"/>
      <c r="AY330" s="176"/>
      <c r="AZ330" s="176"/>
      <c r="BA330" s="176"/>
      <c r="BB330" s="176"/>
      <c r="BC330" s="176"/>
      <c r="BD330" s="176"/>
      <c r="BE330" s="176"/>
      <c r="BF330" s="176"/>
      <c r="BG330" s="176"/>
      <c r="BH330" s="176"/>
      <c r="BI330" s="176"/>
      <c r="BJ330" s="176"/>
      <c r="BK330" s="176"/>
      <c r="BL330" s="176"/>
      <c r="BM330" s="176"/>
      <c r="BN330" s="176"/>
      <c r="BO330" s="176"/>
    </row>
    <row r="331" spans="1:67" s="36" customFormat="1" ht="10.5" customHeight="1" x14ac:dyDescent="0.2">
      <c r="A331" s="1055"/>
      <c r="B331" s="2594"/>
      <c r="C331" s="2595"/>
      <c r="D331" s="2596"/>
      <c r="E331" s="2395"/>
      <c r="F331" s="2396"/>
      <c r="G331" s="2590"/>
      <c r="H331" s="2591"/>
      <c r="I331" s="1081">
        <f t="shared" si="80"/>
        <v>0</v>
      </c>
      <c r="J331" s="1082">
        <f t="shared" si="81"/>
        <v>0</v>
      </c>
      <c r="K331" s="2588"/>
      <c r="L331" s="2589"/>
      <c r="M331" s="1086">
        <f t="shared" si="82"/>
        <v>0</v>
      </c>
      <c r="N331" s="506"/>
      <c r="O331" s="365">
        <f t="shared" si="83"/>
        <v>0</v>
      </c>
      <c r="P331" s="366"/>
      <c r="Q331" s="135"/>
      <c r="R331" s="136"/>
      <c r="S331" s="129"/>
      <c r="T331" s="129"/>
      <c r="U331" s="129"/>
      <c r="V331" s="129"/>
      <c r="W331" s="129"/>
      <c r="X331" s="129"/>
      <c r="Y331" s="129"/>
      <c r="Z331" s="133"/>
      <c r="AA331" s="133"/>
      <c r="AB331" s="133"/>
      <c r="AC331" s="133"/>
      <c r="AD331" s="133"/>
      <c r="AE331" s="133"/>
      <c r="AF331" s="222"/>
      <c r="AG331" s="222"/>
      <c r="AH331" s="222"/>
      <c r="AI331" s="176"/>
      <c r="AJ331" s="176"/>
      <c r="AK331" s="176"/>
      <c r="AL331" s="176"/>
      <c r="AM331" s="176"/>
      <c r="AN331" s="176"/>
      <c r="AO331" s="176"/>
      <c r="AP331" s="176"/>
      <c r="AQ331" s="176"/>
      <c r="AR331" s="176"/>
      <c r="AS331" s="176"/>
      <c r="AT331" s="176"/>
      <c r="AU331" s="176"/>
      <c r="AV331" s="176"/>
      <c r="AW331" s="176"/>
      <c r="AX331" s="176"/>
      <c r="AY331" s="176"/>
      <c r="AZ331" s="176"/>
      <c r="BA331" s="176"/>
      <c r="BB331" s="176"/>
      <c r="BC331" s="176"/>
      <c r="BD331" s="176"/>
      <c r="BE331" s="176"/>
      <c r="BF331" s="176"/>
      <c r="BG331" s="176"/>
      <c r="BH331" s="176"/>
      <c r="BI331" s="176"/>
      <c r="BJ331" s="176"/>
      <c r="BK331" s="176"/>
      <c r="BL331" s="176"/>
      <c r="BM331" s="176"/>
      <c r="BN331" s="176"/>
      <c r="BO331" s="176"/>
    </row>
    <row r="332" spans="1:67" s="36" customFormat="1" ht="10.5" customHeight="1" x14ac:dyDescent="0.2">
      <c r="A332" s="1055"/>
      <c r="B332" s="2594"/>
      <c r="C332" s="2595"/>
      <c r="D332" s="2596"/>
      <c r="E332" s="2395"/>
      <c r="F332" s="2396"/>
      <c r="G332" s="2590"/>
      <c r="H332" s="2591"/>
      <c r="I332" s="1081">
        <f t="shared" si="80"/>
        <v>0</v>
      </c>
      <c r="J332" s="1082">
        <f t="shared" si="81"/>
        <v>0</v>
      </c>
      <c r="K332" s="2588"/>
      <c r="L332" s="2589"/>
      <c r="M332" s="1086">
        <f t="shared" si="82"/>
        <v>0</v>
      </c>
      <c r="N332" s="506"/>
      <c r="O332" s="365">
        <f t="shared" si="83"/>
        <v>0</v>
      </c>
      <c r="P332" s="366"/>
      <c r="Q332" s="135"/>
      <c r="R332" s="136"/>
      <c r="S332" s="129"/>
      <c r="T332" s="129"/>
      <c r="U332" s="129"/>
      <c r="V332" s="129"/>
      <c r="W332" s="129"/>
      <c r="X332" s="129"/>
      <c r="Y332" s="129"/>
      <c r="Z332" s="133"/>
      <c r="AA332" s="133"/>
      <c r="AB332" s="133"/>
      <c r="AC332" s="133"/>
      <c r="AD332" s="133"/>
      <c r="AE332" s="133"/>
      <c r="AF332" s="222"/>
      <c r="AG332" s="222"/>
      <c r="AH332" s="222"/>
      <c r="AI332" s="176"/>
      <c r="AJ332" s="176"/>
      <c r="AK332" s="176"/>
      <c r="AL332" s="176"/>
      <c r="AM332" s="176"/>
      <c r="AN332" s="176"/>
      <c r="AO332" s="176"/>
      <c r="AP332" s="176"/>
      <c r="AQ332" s="176"/>
      <c r="AR332" s="176"/>
      <c r="AS332" s="176"/>
      <c r="AT332" s="176"/>
      <c r="AU332" s="176"/>
      <c r="AV332" s="176"/>
      <c r="AW332" s="176"/>
      <c r="AX332" s="176"/>
      <c r="AY332" s="176"/>
      <c r="AZ332" s="176"/>
      <c r="BA332" s="176"/>
      <c r="BB332" s="176"/>
      <c r="BC332" s="176"/>
      <c r="BD332" s="176"/>
      <c r="BE332" s="176"/>
      <c r="BF332" s="176"/>
      <c r="BG332" s="176"/>
      <c r="BH332" s="176"/>
      <c r="BI332" s="176"/>
      <c r="BJ332" s="176"/>
      <c r="BK332" s="176"/>
      <c r="BL332" s="176"/>
      <c r="BM332" s="176"/>
      <c r="BN332" s="176"/>
      <c r="BO332" s="176"/>
    </row>
    <row r="333" spans="1:67" s="36" customFormat="1" ht="10.5" customHeight="1" x14ac:dyDescent="0.2">
      <c r="A333" s="1055"/>
      <c r="B333" s="2594"/>
      <c r="C333" s="2595"/>
      <c r="D333" s="2596"/>
      <c r="E333" s="2395"/>
      <c r="F333" s="2396"/>
      <c r="G333" s="2590"/>
      <c r="H333" s="2591"/>
      <c r="I333" s="1081">
        <f t="shared" si="80"/>
        <v>0</v>
      </c>
      <c r="J333" s="1082">
        <f t="shared" si="81"/>
        <v>0</v>
      </c>
      <c r="K333" s="2588"/>
      <c r="L333" s="2589"/>
      <c r="M333" s="1086">
        <f t="shared" si="82"/>
        <v>0</v>
      </c>
      <c r="N333" s="506"/>
      <c r="O333" s="365">
        <f t="shared" si="83"/>
        <v>0</v>
      </c>
      <c r="P333" s="366"/>
      <c r="Q333" s="135"/>
      <c r="R333" s="136"/>
      <c r="S333" s="129"/>
      <c r="T333" s="129"/>
      <c r="U333" s="129"/>
      <c r="V333" s="129"/>
      <c r="W333" s="129"/>
      <c r="X333" s="129"/>
      <c r="Y333" s="129"/>
      <c r="Z333" s="133"/>
      <c r="AA333" s="133"/>
      <c r="AB333" s="133"/>
      <c r="AC333" s="133"/>
      <c r="AD333" s="133"/>
      <c r="AE333" s="133"/>
      <c r="AF333" s="222"/>
      <c r="AG333" s="222"/>
      <c r="AH333" s="222"/>
      <c r="AI333" s="176"/>
      <c r="AJ333" s="176"/>
      <c r="AK333" s="176"/>
      <c r="AL333" s="176"/>
      <c r="AM333" s="176"/>
      <c r="AN333" s="176"/>
      <c r="AO333" s="176"/>
      <c r="AP333" s="176"/>
      <c r="AQ333" s="176"/>
      <c r="AR333" s="176"/>
      <c r="AS333" s="176"/>
      <c r="AT333" s="176"/>
      <c r="AU333" s="176"/>
      <c r="AV333" s="176"/>
      <c r="AW333" s="176"/>
      <c r="AX333" s="176"/>
      <c r="AY333" s="176"/>
      <c r="AZ333" s="176"/>
      <c r="BA333" s="176"/>
      <c r="BB333" s="176"/>
      <c r="BC333" s="176"/>
      <c r="BD333" s="176"/>
      <c r="BE333" s="176"/>
      <c r="BF333" s="176"/>
      <c r="BG333" s="176"/>
      <c r="BH333" s="176"/>
      <c r="BI333" s="176"/>
      <c r="BJ333" s="176"/>
      <c r="BK333" s="176"/>
      <c r="BL333" s="176"/>
      <c r="BM333" s="176"/>
      <c r="BN333" s="176"/>
      <c r="BO333" s="176"/>
    </row>
    <row r="334" spans="1:67" s="36" customFormat="1" ht="10.5" customHeight="1" x14ac:dyDescent="0.2">
      <c r="A334" s="1373" t="s">
        <v>445</v>
      </c>
      <c r="B334" s="1342"/>
      <c r="C334" s="1343"/>
      <c r="D334" s="1351"/>
      <c r="E334" s="2793">
        <f>ROUND(SUM(E40,E192,E207,E222,E282)*D334,-2)</f>
        <v>0</v>
      </c>
      <c r="F334" s="2793"/>
      <c r="G334" s="1372">
        <v>20</v>
      </c>
      <c r="H334" s="1057"/>
      <c r="I334" s="1079">
        <f t="shared" si="80"/>
        <v>6.2642070767998229E-2</v>
      </c>
      <c r="J334" s="1080">
        <f t="shared" si="81"/>
        <v>0</v>
      </c>
      <c r="K334" s="1060">
        <v>1</v>
      </c>
      <c r="L334" s="1304"/>
      <c r="M334" s="1085">
        <f t="shared" si="82"/>
        <v>0</v>
      </c>
      <c r="N334" s="506"/>
      <c r="O334" s="365">
        <f t="shared" si="83"/>
        <v>20</v>
      </c>
      <c r="P334" s="366"/>
      <c r="Q334" s="135"/>
      <c r="R334" s="136"/>
      <c r="S334" s="129"/>
      <c r="T334" s="129"/>
      <c r="U334" s="129"/>
      <c r="V334" s="129"/>
      <c r="W334" s="129"/>
      <c r="X334" s="129"/>
      <c r="Y334" s="129"/>
      <c r="Z334" s="133"/>
      <c r="AA334" s="133"/>
      <c r="AB334" s="133"/>
      <c r="AC334" s="133"/>
      <c r="AD334" s="133"/>
      <c r="AE334" s="133"/>
      <c r="AF334" s="222"/>
      <c r="AG334" s="222"/>
      <c r="AH334" s="222"/>
      <c r="AI334" s="176"/>
      <c r="AJ334" s="176"/>
      <c r="AK334" s="176"/>
      <c r="AL334" s="176"/>
      <c r="AM334" s="176"/>
      <c r="AN334" s="176"/>
      <c r="AO334" s="176"/>
      <c r="AP334" s="176"/>
      <c r="AQ334" s="176"/>
      <c r="AR334" s="176"/>
      <c r="AS334" s="176"/>
      <c r="AT334" s="176"/>
      <c r="AU334" s="176"/>
      <c r="AV334" s="176"/>
      <c r="AW334" s="176"/>
      <c r="AX334" s="176"/>
      <c r="AY334" s="176"/>
      <c r="AZ334" s="176"/>
      <c r="BA334" s="176"/>
      <c r="BB334" s="176"/>
      <c r="BC334" s="176"/>
      <c r="BD334" s="176"/>
      <c r="BE334" s="176"/>
      <c r="BF334" s="176"/>
      <c r="BG334" s="176"/>
      <c r="BH334" s="176"/>
      <c r="BI334" s="176"/>
      <c r="BJ334" s="176"/>
      <c r="BK334" s="176"/>
      <c r="BL334" s="176"/>
      <c r="BM334" s="176"/>
      <c r="BN334" s="176"/>
      <c r="BO334" s="176"/>
    </row>
    <row r="335" spans="1:67" s="36" customFormat="1" ht="10.5" customHeight="1" x14ac:dyDescent="0.2">
      <c r="A335" s="1055"/>
      <c r="B335" s="2594"/>
      <c r="C335" s="2595"/>
      <c r="D335" s="2596"/>
      <c r="E335" s="2395"/>
      <c r="F335" s="2396"/>
      <c r="G335" s="2590"/>
      <c r="H335" s="2591"/>
      <c r="I335" s="1081">
        <f t="shared" si="80"/>
        <v>0</v>
      </c>
      <c r="J335" s="1082">
        <f t="shared" si="81"/>
        <v>0</v>
      </c>
      <c r="K335" s="2588"/>
      <c r="L335" s="2589"/>
      <c r="M335" s="1086">
        <f t="shared" si="82"/>
        <v>0</v>
      </c>
      <c r="N335" s="506"/>
      <c r="O335" s="365">
        <f t="shared" si="83"/>
        <v>0</v>
      </c>
      <c r="P335" s="366"/>
      <c r="Q335" s="135"/>
      <c r="R335" s="136"/>
      <c r="S335" s="129"/>
      <c r="T335" s="129"/>
      <c r="U335" s="129"/>
      <c r="V335" s="129"/>
      <c r="W335" s="129"/>
      <c r="X335" s="129"/>
      <c r="Y335" s="129"/>
      <c r="Z335" s="133"/>
      <c r="AA335" s="133"/>
      <c r="AB335" s="133"/>
      <c r="AC335" s="133"/>
      <c r="AD335" s="133"/>
      <c r="AE335" s="133"/>
      <c r="AF335" s="222"/>
      <c r="AG335" s="222"/>
      <c r="AH335" s="222"/>
      <c r="AI335" s="176"/>
      <c r="AJ335" s="176"/>
      <c r="AK335" s="176"/>
      <c r="AL335" s="176"/>
      <c r="AM335" s="176"/>
      <c r="AN335" s="176"/>
      <c r="AO335" s="176"/>
      <c r="AP335" s="176"/>
      <c r="AQ335" s="176"/>
      <c r="AR335" s="176"/>
      <c r="AS335" s="176"/>
      <c r="AT335" s="176"/>
      <c r="AU335" s="176"/>
      <c r="AV335" s="176"/>
      <c r="AW335" s="176"/>
      <c r="AX335" s="176"/>
      <c r="AY335" s="176"/>
      <c r="AZ335" s="176"/>
      <c r="BA335" s="176"/>
      <c r="BB335" s="176"/>
      <c r="BC335" s="176"/>
      <c r="BD335" s="176"/>
      <c r="BE335" s="176"/>
      <c r="BF335" s="176"/>
      <c r="BG335" s="176"/>
      <c r="BH335" s="176"/>
      <c r="BI335" s="176"/>
      <c r="BJ335" s="176"/>
      <c r="BK335" s="176"/>
      <c r="BL335" s="176"/>
      <c r="BM335" s="176"/>
      <c r="BN335" s="176"/>
      <c r="BO335" s="176"/>
    </row>
    <row r="336" spans="1:67" s="36" customFormat="1" ht="10.5" customHeight="1" x14ac:dyDescent="0.2">
      <c r="A336" s="1055"/>
      <c r="B336" s="2594"/>
      <c r="C336" s="2595"/>
      <c r="D336" s="2596"/>
      <c r="E336" s="2395"/>
      <c r="F336" s="2396"/>
      <c r="G336" s="2590"/>
      <c r="H336" s="2591"/>
      <c r="I336" s="1081">
        <f t="shared" si="80"/>
        <v>0</v>
      </c>
      <c r="J336" s="1082">
        <f t="shared" si="81"/>
        <v>0</v>
      </c>
      <c r="K336" s="2588"/>
      <c r="L336" s="2589"/>
      <c r="M336" s="1086">
        <f t="shared" si="82"/>
        <v>0</v>
      </c>
      <c r="N336" s="506"/>
      <c r="O336" s="365">
        <f t="shared" si="83"/>
        <v>0</v>
      </c>
      <c r="P336" s="366"/>
      <c r="Q336" s="135"/>
      <c r="R336" s="136"/>
      <c r="S336" s="129"/>
      <c r="T336" s="129"/>
      <c r="U336" s="129"/>
      <c r="V336" s="129"/>
      <c r="W336" s="129"/>
      <c r="X336" s="129"/>
      <c r="Y336" s="129"/>
      <c r="Z336" s="133"/>
      <c r="AA336" s="133"/>
      <c r="AB336" s="133"/>
      <c r="AC336" s="133"/>
      <c r="AD336" s="133"/>
      <c r="AE336" s="133"/>
      <c r="AF336" s="222"/>
      <c r="AG336" s="222"/>
      <c r="AH336" s="222"/>
      <c r="AI336" s="176"/>
      <c r="AJ336" s="176"/>
      <c r="AK336" s="176"/>
      <c r="AL336" s="176"/>
      <c r="AM336" s="176"/>
      <c r="AN336" s="176"/>
      <c r="AO336" s="176"/>
      <c r="AP336" s="176"/>
      <c r="AQ336" s="176"/>
      <c r="AR336" s="176"/>
      <c r="AS336" s="176"/>
      <c r="AT336" s="176"/>
      <c r="AU336" s="176"/>
      <c r="AV336" s="176"/>
      <c r="AW336" s="176"/>
      <c r="AX336" s="176"/>
      <c r="AY336" s="176"/>
      <c r="AZ336" s="176"/>
      <c r="BA336" s="176"/>
      <c r="BB336" s="176"/>
      <c r="BC336" s="176"/>
      <c r="BD336" s="176"/>
      <c r="BE336" s="176"/>
      <c r="BF336" s="176"/>
      <c r="BG336" s="176"/>
      <c r="BH336" s="176"/>
      <c r="BI336" s="176"/>
      <c r="BJ336" s="176"/>
      <c r="BK336" s="176"/>
      <c r="BL336" s="176"/>
      <c r="BM336" s="176"/>
      <c r="BN336" s="176"/>
      <c r="BO336" s="176"/>
    </row>
    <row r="337" spans="1:67" s="36" customFormat="1" ht="10.5" customHeight="1" x14ac:dyDescent="0.2">
      <c r="A337" s="1055"/>
      <c r="B337" s="2594"/>
      <c r="C337" s="2595"/>
      <c r="D337" s="2596"/>
      <c r="E337" s="2395"/>
      <c r="F337" s="2396"/>
      <c r="G337" s="2590"/>
      <c r="H337" s="2591"/>
      <c r="I337" s="1081">
        <f t="shared" si="80"/>
        <v>0</v>
      </c>
      <c r="J337" s="1082">
        <f t="shared" si="81"/>
        <v>0</v>
      </c>
      <c r="K337" s="2588"/>
      <c r="L337" s="2589"/>
      <c r="M337" s="1086">
        <f t="shared" si="82"/>
        <v>0</v>
      </c>
      <c r="N337" s="506"/>
      <c r="O337" s="365">
        <f t="shared" si="83"/>
        <v>0</v>
      </c>
      <c r="P337" s="366"/>
      <c r="Q337" s="135"/>
      <c r="R337" s="136"/>
      <c r="S337" s="129"/>
      <c r="T337" s="129"/>
      <c r="U337" s="129"/>
      <c r="V337" s="129"/>
      <c r="W337" s="129"/>
      <c r="X337" s="129"/>
      <c r="Y337" s="129"/>
      <c r="Z337" s="133"/>
      <c r="AA337" s="133"/>
      <c r="AB337" s="133"/>
      <c r="AC337" s="133"/>
      <c r="AD337" s="133"/>
      <c r="AE337" s="133"/>
      <c r="AF337" s="222"/>
      <c r="AG337" s="222"/>
      <c r="AH337" s="222"/>
      <c r="AI337" s="176"/>
      <c r="AJ337" s="176"/>
      <c r="AK337" s="176"/>
      <c r="AL337" s="176"/>
      <c r="AM337" s="176"/>
      <c r="AN337" s="176"/>
      <c r="AO337" s="176"/>
      <c r="AP337" s="176"/>
      <c r="AQ337" s="176"/>
      <c r="AR337" s="176"/>
      <c r="AS337" s="176"/>
      <c r="AT337" s="176"/>
      <c r="AU337" s="176"/>
      <c r="AV337" s="176"/>
      <c r="AW337" s="176"/>
      <c r="AX337" s="176"/>
      <c r="AY337" s="176"/>
      <c r="AZ337" s="176"/>
      <c r="BA337" s="176"/>
      <c r="BB337" s="176"/>
      <c r="BC337" s="176"/>
      <c r="BD337" s="176"/>
      <c r="BE337" s="176"/>
      <c r="BF337" s="176"/>
      <c r="BG337" s="176"/>
      <c r="BH337" s="176"/>
      <c r="BI337" s="176"/>
      <c r="BJ337" s="176"/>
      <c r="BK337" s="176"/>
      <c r="BL337" s="176"/>
      <c r="BM337" s="176"/>
      <c r="BN337" s="176"/>
      <c r="BO337" s="176"/>
    </row>
    <row r="338" spans="1:67" s="36" customFormat="1" ht="10.5" customHeight="1" x14ac:dyDescent="0.2">
      <c r="A338" s="1055"/>
      <c r="B338" s="2594"/>
      <c r="C338" s="2595"/>
      <c r="D338" s="2596"/>
      <c r="E338" s="2395"/>
      <c r="F338" s="2396"/>
      <c r="G338" s="2590"/>
      <c r="H338" s="2591"/>
      <c r="I338" s="1081">
        <f t="shared" si="80"/>
        <v>0</v>
      </c>
      <c r="J338" s="1082">
        <f t="shared" si="81"/>
        <v>0</v>
      </c>
      <c r="K338" s="2588"/>
      <c r="L338" s="2589"/>
      <c r="M338" s="1086">
        <f t="shared" si="82"/>
        <v>0</v>
      </c>
      <c r="N338" s="506"/>
      <c r="O338" s="365">
        <f t="shared" si="83"/>
        <v>0</v>
      </c>
      <c r="P338" s="366"/>
      <c r="Q338" s="135"/>
      <c r="R338" s="136"/>
      <c r="S338" s="129"/>
      <c r="T338" s="129"/>
      <c r="U338" s="129"/>
      <c r="V338" s="129"/>
      <c r="W338" s="129"/>
      <c r="X338" s="129"/>
      <c r="Y338" s="129"/>
      <c r="Z338" s="133"/>
      <c r="AA338" s="133"/>
      <c r="AB338" s="133"/>
      <c r="AC338" s="133"/>
      <c r="AD338" s="133"/>
      <c r="AE338" s="133"/>
      <c r="AF338" s="222"/>
      <c r="AG338" s="222"/>
      <c r="AH338" s="222"/>
      <c r="AI338" s="176"/>
      <c r="AJ338" s="176"/>
      <c r="AK338" s="176"/>
      <c r="AL338" s="176"/>
      <c r="AM338" s="176"/>
      <c r="AN338" s="176"/>
      <c r="AO338" s="176"/>
      <c r="AP338" s="176"/>
      <c r="AQ338" s="176"/>
      <c r="AR338" s="176"/>
      <c r="AS338" s="176"/>
      <c r="AT338" s="176"/>
      <c r="AU338" s="176"/>
      <c r="AV338" s="176"/>
      <c r="AW338" s="176"/>
      <c r="AX338" s="176"/>
      <c r="AY338" s="176"/>
      <c r="AZ338" s="176"/>
      <c r="BA338" s="176"/>
      <c r="BB338" s="176"/>
      <c r="BC338" s="176"/>
      <c r="BD338" s="176"/>
      <c r="BE338" s="176"/>
      <c r="BF338" s="176"/>
      <c r="BG338" s="176"/>
      <c r="BH338" s="176"/>
      <c r="BI338" s="176"/>
      <c r="BJ338" s="176"/>
      <c r="BK338" s="176"/>
      <c r="BL338" s="176"/>
      <c r="BM338" s="176"/>
      <c r="BN338" s="176"/>
      <c r="BO338" s="176"/>
    </row>
    <row r="339" spans="1:67" s="36" customFormat="1" ht="10.5" customHeight="1" x14ac:dyDescent="0.2">
      <c r="A339" s="1055"/>
      <c r="B339" s="2594"/>
      <c r="C339" s="2595"/>
      <c r="D339" s="2596"/>
      <c r="E339" s="2395"/>
      <c r="F339" s="2396"/>
      <c r="G339" s="2590"/>
      <c r="H339" s="2591"/>
      <c r="I339" s="1081">
        <f t="shared" si="80"/>
        <v>0</v>
      </c>
      <c r="J339" s="1082">
        <f t="shared" si="81"/>
        <v>0</v>
      </c>
      <c r="K339" s="2588"/>
      <c r="L339" s="2589"/>
      <c r="M339" s="1086">
        <f t="shared" si="82"/>
        <v>0</v>
      </c>
      <c r="N339" s="506"/>
      <c r="O339" s="365">
        <f t="shared" si="83"/>
        <v>0</v>
      </c>
      <c r="P339" s="366"/>
      <c r="Q339" s="135"/>
      <c r="R339" s="136"/>
      <c r="S339" s="129"/>
      <c r="T339" s="129"/>
      <c r="U339" s="129"/>
      <c r="V339" s="129"/>
      <c r="W339" s="129"/>
      <c r="X339" s="129"/>
      <c r="Y339" s="129"/>
      <c r="Z339" s="133"/>
      <c r="AA339" s="133"/>
      <c r="AB339" s="133"/>
      <c r="AC339" s="133"/>
      <c r="AD339" s="133"/>
      <c r="AE339" s="133"/>
      <c r="AF339" s="222"/>
      <c r="AG339" s="222"/>
      <c r="AH339" s="222"/>
      <c r="AI339" s="176"/>
      <c r="AJ339" s="176"/>
      <c r="AK339" s="176"/>
      <c r="AL339" s="176"/>
      <c r="AM339" s="176"/>
      <c r="AN339" s="176"/>
      <c r="AO339" s="176"/>
      <c r="AP339" s="176"/>
      <c r="AQ339" s="176"/>
      <c r="AR339" s="176"/>
      <c r="AS339" s="176"/>
      <c r="AT339" s="176"/>
      <c r="AU339" s="176"/>
      <c r="AV339" s="176"/>
      <c r="AW339" s="176"/>
      <c r="AX339" s="176"/>
      <c r="AY339" s="176"/>
      <c r="AZ339" s="176"/>
      <c r="BA339" s="176"/>
      <c r="BB339" s="176"/>
      <c r="BC339" s="176"/>
      <c r="BD339" s="176"/>
      <c r="BE339" s="176"/>
      <c r="BF339" s="176"/>
      <c r="BG339" s="176"/>
      <c r="BH339" s="176"/>
      <c r="BI339" s="176"/>
      <c r="BJ339" s="176"/>
      <c r="BK339" s="176"/>
      <c r="BL339" s="176"/>
      <c r="BM339" s="176"/>
      <c r="BN339" s="176"/>
      <c r="BO339" s="176"/>
    </row>
    <row r="340" spans="1:67" s="36" customFormat="1" ht="10.5" customHeight="1" x14ac:dyDescent="0.2">
      <c r="A340" s="1348"/>
      <c r="B340" s="2690"/>
      <c r="C340" s="2691"/>
      <c r="D340" s="2692"/>
      <c r="E340" s="2601"/>
      <c r="F340" s="2602"/>
      <c r="G340" s="1088"/>
      <c r="H340" s="1089"/>
      <c r="I340" s="1083">
        <f t="shared" si="80"/>
        <v>0</v>
      </c>
      <c r="J340" s="1084"/>
      <c r="K340" s="1087"/>
      <c r="L340" s="1307"/>
      <c r="M340" s="1317">
        <f t="shared" si="82"/>
        <v>0</v>
      </c>
      <c r="N340" s="506"/>
      <c r="O340" s="365">
        <f t="shared" si="83"/>
        <v>0</v>
      </c>
      <c r="P340" s="366"/>
      <c r="Q340" s="135"/>
      <c r="R340" s="136"/>
      <c r="S340" s="129"/>
      <c r="T340" s="129"/>
      <c r="U340" s="129"/>
      <c r="V340" s="129"/>
      <c r="W340" s="129"/>
      <c r="X340" s="129"/>
      <c r="Y340" s="129"/>
      <c r="Z340" s="133"/>
      <c r="AA340" s="133"/>
      <c r="AB340" s="133"/>
      <c r="AC340" s="133"/>
      <c r="AD340" s="133"/>
      <c r="AE340" s="133"/>
      <c r="AF340" s="222"/>
      <c r="AG340" s="222"/>
      <c r="AH340" s="222"/>
      <c r="AI340" s="176"/>
      <c r="AJ340" s="176"/>
      <c r="AK340" s="176"/>
      <c r="AL340" s="176"/>
      <c r="AM340" s="176"/>
      <c r="AN340" s="176"/>
      <c r="AO340" s="176"/>
      <c r="AP340" s="176"/>
      <c r="AQ340" s="176"/>
      <c r="AR340" s="176"/>
      <c r="AS340" s="176"/>
      <c r="AT340" s="176"/>
      <c r="AU340" s="176"/>
      <c r="AV340" s="176"/>
      <c r="AW340" s="176"/>
      <c r="AX340" s="176"/>
      <c r="AY340" s="176"/>
      <c r="AZ340" s="176"/>
      <c r="BA340" s="176"/>
      <c r="BB340" s="176"/>
      <c r="BC340" s="176"/>
      <c r="BD340" s="176"/>
      <c r="BE340" s="176"/>
      <c r="BF340" s="176"/>
      <c r="BG340" s="176"/>
      <c r="BH340" s="176"/>
      <c r="BI340" s="176"/>
      <c r="BJ340" s="176"/>
      <c r="BK340" s="176"/>
      <c r="BL340" s="176"/>
      <c r="BM340" s="176"/>
      <c r="BN340" s="176"/>
      <c r="BO340" s="176"/>
    </row>
    <row r="341" spans="1:67" s="36" customFormat="1" ht="10.5" customHeight="1" x14ac:dyDescent="0.2">
      <c r="A341" s="1115" t="s">
        <v>371</v>
      </c>
      <c r="B341" s="2611"/>
      <c r="C341" s="2612"/>
      <c r="D341" s="2613"/>
      <c r="E341" s="2676">
        <f>SUM(E342:E354)</f>
        <v>0</v>
      </c>
      <c r="F341" s="2677"/>
      <c r="G341" s="2678"/>
      <c r="H341" s="2679"/>
      <c r="I341" s="1116">
        <f>IF(E341=0,0,J341/E341)</f>
        <v>0</v>
      </c>
      <c r="J341" s="1117">
        <f>SUM(J342:J354)</f>
        <v>0</v>
      </c>
      <c r="K341" s="2686"/>
      <c r="L341" s="2687"/>
      <c r="M341" s="1118">
        <f t="shared" si="82"/>
        <v>0</v>
      </c>
      <c r="N341" s="506"/>
      <c r="O341" s="178">
        <f>IF(H341="",G341,H341)</f>
        <v>0</v>
      </c>
      <c r="P341" s="366"/>
      <c r="Q341" s="135"/>
      <c r="R341" s="136"/>
      <c r="S341" s="129"/>
      <c r="T341" s="129"/>
      <c r="U341" s="129"/>
      <c r="V341" s="129"/>
      <c r="W341" s="129"/>
      <c r="X341" s="129"/>
      <c r="Y341" s="129"/>
      <c r="Z341" s="133"/>
      <c r="AA341" s="133"/>
      <c r="AB341" s="133"/>
      <c r="AC341" s="133"/>
      <c r="AD341" s="133"/>
      <c r="AE341" s="133"/>
      <c r="AF341" s="222"/>
      <c r="AG341" s="222"/>
      <c r="AH341" s="222"/>
      <c r="AI341" s="176"/>
      <c r="AJ341" s="176"/>
      <c r="AK341" s="176"/>
      <c r="AL341" s="176"/>
      <c r="AM341" s="176"/>
      <c r="AN341" s="176"/>
      <c r="AO341" s="176"/>
      <c r="AP341" s="176"/>
      <c r="AQ341" s="176"/>
      <c r="AR341" s="176"/>
      <c r="AS341" s="176"/>
      <c r="AT341" s="176"/>
      <c r="AU341" s="176"/>
      <c r="AV341" s="176"/>
      <c r="AW341" s="176"/>
      <c r="AX341" s="176"/>
      <c r="AY341" s="176"/>
      <c r="AZ341" s="176"/>
      <c r="BA341" s="176"/>
      <c r="BB341" s="176"/>
      <c r="BC341" s="176"/>
      <c r="BD341" s="176"/>
      <c r="BE341" s="176"/>
      <c r="BF341" s="176"/>
      <c r="BG341" s="176"/>
      <c r="BH341" s="176"/>
      <c r="BI341" s="176"/>
      <c r="BJ341" s="176"/>
      <c r="BK341" s="176"/>
      <c r="BL341" s="176"/>
      <c r="BM341" s="176"/>
      <c r="BN341" s="176"/>
      <c r="BO341" s="176"/>
    </row>
    <row r="342" spans="1:67" s="36" customFormat="1" ht="10.5" customHeight="1" x14ac:dyDescent="0.2">
      <c r="A342" s="1353" t="s">
        <v>446</v>
      </c>
      <c r="B342" s="2753"/>
      <c r="C342" s="2754"/>
      <c r="D342" s="2755"/>
      <c r="E342" s="2627">
        <f>IF(E344=0,ROUND(E368,-2),0)</f>
        <v>0</v>
      </c>
      <c r="F342" s="2628" t="e">
        <f>IF(F344=0,ROUND(#REF!,-2),0)</f>
        <v>#REF!</v>
      </c>
      <c r="G342" s="1056">
        <v>20</v>
      </c>
      <c r="H342" s="1057"/>
      <c r="I342" s="1079">
        <f t="shared" ref="I342:I354" si="84">IF($O342&gt;0,-PMT(($I$9),$O342,1),0)</f>
        <v>6.2642070767998229E-2</v>
      </c>
      <c r="J342" s="1080">
        <f t="shared" ref="J342:J354" si="85">ROUND(E342*I342,0)</f>
        <v>0</v>
      </c>
      <c r="K342" s="1165"/>
      <c r="L342" s="1310"/>
      <c r="M342" s="1320">
        <f t="shared" si="82"/>
        <v>0</v>
      </c>
      <c r="N342" s="506"/>
      <c r="O342" s="365">
        <f t="shared" ref="O342:O350" si="86">IF(ISBLANK(H342),G342,H342)</f>
        <v>20</v>
      </c>
      <c r="P342" s="366"/>
      <c r="Q342" s="135"/>
      <c r="R342" s="136"/>
      <c r="S342" s="129"/>
      <c r="T342" s="129"/>
      <c r="U342" s="129"/>
      <c r="V342" s="129"/>
      <c r="W342" s="129"/>
      <c r="X342" s="129"/>
      <c r="Y342" s="129"/>
      <c r="Z342" s="133"/>
      <c r="AA342" s="133"/>
      <c r="AB342" s="133"/>
      <c r="AC342" s="133"/>
      <c r="AD342" s="133"/>
      <c r="AE342" s="133"/>
      <c r="AF342" s="222"/>
      <c r="AG342" s="222"/>
      <c r="AH342" s="222"/>
      <c r="AI342" s="176"/>
      <c r="AJ342" s="176"/>
      <c r="AK342" s="176"/>
      <c r="AL342" s="176"/>
      <c r="AM342" s="176"/>
      <c r="AN342" s="176"/>
      <c r="AO342" s="176"/>
      <c r="AP342" s="176"/>
      <c r="AQ342" s="176"/>
      <c r="AR342" s="176"/>
      <c r="AS342" s="176"/>
      <c r="AT342" s="176"/>
      <c r="AU342" s="176"/>
      <c r="AV342" s="176"/>
      <c r="AW342" s="176"/>
      <c r="AX342" s="176"/>
      <c r="AY342" s="176"/>
      <c r="AZ342" s="176"/>
      <c r="BA342" s="176"/>
      <c r="BB342" s="176"/>
      <c r="BC342" s="176"/>
      <c r="BD342" s="176"/>
      <c r="BE342" s="176"/>
      <c r="BF342" s="176"/>
      <c r="BG342" s="176"/>
      <c r="BH342" s="176"/>
      <c r="BI342" s="176"/>
      <c r="BJ342" s="176"/>
      <c r="BK342" s="176"/>
      <c r="BL342" s="176"/>
      <c r="BM342" s="176"/>
      <c r="BN342" s="176"/>
      <c r="BO342" s="176"/>
    </row>
    <row r="343" spans="1:67" s="36" customFormat="1" ht="10.5" customHeight="1" x14ac:dyDescent="0.2">
      <c r="A343" s="1354" t="s">
        <v>447</v>
      </c>
      <c r="B343" s="2750"/>
      <c r="C343" s="2751"/>
      <c r="D343" s="2752"/>
      <c r="E343" s="2599">
        <f>IF(E345=0,ROUND(E380,-2),0)</f>
        <v>0</v>
      </c>
      <c r="F343" s="2600">
        <f>IF(F345=0,ROUND(F396,-2),0)</f>
        <v>0</v>
      </c>
      <c r="G343" s="1058">
        <v>20</v>
      </c>
      <c r="H343" s="1059"/>
      <c r="I343" s="1081">
        <f t="shared" si="84"/>
        <v>6.2642070767998229E-2</v>
      </c>
      <c r="J343" s="1082">
        <f t="shared" si="85"/>
        <v>0</v>
      </c>
      <c r="K343" s="1341"/>
      <c r="L343" s="1315"/>
      <c r="M343" s="1321">
        <f t="shared" si="82"/>
        <v>0</v>
      </c>
      <c r="N343" s="506"/>
      <c r="O343" s="365">
        <f t="shared" si="86"/>
        <v>20</v>
      </c>
      <c r="P343" s="366"/>
      <c r="Q343" s="135"/>
      <c r="R343" s="136"/>
      <c r="S343" s="129"/>
      <c r="T343" s="129"/>
      <c r="U343" s="129"/>
      <c r="V343" s="129"/>
      <c r="W343" s="129"/>
      <c r="X343" s="129"/>
      <c r="Y343" s="129"/>
      <c r="Z343" s="133"/>
      <c r="AA343" s="133"/>
      <c r="AB343" s="133"/>
      <c r="AC343" s="133"/>
      <c r="AD343" s="133"/>
      <c r="AE343" s="133"/>
      <c r="AF343" s="222"/>
      <c r="AG343" s="222"/>
      <c r="AH343" s="222"/>
      <c r="AI343" s="176"/>
      <c r="AJ343" s="176"/>
      <c r="AK343" s="176"/>
      <c r="AL343" s="176"/>
      <c r="AM343" s="176"/>
      <c r="AN343" s="176"/>
      <c r="AO343" s="176"/>
      <c r="AP343" s="176"/>
      <c r="AQ343" s="176"/>
      <c r="AR343" s="176"/>
      <c r="AS343" s="176"/>
      <c r="AT343" s="176"/>
      <c r="AU343" s="176"/>
      <c r="AV343" s="176"/>
      <c r="AW343" s="176"/>
      <c r="AX343" s="176"/>
      <c r="AY343" s="176"/>
      <c r="AZ343" s="176"/>
      <c r="BA343" s="176"/>
      <c r="BB343" s="176"/>
      <c r="BC343" s="176"/>
      <c r="BD343" s="176"/>
      <c r="BE343" s="176"/>
      <c r="BF343" s="176"/>
      <c r="BG343" s="176"/>
      <c r="BH343" s="176"/>
      <c r="BI343" s="176"/>
      <c r="BJ343" s="176"/>
      <c r="BK343" s="176"/>
      <c r="BL343" s="176"/>
      <c r="BM343" s="176"/>
      <c r="BN343" s="176"/>
      <c r="BO343" s="176"/>
    </row>
    <row r="344" spans="1:67" s="36" customFormat="1" ht="10.5" customHeight="1" x14ac:dyDescent="0.2">
      <c r="A344" s="1354" t="s">
        <v>372</v>
      </c>
      <c r="B344" s="2750"/>
      <c r="C344" s="2751"/>
      <c r="D344" s="2752"/>
      <c r="E344" s="2599">
        <f>E389</f>
        <v>0</v>
      </c>
      <c r="F344" s="2600"/>
      <c r="G344" s="1058">
        <v>20</v>
      </c>
      <c r="H344" s="1059"/>
      <c r="I344" s="1081">
        <f t="shared" si="84"/>
        <v>6.2642070767998229E-2</v>
      </c>
      <c r="J344" s="1082">
        <f t="shared" si="85"/>
        <v>0</v>
      </c>
      <c r="K344" s="1341"/>
      <c r="L344" s="1315"/>
      <c r="M344" s="1321">
        <f t="shared" si="82"/>
        <v>0</v>
      </c>
      <c r="N344" s="506"/>
      <c r="O344" s="365">
        <f t="shared" si="86"/>
        <v>20</v>
      </c>
      <c r="P344" s="366"/>
      <c r="Q344" s="135"/>
      <c r="R344" s="136"/>
      <c r="S344" s="129"/>
      <c r="T344" s="129"/>
      <c r="U344" s="129"/>
      <c r="V344" s="129"/>
      <c r="W344" s="129"/>
      <c r="X344" s="129"/>
      <c r="Y344" s="129"/>
      <c r="Z344" s="133"/>
      <c r="AA344" s="133"/>
      <c r="AB344" s="133"/>
      <c r="AC344" s="133"/>
      <c r="AD344" s="133"/>
      <c r="AE344" s="133"/>
      <c r="AF344" s="222"/>
      <c r="AG344" s="222"/>
      <c r="AH344" s="222"/>
      <c r="AI344" s="176"/>
      <c r="AJ344" s="176"/>
      <c r="AK344" s="176"/>
      <c r="AL344" s="176"/>
      <c r="AM344" s="176"/>
      <c r="AN344" s="176"/>
      <c r="AO344" s="176"/>
      <c r="AP344" s="176"/>
      <c r="AQ344" s="176"/>
      <c r="AR344" s="176"/>
      <c r="AS344" s="176"/>
      <c r="AT344" s="176"/>
      <c r="AU344" s="176"/>
      <c r="AV344" s="176"/>
      <c r="AW344" s="176"/>
      <c r="AX344" s="176"/>
      <c r="AY344" s="176"/>
      <c r="AZ344" s="176"/>
      <c r="BA344" s="176"/>
      <c r="BB344" s="176"/>
      <c r="BC344" s="176"/>
      <c r="BD344" s="176"/>
      <c r="BE344" s="176"/>
      <c r="BF344" s="176"/>
      <c r="BG344" s="176"/>
      <c r="BH344" s="176"/>
      <c r="BI344" s="176"/>
      <c r="BJ344" s="176"/>
      <c r="BK344" s="176"/>
      <c r="BL344" s="176"/>
      <c r="BM344" s="176"/>
      <c r="BN344" s="176"/>
      <c r="BO344" s="176"/>
    </row>
    <row r="345" spans="1:67" s="36" customFormat="1" ht="10.5" customHeight="1" x14ac:dyDescent="0.2">
      <c r="A345" s="1354" t="s">
        <v>373</v>
      </c>
      <c r="B345" s="2750"/>
      <c r="C345" s="2751"/>
      <c r="D345" s="2752"/>
      <c r="E345" s="2599">
        <f>E396</f>
        <v>0</v>
      </c>
      <c r="F345" s="2600"/>
      <c r="G345" s="1058">
        <v>20</v>
      </c>
      <c r="H345" s="1059"/>
      <c r="I345" s="1081">
        <f t="shared" si="84"/>
        <v>6.2642070767998229E-2</v>
      </c>
      <c r="J345" s="1082">
        <f t="shared" si="85"/>
        <v>0</v>
      </c>
      <c r="K345" s="1341"/>
      <c r="L345" s="1315"/>
      <c r="M345" s="1321">
        <f t="shared" si="82"/>
        <v>0</v>
      </c>
      <c r="N345" s="506"/>
      <c r="O345" s="365">
        <f t="shared" si="86"/>
        <v>20</v>
      </c>
      <c r="P345" s="366"/>
      <c r="Q345" s="135"/>
      <c r="R345" s="136"/>
      <c r="S345" s="129"/>
      <c r="T345" s="129"/>
      <c r="U345" s="129"/>
      <c r="V345" s="129"/>
      <c r="W345" s="129"/>
      <c r="X345" s="129"/>
      <c r="Y345" s="129"/>
      <c r="Z345" s="133"/>
      <c r="AA345" s="133"/>
      <c r="AB345" s="133"/>
      <c r="AC345" s="133"/>
      <c r="AD345" s="133"/>
      <c r="AE345" s="133"/>
      <c r="AF345" s="222"/>
      <c r="AG345" s="222"/>
      <c r="AH345" s="222"/>
      <c r="AI345" s="176"/>
      <c r="AJ345" s="176"/>
      <c r="AK345" s="176"/>
      <c r="AL345" s="176"/>
      <c r="AM345" s="176"/>
      <c r="AN345" s="176"/>
      <c r="AO345" s="176"/>
      <c r="AP345" s="176"/>
      <c r="AQ345" s="176"/>
      <c r="AR345" s="176"/>
      <c r="AS345" s="176"/>
      <c r="AT345" s="176"/>
      <c r="AU345" s="176"/>
      <c r="AV345" s="176"/>
      <c r="AW345" s="176"/>
      <c r="AX345" s="176"/>
      <c r="AY345" s="176"/>
      <c r="AZ345" s="176"/>
      <c r="BA345" s="176"/>
      <c r="BB345" s="176"/>
      <c r="BC345" s="176"/>
      <c r="BD345" s="176"/>
      <c r="BE345" s="176"/>
      <c r="BF345" s="176"/>
      <c r="BG345" s="176"/>
      <c r="BH345" s="176"/>
      <c r="BI345" s="176"/>
      <c r="BJ345" s="176"/>
      <c r="BK345" s="176"/>
      <c r="BL345" s="176"/>
      <c r="BM345" s="176"/>
      <c r="BN345" s="176"/>
      <c r="BO345" s="176"/>
    </row>
    <row r="346" spans="1:67" s="36" customFormat="1" ht="10.5" customHeight="1" x14ac:dyDescent="0.2">
      <c r="A346" s="1354" t="s">
        <v>426</v>
      </c>
      <c r="B346" s="2750"/>
      <c r="C346" s="2751"/>
      <c r="D346" s="2752"/>
      <c r="E346" s="2395"/>
      <c r="F346" s="2396"/>
      <c r="G346" s="1058">
        <v>20</v>
      </c>
      <c r="H346" s="1059"/>
      <c r="I346" s="1081">
        <f t="shared" si="84"/>
        <v>6.2642070767998229E-2</v>
      </c>
      <c r="J346" s="1082">
        <f t="shared" si="85"/>
        <v>0</v>
      </c>
      <c r="K346" s="1341"/>
      <c r="L346" s="1315"/>
      <c r="M346" s="1321">
        <f t="shared" si="82"/>
        <v>0</v>
      </c>
      <c r="N346" s="506"/>
      <c r="O346" s="365">
        <f t="shared" si="86"/>
        <v>20</v>
      </c>
      <c r="P346" s="366"/>
      <c r="Q346" s="135"/>
      <c r="R346" s="136"/>
      <c r="S346" s="129"/>
      <c r="T346" s="129"/>
      <c r="U346" s="129"/>
      <c r="V346" s="129"/>
      <c r="W346" s="129"/>
      <c r="X346" s="129"/>
      <c r="Y346" s="129"/>
      <c r="Z346" s="133"/>
      <c r="AA346" s="133"/>
      <c r="AB346" s="133"/>
      <c r="AC346" s="133"/>
      <c r="AD346" s="133"/>
      <c r="AE346" s="133"/>
      <c r="AF346" s="222"/>
      <c r="AG346" s="222"/>
      <c r="AH346" s="222"/>
      <c r="AI346" s="176"/>
      <c r="AJ346" s="176"/>
      <c r="AK346" s="176"/>
      <c r="AL346" s="176"/>
      <c r="AM346" s="176"/>
      <c r="AN346" s="176"/>
      <c r="AO346" s="176"/>
      <c r="AP346" s="176"/>
      <c r="AQ346" s="176"/>
      <c r="AR346" s="176"/>
      <c r="AS346" s="176"/>
      <c r="AT346" s="176"/>
      <c r="AU346" s="176"/>
      <c r="AV346" s="176"/>
      <c r="AW346" s="176"/>
      <c r="AX346" s="176"/>
      <c r="AY346" s="176"/>
      <c r="AZ346" s="176"/>
      <c r="BA346" s="176"/>
      <c r="BB346" s="176"/>
      <c r="BC346" s="176"/>
      <c r="BD346" s="176"/>
      <c r="BE346" s="176"/>
      <c r="BF346" s="176"/>
      <c r="BG346" s="176"/>
      <c r="BH346" s="176"/>
      <c r="BI346" s="176"/>
      <c r="BJ346" s="176"/>
      <c r="BK346" s="176"/>
      <c r="BL346" s="176"/>
      <c r="BM346" s="176"/>
      <c r="BN346" s="176"/>
      <c r="BO346" s="176"/>
    </row>
    <row r="347" spans="1:67" s="36" customFormat="1" ht="10.5" customHeight="1" x14ac:dyDescent="0.2">
      <c r="A347" s="1354" t="s">
        <v>448</v>
      </c>
      <c r="B347" s="2750"/>
      <c r="C347" s="2751"/>
      <c r="D347" s="2752"/>
      <c r="E347" s="2395"/>
      <c r="F347" s="2396"/>
      <c r="G347" s="1058">
        <v>20</v>
      </c>
      <c r="H347" s="1059"/>
      <c r="I347" s="1081">
        <f t="shared" si="84"/>
        <v>6.2642070767998229E-2</v>
      </c>
      <c r="J347" s="1082">
        <f t="shared" si="85"/>
        <v>0</v>
      </c>
      <c r="K347" s="1341"/>
      <c r="L347" s="1315"/>
      <c r="M347" s="1321">
        <f t="shared" si="82"/>
        <v>0</v>
      </c>
      <c r="N347" s="506"/>
      <c r="O347" s="365">
        <f t="shared" si="86"/>
        <v>20</v>
      </c>
      <c r="P347" s="366"/>
      <c r="Q347" s="135"/>
      <c r="R347" s="136"/>
      <c r="S347" s="129"/>
      <c r="T347" s="129"/>
      <c r="U347" s="129"/>
      <c r="V347" s="129"/>
      <c r="W347" s="129"/>
      <c r="X347" s="129"/>
      <c r="Y347" s="129"/>
      <c r="Z347" s="133"/>
      <c r="AA347" s="133"/>
      <c r="AB347" s="133"/>
      <c r="AC347" s="133"/>
      <c r="AD347" s="133"/>
      <c r="AE347" s="133"/>
      <c r="AF347" s="222"/>
      <c r="AG347" s="222"/>
      <c r="AH347" s="222"/>
      <c r="AI347" s="176"/>
      <c r="AJ347" s="176"/>
      <c r="AK347" s="176"/>
      <c r="AL347" s="176"/>
      <c r="AM347" s="176"/>
      <c r="AN347" s="176"/>
      <c r="AO347" s="176"/>
      <c r="AP347" s="176"/>
      <c r="AQ347" s="176"/>
      <c r="AR347" s="176"/>
      <c r="AS347" s="176"/>
      <c r="AT347" s="176"/>
      <c r="AU347" s="176"/>
      <c r="AV347" s="176"/>
      <c r="AW347" s="176"/>
      <c r="AX347" s="176"/>
      <c r="AY347" s="176"/>
      <c r="AZ347" s="176"/>
      <c r="BA347" s="176"/>
      <c r="BB347" s="176"/>
      <c r="BC347" s="176"/>
      <c r="BD347" s="176"/>
      <c r="BE347" s="176"/>
      <c r="BF347" s="176"/>
      <c r="BG347" s="176"/>
      <c r="BH347" s="176"/>
      <c r="BI347" s="176"/>
      <c r="BJ347" s="176"/>
      <c r="BK347" s="176"/>
      <c r="BL347" s="176"/>
      <c r="BM347" s="176"/>
      <c r="BN347" s="176"/>
      <c r="BO347" s="176"/>
    </row>
    <row r="348" spans="1:67" s="36" customFormat="1" ht="10.5" customHeight="1" x14ac:dyDescent="0.2">
      <c r="A348" s="1354" t="s">
        <v>374</v>
      </c>
      <c r="B348" s="2750"/>
      <c r="C348" s="2751"/>
      <c r="D348" s="2752"/>
      <c r="E348" s="2395"/>
      <c r="F348" s="2396"/>
      <c r="G348" s="1058">
        <v>20</v>
      </c>
      <c r="H348" s="1059"/>
      <c r="I348" s="1081">
        <f t="shared" si="84"/>
        <v>6.2642070767998229E-2</v>
      </c>
      <c r="J348" s="1082">
        <f t="shared" si="85"/>
        <v>0</v>
      </c>
      <c r="K348" s="1341"/>
      <c r="L348" s="1315"/>
      <c r="M348" s="1321">
        <f t="shared" si="82"/>
        <v>0</v>
      </c>
      <c r="N348" s="506"/>
      <c r="O348" s="365">
        <f t="shared" si="86"/>
        <v>20</v>
      </c>
      <c r="P348" s="366"/>
      <c r="Q348" s="135"/>
      <c r="R348" s="136"/>
      <c r="S348" s="129"/>
      <c r="T348" s="129"/>
      <c r="U348" s="129"/>
      <c r="V348" s="129"/>
      <c r="W348" s="129"/>
      <c r="X348" s="129"/>
      <c r="Y348" s="129"/>
      <c r="Z348" s="133"/>
      <c r="AA348" s="133"/>
      <c r="AB348" s="133"/>
      <c r="AC348" s="133"/>
      <c r="AD348" s="133"/>
      <c r="AE348" s="133"/>
      <c r="AF348" s="222"/>
      <c r="AG348" s="222"/>
      <c r="AH348" s="222"/>
      <c r="AI348" s="176"/>
      <c r="AJ348" s="176"/>
      <c r="AK348" s="176"/>
      <c r="AL348" s="176"/>
      <c r="AM348" s="176"/>
      <c r="AN348" s="176"/>
      <c r="AO348" s="176"/>
      <c r="AP348" s="176"/>
      <c r="AQ348" s="176"/>
      <c r="AR348" s="176"/>
      <c r="AS348" s="176"/>
      <c r="AT348" s="176"/>
      <c r="AU348" s="176"/>
      <c r="AV348" s="176"/>
      <c r="AW348" s="176"/>
      <c r="AX348" s="176"/>
      <c r="AY348" s="176"/>
      <c r="AZ348" s="176"/>
      <c r="BA348" s="176"/>
      <c r="BB348" s="176"/>
      <c r="BC348" s="176"/>
      <c r="BD348" s="176"/>
      <c r="BE348" s="176"/>
      <c r="BF348" s="176"/>
      <c r="BG348" s="176"/>
      <c r="BH348" s="176"/>
      <c r="BI348" s="176"/>
      <c r="BJ348" s="176"/>
      <c r="BK348" s="176"/>
      <c r="BL348" s="176"/>
      <c r="BM348" s="176"/>
      <c r="BN348" s="176"/>
      <c r="BO348" s="176"/>
    </row>
    <row r="349" spans="1:67" s="36" customFormat="1" ht="10.5" customHeight="1" x14ac:dyDescent="0.2">
      <c r="A349" s="1354" t="s">
        <v>449</v>
      </c>
      <c r="B349" s="2750"/>
      <c r="C349" s="2751"/>
      <c r="D349" s="2752"/>
      <c r="E349" s="2395"/>
      <c r="F349" s="2396"/>
      <c r="G349" s="1058">
        <v>20</v>
      </c>
      <c r="H349" s="1059"/>
      <c r="I349" s="1081">
        <f t="shared" si="84"/>
        <v>6.2642070767998229E-2</v>
      </c>
      <c r="J349" s="1082">
        <f t="shared" si="85"/>
        <v>0</v>
      </c>
      <c r="K349" s="1341"/>
      <c r="L349" s="1315"/>
      <c r="M349" s="1321">
        <f t="shared" si="82"/>
        <v>0</v>
      </c>
      <c r="N349" s="506"/>
      <c r="O349" s="365">
        <f t="shared" si="86"/>
        <v>20</v>
      </c>
      <c r="P349" s="366"/>
      <c r="Q349" s="135"/>
      <c r="R349" s="136"/>
      <c r="S349" s="129"/>
      <c r="T349" s="129"/>
      <c r="U349" s="129"/>
      <c r="V349" s="129"/>
      <c r="W349" s="129"/>
      <c r="X349" s="129"/>
      <c r="Y349" s="129"/>
      <c r="Z349" s="133"/>
      <c r="AA349" s="133"/>
      <c r="AB349" s="133"/>
      <c r="AC349" s="133"/>
      <c r="AD349" s="133"/>
      <c r="AE349" s="133"/>
      <c r="AF349" s="222"/>
      <c r="AG349" s="222"/>
      <c r="AH349" s="222"/>
      <c r="AI349" s="176"/>
      <c r="AJ349" s="176"/>
      <c r="AK349" s="176"/>
      <c r="AL349" s="176"/>
      <c r="AM349" s="176"/>
      <c r="AN349" s="176"/>
      <c r="AO349" s="176"/>
      <c r="AP349" s="176"/>
      <c r="AQ349" s="176"/>
      <c r="AR349" s="176"/>
      <c r="AS349" s="176"/>
      <c r="AT349" s="176"/>
      <c r="AU349" s="176"/>
      <c r="AV349" s="176"/>
      <c r="AW349" s="176"/>
      <c r="AX349" s="176"/>
      <c r="AY349" s="176"/>
      <c r="AZ349" s="176"/>
      <c r="BA349" s="176"/>
      <c r="BB349" s="176"/>
      <c r="BC349" s="176"/>
      <c r="BD349" s="176"/>
      <c r="BE349" s="176"/>
      <c r="BF349" s="176"/>
      <c r="BG349" s="176"/>
      <c r="BH349" s="176"/>
      <c r="BI349" s="176"/>
      <c r="BJ349" s="176"/>
      <c r="BK349" s="176"/>
      <c r="BL349" s="176"/>
      <c r="BM349" s="176"/>
      <c r="BN349" s="176"/>
      <c r="BO349" s="176"/>
    </row>
    <row r="350" spans="1:67" s="36" customFormat="1" ht="10.5" customHeight="1" x14ac:dyDescent="0.2">
      <c r="A350" s="1354" t="s">
        <v>375</v>
      </c>
      <c r="B350" s="2750"/>
      <c r="C350" s="2751"/>
      <c r="D350" s="2752"/>
      <c r="E350" s="2395"/>
      <c r="F350" s="2396"/>
      <c r="G350" s="1058">
        <v>20</v>
      </c>
      <c r="H350" s="1059"/>
      <c r="I350" s="1081">
        <f t="shared" si="84"/>
        <v>6.2642070767998229E-2</v>
      </c>
      <c r="J350" s="1082">
        <f t="shared" si="85"/>
        <v>0</v>
      </c>
      <c r="K350" s="1341"/>
      <c r="L350" s="1315"/>
      <c r="M350" s="1321">
        <f t="shared" si="82"/>
        <v>0</v>
      </c>
      <c r="N350" s="506"/>
      <c r="O350" s="365">
        <f t="shared" si="86"/>
        <v>20</v>
      </c>
      <c r="P350" s="366"/>
      <c r="Q350" s="135"/>
      <c r="R350" s="136"/>
      <c r="S350" s="129"/>
      <c r="T350" s="129"/>
      <c r="U350" s="129"/>
      <c r="V350" s="129"/>
      <c r="W350" s="129"/>
      <c r="X350" s="129"/>
      <c r="Y350" s="129"/>
      <c r="Z350" s="133"/>
      <c r="AA350" s="133"/>
      <c r="AB350" s="133"/>
      <c r="AC350" s="133"/>
      <c r="AD350" s="133"/>
      <c r="AE350" s="133"/>
      <c r="AF350" s="222"/>
      <c r="AG350" s="222"/>
      <c r="AH350" s="222"/>
      <c r="AI350" s="176"/>
      <c r="AJ350" s="176"/>
      <c r="AK350" s="176"/>
      <c r="AL350" s="176"/>
      <c r="AM350" s="176"/>
      <c r="AN350" s="176"/>
      <c r="AO350" s="176"/>
      <c r="AP350" s="176"/>
      <c r="AQ350" s="176"/>
      <c r="AR350" s="176"/>
      <c r="AS350" s="176"/>
      <c r="AT350" s="176"/>
      <c r="AU350" s="176"/>
      <c r="AV350" s="176"/>
      <c r="AW350" s="176"/>
      <c r="AX350" s="176"/>
      <c r="AY350" s="176"/>
      <c r="AZ350" s="176"/>
      <c r="BA350" s="176"/>
      <c r="BB350" s="176"/>
      <c r="BC350" s="176"/>
      <c r="BD350" s="176"/>
      <c r="BE350" s="176"/>
      <c r="BF350" s="176"/>
      <c r="BG350" s="176"/>
      <c r="BH350" s="176"/>
      <c r="BI350" s="176"/>
      <c r="BJ350" s="176"/>
      <c r="BK350" s="176"/>
      <c r="BL350" s="176"/>
      <c r="BM350" s="176"/>
      <c r="BN350" s="176"/>
      <c r="BO350" s="176"/>
    </row>
    <row r="351" spans="1:67" s="36" customFormat="1" ht="10.5" customHeight="1" x14ac:dyDescent="0.2">
      <c r="A351" s="1354" t="s">
        <v>376</v>
      </c>
      <c r="B351" s="2750"/>
      <c r="C351" s="2751"/>
      <c r="D351" s="2752"/>
      <c r="E351" s="2395"/>
      <c r="F351" s="2396"/>
      <c r="G351" s="1058">
        <v>20</v>
      </c>
      <c r="H351" s="1059"/>
      <c r="I351" s="1081">
        <f t="shared" si="84"/>
        <v>6.2642070767998229E-2</v>
      </c>
      <c r="J351" s="1082">
        <f t="shared" si="85"/>
        <v>0</v>
      </c>
      <c r="K351" s="1341"/>
      <c r="L351" s="1315"/>
      <c r="M351" s="1321">
        <f t="shared" si="82"/>
        <v>0</v>
      </c>
      <c r="N351" s="506"/>
      <c r="O351" s="365">
        <f>IF(ISBLANK(H351),G351,H351)</f>
        <v>20</v>
      </c>
      <c r="P351" s="366"/>
      <c r="Q351" s="135"/>
      <c r="R351" s="136"/>
      <c r="S351" s="129"/>
      <c r="T351" s="129"/>
      <c r="U351" s="129"/>
      <c r="V351" s="129"/>
      <c r="W351" s="129"/>
      <c r="X351" s="129"/>
      <c r="Y351" s="129"/>
      <c r="Z351" s="133"/>
      <c r="AA351" s="133"/>
      <c r="AB351" s="133"/>
      <c r="AC351" s="133"/>
      <c r="AD351" s="133"/>
      <c r="AE351" s="133"/>
      <c r="AF351" s="222"/>
      <c r="AG351" s="222"/>
      <c r="AH351" s="222"/>
      <c r="AI351" s="176"/>
      <c r="AJ351" s="176"/>
      <c r="AK351" s="176"/>
      <c r="AL351" s="176"/>
      <c r="AM351" s="176"/>
      <c r="AN351" s="176"/>
      <c r="AO351" s="176"/>
      <c r="AP351" s="176"/>
      <c r="AQ351" s="176"/>
      <c r="AR351" s="176"/>
      <c r="AS351" s="176"/>
      <c r="AT351" s="176"/>
      <c r="AU351" s="176"/>
      <c r="AV351" s="176"/>
      <c r="AW351" s="176"/>
      <c r="AX351" s="176"/>
      <c r="AY351" s="176"/>
      <c r="AZ351" s="176"/>
      <c r="BA351" s="176"/>
      <c r="BB351" s="176"/>
      <c r="BC351" s="176"/>
      <c r="BD351" s="176"/>
      <c r="BE351" s="176"/>
      <c r="BF351" s="176"/>
      <c r="BG351" s="176"/>
      <c r="BH351" s="176"/>
      <c r="BI351" s="176"/>
      <c r="BJ351" s="176"/>
      <c r="BK351" s="176"/>
      <c r="BL351" s="176"/>
      <c r="BM351" s="176"/>
      <c r="BN351" s="176"/>
      <c r="BO351" s="176"/>
    </row>
    <row r="352" spans="1:67" s="36" customFormat="1" ht="10.5" customHeight="1" x14ac:dyDescent="0.2">
      <c r="A352" s="1354" t="s">
        <v>377</v>
      </c>
      <c r="B352" s="2750"/>
      <c r="C352" s="2751"/>
      <c r="D352" s="2752"/>
      <c r="E352" s="2395"/>
      <c r="F352" s="2396"/>
      <c r="G352" s="1058">
        <v>20</v>
      </c>
      <c r="H352" s="1059"/>
      <c r="I352" s="1081">
        <f t="shared" si="84"/>
        <v>6.2642070767998229E-2</v>
      </c>
      <c r="J352" s="1082">
        <f t="shared" si="85"/>
        <v>0</v>
      </c>
      <c r="K352" s="1341"/>
      <c r="L352" s="1315"/>
      <c r="M352" s="1321">
        <f t="shared" si="82"/>
        <v>0</v>
      </c>
      <c r="N352" s="506"/>
      <c r="O352" s="365">
        <f>IF(ISBLANK(H352),G352,H352)</f>
        <v>20</v>
      </c>
      <c r="P352" s="366"/>
      <c r="Q352" s="135"/>
      <c r="R352" s="136"/>
      <c r="S352" s="129"/>
      <c r="T352" s="129"/>
      <c r="U352" s="129"/>
      <c r="V352" s="129"/>
      <c r="W352" s="129"/>
      <c r="X352" s="129"/>
      <c r="Y352" s="129"/>
      <c r="Z352" s="133"/>
      <c r="AA352" s="133"/>
      <c r="AB352" s="133"/>
      <c r="AC352" s="133"/>
      <c r="AD352" s="133"/>
      <c r="AE352" s="133"/>
      <c r="AF352" s="222"/>
      <c r="AG352" s="222"/>
      <c r="AH352" s="222"/>
      <c r="AI352" s="176"/>
      <c r="AJ352" s="176"/>
      <c r="AK352" s="176"/>
      <c r="AL352" s="176"/>
      <c r="AM352" s="176"/>
      <c r="AN352" s="176"/>
      <c r="AO352" s="176"/>
      <c r="AP352" s="176"/>
      <c r="AQ352" s="176"/>
      <c r="AR352" s="176"/>
      <c r="AS352" s="176"/>
      <c r="AT352" s="176"/>
      <c r="AU352" s="176"/>
      <c r="AV352" s="176"/>
      <c r="AW352" s="176"/>
      <c r="AX352" s="176"/>
      <c r="AY352" s="176"/>
      <c r="AZ352" s="176"/>
      <c r="BA352" s="176"/>
      <c r="BB352" s="176"/>
      <c r="BC352" s="176"/>
      <c r="BD352" s="176"/>
      <c r="BE352" s="176"/>
      <c r="BF352" s="176"/>
      <c r="BG352" s="176"/>
      <c r="BH352" s="176"/>
      <c r="BI352" s="176"/>
      <c r="BJ352" s="176"/>
      <c r="BK352" s="176"/>
      <c r="BL352" s="176"/>
      <c r="BM352" s="176"/>
      <c r="BN352" s="176"/>
      <c r="BO352" s="176"/>
    </row>
    <row r="353" spans="1:67" s="36" customFormat="1" ht="10.5" customHeight="1" x14ac:dyDescent="0.2">
      <c r="A353" s="1055"/>
      <c r="B353" s="2594"/>
      <c r="C353" s="2595"/>
      <c r="D353" s="2596"/>
      <c r="E353" s="2395"/>
      <c r="F353" s="2396"/>
      <c r="G353" s="2590"/>
      <c r="H353" s="2591"/>
      <c r="I353" s="1081">
        <f t="shared" si="84"/>
        <v>0</v>
      </c>
      <c r="J353" s="1082">
        <f t="shared" si="85"/>
        <v>0</v>
      </c>
      <c r="K353" s="1341"/>
      <c r="L353" s="1315"/>
      <c r="M353" s="1321">
        <f t="shared" si="82"/>
        <v>0</v>
      </c>
      <c r="N353" s="506"/>
      <c r="O353" s="365">
        <f>IF(ISBLANK(H353),G353,H353)</f>
        <v>0</v>
      </c>
      <c r="P353" s="366"/>
      <c r="Q353" s="135"/>
      <c r="R353" s="136"/>
      <c r="S353" s="129"/>
      <c r="T353" s="129"/>
      <c r="U353" s="129"/>
      <c r="V353" s="129"/>
      <c r="W353" s="129"/>
      <c r="X353" s="129"/>
      <c r="Y353" s="129"/>
      <c r="Z353" s="133"/>
      <c r="AA353" s="133"/>
      <c r="AB353" s="133"/>
      <c r="AC353" s="133"/>
      <c r="AD353" s="133"/>
      <c r="AE353" s="133"/>
      <c r="AF353" s="222"/>
      <c r="AG353" s="222"/>
      <c r="AH353" s="222"/>
      <c r="AI353" s="176"/>
      <c r="AJ353" s="176"/>
      <c r="AK353" s="176"/>
      <c r="AL353" s="176"/>
      <c r="AM353" s="176"/>
      <c r="AN353" s="176"/>
      <c r="AO353" s="176"/>
      <c r="AP353" s="176"/>
      <c r="AQ353" s="176"/>
      <c r="AR353" s="176"/>
      <c r="AS353" s="176"/>
      <c r="AT353" s="176"/>
      <c r="AU353" s="176"/>
      <c r="AV353" s="176"/>
      <c r="AW353" s="176"/>
      <c r="AX353" s="176"/>
      <c r="AY353" s="176"/>
      <c r="AZ353" s="176"/>
      <c r="BA353" s="176"/>
      <c r="BB353" s="176"/>
      <c r="BC353" s="176"/>
      <c r="BD353" s="176"/>
      <c r="BE353" s="176"/>
      <c r="BF353" s="176"/>
      <c r="BG353" s="176"/>
      <c r="BH353" s="176"/>
      <c r="BI353" s="176"/>
      <c r="BJ353" s="176"/>
      <c r="BK353" s="176"/>
      <c r="BL353" s="176"/>
      <c r="BM353" s="176"/>
      <c r="BN353" s="176"/>
      <c r="BO353" s="176"/>
    </row>
    <row r="354" spans="1:67" s="36" customFormat="1" ht="10.5" customHeight="1" x14ac:dyDescent="0.2">
      <c r="A354" s="1055"/>
      <c r="B354" s="2594"/>
      <c r="C354" s="2595"/>
      <c r="D354" s="2596"/>
      <c r="E354" s="2395"/>
      <c r="F354" s="2396"/>
      <c r="G354" s="2590"/>
      <c r="H354" s="2591"/>
      <c r="I354" s="1081">
        <f t="shared" si="84"/>
        <v>0</v>
      </c>
      <c r="J354" s="1082">
        <f t="shared" si="85"/>
        <v>0</v>
      </c>
      <c r="K354" s="1341"/>
      <c r="L354" s="1315"/>
      <c r="M354" s="1321">
        <f t="shared" si="82"/>
        <v>0</v>
      </c>
      <c r="N354" s="506"/>
      <c r="O354" s="365">
        <f>IF(ISBLANK(H354),G354,H354)</f>
        <v>0</v>
      </c>
      <c r="P354" s="366"/>
      <c r="Q354" s="135"/>
      <c r="R354" s="136"/>
      <c r="S354" s="129"/>
      <c r="T354" s="129"/>
      <c r="U354" s="129"/>
      <c r="V354" s="129"/>
      <c r="W354" s="129"/>
      <c r="X354" s="129"/>
      <c r="Y354" s="129"/>
      <c r="Z354" s="133"/>
      <c r="AA354" s="133"/>
      <c r="AB354" s="133"/>
      <c r="AC354" s="133"/>
      <c r="AD354" s="133"/>
      <c r="AE354" s="133"/>
      <c r="AF354" s="222"/>
      <c r="AG354" s="222"/>
      <c r="AH354" s="222"/>
      <c r="AI354" s="176"/>
      <c r="AJ354" s="176"/>
      <c r="AK354" s="176"/>
      <c r="AL354" s="176"/>
      <c r="AM354" s="176"/>
      <c r="AN354" s="176"/>
      <c r="AO354" s="176"/>
      <c r="AP354" s="176"/>
      <c r="AQ354" s="176"/>
      <c r="AR354" s="176"/>
      <c r="AS354" s="176"/>
      <c r="AT354" s="176"/>
      <c r="AU354" s="176"/>
      <c r="AV354" s="176"/>
      <c r="AW354" s="176"/>
      <c r="AX354" s="176"/>
      <c r="AY354" s="176"/>
      <c r="AZ354" s="176"/>
      <c r="BA354" s="176"/>
      <c r="BB354" s="176"/>
      <c r="BC354" s="176"/>
      <c r="BD354" s="176"/>
      <c r="BE354" s="176"/>
      <c r="BF354" s="176"/>
      <c r="BG354" s="176"/>
      <c r="BH354" s="176"/>
      <c r="BI354" s="176"/>
      <c r="BJ354" s="176"/>
      <c r="BK354" s="176"/>
      <c r="BL354" s="176"/>
      <c r="BM354" s="176"/>
      <c r="BN354" s="176"/>
      <c r="BO354" s="176"/>
    </row>
    <row r="355" spans="1:67" s="370" customFormat="1" ht="10.5" customHeight="1" x14ac:dyDescent="0.2">
      <c r="A355" s="1348"/>
      <c r="B355" s="2690"/>
      <c r="C355" s="2691"/>
      <c r="D355" s="2692"/>
      <c r="E355" s="2601"/>
      <c r="F355" s="2602"/>
      <c r="G355" s="1088"/>
      <c r="H355" s="1089"/>
      <c r="I355" s="1083"/>
      <c r="J355" s="1084"/>
      <c r="K355" s="1160"/>
      <c r="L355" s="1312"/>
      <c r="M355" s="1352"/>
      <c r="N355" s="166"/>
      <c r="O355" s="1045"/>
      <c r="P355" s="367"/>
      <c r="Q355" s="135"/>
      <c r="R355" s="136"/>
      <c r="S355" s="129"/>
      <c r="T355" s="129"/>
      <c r="U355" s="129"/>
      <c r="V355" s="129"/>
      <c r="W355" s="129"/>
      <c r="X355" s="129"/>
      <c r="Y355" s="129"/>
      <c r="Z355" s="129"/>
      <c r="AA355" s="129"/>
      <c r="AB355" s="129"/>
      <c r="AC355" s="129"/>
      <c r="AD355" s="129"/>
      <c r="AE355" s="129"/>
      <c r="AF355" s="368"/>
      <c r="AG355" s="368"/>
      <c r="AH355" s="368"/>
      <c r="AI355" s="369"/>
      <c r="AJ355" s="369"/>
      <c r="AK355" s="369"/>
      <c r="AL355" s="369"/>
      <c r="AM355" s="369"/>
      <c r="AN355" s="369"/>
      <c r="AO355" s="369"/>
      <c r="AP355" s="369"/>
      <c r="AQ355" s="369"/>
      <c r="AR355" s="369"/>
      <c r="AS355" s="369"/>
      <c r="AT355" s="369"/>
      <c r="AU355" s="369"/>
      <c r="AV355" s="369"/>
      <c r="AW355" s="369"/>
      <c r="AX355" s="369"/>
      <c r="AY355" s="369"/>
      <c r="AZ355" s="369"/>
      <c r="BA355" s="369"/>
      <c r="BB355" s="369"/>
      <c r="BC355" s="369"/>
      <c r="BD355" s="369"/>
      <c r="BE355" s="369"/>
      <c r="BF355" s="369"/>
      <c r="BG355" s="369"/>
      <c r="BH355" s="369"/>
      <c r="BI355" s="369"/>
      <c r="BJ355" s="369"/>
      <c r="BK355" s="369"/>
      <c r="BL355" s="369"/>
      <c r="BM355" s="369"/>
      <c r="BN355" s="369"/>
      <c r="BO355" s="369"/>
    </row>
    <row r="356" spans="1:67" s="370" customFormat="1" ht="10.5" customHeight="1" x14ac:dyDescent="0.2">
      <c r="A356" s="1154" t="s">
        <v>378</v>
      </c>
      <c r="B356" s="1155"/>
      <c r="C356" s="1155"/>
      <c r="D356" s="1156"/>
      <c r="E356" s="1157"/>
      <c r="F356" s="1158"/>
      <c r="G356" s="1161"/>
      <c r="H356" s="1162"/>
      <c r="I356" s="1163"/>
      <c r="J356" s="1164"/>
      <c r="K356" s="1165"/>
      <c r="L356" s="1310"/>
      <c r="M356" s="1323"/>
      <c r="N356" s="166"/>
      <c r="O356" s="1047"/>
      <c r="P356" s="1046"/>
      <c r="Q356" s="135"/>
      <c r="R356" s="136"/>
      <c r="S356" s="129"/>
      <c r="T356" s="129"/>
      <c r="U356" s="129"/>
      <c r="V356" s="129"/>
      <c r="W356" s="129"/>
      <c r="X356" s="129"/>
      <c r="Y356" s="129"/>
      <c r="Z356" s="129"/>
      <c r="AA356" s="129"/>
      <c r="AB356" s="129"/>
      <c r="AC356" s="129"/>
      <c r="AD356" s="129"/>
      <c r="AE356" s="129"/>
      <c r="AF356" s="368"/>
      <c r="AG356" s="368"/>
      <c r="AH356" s="368"/>
      <c r="AI356" s="369"/>
      <c r="AJ356" s="369"/>
      <c r="AK356" s="369"/>
      <c r="AL356" s="369"/>
      <c r="AM356" s="369"/>
      <c r="AN356" s="369"/>
      <c r="AO356" s="369"/>
      <c r="AP356" s="369"/>
      <c r="AQ356" s="369"/>
      <c r="AR356" s="369"/>
      <c r="AS356" s="369"/>
      <c r="AT356" s="369"/>
      <c r="AU356" s="369"/>
      <c r="AV356" s="369"/>
      <c r="AW356" s="369"/>
      <c r="AX356" s="369"/>
      <c r="AY356" s="369"/>
      <c r="AZ356" s="369"/>
      <c r="BA356" s="369"/>
      <c r="BB356" s="369"/>
      <c r="BC356" s="369"/>
      <c r="BD356" s="369"/>
      <c r="BE356" s="369"/>
      <c r="BF356" s="369"/>
      <c r="BG356" s="369"/>
      <c r="BH356" s="369"/>
      <c r="BI356" s="369"/>
      <c r="BJ356" s="369"/>
      <c r="BK356" s="369"/>
      <c r="BL356" s="369"/>
      <c r="BM356" s="369"/>
      <c r="BN356" s="369"/>
      <c r="BO356" s="369"/>
    </row>
    <row r="357" spans="1:67" s="370" customFormat="1" ht="10.5" customHeight="1" x14ac:dyDescent="0.2">
      <c r="A357" s="1142" t="s">
        <v>379</v>
      </c>
      <c r="B357" s="1143"/>
      <c r="C357" s="1143"/>
      <c r="D357" s="1144"/>
      <c r="E357" s="1145"/>
      <c r="F357" s="1146"/>
      <c r="G357" s="1132"/>
      <c r="H357" s="1133"/>
      <c r="I357" s="1134"/>
      <c r="J357" s="1135"/>
      <c r="K357" s="1136"/>
      <c r="L357" s="1311"/>
      <c r="M357" s="1324"/>
      <c r="N357" s="166"/>
      <c r="O357" s="1047"/>
      <c r="P357" s="1046"/>
      <c r="Q357" s="135"/>
      <c r="R357" s="136"/>
      <c r="S357" s="130"/>
      <c r="T357" s="129"/>
      <c r="U357" s="129"/>
      <c r="V357" s="129"/>
      <c r="W357" s="129"/>
      <c r="X357" s="129"/>
      <c r="Y357" s="129"/>
      <c r="Z357" s="129"/>
      <c r="AA357" s="129"/>
      <c r="AB357" s="129"/>
      <c r="AC357" s="129"/>
      <c r="AD357" s="129"/>
      <c r="AE357" s="129"/>
      <c r="AF357" s="368"/>
      <c r="AG357" s="368"/>
      <c r="AH357" s="368"/>
      <c r="AI357" s="369"/>
      <c r="AJ357" s="369"/>
      <c r="AK357" s="369"/>
      <c r="AL357" s="369"/>
      <c r="AM357" s="369"/>
      <c r="AN357" s="369"/>
      <c r="AO357" s="369"/>
      <c r="AP357" s="369"/>
      <c r="AQ357" s="369"/>
      <c r="AR357" s="369"/>
      <c r="AS357" s="369"/>
      <c r="AT357" s="369"/>
      <c r="AU357" s="369"/>
      <c r="AV357" s="369"/>
      <c r="AW357" s="369"/>
      <c r="AX357" s="369"/>
      <c r="AY357" s="369"/>
      <c r="AZ357" s="369"/>
      <c r="BA357" s="369"/>
      <c r="BB357" s="369"/>
      <c r="BC357" s="369"/>
      <c r="BD357" s="369"/>
      <c r="BE357" s="369"/>
      <c r="BF357" s="369"/>
      <c r="BG357" s="369"/>
      <c r="BH357" s="369"/>
      <c r="BI357" s="369"/>
      <c r="BJ357" s="369"/>
      <c r="BK357" s="369"/>
      <c r="BL357" s="369"/>
      <c r="BM357" s="369"/>
      <c r="BN357" s="369"/>
      <c r="BO357" s="369"/>
    </row>
    <row r="358" spans="1:67" s="370" customFormat="1" ht="10.5" customHeight="1" x14ac:dyDescent="0.2">
      <c r="A358" s="1147" t="s">
        <v>380</v>
      </c>
      <c r="B358" s="1148"/>
      <c r="C358" s="1148"/>
      <c r="D358" s="1149" t="s">
        <v>381</v>
      </c>
      <c r="E358" s="2633">
        <f>SUM(E55,E70,E85,E102,E117,E132,E147,E162,E177,E237,E252,E267,E297,E312,E328:E333)</f>
        <v>0</v>
      </c>
      <c r="F358" s="2634"/>
      <c r="G358" s="1137"/>
      <c r="H358" s="1138"/>
      <c r="I358" s="1134"/>
      <c r="J358" s="1135"/>
      <c r="K358" s="1136"/>
      <c r="L358" s="1311"/>
      <c r="M358" s="1324"/>
      <c r="N358" s="166"/>
      <c r="O358" s="1047"/>
      <c r="P358" s="1046"/>
      <c r="Q358" s="135"/>
      <c r="R358" s="136"/>
      <c r="S358" s="129"/>
      <c r="T358" s="129"/>
      <c r="U358" s="129"/>
      <c r="V358" s="129"/>
      <c r="W358" s="129"/>
      <c r="X358" s="129"/>
      <c r="Y358" s="129"/>
      <c r="Z358" s="129"/>
      <c r="AA358" s="129"/>
      <c r="AB358" s="129"/>
      <c r="AC358" s="129"/>
      <c r="AD358" s="129"/>
      <c r="AE358" s="129"/>
      <c r="AF358" s="368"/>
      <c r="AG358" s="368"/>
      <c r="AH358" s="368"/>
      <c r="AI358" s="369"/>
      <c r="AJ358" s="369"/>
      <c r="AK358" s="369"/>
      <c r="AL358" s="369"/>
      <c r="AM358" s="369"/>
      <c r="AN358" s="369"/>
      <c r="AO358" s="369"/>
      <c r="AP358" s="369"/>
      <c r="AQ358" s="369"/>
      <c r="AR358" s="369"/>
      <c r="AS358" s="369"/>
      <c r="AT358" s="369"/>
      <c r="AU358" s="369"/>
      <c r="AV358" s="369"/>
      <c r="AW358" s="369"/>
      <c r="AX358" s="369"/>
      <c r="AY358" s="369"/>
      <c r="AZ358" s="369"/>
      <c r="BA358" s="369"/>
      <c r="BB358" s="369"/>
      <c r="BC358" s="369"/>
      <c r="BD358" s="369"/>
      <c r="BE358" s="369"/>
      <c r="BF358" s="369"/>
      <c r="BG358" s="369"/>
      <c r="BH358" s="369"/>
      <c r="BI358" s="369"/>
      <c r="BJ358" s="369"/>
      <c r="BK358" s="369"/>
      <c r="BL358" s="369"/>
      <c r="BM358" s="369"/>
      <c r="BN358" s="369"/>
      <c r="BO358" s="369"/>
    </row>
    <row r="359" spans="1:67" s="370" customFormat="1" ht="10.5" customHeight="1" x14ac:dyDescent="0.2">
      <c r="A359" s="1147" t="s">
        <v>431</v>
      </c>
      <c r="B359" s="1148"/>
      <c r="C359" s="1148"/>
      <c r="D359" s="1149" t="s">
        <v>382</v>
      </c>
      <c r="E359" s="1150">
        <f>IF(E358=0,0,E362+E363/(E358^(1/3)))</f>
        <v>0</v>
      </c>
      <c r="F359" s="1151"/>
      <c r="G359" s="1139"/>
      <c r="H359" s="1133"/>
      <c r="I359" s="1134"/>
      <c r="J359" s="1135"/>
      <c r="K359" s="1136"/>
      <c r="L359" s="1311"/>
      <c r="M359" s="1324"/>
      <c r="N359" s="166"/>
      <c r="O359" s="1047"/>
      <c r="P359" s="1046"/>
      <c r="Q359" s="135"/>
      <c r="R359" s="136"/>
      <c r="S359" s="129"/>
      <c r="T359" s="129"/>
      <c r="U359" s="129"/>
      <c r="V359" s="129"/>
      <c r="W359" s="129"/>
      <c r="X359" s="129"/>
      <c r="Y359" s="129"/>
      <c r="Z359" s="129"/>
      <c r="AA359" s="129"/>
      <c r="AB359" s="129"/>
      <c r="AC359" s="129"/>
      <c r="AD359" s="129"/>
      <c r="AE359" s="129"/>
      <c r="AF359" s="368"/>
      <c r="AG359" s="368"/>
      <c r="AH359" s="368"/>
      <c r="AI359" s="369"/>
      <c r="AJ359" s="369"/>
      <c r="AK359" s="369"/>
      <c r="AL359" s="369"/>
      <c r="AM359" s="369"/>
      <c r="AN359" s="369"/>
      <c r="AO359" s="369"/>
      <c r="AP359" s="369"/>
      <c r="AQ359" s="369"/>
      <c r="AR359" s="369"/>
      <c r="AS359" s="369"/>
      <c r="AT359" s="369"/>
      <c r="AU359" s="369"/>
      <c r="AV359" s="369"/>
      <c r="AW359" s="369"/>
      <c r="AX359" s="369"/>
      <c r="AY359" s="369"/>
      <c r="AZ359" s="369"/>
      <c r="BA359" s="369"/>
      <c r="BB359" s="369"/>
      <c r="BC359" s="369"/>
      <c r="BD359" s="369"/>
      <c r="BE359" s="369"/>
      <c r="BF359" s="369"/>
      <c r="BG359" s="369"/>
      <c r="BH359" s="369"/>
      <c r="BI359" s="369"/>
      <c r="BJ359" s="369"/>
      <c r="BK359" s="369"/>
      <c r="BL359" s="369"/>
      <c r="BM359" s="369"/>
      <c r="BN359" s="369"/>
      <c r="BO359" s="369"/>
    </row>
    <row r="360" spans="1:67" s="370" customFormat="1" ht="10.5" customHeight="1" x14ac:dyDescent="0.2">
      <c r="A360" s="1147" t="s">
        <v>383</v>
      </c>
      <c r="B360" s="1148"/>
      <c r="C360" s="1148"/>
      <c r="D360" s="1149" t="s">
        <v>384</v>
      </c>
      <c r="E360" s="1130">
        <v>0.9</v>
      </c>
      <c r="F360" s="1151"/>
      <c r="G360" s="1139"/>
      <c r="H360" s="1133"/>
      <c r="I360" s="1134"/>
      <c r="J360" s="1135"/>
      <c r="K360" s="1136"/>
      <c r="L360" s="1311"/>
      <c r="M360" s="1324"/>
      <c r="N360" s="166"/>
      <c r="O360" s="1047"/>
      <c r="P360" s="1046"/>
      <c r="Q360" s="135"/>
      <c r="R360" s="136"/>
      <c r="S360" s="129"/>
      <c r="T360" s="129"/>
      <c r="U360" s="129"/>
      <c r="V360" s="129"/>
      <c r="W360" s="129"/>
      <c r="X360" s="129"/>
      <c r="Y360" s="129"/>
      <c r="Z360" s="129"/>
      <c r="AA360" s="129"/>
      <c r="AB360" s="129"/>
      <c r="AC360" s="129"/>
      <c r="AD360" s="129"/>
      <c r="AE360" s="129"/>
      <c r="AF360" s="368"/>
      <c r="AG360" s="368"/>
      <c r="AH360" s="368"/>
      <c r="AI360" s="369"/>
      <c r="AJ360" s="369"/>
      <c r="AK360" s="369"/>
      <c r="AL360" s="369"/>
      <c r="AM360" s="369"/>
      <c r="AN360" s="369"/>
      <c r="AO360" s="369"/>
      <c r="AP360" s="369"/>
      <c r="AQ360" s="369"/>
      <c r="AR360" s="369"/>
      <c r="AS360" s="369"/>
      <c r="AT360" s="369"/>
      <c r="AU360" s="369"/>
      <c r="AV360" s="369"/>
      <c r="AW360" s="369"/>
      <c r="AX360" s="369"/>
      <c r="AY360" s="369"/>
      <c r="AZ360" s="369"/>
      <c r="BA360" s="369"/>
      <c r="BB360" s="369"/>
      <c r="BC360" s="369"/>
      <c r="BD360" s="369"/>
      <c r="BE360" s="369"/>
      <c r="BF360" s="369"/>
      <c r="BG360" s="369"/>
      <c r="BH360" s="369"/>
      <c r="BI360" s="369"/>
      <c r="BJ360" s="369"/>
      <c r="BK360" s="369"/>
      <c r="BL360" s="369"/>
      <c r="BM360" s="369"/>
      <c r="BN360" s="369"/>
      <c r="BO360" s="369"/>
    </row>
    <row r="361" spans="1:67" s="370" customFormat="1" ht="10.5" customHeight="1" x14ac:dyDescent="0.2">
      <c r="A361" s="1147" t="s">
        <v>436</v>
      </c>
      <c r="B361" s="1148"/>
      <c r="C361" s="1148"/>
      <c r="D361" s="1149" t="s">
        <v>430</v>
      </c>
      <c r="E361" s="1130">
        <v>1</v>
      </c>
      <c r="F361" s="1151"/>
      <c r="G361" s="1139"/>
      <c r="H361" s="1133"/>
      <c r="I361" s="1134"/>
      <c r="J361" s="1135"/>
      <c r="K361" s="1136"/>
      <c r="L361" s="1311"/>
      <c r="M361" s="1324"/>
      <c r="N361" s="166"/>
      <c r="O361" s="1047"/>
      <c r="P361" s="1046"/>
      <c r="Q361" s="135"/>
      <c r="R361" s="136"/>
      <c r="S361" s="129"/>
      <c r="T361" s="129"/>
      <c r="U361" s="129"/>
      <c r="V361" s="129"/>
      <c r="W361" s="129"/>
      <c r="X361" s="129"/>
      <c r="Y361" s="129"/>
      <c r="Z361" s="129"/>
      <c r="AA361" s="129"/>
      <c r="AB361" s="129"/>
      <c r="AC361" s="129"/>
      <c r="AD361" s="129"/>
      <c r="AE361" s="129"/>
      <c r="AF361" s="368"/>
      <c r="AG361" s="368"/>
      <c r="AH361" s="368"/>
      <c r="AI361" s="369"/>
      <c r="AJ361" s="369"/>
      <c r="AK361" s="369"/>
      <c r="AL361" s="369"/>
      <c r="AM361" s="369"/>
      <c r="AN361" s="369"/>
      <c r="AO361" s="369"/>
      <c r="AP361" s="369"/>
      <c r="AQ361" s="369"/>
      <c r="AR361" s="369"/>
      <c r="AS361" s="369"/>
      <c r="AT361" s="369"/>
      <c r="AU361" s="369"/>
      <c r="AV361" s="369"/>
      <c r="AW361" s="369"/>
      <c r="AX361" s="369"/>
      <c r="AY361" s="369"/>
      <c r="AZ361" s="369"/>
      <c r="BA361" s="369"/>
      <c r="BB361" s="369"/>
      <c r="BC361" s="369"/>
      <c r="BD361" s="369"/>
      <c r="BE361" s="369"/>
      <c r="BF361" s="369"/>
      <c r="BG361" s="369"/>
      <c r="BH361" s="369"/>
      <c r="BI361" s="369"/>
      <c r="BJ361" s="369"/>
      <c r="BK361" s="369"/>
      <c r="BL361" s="369"/>
      <c r="BM361" s="369"/>
      <c r="BN361" s="369"/>
      <c r="BO361" s="369"/>
    </row>
    <row r="362" spans="1:67" s="370" customFormat="1" ht="10.5" customHeight="1" x14ac:dyDescent="0.2">
      <c r="A362" s="1147" t="s">
        <v>437</v>
      </c>
      <c r="B362" s="2635" t="s">
        <v>681</v>
      </c>
      <c r="C362" s="2635"/>
      <c r="D362" s="1149" t="s">
        <v>428</v>
      </c>
      <c r="E362" s="1131">
        <v>6.6000000000000003E-2</v>
      </c>
      <c r="F362" s="1151"/>
      <c r="G362" s="2655"/>
      <c r="H362" s="2656"/>
      <c r="I362" s="1134"/>
      <c r="J362" s="1135"/>
      <c r="K362" s="1136"/>
      <c r="L362" s="1311"/>
      <c r="M362" s="1324"/>
      <c r="N362" s="166"/>
      <c r="O362" s="1047"/>
      <c r="P362" s="1046"/>
      <c r="Q362" s="135"/>
      <c r="R362" s="136"/>
      <c r="S362" s="129"/>
      <c r="T362" s="129"/>
      <c r="U362" s="129"/>
      <c r="V362" s="129"/>
      <c r="W362" s="129"/>
      <c r="X362" s="129"/>
      <c r="Y362" s="129"/>
      <c r="Z362" s="129"/>
      <c r="AA362" s="129"/>
      <c r="AB362" s="129"/>
      <c r="AC362" s="129"/>
      <c r="AD362" s="129"/>
      <c r="AE362" s="129"/>
      <c r="AF362" s="368"/>
      <c r="AG362" s="368"/>
      <c r="AH362" s="368"/>
      <c r="AI362" s="369"/>
      <c r="AJ362" s="369"/>
      <c r="AK362" s="369"/>
      <c r="AL362" s="369"/>
      <c r="AM362" s="369"/>
      <c r="AN362" s="369"/>
      <c r="AO362" s="369"/>
      <c r="AP362" s="369"/>
      <c r="AQ362" s="369"/>
      <c r="AR362" s="369"/>
      <c r="AS362" s="369"/>
      <c r="AT362" s="369"/>
      <c r="AU362" s="369"/>
      <c r="AV362" s="369"/>
      <c r="AW362" s="369"/>
      <c r="AX362" s="369"/>
      <c r="AY362" s="369"/>
      <c r="AZ362" s="369"/>
      <c r="BA362" s="369"/>
      <c r="BB362" s="369"/>
      <c r="BC362" s="369"/>
      <c r="BD362" s="369"/>
      <c r="BE362" s="369"/>
      <c r="BF362" s="369"/>
      <c r="BG362" s="369"/>
      <c r="BH362" s="369"/>
      <c r="BI362" s="369"/>
      <c r="BJ362" s="369"/>
      <c r="BK362" s="369"/>
      <c r="BL362" s="369"/>
      <c r="BM362" s="369"/>
      <c r="BN362" s="369"/>
      <c r="BO362" s="369"/>
    </row>
    <row r="363" spans="1:67" s="370" customFormat="1" ht="10.5" customHeight="1" x14ac:dyDescent="0.2">
      <c r="A363" s="1147" t="s">
        <v>438</v>
      </c>
      <c r="B363" s="2635" t="s">
        <v>681</v>
      </c>
      <c r="C363" s="2635"/>
      <c r="D363" s="1149" t="s">
        <v>429</v>
      </c>
      <c r="E363" s="1131">
        <v>11.28</v>
      </c>
      <c r="F363" s="1151"/>
      <c r="G363" s="2655"/>
      <c r="H363" s="2656"/>
      <c r="I363" s="1134"/>
      <c r="J363" s="1135"/>
      <c r="K363" s="1136"/>
      <c r="L363" s="1311"/>
      <c r="M363" s="1324"/>
      <c r="N363" s="166"/>
      <c r="O363" s="1047"/>
      <c r="P363" s="1046"/>
      <c r="Q363" s="135"/>
      <c r="R363" s="136"/>
      <c r="S363" s="129"/>
      <c r="T363" s="129"/>
      <c r="U363" s="129"/>
      <c r="V363" s="129"/>
      <c r="W363" s="129"/>
      <c r="X363" s="129"/>
      <c r="Y363" s="129"/>
      <c r="Z363" s="129"/>
      <c r="AA363" s="129"/>
      <c r="AB363" s="129"/>
      <c r="AC363" s="129"/>
      <c r="AD363" s="129"/>
      <c r="AE363" s="129"/>
      <c r="AF363" s="368"/>
      <c r="AG363" s="368"/>
      <c r="AH363" s="368"/>
      <c r="AI363" s="369"/>
      <c r="AJ363" s="369"/>
      <c r="AK363" s="369"/>
      <c r="AL363" s="369"/>
      <c r="AM363" s="369"/>
      <c r="AN363" s="369"/>
      <c r="AO363" s="369"/>
      <c r="AP363" s="369"/>
      <c r="AQ363" s="369"/>
      <c r="AR363" s="369"/>
      <c r="AS363" s="369"/>
      <c r="AT363" s="369"/>
      <c r="AU363" s="369"/>
      <c r="AV363" s="369"/>
      <c r="AW363" s="369"/>
      <c r="AX363" s="369"/>
      <c r="AY363" s="369"/>
      <c r="AZ363" s="369"/>
      <c r="BA363" s="369"/>
      <c r="BB363" s="369"/>
      <c r="BC363" s="369"/>
      <c r="BD363" s="369"/>
      <c r="BE363" s="369"/>
      <c r="BF363" s="369"/>
      <c r="BG363" s="369"/>
      <c r="BH363" s="369"/>
      <c r="BI363" s="369"/>
      <c r="BJ363" s="369"/>
      <c r="BK363" s="369"/>
      <c r="BL363" s="369"/>
      <c r="BM363" s="369"/>
      <c r="BN363" s="369"/>
      <c r="BO363" s="369"/>
    </row>
    <row r="364" spans="1:67" s="370" customFormat="1" ht="10.5" customHeight="1" x14ac:dyDescent="0.2">
      <c r="A364" s="1147" t="s">
        <v>434</v>
      </c>
      <c r="B364" s="1148"/>
      <c r="C364" s="1148"/>
      <c r="D364" s="1149" t="s">
        <v>435</v>
      </c>
      <c r="E364" s="1131">
        <v>100</v>
      </c>
      <c r="F364" s="1152"/>
      <c r="G364" s="1140"/>
      <c r="H364" s="1141"/>
      <c r="I364" s="1134"/>
      <c r="J364" s="1135"/>
      <c r="K364" s="1136"/>
      <c r="L364" s="1311"/>
      <c r="M364" s="1324"/>
      <c r="N364" s="166"/>
      <c r="O364" s="1047"/>
      <c r="P364" s="1046"/>
      <c r="Q364" s="135"/>
      <c r="R364" s="136"/>
      <c r="S364" s="129"/>
      <c r="T364" s="129"/>
      <c r="U364" s="129"/>
      <c r="V364" s="129"/>
      <c r="W364" s="129"/>
      <c r="X364" s="129"/>
      <c r="Y364" s="129"/>
      <c r="Z364" s="129"/>
      <c r="AA364" s="129"/>
      <c r="AB364" s="129"/>
      <c r="AC364" s="129"/>
      <c r="AD364" s="129"/>
      <c r="AE364" s="129"/>
      <c r="AF364" s="368"/>
      <c r="AG364" s="368"/>
      <c r="AH364" s="368"/>
      <c r="AI364" s="369"/>
      <c r="AJ364" s="369"/>
      <c r="AK364" s="369"/>
      <c r="AL364" s="369"/>
      <c r="AM364" s="369"/>
      <c r="AN364" s="369"/>
      <c r="AO364" s="369"/>
      <c r="AP364" s="369"/>
      <c r="AQ364" s="369"/>
      <c r="AR364" s="369"/>
      <c r="AS364" s="369"/>
      <c r="AT364" s="369"/>
      <c r="AU364" s="369"/>
      <c r="AV364" s="369"/>
      <c r="AW364" s="369"/>
      <c r="AX364" s="369"/>
      <c r="AY364" s="369"/>
      <c r="AZ364" s="369"/>
      <c r="BA364" s="369"/>
      <c r="BB364" s="369"/>
      <c r="BC364" s="369"/>
      <c r="BD364" s="369"/>
      <c r="BE364" s="369"/>
      <c r="BF364" s="369"/>
      <c r="BG364" s="369"/>
      <c r="BH364" s="369"/>
      <c r="BI364" s="369"/>
      <c r="BJ364" s="369"/>
      <c r="BK364" s="369"/>
      <c r="BL364" s="369"/>
      <c r="BM364" s="369"/>
      <c r="BN364" s="369"/>
      <c r="BO364" s="369"/>
    </row>
    <row r="365" spans="1:67" s="370" customFormat="1" ht="10.5" customHeight="1" x14ac:dyDescent="0.2">
      <c r="A365" s="1147" t="s">
        <v>432</v>
      </c>
      <c r="B365" s="1148"/>
      <c r="C365" s="1148"/>
      <c r="D365" s="1149" t="s">
        <v>433</v>
      </c>
      <c r="E365" s="1130">
        <v>1</v>
      </c>
      <c r="F365" s="1153"/>
      <c r="G365" s="1140"/>
      <c r="H365" s="1141"/>
      <c r="I365" s="1134"/>
      <c r="J365" s="1135"/>
      <c r="K365" s="1136"/>
      <c r="L365" s="1311"/>
      <c r="M365" s="1324"/>
      <c r="N365" s="166"/>
      <c r="O365" s="1047"/>
      <c r="P365" s="1046"/>
      <c r="Q365" s="135"/>
      <c r="R365" s="136"/>
      <c r="S365" s="129"/>
      <c r="T365" s="129"/>
      <c r="U365" s="129"/>
      <c r="V365" s="129"/>
      <c r="W365" s="129"/>
      <c r="X365" s="129"/>
      <c r="Y365" s="129"/>
      <c r="Z365" s="129"/>
      <c r="AA365" s="129"/>
      <c r="AB365" s="129"/>
      <c r="AC365" s="129"/>
      <c r="AD365" s="129"/>
      <c r="AE365" s="129"/>
      <c r="AF365" s="368"/>
      <c r="AG365" s="368"/>
      <c r="AH365" s="368"/>
      <c r="AI365" s="369"/>
      <c r="AJ365" s="369"/>
      <c r="AK365" s="369"/>
      <c r="AL365" s="369"/>
      <c r="AM365" s="369"/>
      <c r="AN365" s="369"/>
      <c r="AO365" s="369"/>
      <c r="AP365" s="369"/>
      <c r="AQ365" s="369"/>
      <c r="AR365" s="369"/>
      <c r="AS365" s="369"/>
      <c r="AT365" s="369"/>
      <c r="AU365" s="369"/>
      <c r="AV365" s="369"/>
      <c r="AW365" s="369"/>
      <c r="AX365" s="369"/>
      <c r="AY365" s="369"/>
      <c r="AZ365" s="369"/>
      <c r="BA365" s="369"/>
      <c r="BB365" s="369"/>
      <c r="BC365" s="369"/>
      <c r="BD365" s="369"/>
      <c r="BE365" s="369"/>
      <c r="BF365" s="369"/>
      <c r="BG365" s="369"/>
      <c r="BH365" s="369"/>
      <c r="BI365" s="369"/>
      <c r="BJ365" s="369"/>
      <c r="BK365" s="369"/>
      <c r="BL365" s="369"/>
      <c r="BM365" s="369"/>
      <c r="BN365" s="369"/>
      <c r="BO365" s="369"/>
    </row>
    <row r="366" spans="1:67" s="370" customFormat="1" ht="10.5" customHeight="1" x14ac:dyDescent="0.2">
      <c r="A366" s="1147" t="s">
        <v>439</v>
      </c>
      <c r="B366" s="1148"/>
      <c r="C366" s="1148"/>
      <c r="D366" s="1149" t="s">
        <v>441</v>
      </c>
      <c r="E366" s="1130">
        <v>1</v>
      </c>
      <c r="F366" s="1153"/>
      <c r="G366" s="1140"/>
      <c r="H366" s="1141"/>
      <c r="I366" s="1134"/>
      <c r="J366" s="1135"/>
      <c r="K366" s="1136"/>
      <c r="L366" s="1311"/>
      <c r="M366" s="1324"/>
      <c r="N366" s="166"/>
      <c r="O366" s="1047"/>
      <c r="P366" s="1046"/>
      <c r="Q366" s="135"/>
      <c r="R366" s="136"/>
      <c r="S366" s="129"/>
      <c r="T366" s="129"/>
      <c r="U366" s="129"/>
      <c r="V366" s="129"/>
      <c r="W366" s="129"/>
      <c r="X366" s="129"/>
      <c r="Y366" s="129"/>
      <c r="Z366" s="129"/>
      <c r="AA366" s="129"/>
      <c r="AB366" s="129"/>
      <c r="AC366" s="129"/>
      <c r="AD366" s="129"/>
      <c r="AE366" s="129"/>
      <c r="AF366" s="368"/>
      <c r="AG366" s="368"/>
      <c r="AH366" s="368"/>
      <c r="AI366" s="369"/>
      <c r="AJ366" s="369"/>
      <c r="AK366" s="369"/>
      <c r="AL366" s="369"/>
      <c r="AM366" s="369"/>
      <c r="AN366" s="369"/>
      <c r="AO366" s="369"/>
      <c r="AP366" s="369"/>
      <c r="AQ366" s="369"/>
      <c r="AR366" s="369"/>
      <c r="AS366" s="369"/>
      <c r="AT366" s="369"/>
      <c r="AU366" s="369"/>
      <c r="AV366" s="369"/>
      <c r="AW366" s="369"/>
      <c r="AX366" s="369"/>
      <c r="AY366" s="369"/>
      <c r="AZ366" s="369"/>
      <c r="BA366" s="369"/>
      <c r="BB366" s="369"/>
      <c r="BC366" s="369"/>
      <c r="BD366" s="369"/>
      <c r="BE366" s="369"/>
      <c r="BF366" s="369"/>
      <c r="BG366" s="369"/>
      <c r="BH366" s="369"/>
      <c r="BI366" s="369"/>
      <c r="BJ366" s="369"/>
      <c r="BK366" s="369"/>
      <c r="BL366" s="369"/>
      <c r="BM366" s="369"/>
      <c r="BN366" s="369"/>
      <c r="BO366" s="369"/>
    </row>
    <row r="367" spans="1:67" s="370" customFormat="1" ht="10.5" customHeight="1" x14ac:dyDescent="0.2">
      <c r="A367" s="1147" t="s">
        <v>440</v>
      </c>
      <c r="B367" s="1148"/>
      <c r="C367" s="1148"/>
      <c r="D367" s="1149" t="s">
        <v>442</v>
      </c>
      <c r="E367" s="1159">
        <v>150</v>
      </c>
      <c r="F367" s="1153"/>
      <c r="G367" s="1140"/>
      <c r="H367" s="1141"/>
      <c r="I367" s="1134"/>
      <c r="J367" s="1135"/>
      <c r="K367" s="1136"/>
      <c r="L367" s="1311"/>
      <c r="M367" s="1324"/>
      <c r="N367" s="166"/>
      <c r="O367" s="1047"/>
      <c r="P367" s="1046"/>
      <c r="Q367" s="135"/>
      <c r="R367" s="136"/>
      <c r="S367" s="129"/>
      <c r="T367" s="129"/>
      <c r="U367" s="129"/>
      <c r="V367" s="129"/>
      <c r="W367" s="129"/>
      <c r="X367" s="129"/>
      <c r="Y367" s="129"/>
      <c r="Z367" s="129"/>
      <c r="AA367" s="129"/>
      <c r="AB367" s="129"/>
      <c r="AC367" s="129"/>
      <c r="AD367" s="129"/>
      <c r="AE367" s="129"/>
      <c r="AF367" s="368"/>
      <c r="AG367" s="368"/>
      <c r="AH367" s="368"/>
      <c r="AI367" s="369"/>
      <c r="AJ367" s="369"/>
      <c r="AK367" s="369"/>
      <c r="AL367" s="369"/>
      <c r="AM367" s="369"/>
      <c r="AN367" s="369"/>
      <c r="AO367" s="369"/>
      <c r="AP367" s="369"/>
      <c r="AQ367" s="369"/>
      <c r="AR367" s="369"/>
      <c r="AS367" s="369"/>
      <c r="AT367" s="369"/>
      <c r="AU367" s="369"/>
      <c r="AV367" s="369"/>
      <c r="AW367" s="369"/>
      <c r="AX367" s="369"/>
      <c r="AY367" s="369"/>
      <c r="AZ367" s="369"/>
      <c r="BA367" s="369"/>
      <c r="BB367" s="369"/>
      <c r="BC367" s="369"/>
      <c r="BD367" s="369"/>
      <c r="BE367" s="369"/>
      <c r="BF367" s="369"/>
      <c r="BG367" s="369"/>
      <c r="BH367" s="369"/>
      <c r="BI367" s="369"/>
      <c r="BJ367" s="369"/>
      <c r="BK367" s="369"/>
      <c r="BL367" s="369"/>
      <c r="BM367" s="369"/>
      <c r="BN367" s="369"/>
      <c r="BO367" s="369"/>
    </row>
    <row r="368" spans="1:67" s="370" customFormat="1" ht="10.5" customHeight="1" x14ac:dyDescent="0.2">
      <c r="A368" s="1360" t="s">
        <v>443</v>
      </c>
      <c r="B368" s="1361"/>
      <c r="C368" s="1361"/>
      <c r="D368" s="1290"/>
      <c r="E368" s="2657">
        <f>E358*E359/100*E360*E364/100*E361*E365*E366*E367</f>
        <v>0</v>
      </c>
      <c r="F368" s="2658"/>
      <c r="G368" s="1362"/>
      <c r="H368" s="1363"/>
      <c r="I368" s="1293"/>
      <c r="J368" s="1294"/>
      <c r="K368" s="1295"/>
      <c r="L368" s="1313"/>
      <c r="M368" s="1325"/>
      <c r="N368" s="166"/>
      <c r="O368" s="1047"/>
      <c r="P368" s="1046"/>
      <c r="Q368" s="135"/>
      <c r="R368" s="136"/>
      <c r="S368" s="129"/>
      <c r="T368" s="129"/>
      <c r="U368" s="129"/>
      <c r="V368" s="129"/>
      <c r="W368" s="129"/>
      <c r="X368" s="129"/>
      <c r="Y368" s="129"/>
      <c r="Z368" s="129"/>
      <c r="AA368" s="129"/>
      <c r="AB368" s="129"/>
      <c r="AC368" s="129"/>
      <c r="AD368" s="129"/>
      <c r="AE368" s="129"/>
      <c r="AF368" s="368"/>
      <c r="AG368" s="368"/>
      <c r="AH368" s="368"/>
      <c r="AI368" s="369"/>
      <c r="AJ368" s="369"/>
      <c r="AK368" s="369"/>
      <c r="AL368" s="369"/>
      <c r="AM368" s="369"/>
      <c r="AN368" s="369"/>
      <c r="AO368" s="369"/>
      <c r="AP368" s="369"/>
      <c r="AQ368" s="369"/>
      <c r="AR368" s="369"/>
      <c r="AS368" s="369"/>
      <c r="AT368" s="369"/>
      <c r="AU368" s="369"/>
      <c r="AV368" s="369"/>
      <c r="AW368" s="369"/>
      <c r="AX368" s="369"/>
      <c r="AY368" s="369"/>
      <c r="AZ368" s="369"/>
      <c r="BA368" s="369"/>
      <c r="BB368" s="369"/>
      <c r="BC368" s="369"/>
      <c r="BD368" s="369"/>
      <c r="BE368" s="369"/>
      <c r="BF368" s="369"/>
      <c r="BG368" s="369"/>
      <c r="BH368" s="369"/>
      <c r="BI368" s="369"/>
      <c r="BJ368" s="369"/>
      <c r="BK368" s="369"/>
      <c r="BL368" s="369"/>
      <c r="BM368" s="369"/>
      <c r="BN368" s="369"/>
      <c r="BO368" s="369"/>
    </row>
    <row r="369" spans="1:67" s="370" customFormat="1" ht="10.5" customHeight="1" x14ac:dyDescent="0.2">
      <c r="A369" s="1142" t="s">
        <v>385</v>
      </c>
      <c r="B369" s="1143"/>
      <c r="C369" s="1143"/>
      <c r="D369" s="1144"/>
      <c r="E369" s="1145"/>
      <c r="F369" s="1146"/>
      <c r="G369" s="1132"/>
      <c r="H369" s="1133"/>
      <c r="I369" s="1134"/>
      <c r="J369" s="1135"/>
      <c r="K369" s="1136"/>
      <c r="L369" s="1311"/>
      <c r="M369" s="1324"/>
      <c r="N369" s="166"/>
      <c r="O369" s="1047"/>
      <c r="P369" s="1046"/>
      <c r="Q369" s="135"/>
      <c r="R369" s="136"/>
      <c r="S369" s="129"/>
      <c r="T369" s="129"/>
      <c r="U369" s="129"/>
      <c r="V369" s="129"/>
      <c r="W369" s="129"/>
      <c r="X369" s="129"/>
      <c r="Y369" s="129"/>
      <c r="Z369" s="129"/>
      <c r="AA369" s="129"/>
      <c r="AB369" s="129"/>
      <c r="AC369" s="129"/>
      <c r="AD369" s="129"/>
      <c r="AE369" s="129"/>
      <c r="AF369" s="368"/>
      <c r="AG369" s="368"/>
      <c r="AH369" s="368"/>
      <c r="AI369" s="369"/>
      <c r="AJ369" s="369"/>
      <c r="AK369" s="369"/>
      <c r="AL369" s="369"/>
      <c r="AM369" s="369"/>
      <c r="AN369" s="369"/>
      <c r="AO369" s="369"/>
      <c r="AP369" s="369"/>
      <c r="AQ369" s="369"/>
      <c r="AR369" s="369"/>
      <c r="AS369" s="369"/>
      <c r="AT369" s="369"/>
      <c r="AU369" s="369"/>
      <c r="AV369" s="369"/>
      <c r="AW369" s="369"/>
      <c r="AX369" s="369"/>
      <c r="AY369" s="369"/>
      <c r="AZ369" s="369"/>
      <c r="BA369" s="369"/>
      <c r="BB369" s="369"/>
      <c r="BC369" s="369"/>
      <c r="BD369" s="369"/>
      <c r="BE369" s="369"/>
      <c r="BF369" s="369"/>
      <c r="BG369" s="369"/>
      <c r="BH369" s="369"/>
      <c r="BI369" s="369"/>
      <c r="BJ369" s="369"/>
      <c r="BK369" s="369"/>
      <c r="BL369" s="369"/>
      <c r="BM369" s="369"/>
      <c r="BN369" s="369"/>
      <c r="BO369" s="369"/>
    </row>
    <row r="370" spans="1:67" s="370" customFormat="1" ht="10.5" customHeight="1" x14ac:dyDescent="0.2">
      <c r="A370" s="1147" t="s">
        <v>380</v>
      </c>
      <c r="B370" s="1148"/>
      <c r="C370" s="1148"/>
      <c r="D370" s="1149" t="s">
        <v>381</v>
      </c>
      <c r="E370" s="2633">
        <f>SUM(E40,E192,E207,E222,E282,E334:F339)</f>
        <v>0</v>
      </c>
      <c r="F370" s="2634"/>
      <c r="G370" s="1137"/>
      <c r="H370" s="1138"/>
      <c r="I370" s="1134"/>
      <c r="J370" s="1135"/>
      <c r="K370" s="1136"/>
      <c r="L370" s="1311"/>
      <c r="M370" s="1324"/>
      <c r="N370" s="166"/>
      <c r="O370" s="1047"/>
      <c r="P370" s="1046"/>
      <c r="Q370" s="135"/>
      <c r="R370" s="136"/>
      <c r="S370" s="129"/>
      <c r="T370" s="129"/>
      <c r="U370" s="129"/>
      <c r="V370" s="129"/>
      <c r="W370" s="129"/>
      <c r="X370" s="129"/>
      <c r="Y370" s="129"/>
      <c r="Z370" s="129"/>
      <c r="AA370" s="129"/>
      <c r="AB370" s="129"/>
      <c r="AC370" s="129"/>
      <c r="AD370" s="129"/>
      <c r="AE370" s="129"/>
      <c r="AF370" s="368"/>
      <c r="AG370" s="368"/>
      <c r="AH370" s="368"/>
      <c r="AI370" s="369"/>
      <c r="AJ370" s="369"/>
      <c r="AK370" s="369"/>
      <c r="AL370" s="369"/>
      <c r="AM370" s="369"/>
      <c r="AN370" s="369"/>
      <c r="AO370" s="369"/>
      <c r="AP370" s="369"/>
      <c r="AQ370" s="369"/>
      <c r="AR370" s="369"/>
      <c r="AS370" s="369"/>
      <c r="AT370" s="369"/>
      <c r="AU370" s="369"/>
      <c r="AV370" s="369"/>
      <c r="AW370" s="369"/>
      <c r="AX370" s="369"/>
      <c r="AY370" s="369"/>
      <c r="AZ370" s="369"/>
      <c r="BA370" s="369"/>
      <c r="BB370" s="369"/>
      <c r="BC370" s="369"/>
      <c r="BD370" s="369"/>
      <c r="BE370" s="369"/>
      <c r="BF370" s="369"/>
      <c r="BG370" s="369"/>
      <c r="BH370" s="369"/>
      <c r="BI370" s="369"/>
      <c r="BJ370" s="369"/>
      <c r="BK370" s="369"/>
      <c r="BL370" s="369"/>
      <c r="BM370" s="369"/>
      <c r="BN370" s="369"/>
      <c r="BO370" s="369"/>
    </row>
    <row r="371" spans="1:67" s="370" customFormat="1" ht="10.5" customHeight="1" x14ac:dyDescent="0.2">
      <c r="A371" s="1147" t="s">
        <v>431</v>
      </c>
      <c r="B371" s="1148"/>
      <c r="C371" s="1148"/>
      <c r="D371" s="1149" t="s">
        <v>382</v>
      </c>
      <c r="E371" s="1150">
        <f>IF(E370=0,0,E374+E375/(E370^(1/3)))</f>
        <v>0</v>
      </c>
      <c r="F371" s="1151"/>
      <c r="G371" s="1139"/>
      <c r="H371" s="1133"/>
      <c r="I371" s="1134"/>
      <c r="J371" s="1135"/>
      <c r="K371" s="1136"/>
      <c r="L371" s="1311"/>
      <c r="M371" s="1324"/>
      <c r="N371" s="166"/>
      <c r="O371" s="1047"/>
      <c r="P371" s="1046"/>
      <c r="Q371" s="135"/>
      <c r="R371" s="136"/>
      <c r="S371" s="129"/>
      <c r="T371" s="129"/>
      <c r="U371" s="129"/>
      <c r="V371" s="129"/>
      <c r="W371" s="129"/>
      <c r="X371" s="129"/>
      <c r="Y371" s="129"/>
      <c r="Z371" s="129"/>
      <c r="AA371" s="129"/>
      <c r="AB371" s="129"/>
      <c r="AC371" s="129"/>
      <c r="AD371" s="129"/>
      <c r="AE371" s="129"/>
      <c r="AF371" s="368"/>
      <c r="AG371" s="368"/>
      <c r="AH371" s="368"/>
      <c r="AI371" s="369"/>
      <c r="AJ371" s="369"/>
      <c r="AK371" s="369"/>
      <c r="AL371" s="369"/>
      <c r="AM371" s="369"/>
      <c r="AN371" s="369"/>
      <c r="AO371" s="369"/>
      <c r="AP371" s="369"/>
      <c r="AQ371" s="369"/>
      <c r="AR371" s="369"/>
      <c r="AS371" s="369"/>
      <c r="AT371" s="369"/>
      <c r="AU371" s="369"/>
      <c r="AV371" s="369"/>
      <c r="AW371" s="369"/>
      <c r="AX371" s="369"/>
      <c r="AY371" s="369"/>
      <c r="AZ371" s="369"/>
      <c r="BA371" s="369"/>
      <c r="BB371" s="369"/>
      <c r="BC371" s="369"/>
      <c r="BD371" s="369"/>
      <c r="BE371" s="369"/>
      <c r="BF371" s="369"/>
      <c r="BG371" s="369"/>
      <c r="BH371" s="369"/>
      <c r="BI371" s="369"/>
      <c r="BJ371" s="369"/>
      <c r="BK371" s="369"/>
      <c r="BL371" s="369"/>
      <c r="BM371" s="369"/>
      <c r="BN371" s="369"/>
      <c r="BO371" s="369"/>
    </row>
    <row r="372" spans="1:67" s="370" customFormat="1" ht="10.5" customHeight="1" x14ac:dyDescent="0.2">
      <c r="A372" s="1147" t="s">
        <v>383</v>
      </c>
      <c r="B372" s="1148"/>
      <c r="C372" s="1148"/>
      <c r="D372" s="1149" t="s">
        <v>384</v>
      </c>
      <c r="E372" s="1130">
        <v>0.9</v>
      </c>
      <c r="F372" s="1151"/>
      <c r="G372" s="1139"/>
      <c r="H372" s="1133"/>
      <c r="I372" s="1134"/>
      <c r="J372" s="1135"/>
      <c r="K372" s="1136"/>
      <c r="L372" s="1311"/>
      <c r="M372" s="1324"/>
      <c r="N372" s="166"/>
      <c r="O372" s="1047"/>
      <c r="P372" s="1046"/>
      <c r="Q372" s="135"/>
      <c r="R372" s="136"/>
      <c r="S372" s="129"/>
      <c r="T372" s="129"/>
      <c r="U372" s="129"/>
      <c r="V372" s="129"/>
      <c r="W372" s="129"/>
      <c r="X372" s="129"/>
      <c r="Y372" s="129"/>
      <c r="Z372" s="129"/>
      <c r="AA372" s="129"/>
      <c r="AB372" s="129"/>
      <c r="AC372" s="129"/>
      <c r="AD372" s="129"/>
      <c r="AE372" s="129"/>
      <c r="AF372" s="368"/>
      <c r="AG372" s="368"/>
      <c r="AH372" s="368"/>
      <c r="AI372" s="369"/>
      <c r="AJ372" s="369"/>
      <c r="AK372" s="369"/>
      <c r="AL372" s="369"/>
      <c r="AM372" s="369"/>
      <c r="AN372" s="369"/>
      <c r="AO372" s="369"/>
      <c r="AP372" s="369"/>
      <c r="AQ372" s="369"/>
      <c r="AR372" s="369"/>
      <c r="AS372" s="369"/>
      <c r="AT372" s="369"/>
      <c r="AU372" s="369"/>
      <c r="AV372" s="369"/>
      <c r="AW372" s="369"/>
      <c r="AX372" s="369"/>
      <c r="AY372" s="369"/>
      <c r="AZ372" s="369"/>
      <c r="BA372" s="369"/>
      <c r="BB372" s="369"/>
      <c r="BC372" s="369"/>
      <c r="BD372" s="369"/>
      <c r="BE372" s="369"/>
      <c r="BF372" s="369"/>
      <c r="BG372" s="369"/>
      <c r="BH372" s="369"/>
      <c r="BI372" s="369"/>
      <c r="BJ372" s="369"/>
      <c r="BK372" s="369"/>
      <c r="BL372" s="369"/>
      <c r="BM372" s="369"/>
      <c r="BN372" s="369"/>
      <c r="BO372" s="369"/>
    </row>
    <row r="373" spans="1:67" s="370" customFormat="1" ht="10.5" customHeight="1" x14ac:dyDescent="0.2">
      <c r="A373" s="1147" t="s">
        <v>436</v>
      </c>
      <c r="B373" s="1148"/>
      <c r="C373" s="1148"/>
      <c r="D373" s="1149" t="s">
        <v>430</v>
      </c>
      <c r="E373" s="1130">
        <v>1</v>
      </c>
      <c r="F373" s="1151"/>
      <c r="G373" s="1139"/>
      <c r="H373" s="1133"/>
      <c r="I373" s="1134"/>
      <c r="J373" s="1135"/>
      <c r="K373" s="1136"/>
      <c r="L373" s="1311"/>
      <c r="M373" s="1324"/>
      <c r="N373" s="166"/>
      <c r="O373" s="1047"/>
      <c r="P373" s="1046"/>
      <c r="Q373" s="135"/>
      <c r="R373" s="136"/>
      <c r="S373" s="129"/>
      <c r="T373" s="129"/>
      <c r="U373" s="129"/>
      <c r="V373" s="129"/>
      <c r="W373" s="129"/>
      <c r="X373" s="129"/>
      <c r="Y373" s="129"/>
      <c r="Z373" s="129"/>
      <c r="AA373" s="129"/>
      <c r="AB373" s="129"/>
      <c r="AC373" s="129"/>
      <c r="AD373" s="129"/>
      <c r="AE373" s="129"/>
      <c r="AF373" s="368"/>
      <c r="AG373" s="368"/>
      <c r="AH373" s="368"/>
      <c r="AI373" s="369"/>
      <c r="AJ373" s="369"/>
      <c r="AK373" s="369"/>
      <c r="AL373" s="369"/>
      <c r="AM373" s="369"/>
      <c r="AN373" s="369"/>
      <c r="AO373" s="369"/>
      <c r="AP373" s="369"/>
      <c r="AQ373" s="369"/>
      <c r="AR373" s="369"/>
      <c r="AS373" s="369"/>
      <c r="AT373" s="369"/>
      <c r="AU373" s="369"/>
      <c r="AV373" s="369"/>
      <c r="AW373" s="369"/>
      <c r="AX373" s="369"/>
      <c r="AY373" s="369"/>
      <c r="AZ373" s="369"/>
      <c r="BA373" s="369"/>
      <c r="BB373" s="369"/>
      <c r="BC373" s="369"/>
      <c r="BD373" s="369"/>
      <c r="BE373" s="369"/>
      <c r="BF373" s="369"/>
      <c r="BG373" s="369"/>
      <c r="BH373" s="369"/>
      <c r="BI373" s="369"/>
      <c r="BJ373" s="369"/>
      <c r="BK373" s="369"/>
      <c r="BL373" s="369"/>
      <c r="BM373" s="369"/>
      <c r="BN373" s="369"/>
      <c r="BO373" s="369"/>
    </row>
    <row r="374" spans="1:67" s="370" customFormat="1" ht="10.5" customHeight="1" x14ac:dyDescent="0.2">
      <c r="A374" s="1147" t="s">
        <v>437</v>
      </c>
      <c r="B374" s="2635" t="s">
        <v>681</v>
      </c>
      <c r="C374" s="2635"/>
      <c r="D374" s="1149" t="s">
        <v>428</v>
      </c>
      <c r="E374" s="1131">
        <v>6.2E-2</v>
      </c>
      <c r="F374" s="1151"/>
      <c r="G374" s="2655"/>
      <c r="H374" s="2656"/>
      <c r="I374" s="1134"/>
      <c r="J374" s="1135"/>
      <c r="K374" s="1136"/>
      <c r="L374" s="1311"/>
      <c r="M374" s="1324"/>
      <c r="N374" s="166"/>
      <c r="O374" s="1047"/>
      <c r="P374" s="1046"/>
      <c r="Q374" s="135"/>
      <c r="R374" s="136"/>
      <c r="S374" s="129"/>
      <c r="T374" s="129"/>
      <c r="U374" s="129"/>
      <c r="V374" s="129"/>
      <c r="W374" s="129"/>
      <c r="X374" s="129"/>
      <c r="Y374" s="129"/>
      <c r="Z374" s="129"/>
      <c r="AA374" s="129"/>
      <c r="AB374" s="129"/>
      <c r="AC374" s="129"/>
      <c r="AD374" s="129"/>
      <c r="AE374" s="129"/>
      <c r="AF374" s="368"/>
      <c r="AG374" s="368"/>
      <c r="AH374" s="368"/>
      <c r="AI374" s="369"/>
      <c r="AJ374" s="369"/>
      <c r="AK374" s="369"/>
      <c r="AL374" s="369"/>
      <c r="AM374" s="369"/>
      <c r="AN374" s="369"/>
      <c r="AO374" s="369"/>
      <c r="AP374" s="369"/>
      <c r="AQ374" s="369"/>
      <c r="AR374" s="369"/>
      <c r="AS374" s="369"/>
      <c r="AT374" s="369"/>
      <c r="AU374" s="369"/>
      <c r="AV374" s="369"/>
      <c r="AW374" s="369"/>
      <c r="AX374" s="369"/>
      <c r="AY374" s="369"/>
      <c r="AZ374" s="369"/>
      <c r="BA374" s="369"/>
      <c r="BB374" s="369"/>
      <c r="BC374" s="369"/>
      <c r="BD374" s="369"/>
      <c r="BE374" s="369"/>
      <c r="BF374" s="369"/>
      <c r="BG374" s="369"/>
      <c r="BH374" s="369"/>
      <c r="BI374" s="369"/>
      <c r="BJ374" s="369"/>
      <c r="BK374" s="369"/>
      <c r="BL374" s="369"/>
      <c r="BM374" s="369"/>
      <c r="BN374" s="369"/>
      <c r="BO374" s="369"/>
    </row>
    <row r="375" spans="1:67" s="370" customFormat="1" ht="10.5" customHeight="1" x14ac:dyDescent="0.2">
      <c r="A375" s="1147" t="s">
        <v>438</v>
      </c>
      <c r="B375" s="2635" t="s">
        <v>681</v>
      </c>
      <c r="C375" s="2635"/>
      <c r="D375" s="1149" t="s">
        <v>429</v>
      </c>
      <c r="E375" s="1131">
        <v>10.58</v>
      </c>
      <c r="F375" s="1151"/>
      <c r="G375" s="2655"/>
      <c r="H375" s="2656"/>
      <c r="I375" s="1134"/>
      <c r="J375" s="1135"/>
      <c r="K375" s="1136"/>
      <c r="L375" s="1311"/>
      <c r="M375" s="1324"/>
      <c r="N375" s="166"/>
      <c r="O375" s="1047"/>
      <c r="P375" s="1046"/>
      <c r="Q375" s="135"/>
      <c r="R375" s="136"/>
      <c r="S375" s="129"/>
      <c r="T375" s="129"/>
      <c r="U375" s="129"/>
      <c r="V375" s="129"/>
      <c r="W375" s="129"/>
      <c r="X375" s="129"/>
      <c r="Y375" s="129"/>
      <c r="Z375" s="129"/>
      <c r="AA375" s="129"/>
      <c r="AB375" s="129"/>
      <c r="AC375" s="129"/>
      <c r="AD375" s="129"/>
      <c r="AE375" s="129"/>
      <c r="AF375" s="368"/>
      <c r="AG375" s="368"/>
      <c r="AH375" s="368"/>
      <c r="AI375" s="369"/>
      <c r="AJ375" s="369"/>
      <c r="AK375" s="369"/>
      <c r="AL375" s="369"/>
      <c r="AM375" s="369"/>
      <c r="AN375" s="369"/>
      <c r="AO375" s="369"/>
      <c r="AP375" s="369"/>
      <c r="AQ375" s="369"/>
      <c r="AR375" s="369"/>
      <c r="AS375" s="369"/>
      <c r="AT375" s="369"/>
      <c r="AU375" s="369"/>
      <c r="AV375" s="369"/>
      <c r="AW375" s="369"/>
      <c r="AX375" s="369"/>
      <c r="AY375" s="369"/>
      <c r="AZ375" s="369"/>
      <c r="BA375" s="369"/>
      <c r="BB375" s="369"/>
      <c r="BC375" s="369"/>
      <c r="BD375" s="369"/>
      <c r="BE375" s="369"/>
      <c r="BF375" s="369"/>
      <c r="BG375" s="369"/>
      <c r="BH375" s="369"/>
      <c r="BI375" s="369"/>
      <c r="BJ375" s="369"/>
      <c r="BK375" s="369"/>
      <c r="BL375" s="369"/>
      <c r="BM375" s="369"/>
      <c r="BN375" s="369"/>
      <c r="BO375" s="369"/>
    </row>
    <row r="376" spans="1:67" s="370" customFormat="1" ht="10.5" customHeight="1" x14ac:dyDescent="0.2">
      <c r="A376" s="1147" t="s">
        <v>434</v>
      </c>
      <c r="B376" s="1148"/>
      <c r="C376" s="1148"/>
      <c r="D376" s="1149" t="s">
        <v>435</v>
      </c>
      <c r="E376" s="1131">
        <v>100</v>
      </c>
      <c r="F376" s="1152"/>
      <c r="G376" s="1140"/>
      <c r="H376" s="1141"/>
      <c r="I376" s="1134"/>
      <c r="J376" s="1135"/>
      <c r="K376" s="1136"/>
      <c r="L376" s="1311"/>
      <c r="M376" s="1324"/>
      <c r="N376" s="166"/>
      <c r="O376" s="1047"/>
      <c r="P376" s="1046"/>
      <c r="Q376" s="135"/>
      <c r="R376" s="136"/>
      <c r="S376" s="129"/>
      <c r="T376" s="129"/>
      <c r="U376" s="129"/>
      <c r="V376" s="129"/>
      <c r="W376" s="129"/>
      <c r="X376" s="129"/>
      <c r="Y376" s="129"/>
      <c r="Z376" s="129"/>
      <c r="AA376" s="129"/>
      <c r="AB376" s="129"/>
      <c r="AC376" s="129"/>
      <c r="AD376" s="129"/>
      <c r="AE376" s="129"/>
      <c r="AF376" s="368"/>
      <c r="AG376" s="368"/>
      <c r="AH376" s="368"/>
      <c r="AI376" s="369"/>
      <c r="AJ376" s="369"/>
      <c r="AK376" s="369"/>
      <c r="AL376" s="369"/>
      <c r="AM376" s="369"/>
      <c r="AN376" s="369"/>
      <c r="AO376" s="369"/>
      <c r="AP376" s="369"/>
      <c r="AQ376" s="369"/>
      <c r="AR376" s="369"/>
      <c r="AS376" s="369"/>
      <c r="AT376" s="369"/>
      <c r="AU376" s="369"/>
      <c r="AV376" s="369"/>
      <c r="AW376" s="369"/>
      <c r="AX376" s="369"/>
      <c r="AY376" s="369"/>
      <c r="AZ376" s="369"/>
      <c r="BA376" s="369"/>
      <c r="BB376" s="369"/>
      <c r="BC376" s="369"/>
      <c r="BD376" s="369"/>
      <c r="BE376" s="369"/>
      <c r="BF376" s="369"/>
      <c r="BG376" s="369"/>
      <c r="BH376" s="369"/>
      <c r="BI376" s="369"/>
      <c r="BJ376" s="369"/>
      <c r="BK376" s="369"/>
      <c r="BL376" s="369"/>
      <c r="BM376" s="369"/>
      <c r="BN376" s="369"/>
      <c r="BO376" s="369"/>
    </row>
    <row r="377" spans="1:67" s="370" customFormat="1" ht="10.5" customHeight="1" x14ac:dyDescent="0.2">
      <c r="A377" s="1147" t="s">
        <v>432</v>
      </c>
      <c r="B377" s="1148"/>
      <c r="C377" s="1148"/>
      <c r="D377" s="1149" t="s">
        <v>433</v>
      </c>
      <c r="E377" s="1130">
        <v>1</v>
      </c>
      <c r="F377" s="1153"/>
      <c r="G377" s="1140"/>
      <c r="H377" s="1141"/>
      <c r="I377" s="1134"/>
      <c r="J377" s="1135"/>
      <c r="K377" s="1136"/>
      <c r="L377" s="1311"/>
      <c r="M377" s="1324"/>
      <c r="N377" s="166"/>
      <c r="O377" s="1047"/>
      <c r="P377" s="1046"/>
      <c r="Q377" s="135"/>
      <c r="R377" s="136"/>
      <c r="S377" s="129"/>
      <c r="T377" s="129"/>
      <c r="U377" s="129"/>
      <c r="V377" s="129"/>
      <c r="W377" s="129"/>
      <c r="X377" s="129"/>
      <c r="Y377" s="129"/>
      <c r="Z377" s="129"/>
      <c r="AA377" s="129"/>
      <c r="AB377" s="129"/>
      <c r="AC377" s="129"/>
      <c r="AD377" s="129"/>
      <c r="AE377" s="129"/>
      <c r="AF377" s="368"/>
      <c r="AG377" s="368"/>
      <c r="AH377" s="368"/>
      <c r="AI377" s="369"/>
      <c r="AJ377" s="369"/>
      <c r="AK377" s="369"/>
      <c r="AL377" s="369"/>
      <c r="AM377" s="369"/>
      <c r="AN377" s="369"/>
      <c r="AO377" s="369"/>
      <c r="AP377" s="369"/>
      <c r="AQ377" s="369"/>
      <c r="AR377" s="369"/>
      <c r="AS377" s="369"/>
      <c r="AT377" s="369"/>
      <c r="AU377" s="369"/>
      <c r="AV377" s="369"/>
      <c r="AW377" s="369"/>
      <c r="AX377" s="369"/>
      <c r="AY377" s="369"/>
      <c r="AZ377" s="369"/>
      <c r="BA377" s="369"/>
      <c r="BB377" s="369"/>
      <c r="BC377" s="369"/>
      <c r="BD377" s="369"/>
      <c r="BE377" s="369"/>
      <c r="BF377" s="369"/>
      <c r="BG377" s="369"/>
      <c r="BH377" s="369"/>
      <c r="BI377" s="369"/>
      <c r="BJ377" s="369"/>
      <c r="BK377" s="369"/>
      <c r="BL377" s="369"/>
      <c r="BM377" s="369"/>
      <c r="BN377" s="369"/>
      <c r="BO377" s="369"/>
    </row>
    <row r="378" spans="1:67" s="370" customFormat="1" ht="10.5" customHeight="1" x14ac:dyDescent="0.2">
      <c r="A378" s="1147" t="s">
        <v>439</v>
      </c>
      <c r="B378" s="1148"/>
      <c r="C378" s="1148"/>
      <c r="D378" s="1149" t="s">
        <v>441</v>
      </c>
      <c r="E378" s="1130">
        <v>1</v>
      </c>
      <c r="F378" s="1153"/>
      <c r="G378" s="1140"/>
      <c r="H378" s="1141"/>
      <c r="I378" s="1134"/>
      <c r="J378" s="1135"/>
      <c r="K378" s="1136"/>
      <c r="L378" s="1311"/>
      <c r="M378" s="1324"/>
      <c r="N378" s="166"/>
      <c r="O378" s="1047"/>
      <c r="P378" s="1046"/>
      <c r="Q378" s="135"/>
      <c r="R378" s="136"/>
      <c r="S378" s="129"/>
      <c r="T378" s="129"/>
      <c r="U378" s="129"/>
      <c r="V378" s="129"/>
      <c r="W378" s="129"/>
      <c r="X378" s="129"/>
      <c r="Y378" s="129"/>
      <c r="Z378" s="129"/>
      <c r="AA378" s="129"/>
      <c r="AB378" s="129"/>
      <c r="AC378" s="129"/>
      <c r="AD378" s="129"/>
      <c r="AE378" s="129"/>
      <c r="AF378" s="368"/>
      <c r="AG378" s="368"/>
      <c r="AH378" s="368"/>
      <c r="AI378" s="369"/>
      <c r="AJ378" s="369"/>
      <c r="AK378" s="369"/>
      <c r="AL378" s="369"/>
      <c r="AM378" s="369"/>
      <c r="AN378" s="369"/>
      <c r="AO378" s="369"/>
      <c r="AP378" s="369"/>
      <c r="AQ378" s="369"/>
      <c r="AR378" s="369"/>
      <c r="AS378" s="369"/>
      <c r="AT378" s="369"/>
      <c r="AU378" s="369"/>
      <c r="AV378" s="369"/>
      <c r="AW378" s="369"/>
      <c r="AX378" s="369"/>
      <c r="AY378" s="369"/>
      <c r="AZ378" s="369"/>
      <c r="BA378" s="369"/>
      <c r="BB378" s="369"/>
      <c r="BC378" s="369"/>
      <c r="BD378" s="369"/>
      <c r="BE378" s="369"/>
      <c r="BF378" s="369"/>
      <c r="BG378" s="369"/>
      <c r="BH378" s="369"/>
      <c r="BI378" s="369"/>
      <c r="BJ378" s="369"/>
      <c r="BK378" s="369"/>
      <c r="BL378" s="369"/>
      <c r="BM378" s="369"/>
      <c r="BN378" s="369"/>
      <c r="BO378" s="369"/>
    </row>
    <row r="379" spans="1:67" s="370" customFormat="1" ht="10.5" customHeight="1" x14ac:dyDescent="0.2">
      <c r="A379" s="1147" t="s">
        <v>440</v>
      </c>
      <c r="B379" s="1148"/>
      <c r="C379" s="1148"/>
      <c r="D379" s="1149" t="s">
        <v>442</v>
      </c>
      <c r="E379" s="1159">
        <v>150</v>
      </c>
      <c r="F379" s="1153"/>
      <c r="G379" s="1140"/>
      <c r="H379" s="1141"/>
      <c r="I379" s="1134"/>
      <c r="J379" s="1135"/>
      <c r="K379" s="1136"/>
      <c r="L379" s="1311"/>
      <c r="M379" s="1324"/>
      <c r="N379" s="166"/>
      <c r="O379" s="1047"/>
      <c r="P379" s="1046"/>
      <c r="Q379" s="135"/>
      <c r="R379" s="136"/>
      <c r="S379" s="129"/>
      <c r="T379" s="129"/>
      <c r="U379" s="129"/>
      <c r="V379" s="129"/>
      <c r="W379" s="129"/>
      <c r="X379" s="129"/>
      <c r="Y379" s="129"/>
      <c r="Z379" s="129"/>
      <c r="AA379" s="129"/>
      <c r="AB379" s="129"/>
      <c r="AC379" s="129"/>
      <c r="AD379" s="129"/>
      <c r="AE379" s="129"/>
      <c r="AF379" s="368"/>
      <c r="AG379" s="368"/>
      <c r="AH379" s="368"/>
      <c r="AI379" s="369"/>
      <c r="AJ379" s="369"/>
      <c r="AK379" s="369"/>
      <c r="AL379" s="369"/>
      <c r="AM379" s="369"/>
      <c r="AN379" s="369"/>
      <c r="AO379" s="369"/>
      <c r="AP379" s="369"/>
      <c r="AQ379" s="369"/>
      <c r="AR379" s="369"/>
      <c r="AS379" s="369"/>
      <c r="AT379" s="369"/>
      <c r="AU379" s="369"/>
      <c r="AV379" s="369"/>
      <c r="AW379" s="369"/>
      <c r="AX379" s="369"/>
      <c r="AY379" s="369"/>
      <c r="AZ379" s="369"/>
      <c r="BA379" s="369"/>
      <c r="BB379" s="369"/>
      <c r="BC379" s="369"/>
      <c r="BD379" s="369"/>
      <c r="BE379" s="369"/>
      <c r="BF379" s="369"/>
      <c r="BG379" s="369"/>
      <c r="BH379" s="369"/>
      <c r="BI379" s="369"/>
      <c r="BJ379" s="369"/>
      <c r="BK379" s="369"/>
      <c r="BL379" s="369"/>
      <c r="BM379" s="369"/>
      <c r="BN379" s="369"/>
      <c r="BO379" s="369"/>
    </row>
    <row r="380" spans="1:67" s="370" customFormat="1" ht="10.5" customHeight="1" x14ac:dyDescent="0.2">
      <c r="A380" s="1142" t="s">
        <v>443</v>
      </c>
      <c r="B380" s="1148"/>
      <c r="C380" s="1148"/>
      <c r="D380" s="1364"/>
      <c r="E380" s="2672">
        <f>E370*E371/100*E372*E376/100*E373*E377*E378*E379</f>
        <v>0</v>
      </c>
      <c r="F380" s="2673"/>
      <c r="G380" s="1140"/>
      <c r="H380" s="1141"/>
      <c r="I380" s="1134"/>
      <c r="J380" s="1135"/>
      <c r="K380" s="1136"/>
      <c r="L380" s="1311"/>
      <c r="M380" s="1324"/>
      <c r="N380" s="166"/>
      <c r="O380" s="1047"/>
      <c r="P380" s="1046"/>
      <c r="Q380" s="135"/>
      <c r="R380" s="136"/>
      <c r="S380" s="129"/>
      <c r="T380" s="129"/>
      <c r="U380" s="129"/>
      <c r="V380" s="129"/>
      <c r="W380" s="129"/>
      <c r="X380" s="129"/>
      <c r="Y380" s="129"/>
      <c r="Z380" s="129"/>
      <c r="AA380" s="129"/>
      <c r="AB380" s="129"/>
      <c r="AC380" s="129"/>
      <c r="AD380" s="129"/>
      <c r="AE380" s="129"/>
      <c r="AF380" s="368"/>
      <c r="AG380" s="368"/>
      <c r="AH380" s="368"/>
      <c r="AI380" s="369"/>
      <c r="AJ380" s="369"/>
      <c r="AK380" s="369"/>
      <c r="AL380" s="369"/>
      <c r="AM380" s="369"/>
      <c r="AN380" s="369"/>
      <c r="AO380" s="369"/>
      <c r="AP380" s="369"/>
      <c r="AQ380" s="369"/>
      <c r="AR380" s="369"/>
      <c r="AS380" s="369"/>
      <c r="AT380" s="369"/>
      <c r="AU380" s="369"/>
      <c r="AV380" s="369"/>
      <c r="AW380" s="369"/>
      <c r="AX380" s="369"/>
      <c r="AY380" s="369"/>
      <c r="AZ380" s="369"/>
      <c r="BA380" s="369"/>
      <c r="BB380" s="369"/>
      <c r="BC380" s="369"/>
      <c r="BD380" s="369"/>
      <c r="BE380" s="369"/>
      <c r="BF380" s="369"/>
      <c r="BG380" s="369"/>
      <c r="BH380" s="369"/>
      <c r="BI380" s="369"/>
      <c r="BJ380" s="369"/>
      <c r="BK380" s="369"/>
      <c r="BL380" s="369"/>
      <c r="BM380" s="369"/>
      <c r="BN380" s="369"/>
      <c r="BO380" s="369"/>
    </row>
    <row r="381" spans="1:67" s="370" customFormat="1" ht="10.5" customHeight="1" x14ac:dyDescent="0.2">
      <c r="A381" s="1176"/>
      <c r="B381" s="2609"/>
      <c r="C381" s="2609"/>
      <c r="D381" s="2610"/>
      <c r="E381" s="2601"/>
      <c r="F381" s="2602"/>
      <c r="G381" s="1365"/>
      <c r="H381" s="1366"/>
      <c r="I381" s="1367"/>
      <c r="J381" s="1368"/>
      <c r="K381" s="1369"/>
      <c r="L381" s="1370"/>
      <c r="M381" s="1352"/>
      <c r="N381" s="166"/>
      <c r="O381" s="1047"/>
      <c r="P381" s="1046"/>
      <c r="Q381" s="135"/>
      <c r="R381" s="136"/>
      <c r="S381" s="129"/>
      <c r="T381" s="129"/>
      <c r="U381" s="129"/>
      <c r="V381" s="129"/>
      <c r="W381" s="129"/>
      <c r="X381" s="129"/>
      <c r="Y381" s="129"/>
      <c r="Z381" s="129"/>
      <c r="AA381" s="129"/>
      <c r="AB381" s="129"/>
      <c r="AC381" s="129"/>
      <c r="AD381" s="129"/>
      <c r="AE381" s="129"/>
      <c r="AF381" s="368"/>
      <c r="AG381" s="368"/>
      <c r="AH381" s="368"/>
      <c r="AI381" s="369"/>
      <c r="AJ381" s="369"/>
      <c r="AK381" s="369"/>
      <c r="AL381" s="369"/>
      <c r="AM381" s="369"/>
      <c r="AN381" s="369"/>
      <c r="AO381" s="369"/>
      <c r="AP381" s="369"/>
      <c r="AQ381" s="369"/>
      <c r="AR381" s="369"/>
      <c r="AS381" s="369"/>
      <c r="AT381" s="369"/>
      <c r="AU381" s="369"/>
      <c r="AV381" s="369"/>
      <c r="AW381" s="369"/>
      <c r="AX381" s="369"/>
      <c r="AY381" s="369"/>
      <c r="AZ381" s="369"/>
      <c r="BA381" s="369"/>
      <c r="BB381" s="369"/>
      <c r="BC381" s="369"/>
      <c r="BD381" s="369"/>
      <c r="BE381" s="369"/>
      <c r="BF381" s="369"/>
      <c r="BG381" s="369"/>
      <c r="BH381" s="369"/>
      <c r="BI381" s="369"/>
      <c r="BJ381" s="369"/>
      <c r="BK381" s="369"/>
      <c r="BL381" s="369"/>
      <c r="BM381" s="369"/>
      <c r="BN381" s="369"/>
      <c r="BO381" s="369"/>
    </row>
    <row r="382" spans="1:67" s="370" customFormat="1" ht="10.5" customHeight="1" x14ac:dyDescent="0.2">
      <c r="A382" s="1154" t="s">
        <v>386</v>
      </c>
      <c r="B382" s="1155"/>
      <c r="C382" s="1155"/>
      <c r="D382" s="1156"/>
      <c r="E382" s="1157"/>
      <c r="F382" s="1158"/>
      <c r="G382" s="1168"/>
      <c r="H382" s="1162"/>
      <c r="I382" s="1163"/>
      <c r="J382" s="1164"/>
      <c r="K382" s="1165"/>
      <c r="L382" s="1310"/>
      <c r="M382" s="1323"/>
      <c r="N382" s="166"/>
      <c r="O382" s="1047"/>
      <c r="P382" s="1046"/>
      <c r="Q382" s="135"/>
      <c r="R382" s="136"/>
      <c r="S382" s="129"/>
      <c r="T382" s="129"/>
      <c r="U382" s="129"/>
      <c r="V382" s="129"/>
      <c r="W382" s="129"/>
      <c r="X382" s="129"/>
      <c r="Y382" s="129"/>
      <c r="Z382" s="129"/>
      <c r="AA382" s="129"/>
      <c r="AB382" s="129"/>
      <c r="AC382" s="129"/>
      <c r="AD382" s="129"/>
      <c r="AE382" s="129"/>
      <c r="AF382" s="368"/>
      <c r="AG382" s="368"/>
      <c r="AH382" s="368"/>
      <c r="AI382" s="369"/>
      <c r="AJ382" s="369"/>
      <c r="AK382" s="369"/>
      <c r="AL382" s="369"/>
      <c r="AM382" s="369"/>
      <c r="AN382" s="369"/>
      <c r="AO382" s="369"/>
      <c r="AP382" s="369"/>
      <c r="AQ382" s="369"/>
      <c r="AR382" s="369"/>
      <c r="AS382" s="369"/>
      <c r="AT382" s="369"/>
      <c r="AU382" s="369"/>
      <c r="AV382" s="369"/>
      <c r="AW382" s="369"/>
      <c r="AX382" s="369"/>
      <c r="AY382" s="369"/>
      <c r="AZ382" s="369"/>
      <c r="BA382" s="369"/>
      <c r="BB382" s="369"/>
      <c r="BC382" s="369"/>
      <c r="BD382" s="369"/>
      <c r="BE382" s="369"/>
      <c r="BF382" s="369"/>
      <c r="BG382" s="369"/>
      <c r="BH382" s="369"/>
      <c r="BI382" s="369"/>
      <c r="BJ382" s="369"/>
      <c r="BK382" s="369"/>
      <c r="BL382" s="369"/>
      <c r="BM382" s="369"/>
      <c r="BN382" s="369"/>
      <c r="BO382" s="369"/>
    </row>
    <row r="383" spans="1:67" s="370" customFormat="1" ht="10.5" customHeight="1" x14ac:dyDescent="0.2">
      <c r="A383" s="1142" t="s">
        <v>387</v>
      </c>
      <c r="B383" s="1143"/>
      <c r="C383" s="1143"/>
      <c r="D383" s="1144"/>
      <c r="E383" s="1145"/>
      <c r="F383" s="1146"/>
      <c r="G383" s="1132"/>
      <c r="H383" s="1133"/>
      <c r="I383" s="1134"/>
      <c r="J383" s="1135"/>
      <c r="K383" s="1136"/>
      <c r="L383" s="1311"/>
      <c r="M383" s="1324"/>
      <c r="N383" s="166"/>
      <c r="O383" s="1047"/>
      <c r="P383" s="1046"/>
      <c r="Q383" s="135"/>
      <c r="R383" s="136"/>
      <c r="S383" s="129"/>
      <c r="T383" s="129"/>
      <c r="U383" s="129"/>
      <c r="V383" s="129"/>
      <c r="W383" s="129"/>
      <c r="X383" s="129"/>
      <c r="Y383" s="129"/>
      <c r="Z383" s="129"/>
      <c r="AA383" s="129"/>
      <c r="AB383" s="129"/>
      <c r="AC383" s="129"/>
      <c r="AD383" s="129"/>
      <c r="AE383" s="129"/>
      <c r="AF383" s="368"/>
      <c r="AG383" s="368"/>
      <c r="AH383" s="368"/>
      <c r="AI383" s="369"/>
      <c r="AJ383" s="369"/>
      <c r="AK383" s="369"/>
      <c r="AL383" s="369"/>
      <c r="AM383" s="369"/>
      <c r="AN383" s="369"/>
      <c r="AO383" s="369"/>
      <c r="AP383" s="369"/>
      <c r="AQ383" s="369"/>
      <c r="AR383" s="369"/>
      <c r="AS383" s="369"/>
      <c r="AT383" s="369"/>
      <c r="AU383" s="369"/>
      <c r="AV383" s="369"/>
      <c r="AW383" s="369"/>
      <c r="AX383" s="369"/>
      <c r="AY383" s="369"/>
      <c r="AZ383" s="369"/>
      <c r="BA383" s="369"/>
      <c r="BB383" s="369"/>
      <c r="BC383" s="369"/>
      <c r="BD383" s="369"/>
      <c r="BE383" s="369"/>
      <c r="BF383" s="369"/>
      <c r="BG383" s="369"/>
      <c r="BH383" s="369"/>
      <c r="BI383" s="369"/>
      <c r="BJ383" s="369"/>
      <c r="BK383" s="369"/>
      <c r="BL383" s="369"/>
      <c r="BM383" s="369"/>
      <c r="BN383" s="369"/>
      <c r="BO383" s="369"/>
    </row>
    <row r="384" spans="1:67" s="370" customFormat="1" ht="10.5" customHeight="1" x14ac:dyDescent="0.2">
      <c r="A384" s="1167" t="s">
        <v>477</v>
      </c>
      <c r="B384" s="2663"/>
      <c r="C384" s="2664"/>
      <c r="D384" s="2665"/>
      <c r="E384" s="2641"/>
      <c r="F384" s="2642"/>
      <c r="G384" s="1137"/>
      <c r="H384" s="1138"/>
      <c r="I384" s="1134"/>
      <c r="J384" s="1135"/>
      <c r="K384" s="1136"/>
      <c r="L384" s="1311"/>
      <c r="M384" s="1324"/>
      <c r="N384" s="166"/>
      <c r="O384" s="1047"/>
      <c r="P384" s="1046"/>
      <c r="Q384" s="135"/>
      <c r="R384" s="136"/>
      <c r="S384" s="129"/>
      <c r="T384" s="129"/>
      <c r="U384" s="129"/>
      <c r="V384" s="129"/>
      <c r="W384" s="129"/>
      <c r="X384" s="129"/>
      <c r="Y384" s="129"/>
      <c r="Z384" s="129"/>
      <c r="AA384" s="129"/>
      <c r="AB384" s="129"/>
      <c r="AC384" s="129"/>
      <c r="AD384" s="129"/>
      <c r="AE384" s="129"/>
      <c r="AF384" s="368"/>
      <c r="AG384" s="368"/>
      <c r="AH384" s="368"/>
      <c r="AI384" s="369"/>
      <c r="AJ384" s="369"/>
      <c r="AK384" s="369"/>
      <c r="AL384" s="369"/>
      <c r="AM384" s="369"/>
      <c r="AN384" s="369"/>
      <c r="AO384" s="369"/>
      <c r="AP384" s="369"/>
      <c r="AQ384" s="369"/>
      <c r="AR384" s="369"/>
      <c r="AS384" s="369"/>
      <c r="AT384" s="369"/>
      <c r="AU384" s="369"/>
      <c r="AV384" s="369"/>
      <c r="AW384" s="369"/>
      <c r="AX384" s="369"/>
      <c r="AY384" s="369"/>
      <c r="AZ384" s="369"/>
      <c r="BA384" s="369"/>
      <c r="BB384" s="369"/>
      <c r="BC384" s="369"/>
      <c r="BD384" s="369"/>
      <c r="BE384" s="369"/>
      <c r="BF384" s="369"/>
      <c r="BG384" s="369"/>
      <c r="BH384" s="369"/>
      <c r="BI384" s="369"/>
      <c r="BJ384" s="369"/>
      <c r="BK384" s="369"/>
      <c r="BL384" s="369"/>
      <c r="BM384" s="369"/>
      <c r="BN384" s="369"/>
      <c r="BO384" s="369"/>
    </row>
    <row r="385" spans="1:67" s="370" customFormat="1" ht="10.5" customHeight="1" x14ac:dyDescent="0.2">
      <c r="A385" s="1167" t="s">
        <v>55</v>
      </c>
      <c r="B385" s="2663"/>
      <c r="C385" s="2664"/>
      <c r="D385" s="2665"/>
      <c r="E385" s="2641"/>
      <c r="F385" s="2642"/>
      <c r="G385" s="1139"/>
      <c r="H385" s="1133"/>
      <c r="I385" s="1134"/>
      <c r="J385" s="1135"/>
      <c r="K385" s="1136"/>
      <c r="L385" s="1311"/>
      <c r="M385" s="1324"/>
      <c r="N385" s="166"/>
      <c r="O385" s="1047"/>
      <c r="P385" s="1046"/>
      <c r="Q385" s="135"/>
      <c r="R385" s="136"/>
      <c r="S385" s="129"/>
      <c r="T385" s="129"/>
      <c r="U385" s="129"/>
      <c r="V385" s="129"/>
      <c r="W385" s="129"/>
      <c r="X385" s="129"/>
      <c r="Y385" s="129"/>
      <c r="Z385" s="129"/>
      <c r="AA385" s="129"/>
      <c r="AB385" s="129"/>
      <c r="AC385" s="129"/>
      <c r="AD385" s="129"/>
      <c r="AE385" s="129"/>
      <c r="AF385" s="368"/>
      <c r="AG385" s="368"/>
      <c r="AH385" s="368"/>
      <c r="AI385" s="369"/>
      <c r="AJ385" s="369"/>
      <c r="AK385" s="369"/>
      <c r="AL385" s="369"/>
      <c r="AM385" s="369"/>
      <c r="AN385" s="369"/>
      <c r="AO385" s="369"/>
      <c r="AP385" s="369"/>
      <c r="AQ385" s="369"/>
      <c r="AR385" s="369"/>
      <c r="AS385" s="369"/>
      <c r="AT385" s="369"/>
      <c r="AU385" s="369"/>
      <c r="AV385" s="369"/>
      <c r="AW385" s="369"/>
      <c r="AX385" s="369"/>
      <c r="AY385" s="369"/>
      <c r="AZ385" s="369"/>
      <c r="BA385" s="369"/>
      <c r="BB385" s="369"/>
      <c r="BC385" s="369"/>
      <c r="BD385" s="369"/>
      <c r="BE385" s="369"/>
      <c r="BF385" s="369"/>
      <c r="BG385" s="369"/>
      <c r="BH385" s="369"/>
      <c r="BI385" s="369"/>
      <c r="BJ385" s="369"/>
      <c r="BK385" s="369"/>
      <c r="BL385" s="369"/>
      <c r="BM385" s="369"/>
      <c r="BN385" s="369"/>
      <c r="BO385" s="369"/>
    </row>
    <row r="386" spans="1:67" s="370" customFormat="1" ht="10.5" customHeight="1" x14ac:dyDescent="0.2">
      <c r="A386" s="1167" t="s">
        <v>56</v>
      </c>
      <c r="B386" s="2663"/>
      <c r="C386" s="2664"/>
      <c r="D386" s="2665"/>
      <c r="E386" s="2641"/>
      <c r="F386" s="2642"/>
      <c r="G386" s="1139"/>
      <c r="H386" s="1133"/>
      <c r="I386" s="1134"/>
      <c r="J386" s="1135"/>
      <c r="K386" s="1136"/>
      <c r="L386" s="1311"/>
      <c r="M386" s="1324"/>
      <c r="N386" s="166"/>
      <c r="O386" s="1047"/>
      <c r="P386" s="1046"/>
      <c r="Q386" s="135"/>
      <c r="R386" s="136"/>
      <c r="S386" s="129"/>
      <c r="T386" s="129"/>
      <c r="U386" s="129"/>
      <c r="V386" s="129"/>
      <c r="W386" s="129"/>
      <c r="X386" s="129"/>
      <c r="Y386" s="129"/>
      <c r="Z386" s="129"/>
      <c r="AA386" s="129"/>
      <c r="AB386" s="129"/>
      <c r="AC386" s="129"/>
      <c r="AD386" s="129"/>
      <c r="AE386" s="129"/>
      <c r="AF386" s="368"/>
      <c r="AG386" s="368"/>
      <c r="AH386" s="368"/>
      <c r="AI386" s="369"/>
      <c r="AJ386" s="369"/>
      <c r="AK386" s="369"/>
      <c r="AL386" s="369"/>
      <c r="AM386" s="369"/>
      <c r="AN386" s="369"/>
      <c r="AO386" s="369"/>
      <c r="AP386" s="369"/>
      <c r="AQ386" s="369"/>
      <c r="AR386" s="369"/>
      <c r="AS386" s="369"/>
      <c r="AT386" s="369"/>
      <c r="AU386" s="369"/>
      <c r="AV386" s="369"/>
      <c r="AW386" s="369"/>
      <c r="AX386" s="369"/>
      <c r="AY386" s="369"/>
      <c r="AZ386" s="369"/>
      <c r="BA386" s="369"/>
      <c r="BB386" s="369"/>
      <c r="BC386" s="369"/>
      <c r="BD386" s="369"/>
      <c r="BE386" s="369"/>
      <c r="BF386" s="369"/>
      <c r="BG386" s="369"/>
      <c r="BH386" s="369"/>
      <c r="BI386" s="369"/>
      <c r="BJ386" s="369"/>
      <c r="BK386" s="369"/>
      <c r="BL386" s="369"/>
      <c r="BM386" s="369"/>
      <c r="BN386" s="369"/>
      <c r="BO386" s="369"/>
    </row>
    <row r="387" spans="1:67" s="370" customFormat="1" ht="10.5" customHeight="1" x14ac:dyDescent="0.2">
      <c r="A387" s="1167" t="s">
        <v>388</v>
      </c>
      <c r="B387" s="2663"/>
      <c r="C387" s="2664"/>
      <c r="D387" s="2665"/>
      <c r="E387" s="2641"/>
      <c r="F387" s="2642"/>
      <c r="G387" s="1139"/>
      <c r="H387" s="1133"/>
      <c r="I387" s="1134"/>
      <c r="J387" s="1135"/>
      <c r="K387" s="1136"/>
      <c r="L387" s="1311"/>
      <c r="M387" s="1324"/>
      <c r="N387" s="166"/>
      <c r="O387" s="1047"/>
      <c r="P387" s="1046"/>
      <c r="Q387" s="135"/>
      <c r="R387" s="136"/>
      <c r="S387" s="129"/>
      <c r="T387" s="129"/>
      <c r="U387" s="129"/>
      <c r="V387" s="129"/>
      <c r="W387" s="129"/>
      <c r="X387" s="129"/>
      <c r="Y387" s="129"/>
      <c r="Z387" s="129"/>
      <c r="AA387" s="129"/>
      <c r="AB387" s="129"/>
      <c r="AC387" s="129"/>
      <c r="AD387" s="129"/>
      <c r="AE387" s="129"/>
      <c r="AF387" s="368"/>
      <c r="AG387" s="368"/>
      <c r="AH387" s="368"/>
      <c r="AI387" s="369"/>
      <c r="AJ387" s="369"/>
      <c r="AK387" s="369"/>
      <c r="AL387" s="369"/>
      <c r="AM387" s="369"/>
      <c r="AN387" s="369"/>
      <c r="AO387" s="369"/>
      <c r="AP387" s="369"/>
      <c r="AQ387" s="369"/>
      <c r="AR387" s="369"/>
      <c r="AS387" s="369"/>
      <c r="AT387" s="369"/>
      <c r="AU387" s="369"/>
      <c r="AV387" s="369"/>
      <c r="AW387" s="369"/>
      <c r="AX387" s="369"/>
      <c r="AY387" s="369"/>
      <c r="AZ387" s="369"/>
      <c r="BA387" s="369"/>
      <c r="BB387" s="369"/>
      <c r="BC387" s="369"/>
      <c r="BD387" s="369"/>
      <c r="BE387" s="369"/>
      <c r="BF387" s="369"/>
      <c r="BG387" s="369"/>
      <c r="BH387" s="369"/>
      <c r="BI387" s="369"/>
      <c r="BJ387" s="369"/>
      <c r="BK387" s="369"/>
      <c r="BL387" s="369"/>
      <c r="BM387" s="369"/>
      <c r="BN387" s="369"/>
      <c r="BO387" s="369"/>
    </row>
    <row r="388" spans="1:67" s="370" customFormat="1" ht="10.5" customHeight="1" x14ac:dyDescent="0.2">
      <c r="A388" s="1167" t="s">
        <v>389</v>
      </c>
      <c r="B388" s="2663"/>
      <c r="C388" s="2664"/>
      <c r="D388" s="2665"/>
      <c r="E388" s="2641"/>
      <c r="F388" s="2642"/>
      <c r="G388" s="1169"/>
      <c r="H388" s="1170"/>
      <c r="I388" s="1134"/>
      <c r="J388" s="1135"/>
      <c r="K388" s="1136"/>
      <c r="L388" s="1311"/>
      <c r="M388" s="1324"/>
      <c r="N388" s="166"/>
      <c r="O388" s="1047"/>
      <c r="P388" s="1046"/>
      <c r="Q388" s="135"/>
      <c r="R388" s="136"/>
      <c r="S388" s="129"/>
      <c r="T388" s="129"/>
      <c r="U388" s="129"/>
      <c r="V388" s="129"/>
      <c r="W388" s="129"/>
      <c r="X388" s="129"/>
      <c r="Y388" s="129"/>
      <c r="Z388" s="129"/>
      <c r="AA388" s="129"/>
      <c r="AB388" s="129"/>
      <c r="AC388" s="129"/>
      <c r="AD388" s="129"/>
      <c r="AE388" s="129"/>
      <c r="AF388" s="368"/>
      <c r="AG388" s="368"/>
      <c r="AH388" s="368"/>
      <c r="AI388" s="369"/>
      <c r="AJ388" s="369"/>
      <c r="AK388" s="369"/>
      <c r="AL388" s="369"/>
      <c r="AM388" s="369"/>
      <c r="AN388" s="369"/>
      <c r="AO388" s="369"/>
      <c r="AP388" s="369"/>
      <c r="AQ388" s="369"/>
      <c r="AR388" s="369"/>
      <c r="AS388" s="369"/>
      <c r="AT388" s="369"/>
      <c r="AU388" s="369"/>
      <c r="AV388" s="369"/>
      <c r="AW388" s="369"/>
      <c r="AX388" s="369"/>
      <c r="AY388" s="369"/>
      <c r="AZ388" s="369"/>
      <c r="BA388" s="369"/>
      <c r="BB388" s="369"/>
      <c r="BC388" s="369"/>
      <c r="BD388" s="369"/>
      <c r="BE388" s="369"/>
      <c r="BF388" s="369"/>
      <c r="BG388" s="369"/>
      <c r="BH388" s="369"/>
      <c r="BI388" s="369"/>
      <c r="BJ388" s="369"/>
      <c r="BK388" s="369"/>
      <c r="BL388" s="369"/>
      <c r="BM388" s="369"/>
      <c r="BN388" s="369"/>
      <c r="BO388" s="369"/>
    </row>
    <row r="389" spans="1:67" s="370" customFormat="1" ht="10.5" customHeight="1" x14ac:dyDescent="0.2">
      <c r="A389" s="1288" t="s">
        <v>13</v>
      </c>
      <c r="B389" s="1289"/>
      <c r="C389" s="1289"/>
      <c r="D389" s="1290"/>
      <c r="E389" s="2674">
        <f>SUM(E384:E388)</f>
        <v>0</v>
      </c>
      <c r="F389" s="2675"/>
      <c r="G389" s="1291"/>
      <c r="H389" s="1292"/>
      <c r="I389" s="1293"/>
      <c r="J389" s="1294"/>
      <c r="K389" s="1295"/>
      <c r="L389" s="1313"/>
      <c r="M389" s="1325"/>
      <c r="N389" s="166"/>
      <c r="O389" s="1047"/>
      <c r="P389" s="1046"/>
      <c r="Q389" s="135"/>
      <c r="R389" s="136"/>
      <c r="S389" s="129"/>
      <c r="T389" s="129"/>
      <c r="U389" s="129"/>
      <c r="V389" s="129"/>
      <c r="W389" s="129"/>
      <c r="X389" s="129"/>
      <c r="Y389" s="129"/>
      <c r="Z389" s="129"/>
      <c r="AA389" s="129"/>
      <c r="AB389" s="129"/>
      <c r="AC389" s="129"/>
      <c r="AD389" s="129"/>
      <c r="AE389" s="129"/>
      <c r="AF389" s="368"/>
      <c r="AG389" s="368"/>
      <c r="AH389" s="368"/>
      <c r="AI389" s="369"/>
      <c r="AJ389" s="369"/>
      <c r="AK389" s="369"/>
      <c r="AL389" s="369"/>
      <c r="AM389" s="369"/>
      <c r="AN389" s="369"/>
      <c r="AO389" s="369"/>
      <c r="AP389" s="369"/>
      <c r="AQ389" s="369"/>
      <c r="AR389" s="369"/>
      <c r="AS389" s="369"/>
      <c r="AT389" s="369"/>
      <c r="AU389" s="369"/>
      <c r="AV389" s="369"/>
      <c r="AW389" s="369"/>
      <c r="AX389" s="369"/>
      <c r="AY389" s="369"/>
      <c r="AZ389" s="369"/>
      <c r="BA389" s="369"/>
      <c r="BB389" s="369"/>
      <c r="BC389" s="369"/>
      <c r="BD389" s="369"/>
      <c r="BE389" s="369"/>
      <c r="BF389" s="369"/>
      <c r="BG389" s="369"/>
      <c r="BH389" s="369"/>
      <c r="BI389" s="369"/>
      <c r="BJ389" s="369"/>
      <c r="BK389" s="369"/>
      <c r="BL389" s="369"/>
      <c r="BM389" s="369"/>
      <c r="BN389" s="369"/>
      <c r="BO389" s="369"/>
    </row>
    <row r="390" spans="1:67" s="370" customFormat="1" ht="10.5" customHeight="1" x14ac:dyDescent="0.2">
      <c r="A390" s="1142" t="s">
        <v>390</v>
      </c>
      <c r="B390" s="1143"/>
      <c r="C390" s="1143"/>
      <c r="D390" s="1144"/>
      <c r="E390" s="1145"/>
      <c r="F390" s="1146"/>
      <c r="G390" s="1132"/>
      <c r="H390" s="1133"/>
      <c r="I390" s="1134"/>
      <c r="J390" s="1135"/>
      <c r="K390" s="1136"/>
      <c r="L390" s="1311"/>
      <c r="M390" s="1324"/>
      <c r="N390" s="166"/>
      <c r="O390" s="1047"/>
      <c r="P390" s="1046"/>
      <c r="Q390" s="135"/>
      <c r="R390" s="136"/>
      <c r="S390" s="129"/>
      <c r="T390" s="129"/>
      <c r="U390" s="129"/>
      <c r="V390" s="129"/>
      <c r="W390" s="129"/>
      <c r="X390" s="129"/>
      <c r="Y390" s="129"/>
      <c r="Z390" s="129"/>
      <c r="AA390" s="129"/>
      <c r="AB390" s="129"/>
      <c r="AC390" s="129"/>
      <c r="AD390" s="129"/>
      <c r="AE390" s="129"/>
      <c r="AF390" s="368"/>
      <c r="AG390" s="368"/>
      <c r="AH390" s="368"/>
      <c r="AI390" s="369"/>
      <c r="AJ390" s="369"/>
      <c r="AK390" s="369"/>
      <c r="AL390" s="369"/>
      <c r="AM390" s="369"/>
      <c r="AN390" s="369"/>
      <c r="AO390" s="369"/>
      <c r="AP390" s="369"/>
      <c r="AQ390" s="369"/>
      <c r="AR390" s="369"/>
      <c r="AS390" s="369"/>
      <c r="AT390" s="369"/>
      <c r="AU390" s="369"/>
      <c r="AV390" s="369"/>
      <c r="AW390" s="369"/>
      <c r="AX390" s="369"/>
      <c r="AY390" s="369"/>
      <c r="AZ390" s="369"/>
      <c r="BA390" s="369"/>
      <c r="BB390" s="369"/>
      <c r="BC390" s="369"/>
      <c r="BD390" s="369"/>
      <c r="BE390" s="369"/>
      <c r="BF390" s="369"/>
      <c r="BG390" s="369"/>
      <c r="BH390" s="369"/>
      <c r="BI390" s="369"/>
      <c r="BJ390" s="369"/>
      <c r="BK390" s="369"/>
      <c r="BL390" s="369"/>
      <c r="BM390" s="369"/>
      <c r="BN390" s="369"/>
      <c r="BO390" s="369"/>
    </row>
    <row r="391" spans="1:67" s="370" customFormat="1" ht="10.5" customHeight="1" x14ac:dyDescent="0.2">
      <c r="A391" s="1167" t="s">
        <v>477</v>
      </c>
      <c r="B391" s="2663"/>
      <c r="C391" s="2664"/>
      <c r="D391" s="2665"/>
      <c r="E391" s="2641"/>
      <c r="F391" s="2642"/>
      <c r="G391" s="1137"/>
      <c r="H391" s="1138"/>
      <c r="I391" s="1134"/>
      <c r="J391" s="1135"/>
      <c r="K391" s="1136"/>
      <c r="L391" s="1311"/>
      <c r="M391" s="1324"/>
      <c r="N391" s="166"/>
      <c r="O391" s="1047"/>
      <c r="P391" s="1046"/>
      <c r="Q391" s="135"/>
      <c r="R391" s="136"/>
      <c r="S391" s="129"/>
      <c r="T391" s="129"/>
      <c r="U391" s="129"/>
      <c r="V391" s="129"/>
      <c r="W391" s="129"/>
      <c r="X391" s="129"/>
      <c r="Y391" s="129"/>
      <c r="Z391" s="129"/>
      <c r="AA391" s="129"/>
      <c r="AB391" s="129"/>
      <c r="AC391" s="129"/>
      <c r="AD391" s="129"/>
      <c r="AE391" s="129"/>
      <c r="AF391" s="368"/>
      <c r="AG391" s="368"/>
      <c r="AH391" s="368"/>
      <c r="AI391" s="369"/>
      <c r="AJ391" s="369"/>
      <c r="AK391" s="369"/>
      <c r="AL391" s="369"/>
      <c r="AM391" s="369"/>
      <c r="AN391" s="369"/>
      <c r="AO391" s="369"/>
      <c r="AP391" s="369"/>
      <c r="AQ391" s="369"/>
      <c r="AR391" s="369"/>
      <c r="AS391" s="369"/>
      <c r="AT391" s="369"/>
      <c r="AU391" s="369"/>
      <c r="AV391" s="369"/>
      <c r="AW391" s="369"/>
      <c r="AX391" s="369"/>
      <c r="AY391" s="369"/>
      <c r="AZ391" s="369"/>
      <c r="BA391" s="369"/>
      <c r="BB391" s="369"/>
      <c r="BC391" s="369"/>
      <c r="BD391" s="369"/>
      <c r="BE391" s="369"/>
      <c r="BF391" s="369"/>
      <c r="BG391" s="369"/>
      <c r="BH391" s="369"/>
      <c r="BI391" s="369"/>
      <c r="BJ391" s="369"/>
      <c r="BK391" s="369"/>
      <c r="BL391" s="369"/>
      <c r="BM391" s="369"/>
      <c r="BN391" s="369"/>
      <c r="BO391" s="369"/>
    </row>
    <row r="392" spans="1:67" s="370" customFormat="1" ht="10.5" customHeight="1" x14ac:dyDescent="0.2">
      <c r="A392" s="1167" t="s">
        <v>55</v>
      </c>
      <c r="B392" s="2663"/>
      <c r="C392" s="2664"/>
      <c r="D392" s="2665"/>
      <c r="E392" s="2641"/>
      <c r="F392" s="2642"/>
      <c r="G392" s="1139"/>
      <c r="H392" s="1133"/>
      <c r="I392" s="1134"/>
      <c r="J392" s="1135"/>
      <c r="K392" s="1136"/>
      <c r="L392" s="1311"/>
      <c r="M392" s="1324"/>
      <c r="N392" s="166"/>
      <c r="O392" s="1047"/>
      <c r="P392" s="1046"/>
      <c r="Q392" s="135"/>
      <c r="R392" s="136"/>
      <c r="S392" s="129"/>
      <c r="T392" s="129"/>
      <c r="U392" s="129"/>
      <c r="V392" s="129"/>
      <c r="W392" s="129"/>
      <c r="X392" s="129"/>
      <c r="Y392" s="129"/>
      <c r="Z392" s="129"/>
      <c r="AA392" s="129"/>
      <c r="AB392" s="129"/>
      <c r="AC392" s="129"/>
      <c r="AD392" s="129"/>
      <c r="AE392" s="129"/>
      <c r="AF392" s="368"/>
      <c r="AG392" s="368"/>
      <c r="AH392" s="368"/>
      <c r="AI392" s="369"/>
      <c r="AJ392" s="369"/>
      <c r="AK392" s="369"/>
      <c r="AL392" s="369"/>
      <c r="AM392" s="369"/>
      <c r="AN392" s="369"/>
      <c r="AO392" s="369"/>
      <c r="AP392" s="369"/>
      <c r="AQ392" s="369"/>
      <c r="AR392" s="369"/>
      <c r="AS392" s="369"/>
      <c r="AT392" s="369"/>
      <c r="AU392" s="369"/>
      <c r="AV392" s="369"/>
      <c r="AW392" s="369"/>
      <c r="AX392" s="369"/>
      <c r="AY392" s="369"/>
      <c r="AZ392" s="369"/>
      <c r="BA392" s="369"/>
      <c r="BB392" s="369"/>
      <c r="BC392" s="369"/>
      <c r="BD392" s="369"/>
      <c r="BE392" s="369"/>
      <c r="BF392" s="369"/>
      <c r="BG392" s="369"/>
      <c r="BH392" s="369"/>
      <c r="BI392" s="369"/>
      <c r="BJ392" s="369"/>
      <c r="BK392" s="369"/>
      <c r="BL392" s="369"/>
      <c r="BM392" s="369"/>
      <c r="BN392" s="369"/>
      <c r="BO392" s="369"/>
    </row>
    <row r="393" spans="1:67" s="370" customFormat="1" ht="10.5" customHeight="1" x14ac:dyDescent="0.2">
      <c r="A393" s="1167" t="s">
        <v>56</v>
      </c>
      <c r="B393" s="2663"/>
      <c r="C393" s="2664"/>
      <c r="D393" s="2665"/>
      <c r="E393" s="2641"/>
      <c r="F393" s="2642"/>
      <c r="G393" s="1139"/>
      <c r="H393" s="1133"/>
      <c r="I393" s="1134"/>
      <c r="J393" s="1135"/>
      <c r="K393" s="1136"/>
      <c r="L393" s="1311"/>
      <c r="M393" s="1324"/>
      <c r="N393" s="166"/>
      <c r="O393" s="1047"/>
      <c r="P393" s="1046"/>
      <c r="Q393" s="135"/>
      <c r="R393" s="136"/>
      <c r="S393" s="129"/>
      <c r="T393" s="129"/>
      <c r="U393" s="129"/>
      <c r="V393" s="129"/>
      <c r="W393" s="129"/>
      <c r="X393" s="129"/>
      <c r="Y393" s="129"/>
      <c r="Z393" s="129"/>
      <c r="AA393" s="129"/>
      <c r="AB393" s="129"/>
      <c r="AC393" s="129"/>
      <c r="AD393" s="129"/>
      <c r="AE393" s="129"/>
      <c r="AF393" s="368"/>
      <c r="AG393" s="368"/>
      <c r="AH393" s="368"/>
      <c r="AI393" s="369"/>
      <c r="AJ393" s="369"/>
      <c r="AK393" s="369"/>
      <c r="AL393" s="369"/>
      <c r="AM393" s="369"/>
      <c r="AN393" s="369"/>
      <c r="AO393" s="369"/>
      <c r="AP393" s="369"/>
      <c r="AQ393" s="369"/>
      <c r="AR393" s="369"/>
      <c r="AS393" s="369"/>
      <c r="AT393" s="369"/>
      <c r="AU393" s="369"/>
      <c r="AV393" s="369"/>
      <c r="AW393" s="369"/>
      <c r="AX393" s="369"/>
      <c r="AY393" s="369"/>
      <c r="AZ393" s="369"/>
      <c r="BA393" s="369"/>
      <c r="BB393" s="369"/>
      <c r="BC393" s="369"/>
      <c r="BD393" s="369"/>
      <c r="BE393" s="369"/>
      <c r="BF393" s="369"/>
      <c r="BG393" s="369"/>
      <c r="BH393" s="369"/>
      <c r="BI393" s="369"/>
      <c r="BJ393" s="369"/>
      <c r="BK393" s="369"/>
      <c r="BL393" s="369"/>
      <c r="BM393" s="369"/>
      <c r="BN393" s="369"/>
      <c r="BO393" s="369"/>
    </row>
    <row r="394" spans="1:67" s="370" customFormat="1" ht="10.5" customHeight="1" x14ac:dyDescent="0.2">
      <c r="A394" s="1167" t="s">
        <v>388</v>
      </c>
      <c r="B394" s="2663"/>
      <c r="C394" s="2664"/>
      <c r="D394" s="2665"/>
      <c r="E394" s="2641"/>
      <c r="F394" s="2642"/>
      <c r="G394" s="1139"/>
      <c r="H394" s="1133"/>
      <c r="I394" s="1134"/>
      <c r="J394" s="1135"/>
      <c r="K394" s="1136"/>
      <c r="L394" s="1311"/>
      <c r="M394" s="1324"/>
      <c r="N394" s="166"/>
      <c r="O394" s="1047"/>
      <c r="P394" s="1046"/>
      <c r="Q394" s="135"/>
      <c r="R394" s="136"/>
      <c r="S394" s="129"/>
      <c r="T394" s="129"/>
      <c r="U394" s="129"/>
      <c r="V394" s="129"/>
      <c r="W394" s="129"/>
      <c r="X394" s="129"/>
      <c r="Y394" s="129"/>
      <c r="Z394" s="129"/>
      <c r="AA394" s="129"/>
      <c r="AB394" s="129"/>
      <c r="AC394" s="129"/>
      <c r="AD394" s="129"/>
      <c r="AE394" s="129"/>
      <c r="AF394" s="368"/>
      <c r="AG394" s="368"/>
      <c r="AH394" s="368"/>
      <c r="AI394" s="369"/>
      <c r="AJ394" s="369"/>
      <c r="AK394" s="369"/>
      <c r="AL394" s="369"/>
      <c r="AM394" s="369"/>
      <c r="AN394" s="369"/>
      <c r="AO394" s="369"/>
      <c r="AP394" s="369"/>
      <c r="AQ394" s="369"/>
      <c r="AR394" s="369"/>
      <c r="AS394" s="369"/>
      <c r="AT394" s="369"/>
      <c r="AU394" s="369"/>
      <c r="AV394" s="369"/>
      <c r="AW394" s="369"/>
      <c r="AX394" s="369"/>
      <c r="AY394" s="369"/>
      <c r="AZ394" s="369"/>
      <c r="BA394" s="369"/>
      <c r="BB394" s="369"/>
      <c r="BC394" s="369"/>
      <c r="BD394" s="369"/>
      <c r="BE394" s="369"/>
      <c r="BF394" s="369"/>
      <c r="BG394" s="369"/>
      <c r="BH394" s="369"/>
      <c r="BI394" s="369"/>
      <c r="BJ394" s="369"/>
      <c r="BK394" s="369"/>
      <c r="BL394" s="369"/>
      <c r="BM394" s="369"/>
      <c r="BN394" s="369"/>
      <c r="BO394" s="369"/>
    </row>
    <row r="395" spans="1:67" s="370" customFormat="1" ht="10.5" customHeight="1" x14ac:dyDescent="0.2">
      <c r="A395" s="1167" t="s">
        <v>389</v>
      </c>
      <c r="B395" s="2663"/>
      <c r="C395" s="2664"/>
      <c r="D395" s="2665"/>
      <c r="E395" s="2641"/>
      <c r="F395" s="2642"/>
      <c r="G395" s="1169"/>
      <c r="H395" s="1170"/>
      <c r="I395" s="1134"/>
      <c r="J395" s="1135"/>
      <c r="K395" s="1136"/>
      <c r="L395" s="1311"/>
      <c r="M395" s="1324"/>
      <c r="N395" s="166"/>
      <c r="O395" s="1047"/>
      <c r="P395" s="1046"/>
      <c r="Q395" s="135"/>
      <c r="R395" s="136"/>
      <c r="S395" s="129"/>
      <c r="T395" s="129"/>
      <c r="U395" s="129"/>
      <c r="V395" s="129"/>
      <c r="W395" s="129"/>
      <c r="X395" s="129"/>
      <c r="Y395" s="129"/>
      <c r="Z395" s="129"/>
      <c r="AA395" s="129"/>
      <c r="AB395" s="129"/>
      <c r="AC395" s="129"/>
      <c r="AD395" s="129"/>
      <c r="AE395" s="129"/>
      <c r="AF395" s="368"/>
      <c r="AG395" s="368"/>
      <c r="AH395" s="368"/>
      <c r="AI395" s="369"/>
      <c r="AJ395" s="369"/>
      <c r="AK395" s="369"/>
      <c r="AL395" s="369"/>
      <c r="AM395" s="369"/>
      <c r="AN395" s="369"/>
      <c r="AO395" s="369"/>
      <c r="AP395" s="369"/>
      <c r="AQ395" s="369"/>
      <c r="AR395" s="369"/>
      <c r="AS395" s="369"/>
      <c r="AT395" s="369"/>
      <c r="AU395" s="369"/>
      <c r="AV395" s="369"/>
      <c r="AW395" s="369"/>
      <c r="AX395" s="369"/>
      <c r="AY395" s="369"/>
      <c r="AZ395" s="369"/>
      <c r="BA395" s="369"/>
      <c r="BB395" s="369"/>
      <c r="BC395" s="369"/>
      <c r="BD395" s="369"/>
      <c r="BE395" s="369"/>
      <c r="BF395" s="369"/>
      <c r="BG395" s="369"/>
      <c r="BH395" s="369"/>
      <c r="BI395" s="369"/>
      <c r="BJ395" s="369"/>
      <c r="BK395" s="369"/>
      <c r="BL395" s="369"/>
      <c r="BM395" s="369"/>
      <c r="BN395" s="369"/>
      <c r="BO395" s="369"/>
    </row>
    <row r="396" spans="1:67" s="370" customFormat="1" ht="10.5" customHeight="1" x14ac:dyDescent="0.2">
      <c r="A396" s="1296" t="s">
        <v>13</v>
      </c>
      <c r="B396" s="1297"/>
      <c r="C396" s="1297"/>
      <c r="D396" s="1298"/>
      <c r="E396" s="2666">
        <f>SUM(E390:E395)</f>
        <v>0</v>
      </c>
      <c r="F396" s="2667"/>
      <c r="G396" s="1299"/>
      <c r="H396" s="1300"/>
      <c r="I396" s="1301"/>
      <c r="J396" s="1302"/>
      <c r="K396" s="1303"/>
      <c r="L396" s="1314"/>
      <c r="M396" s="1326"/>
      <c r="N396" s="166"/>
      <c r="O396" s="1047"/>
      <c r="P396" s="1046"/>
      <c r="Q396" s="135"/>
      <c r="R396" s="136"/>
      <c r="S396" s="129"/>
      <c r="T396" s="129"/>
      <c r="U396" s="129"/>
      <c r="V396" s="129"/>
      <c r="W396" s="129"/>
      <c r="X396" s="129"/>
      <c r="Y396" s="129"/>
      <c r="Z396" s="129"/>
      <c r="AA396" s="129"/>
      <c r="AB396" s="129"/>
      <c r="AC396" s="129"/>
      <c r="AD396" s="129"/>
      <c r="AE396" s="129"/>
      <c r="AF396" s="368"/>
      <c r="AG396" s="368"/>
      <c r="AH396" s="368"/>
      <c r="AI396" s="369"/>
      <c r="AJ396" s="369"/>
      <c r="AK396" s="369"/>
      <c r="AL396" s="369"/>
      <c r="AM396" s="369"/>
      <c r="AN396" s="369"/>
      <c r="AO396" s="369"/>
      <c r="AP396" s="369"/>
      <c r="AQ396" s="369"/>
      <c r="AR396" s="369"/>
      <c r="AS396" s="369"/>
      <c r="AT396" s="369"/>
      <c r="AU396" s="369"/>
      <c r="AV396" s="369"/>
      <c r="AW396" s="369"/>
      <c r="AX396" s="369"/>
      <c r="AY396" s="369"/>
      <c r="AZ396" s="369"/>
      <c r="BA396" s="369"/>
      <c r="BB396" s="369"/>
      <c r="BC396" s="369"/>
      <c r="BD396" s="369"/>
      <c r="BE396" s="369"/>
      <c r="BF396" s="369"/>
      <c r="BG396" s="369"/>
      <c r="BH396" s="369"/>
      <c r="BI396" s="369"/>
      <c r="BJ396" s="369"/>
      <c r="BK396" s="369"/>
      <c r="BL396" s="369"/>
      <c r="BM396" s="369"/>
      <c r="BN396" s="369"/>
      <c r="BO396" s="369"/>
    </row>
    <row r="397" spans="1:67" s="36" customFormat="1" ht="10.5" customHeight="1" x14ac:dyDescent="0.2">
      <c r="A397" s="1371"/>
      <c r="B397" s="2670"/>
      <c r="C397" s="2670"/>
      <c r="D397" s="2671"/>
      <c r="E397" s="2668"/>
      <c r="F397" s="2669"/>
      <c r="G397" s="1088"/>
      <c r="H397" s="1089"/>
      <c r="I397" s="1083">
        <f>IF($O397&gt;0,-PMT((#REF!),$O397,1),0)</f>
        <v>0</v>
      </c>
      <c r="J397" s="1084"/>
      <c r="K397" s="1087"/>
      <c r="L397" s="1307"/>
      <c r="M397" s="1317">
        <f>ROUND(E397/100*IF(ISBLANK(L397),K397,L397),-1)</f>
        <v>0</v>
      </c>
      <c r="N397" s="506"/>
      <c r="O397" s="391"/>
      <c r="P397" s="392"/>
      <c r="Q397" s="135"/>
      <c r="R397" s="136"/>
      <c r="S397" s="129"/>
      <c r="T397" s="129"/>
      <c r="U397" s="129"/>
      <c r="V397" s="129"/>
      <c r="W397" s="129"/>
      <c r="X397" s="129"/>
      <c r="Y397" s="129"/>
      <c r="Z397" s="133"/>
      <c r="AA397" s="133"/>
      <c r="AB397" s="133"/>
      <c r="AC397" s="133"/>
      <c r="AD397" s="133"/>
      <c r="AE397" s="133"/>
      <c r="AF397" s="222"/>
      <c r="AG397" s="222"/>
      <c r="AH397" s="222"/>
      <c r="AI397" s="176"/>
      <c r="AJ397" s="176"/>
      <c r="AK397" s="176"/>
      <c r="AL397" s="176"/>
      <c r="AM397" s="176"/>
      <c r="AN397" s="176"/>
      <c r="AO397" s="176"/>
      <c r="AP397" s="176"/>
      <c r="AQ397" s="176"/>
      <c r="AR397" s="176"/>
      <c r="AS397" s="176"/>
      <c r="AT397" s="176"/>
      <c r="AU397" s="176"/>
      <c r="AV397" s="176"/>
      <c r="AW397" s="176"/>
      <c r="AX397" s="176"/>
      <c r="AY397" s="176"/>
      <c r="AZ397" s="176"/>
      <c r="BA397" s="176"/>
      <c r="BB397" s="176"/>
      <c r="BC397" s="176"/>
      <c r="BD397" s="176"/>
      <c r="BE397" s="176"/>
      <c r="BF397" s="176"/>
      <c r="BG397" s="176"/>
      <c r="BH397" s="176"/>
      <c r="BI397" s="176"/>
      <c r="BJ397" s="176"/>
      <c r="BK397" s="176"/>
      <c r="BL397" s="176"/>
      <c r="BM397" s="176"/>
      <c r="BN397" s="176"/>
      <c r="BO397" s="176"/>
    </row>
    <row r="398" spans="1:67" s="36" customFormat="1" ht="10.5" customHeight="1" x14ac:dyDescent="0.2">
      <c r="A398" s="1120" t="s">
        <v>478</v>
      </c>
      <c r="B398" s="2603"/>
      <c r="C398" s="2604"/>
      <c r="D398" s="2605"/>
      <c r="E398" s="2653"/>
      <c r="F398" s="2654"/>
      <c r="G398" s="2620"/>
      <c r="H398" s="2621"/>
      <c r="I398" s="1171"/>
      <c r="J398" s="1172"/>
      <c r="K398" s="2659"/>
      <c r="L398" s="2660"/>
      <c r="M398" s="1318">
        <f>SUM(M399:M402)</f>
        <v>0</v>
      </c>
      <c r="N398" s="506"/>
      <c r="O398" s="391"/>
      <c r="P398" s="392"/>
      <c r="Q398" s="135"/>
      <c r="R398" s="136"/>
      <c r="S398" s="129"/>
      <c r="T398" s="129"/>
      <c r="U398" s="129"/>
      <c r="V398" s="129"/>
      <c r="W398" s="129"/>
      <c r="X398" s="129"/>
      <c r="Y398" s="129"/>
      <c r="Z398" s="133"/>
      <c r="AA398" s="133"/>
      <c r="AB398" s="133"/>
      <c r="AC398" s="133"/>
      <c r="AD398" s="133"/>
      <c r="AE398" s="133"/>
      <c r="AF398" s="222"/>
      <c r="AG398" s="222"/>
      <c r="AH398" s="222"/>
      <c r="AI398" s="176"/>
      <c r="AJ398" s="176"/>
      <c r="AK398" s="176"/>
      <c r="AL398" s="176"/>
      <c r="AM398" s="176"/>
      <c r="AN398" s="176"/>
      <c r="AO398" s="176"/>
      <c r="AP398" s="176"/>
      <c r="AQ398" s="176"/>
      <c r="AR398" s="176"/>
      <c r="AS398" s="176"/>
      <c r="AT398" s="176"/>
      <c r="AU398" s="176"/>
      <c r="AV398" s="176"/>
      <c r="AW398" s="176"/>
      <c r="AX398" s="176"/>
      <c r="AY398" s="176"/>
      <c r="AZ398" s="176"/>
      <c r="BA398" s="176"/>
      <c r="BB398" s="176"/>
      <c r="BC398" s="176"/>
      <c r="BD398" s="176"/>
      <c r="BE398" s="176"/>
      <c r="BF398" s="176"/>
      <c r="BG398" s="176"/>
      <c r="BH398" s="176"/>
      <c r="BI398" s="176"/>
      <c r="BJ398" s="176"/>
      <c r="BK398" s="176"/>
      <c r="BL398" s="176"/>
      <c r="BM398" s="176"/>
      <c r="BN398" s="176"/>
      <c r="BO398" s="176"/>
    </row>
    <row r="399" spans="1:67" s="36" customFormat="1" ht="10.5" customHeight="1" x14ac:dyDescent="0.2">
      <c r="A399" s="1174" t="s">
        <v>479</v>
      </c>
      <c r="B399" s="1166"/>
      <c r="C399" s="1166"/>
      <c r="D399" s="1173"/>
      <c r="E399" s="2661"/>
      <c r="F399" s="2662"/>
      <c r="G399" s="1067"/>
      <c r="H399" s="1179"/>
      <c r="I399" s="1180"/>
      <c r="J399" s="1181"/>
      <c r="K399" s="1165"/>
      <c r="L399" s="1310"/>
      <c r="M399" s="1085">
        <f>(E404-E341)*D399</f>
        <v>0</v>
      </c>
      <c r="N399" s="506"/>
      <c r="O399" s="391"/>
      <c r="P399" s="392"/>
      <c r="Q399" s="135"/>
      <c r="R399" s="136"/>
      <c r="S399" s="129"/>
      <c r="T399" s="129"/>
      <c r="U399" s="129"/>
      <c r="V399" s="129"/>
      <c r="W399" s="129"/>
      <c r="X399" s="129"/>
      <c r="Y399" s="129"/>
      <c r="Z399" s="133"/>
      <c r="AA399" s="133"/>
      <c r="AB399" s="133"/>
      <c r="AC399" s="133"/>
      <c r="AD399" s="133"/>
      <c r="AE399" s="133"/>
      <c r="AF399" s="222"/>
      <c r="AG399" s="222"/>
      <c r="AH399" s="222"/>
      <c r="AI399" s="176"/>
      <c r="AJ399" s="176"/>
      <c r="AK399" s="176"/>
      <c r="AL399" s="176"/>
      <c r="AM399" s="176"/>
      <c r="AN399" s="176"/>
      <c r="AO399" s="176"/>
      <c r="AP399" s="176"/>
      <c r="AQ399" s="176"/>
      <c r="AR399" s="176"/>
      <c r="AS399" s="176"/>
      <c r="AT399" s="176"/>
      <c r="AU399" s="176"/>
      <c r="AV399" s="176"/>
      <c r="AW399" s="176"/>
      <c r="AX399" s="176"/>
      <c r="AY399" s="176"/>
      <c r="AZ399" s="176"/>
      <c r="BA399" s="176"/>
      <c r="BB399" s="176"/>
      <c r="BC399" s="176"/>
      <c r="BD399" s="176"/>
      <c r="BE399" s="176"/>
      <c r="BF399" s="176"/>
      <c r="BG399" s="176"/>
      <c r="BH399" s="176"/>
      <c r="BI399" s="176"/>
      <c r="BJ399" s="176"/>
      <c r="BK399" s="176"/>
      <c r="BL399" s="176"/>
      <c r="BM399" s="176"/>
      <c r="BN399" s="176"/>
      <c r="BO399" s="176"/>
    </row>
    <row r="400" spans="1:67" s="36" customFormat="1" ht="10.5" customHeight="1" x14ac:dyDescent="0.2">
      <c r="A400" s="1175" t="s">
        <v>480</v>
      </c>
      <c r="B400" s="2645"/>
      <c r="C400" s="2645"/>
      <c r="D400" s="2646"/>
      <c r="E400" s="2647"/>
      <c r="F400" s="2648"/>
      <c r="G400" s="1182"/>
      <c r="H400" s="1183"/>
      <c r="I400" s="1184">
        <f>IF($O400&gt;0,-PMT((#REF!),$O400,1),0)</f>
        <v>0</v>
      </c>
      <c r="J400" s="1185">
        <f>ROUND(E400*I400,-1)</f>
        <v>0</v>
      </c>
      <c r="K400" s="1341"/>
      <c r="L400" s="1315"/>
      <c r="M400" s="1327"/>
      <c r="N400" s="506"/>
      <c r="O400" s="391"/>
      <c r="P400" s="392"/>
      <c r="Q400" s="135"/>
      <c r="R400" s="136"/>
      <c r="S400" s="129"/>
      <c r="T400" s="129"/>
      <c r="U400" s="129"/>
      <c r="V400" s="129"/>
      <c r="W400" s="129"/>
      <c r="X400" s="129"/>
      <c r="Y400" s="129"/>
      <c r="Z400" s="133"/>
      <c r="AA400" s="133"/>
      <c r="AB400" s="133"/>
      <c r="AC400" s="133"/>
      <c r="AD400" s="133"/>
      <c r="AE400" s="133"/>
      <c r="AF400" s="222"/>
      <c r="AG400" s="222"/>
      <c r="AH400" s="222"/>
      <c r="AI400" s="176"/>
      <c r="AJ400" s="176"/>
      <c r="AK400" s="176"/>
      <c r="AL400" s="176"/>
      <c r="AM400" s="176"/>
      <c r="AN400" s="176"/>
      <c r="AO400" s="176"/>
      <c r="AP400" s="176"/>
      <c r="AQ400" s="176"/>
      <c r="AR400" s="176"/>
      <c r="AS400" s="176"/>
      <c r="AT400" s="176"/>
      <c r="AU400" s="176"/>
      <c r="AV400" s="176"/>
      <c r="AW400" s="176"/>
      <c r="AX400" s="176"/>
      <c r="AY400" s="176"/>
      <c r="AZ400" s="176"/>
      <c r="BA400" s="176"/>
      <c r="BB400" s="176"/>
      <c r="BC400" s="176"/>
      <c r="BD400" s="176"/>
      <c r="BE400" s="176"/>
      <c r="BF400" s="176"/>
      <c r="BG400" s="176"/>
      <c r="BH400" s="176"/>
      <c r="BI400" s="176"/>
      <c r="BJ400" s="176"/>
      <c r="BK400" s="176"/>
      <c r="BL400" s="176"/>
      <c r="BM400" s="176"/>
      <c r="BN400" s="176"/>
      <c r="BO400" s="176"/>
    </row>
    <row r="401" spans="1:68" s="36" customFormat="1" ht="10.5" customHeight="1" x14ac:dyDescent="0.2">
      <c r="A401" s="1175" t="s">
        <v>481</v>
      </c>
      <c r="B401" s="2645"/>
      <c r="C401" s="2645"/>
      <c r="D401" s="2646"/>
      <c r="E401" s="2647"/>
      <c r="F401" s="2648"/>
      <c r="G401" s="1182"/>
      <c r="H401" s="1183"/>
      <c r="I401" s="1184">
        <f>IF($O401&gt;0,-PMT((#REF!),$O401,1),0)</f>
        <v>0</v>
      </c>
      <c r="J401" s="1185">
        <f>ROUND(E401*I401,-1)</f>
        <v>0</v>
      </c>
      <c r="K401" s="1341"/>
      <c r="L401" s="1315"/>
      <c r="M401" s="1327"/>
      <c r="N401" s="506"/>
      <c r="O401" s="391"/>
      <c r="P401" s="392"/>
      <c r="Q401" s="135"/>
      <c r="R401" s="136"/>
      <c r="S401" s="129"/>
      <c r="T401" s="129"/>
      <c r="U401" s="129"/>
      <c r="V401" s="129"/>
      <c r="W401" s="129"/>
      <c r="X401" s="129"/>
      <c r="Y401" s="129"/>
      <c r="Z401" s="133"/>
      <c r="AA401" s="133"/>
      <c r="AB401" s="133"/>
      <c r="AC401" s="133"/>
      <c r="AD401" s="133"/>
      <c r="AE401" s="133"/>
      <c r="AF401" s="222"/>
      <c r="AG401" s="222"/>
      <c r="AH401" s="222"/>
      <c r="AI401" s="176"/>
      <c r="AJ401" s="176"/>
      <c r="AK401" s="176"/>
      <c r="AL401" s="176"/>
      <c r="AM401" s="176"/>
      <c r="AN401" s="176"/>
      <c r="AO401" s="176"/>
      <c r="AP401" s="176"/>
      <c r="AQ401" s="176"/>
      <c r="AR401" s="176"/>
      <c r="AS401" s="176"/>
      <c r="AT401" s="176"/>
      <c r="AU401" s="176"/>
      <c r="AV401" s="176"/>
      <c r="AW401" s="176"/>
      <c r="AX401" s="176"/>
      <c r="AY401" s="176"/>
      <c r="AZ401" s="176"/>
      <c r="BA401" s="176"/>
      <c r="BB401" s="176"/>
      <c r="BC401" s="176"/>
      <c r="BD401" s="176"/>
      <c r="BE401" s="176"/>
      <c r="BF401" s="176"/>
      <c r="BG401" s="176"/>
      <c r="BH401" s="176"/>
      <c r="BI401" s="176"/>
      <c r="BJ401" s="176"/>
      <c r="BK401" s="176"/>
      <c r="BL401" s="176"/>
      <c r="BM401" s="176"/>
      <c r="BN401" s="176"/>
      <c r="BO401" s="176"/>
    </row>
    <row r="402" spans="1:68" s="36" customFormat="1" ht="10.5" customHeight="1" x14ac:dyDescent="0.2">
      <c r="A402" s="1175" t="s">
        <v>482</v>
      </c>
      <c r="B402" s="2649"/>
      <c r="C402" s="2649"/>
      <c r="D402" s="2650"/>
      <c r="E402" s="2647"/>
      <c r="F402" s="2648"/>
      <c r="G402" s="1182"/>
      <c r="H402" s="1183"/>
      <c r="I402" s="1184">
        <f>IF($O402&gt;0,-PMT((#REF!),$O402,1),0)</f>
        <v>0</v>
      </c>
      <c r="J402" s="1185">
        <f>ROUND(E402*I402,-1)</f>
        <v>0</v>
      </c>
      <c r="K402" s="1341"/>
      <c r="L402" s="1315"/>
      <c r="M402" s="1327"/>
      <c r="N402" s="506"/>
      <c r="O402" s="391"/>
      <c r="P402" s="392"/>
      <c r="Q402" s="135"/>
      <c r="R402" s="136"/>
      <c r="S402" s="129"/>
      <c r="T402" s="129"/>
      <c r="U402" s="129"/>
      <c r="V402" s="129"/>
      <c r="W402" s="129"/>
      <c r="X402" s="129"/>
      <c r="Y402" s="129"/>
      <c r="Z402" s="133"/>
      <c r="AA402" s="133"/>
      <c r="AB402" s="133"/>
      <c r="AC402" s="133"/>
      <c r="AD402" s="133"/>
      <c r="AE402" s="133"/>
      <c r="AF402" s="222"/>
      <c r="AG402" s="222"/>
      <c r="AH402" s="222"/>
      <c r="AI402" s="176"/>
      <c r="AJ402" s="176"/>
      <c r="AK402" s="176"/>
      <c r="AL402" s="176"/>
      <c r="AM402" s="176"/>
      <c r="AN402" s="176"/>
      <c r="AO402" s="176"/>
      <c r="AP402" s="176"/>
      <c r="AQ402" s="176"/>
      <c r="AR402" s="176"/>
      <c r="AS402" s="176"/>
      <c r="AT402" s="176"/>
      <c r="AU402" s="176"/>
      <c r="AV402" s="176"/>
      <c r="AW402" s="176"/>
      <c r="AX402" s="176"/>
      <c r="AY402" s="176"/>
      <c r="AZ402" s="176"/>
      <c r="BA402" s="176"/>
      <c r="BB402" s="176"/>
      <c r="BC402" s="176"/>
      <c r="BD402" s="176"/>
      <c r="BE402" s="176"/>
      <c r="BF402" s="176"/>
      <c r="BG402" s="176"/>
      <c r="BH402" s="176"/>
      <c r="BI402" s="176"/>
      <c r="BJ402" s="176"/>
      <c r="BK402" s="176"/>
      <c r="BL402" s="176"/>
      <c r="BM402" s="176"/>
      <c r="BN402" s="176"/>
      <c r="BO402" s="176"/>
    </row>
    <row r="403" spans="1:68" s="36" customFormat="1" ht="10.5" customHeight="1" x14ac:dyDescent="0.2">
      <c r="A403" s="1176"/>
      <c r="B403" s="1177"/>
      <c r="C403" s="1177"/>
      <c r="D403" s="1178"/>
      <c r="E403" s="2601"/>
      <c r="F403" s="2602"/>
      <c r="G403" s="1088"/>
      <c r="H403" s="1089"/>
      <c r="I403" s="1083">
        <f>IF($O403&gt;0,-PMT((#REF!),$O403,1),0)</f>
        <v>0</v>
      </c>
      <c r="J403" s="997"/>
      <c r="K403" s="1087"/>
      <c r="L403" s="1307"/>
      <c r="M403" s="1317">
        <f>ROUND(E403/100*IF(ISBLANK(L403),K403,L403),-1)</f>
        <v>0</v>
      </c>
      <c r="N403" s="506"/>
      <c r="O403" s="391"/>
      <c r="P403" s="392"/>
      <c r="Q403" s="135"/>
      <c r="R403" s="136"/>
      <c r="S403" s="129"/>
      <c r="T403" s="129"/>
      <c r="U403" s="129"/>
      <c r="V403" s="129"/>
      <c r="W403" s="129"/>
      <c r="X403" s="129"/>
      <c r="Y403" s="129"/>
      <c r="Z403" s="133"/>
      <c r="AA403" s="133"/>
      <c r="AB403" s="133"/>
      <c r="AC403" s="133"/>
      <c r="AD403" s="133"/>
      <c r="AE403" s="133"/>
      <c r="AF403" s="222"/>
      <c r="AG403" s="222"/>
      <c r="AH403" s="222"/>
      <c r="AI403" s="176"/>
      <c r="AJ403" s="176"/>
      <c r="AK403" s="176"/>
      <c r="AL403" s="176"/>
      <c r="AM403" s="176"/>
      <c r="AN403" s="176"/>
      <c r="AO403" s="176"/>
      <c r="AP403" s="176"/>
      <c r="AQ403" s="176"/>
      <c r="AR403" s="176"/>
      <c r="AS403" s="176"/>
      <c r="AT403" s="176"/>
      <c r="AU403" s="176"/>
      <c r="AV403" s="176"/>
      <c r="AW403" s="176"/>
      <c r="AX403" s="176"/>
      <c r="AY403" s="176"/>
      <c r="AZ403" s="176"/>
      <c r="BA403" s="176"/>
      <c r="BB403" s="176"/>
      <c r="BC403" s="176"/>
      <c r="BD403" s="176"/>
      <c r="BE403" s="176"/>
      <c r="BF403" s="176"/>
      <c r="BG403" s="176"/>
      <c r="BH403" s="176"/>
      <c r="BI403" s="176"/>
      <c r="BJ403" s="176"/>
      <c r="BK403" s="176"/>
      <c r="BL403" s="176"/>
      <c r="BM403" s="176"/>
      <c r="BN403" s="176"/>
      <c r="BO403" s="176"/>
    </row>
    <row r="404" spans="1:68" s="36" customFormat="1" ht="15" customHeight="1" x14ac:dyDescent="0.2">
      <c r="A404" s="1186" t="s">
        <v>13</v>
      </c>
      <c r="B404" s="1187"/>
      <c r="C404" s="1187"/>
      <c r="D404" s="1188"/>
      <c r="E404" s="2651">
        <f>ROUND(SUM(E40:E355)/2,-2)</f>
        <v>0</v>
      </c>
      <c r="F404" s="2652"/>
      <c r="G404" s="2643">
        <f>IF($E$404&gt;0,SUMPRODUCT($E$40:$E$354,$O$40:$O$354)/$E$404,0)</f>
        <v>0</v>
      </c>
      <c r="H404" s="2644"/>
      <c r="I404" s="1189">
        <f>IF(E404=0,0,J404/E404)</f>
        <v>0</v>
      </c>
      <c r="J404" s="1190">
        <f>ROUND(SUM(J40:J355)/2,-1)</f>
        <v>0</v>
      </c>
      <c r="K404" s="2707"/>
      <c r="L404" s="2708"/>
      <c r="M404" s="1328">
        <f>ROUND(SUM(M40:M403)/2,-1)</f>
        <v>0</v>
      </c>
      <c r="N404" s="506"/>
      <c r="O404" s="150"/>
      <c r="P404" s="137"/>
      <c r="Q404" s="129"/>
      <c r="R404" s="136"/>
      <c r="S404" s="138"/>
      <c r="T404" s="124"/>
      <c r="U404" s="124"/>
      <c r="V404" s="124"/>
      <c r="W404" s="124"/>
      <c r="X404" s="124"/>
      <c r="Y404" s="124"/>
      <c r="Z404" s="123"/>
      <c r="AA404" s="123"/>
      <c r="AB404" s="123"/>
      <c r="AC404" s="123"/>
      <c r="AD404" s="123"/>
      <c r="AE404" s="123"/>
      <c r="AF404" s="174"/>
      <c r="AG404" s="174"/>
      <c r="AH404" s="174"/>
      <c r="AI404" s="175"/>
      <c r="AJ404" s="175"/>
      <c r="AK404" s="176"/>
      <c r="AL404" s="176"/>
      <c r="AM404" s="176"/>
      <c r="AN404" s="176"/>
      <c r="AO404" s="176"/>
      <c r="AP404" s="176"/>
      <c r="AQ404" s="176"/>
      <c r="AR404" s="176"/>
      <c r="AS404" s="176"/>
      <c r="AT404" s="176"/>
      <c r="AU404" s="176"/>
      <c r="AV404" s="176"/>
      <c r="AW404" s="176"/>
      <c r="AX404" s="176"/>
      <c r="AY404" s="176"/>
      <c r="AZ404" s="176"/>
      <c r="BA404" s="176"/>
      <c r="BB404" s="176"/>
      <c r="BC404" s="176"/>
      <c r="BD404" s="176"/>
      <c r="BE404" s="176"/>
      <c r="BF404" s="176"/>
      <c r="BG404" s="176"/>
      <c r="BH404" s="176"/>
      <c r="BI404" s="176"/>
      <c r="BJ404" s="176"/>
      <c r="BK404" s="176"/>
      <c r="BL404" s="176"/>
      <c r="BM404" s="176"/>
      <c r="BN404" s="176"/>
      <c r="BO404" s="176"/>
    </row>
    <row r="405" spans="1:68" s="123" customFormat="1" ht="12.75" x14ac:dyDescent="0.2">
      <c r="A405" s="34"/>
      <c r="B405" s="33"/>
      <c r="C405" s="33"/>
      <c r="D405" s="33"/>
      <c r="E405" s="33"/>
      <c r="F405" s="33"/>
      <c r="G405" s="32"/>
      <c r="H405" s="32"/>
      <c r="I405" s="32"/>
      <c r="J405" s="34"/>
      <c r="K405" s="34"/>
      <c r="L405" s="34"/>
      <c r="M405" s="34"/>
      <c r="N405" s="34"/>
      <c r="O405" s="506"/>
      <c r="P405" s="506"/>
      <c r="Q405" s="506"/>
      <c r="R405" s="506"/>
      <c r="S405" s="506"/>
      <c r="T405" s="506"/>
      <c r="U405" s="506"/>
      <c r="V405" s="506"/>
      <c r="W405" s="506"/>
      <c r="X405" s="506"/>
      <c r="Y405" s="506"/>
      <c r="Z405" s="506"/>
      <c r="AA405" s="506"/>
      <c r="AG405" s="174"/>
      <c r="AH405" s="174"/>
      <c r="AI405" s="174"/>
      <c r="AJ405" s="175"/>
      <c r="AK405" s="175"/>
      <c r="AL405" s="175"/>
      <c r="AM405" s="175"/>
      <c r="AN405" s="175"/>
      <c r="AO405" s="175"/>
      <c r="AP405" s="175"/>
      <c r="AQ405" s="175"/>
      <c r="AR405" s="175"/>
      <c r="AS405" s="175"/>
      <c r="AT405" s="175"/>
      <c r="AU405" s="175"/>
      <c r="AV405" s="175"/>
      <c r="AW405" s="175"/>
      <c r="AX405" s="175"/>
      <c r="AY405" s="175"/>
      <c r="AZ405" s="175"/>
      <c r="BA405" s="175"/>
      <c r="BB405" s="175"/>
      <c r="BC405" s="175"/>
      <c r="BD405" s="175"/>
      <c r="BE405" s="175"/>
      <c r="BF405" s="175"/>
      <c r="BG405" s="175"/>
      <c r="BH405" s="175"/>
      <c r="BI405" s="175"/>
      <c r="BJ405" s="175"/>
      <c r="BK405" s="175"/>
      <c r="BL405" s="175"/>
      <c r="BM405" s="175"/>
      <c r="BN405" s="175"/>
      <c r="BO405" s="175"/>
      <c r="BP405" s="175"/>
    </row>
    <row r="406" spans="1:68" s="123" customFormat="1" ht="12.75" x14ac:dyDescent="0.2">
      <c r="A406" s="34"/>
      <c r="B406" s="33"/>
      <c r="C406" s="33"/>
      <c r="D406" s="33"/>
      <c r="E406" s="33"/>
      <c r="F406" s="33"/>
      <c r="G406" s="32"/>
      <c r="H406" s="32"/>
      <c r="I406" s="32"/>
      <c r="J406" s="34"/>
      <c r="K406" s="34"/>
      <c r="L406" s="34"/>
      <c r="M406" s="34"/>
      <c r="N406" s="34"/>
      <c r="O406" s="506"/>
      <c r="P406" s="506"/>
      <c r="Q406" s="506"/>
      <c r="R406" s="506"/>
      <c r="S406" s="506"/>
      <c r="T406" s="506"/>
      <c r="U406" s="506"/>
      <c r="V406" s="506"/>
      <c r="W406" s="506"/>
      <c r="X406" s="506"/>
      <c r="Y406" s="506"/>
      <c r="Z406" s="506"/>
      <c r="AA406" s="506"/>
      <c r="AG406" s="174"/>
      <c r="AH406" s="174"/>
      <c r="AI406" s="174"/>
      <c r="AJ406" s="175"/>
      <c r="AK406" s="175"/>
      <c r="AL406" s="175"/>
      <c r="AM406" s="175"/>
      <c r="AN406" s="175"/>
      <c r="AO406" s="175"/>
      <c r="AP406" s="175"/>
      <c r="AQ406" s="175"/>
      <c r="AR406" s="175"/>
      <c r="AS406" s="175"/>
      <c r="AT406" s="175"/>
      <c r="AU406" s="175"/>
      <c r="AV406" s="175"/>
      <c r="AW406" s="175"/>
      <c r="AX406" s="175"/>
      <c r="AY406" s="175"/>
      <c r="AZ406" s="175"/>
      <c r="BA406" s="175"/>
      <c r="BB406" s="175"/>
      <c r="BC406" s="175"/>
      <c r="BD406" s="175"/>
      <c r="BE406" s="175"/>
      <c r="BF406" s="175"/>
      <c r="BG406" s="175"/>
      <c r="BH406" s="175"/>
      <c r="BI406" s="175"/>
      <c r="BJ406" s="175"/>
      <c r="BK406" s="175"/>
      <c r="BL406" s="175"/>
      <c r="BM406" s="175"/>
      <c r="BN406" s="175"/>
      <c r="BO406" s="175"/>
      <c r="BP406" s="175"/>
    </row>
    <row r="407" spans="1:68" s="123" customFormat="1" ht="12.75" x14ac:dyDescent="0.2">
      <c r="A407" s="34"/>
      <c r="B407" s="33"/>
      <c r="C407" s="33"/>
      <c r="D407" s="33"/>
      <c r="E407" s="33"/>
      <c r="F407" s="33"/>
      <c r="G407" s="32"/>
      <c r="H407" s="32"/>
      <c r="I407" s="32"/>
      <c r="J407" s="34"/>
      <c r="K407" s="34"/>
      <c r="L407" s="34"/>
      <c r="M407" s="34"/>
      <c r="N407" s="34"/>
      <c r="O407" s="506"/>
      <c r="P407" s="506"/>
      <c r="Q407" s="506"/>
      <c r="R407" s="506"/>
      <c r="S407" s="506"/>
      <c r="T407" s="506"/>
      <c r="U407" s="506"/>
      <c r="V407" s="506"/>
      <c r="W407" s="506"/>
      <c r="X407" s="506"/>
      <c r="Y407" s="506"/>
      <c r="Z407" s="506"/>
      <c r="AA407" s="506"/>
      <c r="AG407" s="174"/>
      <c r="AH407" s="174"/>
      <c r="AI407" s="174"/>
      <c r="AJ407" s="175"/>
      <c r="AK407" s="175"/>
      <c r="AL407" s="175"/>
      <c r="AM407" s="175"/>
      <c r="AN407" s="175"/>
      <c r="AO407" s="175"/>
      <c r="AP407" s="175"/>
      <c r="AQ407" s="175"/>
      <c r="AR407" s="175"/>
      <c r="AS407" s="175"/>
      <c r="AT407" s="175"/>
      <c r="AU407" s="175"/>
      <c r="AV407" s="175"/>
      <c r="AW407" s="175"/>
      <c r="AX407" s="175"/>
      <c r="AY407" s="175"/>
      <c r="AZ407" s="175"/>
      <c r="BA407" s="175"/>
      <c r="BB407" s="175"/>
      <c r="BC407" s="175"/>
      <c r="BD407" s="175"/>
      <c r="BE407" s="175"/>
      <c r="BF407" s="175"/>
      <c r="BG407" s="175"/>
      <c r="BH407" s="175"/>
      <c r="BI407" s="175"/>
      <c r="BJ407" s="175"/>
      <c r="BK407" s="175"/>
      <c r="BL407" s="175"/>
      <c r="BM407" s="175"/>
      <c r="BN407" s="175"/>
      <c r="BO407" s="175"/>
      <c r="BP407" s="175"/>
    </row>
    <row r="408" spans="1:68" s="123" customFormat="1" ht="12.75" x14ac:dyDescent="0.2">
      <c r="A408" s="34"/>
      <c r="B408" s="33"/>
      <c r="C408" s="33"/>
      <c r="D408" s="33"/>
      <c r="E408" s="33"/>
      <c r="F408" s="33"/>
      <c r="G408" s="32"/>
      <c r="H408" s="32"/>
      <c r="I408" s="32"/>
      <c r="J408" s="34"/>
      <c r="K408" s="34"/>
      <c r="L408" s="34"/>
      <c r="M408" s="34"/>
      <c r="N408" s="34"/>
      <c r="O408" s="506"/>
      <c r="P408" s="506"/>
      <c r="Q408" s="506"/>
      <c r="R408" s="506"/>
      <c r="S408" s="506"/>
      <c r="T408" s="506"/>
      <c r="U408" s="506"/>
      <c r="V408" s="506"/>
      <c r="W408" s="506"/>
      <c r="X408" s="506"/>
      <c r="Y408" s="506"/>
      <c r="Z408" s="506"/>
      <c r="AA408" s="506"/>
      <c r="AG408" s="174"/>
      <c r="AH408" s="174"/>
      <c r="AI408" s="174"/>
      <c r="AJ408" s="175"/>
      <c r="AK408" s="175"/>
      <c r="AL408" s="175"/>
      <c r="AM408" s="175"/>
      <c r="AN408" s="175"/>
      <c r="AO408" s="175"/>
      <c r="AP408" s="175"/>
      <c r="AQ408" s="175"/>
      <c r="AR408" s="175"/>
      <c r="AS408" s="175"/>
      <c r="AT408" s="175"/>
      <c r="AU408" s="175"/>
      <c r="AV408" s="175"/>
      <c r="AW408" s="175"/>
      <c r="AX408" s="175"/>
      <c r="AY408" s="175"/>
      <c r="AZ408" s="175"/>
      <c r="BA408" s="175"/>
      <c r="BB408" s="175"/>
      <c r="BC408" s="175"/>
      <c r="BD408" s="175"/>
      <c r="BE408" s="175"/>
      <c r="BF408" s="175"/>
      <c r="BG408" s="175"/>
      <c r="BH408" s="175"/>
      <c r="BI408" s="175"/>
      <c r="BJ408" s="175"/>
      <c r="BK408" s="175"/>
      <c r="BL408" s="175"/>
      <c r="BM408" s="175"/>
      <c r="BN408" s="175"/>
      <c r="BO408" s="175"/>
      <c r="BP408" s="175"/>
    </row>
    <row r="409" spans="1:68" s="123" customFormat="1" ht="12.75" x14ac:dyDescent="0.2">
      <c r="A409" s="34"/>
      <c r="B409" s="33"/>
      <c r="C409" s="33"/>
      <c r="D409" s="33"/>
      <c r="E409" s="33"/>
      <c r="F409" s="33"/>
      <c r="G409" s="32"/>
      <c r="H409" s="32"/>
      <c r="I409" s="32"/>
      <c r="J409" s="34"/>
      <c r="K409" s="34"/>
      <c r="L409" s="34"/>
      <c r="M409" s="34"/>
      <c r="N409" s="34"/>
      <c r="O409" s="506"/>
      <c r="P409" s="506"/>
      <c r="Q409" s="506"/>
      <c r="R409" s="506"/>
      <c r="S409" s="506"/>
      <c r="T409" s="506"/>
      <c r="U409" s="506"/>
      <c r="V409" s="506"/>
      <c r="AG409" s="174"/>
      <c r="AH409" s="174"/>
      <c r="AI409" s="174"/>
      <c r="AJ409" s="175"/>
      <c r="AK409" s="175"/>
      <c r="AL409" s="175"/>
      <c r="AM409" s="175"/>
      <c r="AN409" s="175"/>
      <c r="AO409" s="175"/>
      <c r="AP409" s="175"/>
      <c r="AQ409" s="175"/>
      <c r="AR409" s="175"/>
      <c r="AS409" s="175"/>
      <c r="AT409" s="175"/>
      <c r="AU409" s="175"/>
      <c r="AV409" s="175"/>
      <c r="AW409" s="175"/>
      <c r="AX409" s="175"/>
      <c r="AY409" s="175"/>
      <c r="AZ409" s="175"/>
      <c r="BA409" s="175"/>
      <c r="BB409" s="175"/>
      <c r="BC409" s="175"/>
      <c r="BD409" s="175"/>
      <c r="BE409" s="175"/>
      <c r="BF409" s="175"/>
      <c r="BG409" s="175"/>
      <c r="BH409" s="175"/>
      <c r="BI409" s="175"/>
      <c r="BJ409" s="175"/>
      <c r="BK409" s="175"/>
      <c r="BL409" s="175"/>
      <c r="BM409" s="175"/>
      <c r="BN409" s="175"/>
      <c r="BO409" s="175"/>
      <c r="BP409" s="175"/>
    </row>
    <row r="410" spans="1:68" s="123" customFormat="1" ht="12.75" x14ac:dyDescent="0.2">
      <c r="A410" s="34"/>
      <c r="B410" s="33"/>
      <c r="C410" s="33"/>
      <c r="D410" s="33"/>
      <c r="E410" s="33"/>
      <c r="F410" s="33"/>
      <c r="G410" s="32"/>
      <c r="H410" s="32"/>
      <c r="I410" s="32"/>
      <c r="J410" s="34"/>
      <c r="K410" s="34"/>
      <c r="L410" s="34"/>
      <c r="M410" s="34"/>
      <c r="N410" s="34"/>
      <c r="O410" s="506"/>
      <c r="P410" s="506"/>
      <c r="Q410" s="506"/>
      <c r="R410" s="506"/>
      <c r="S410" s="506"/>
      <c r="T410" s="506"/>
      <c r="U410" s="506"/>
      <c r="V410" s="506"/>
      <c r="AG410" s="174"/>
      <c r="AH410" s="174"/>
      <c r="AI410" s="174"/>
      <c r="AJ410" s="175"/>
      <c r="AK410" s="175"/>
      <c r="AL410" s="175"/>
      <c r="AM410" s="175"/>
      <c r="AN410" s="175"/>
      <c r="AO410" s="175"/>
      <c r="AP410" s="175"/>
      <c r="AQ410" s="175"/>
      <c r="AR410" s="175"/>
      <c r="AS410" s="175"/>
      <c r="AT410" s="175"/>
      <c r="AU410" s="175"/>
      <c r="AV410" s="175"/>
      <c r="AW410" s="175"/>
      <c r="AX410" s="175"/>
      <c r="AY410" s="175"/>
      <c r="AZ410" s="175"/>
      <c r="BA410" s="175"/>
      <c r="BB410" s="175"/>
      <c r="BC410" s="175"/>
      <c r="BD410" s="175"/>
      <c r="BE410" s="175"/>
      <c r="BF410" s="175"/>
      <c r="BG410" s="175"/>
      <c r="BH410" s="175"/>
      <c r="BI410" s="175"/>
      <c r="BJ410" s="175"/>
      <c r="BK410" s="175"/>
      <c r="BL410" s="175"/>
      <c r="BM410" s="175"/>
      <c r="BN410" s="175"/>
      <c r="BO410" s="175"/>
      <c r="BP410" s="175"/>
    </row>
    <row r="411" spans="1:68" s="123" customFormat="1" ht="12.75" x14ac:dyDescent="0.2">
      <c r="A411" s="34"/>
      <c r="B411" s="33"/>
      <c r="C411" s="33"/>
      <c r="D411" s="33"/>
      <c r="E411" s="33"/>
      <c r="F411" s="33"/>
      <c r="G411" s="32"/>
      <c r="H411" s="32"/>
      <c r="I411" s="32"/>
      <c r="J411" s="34"/>
      <c r="K411" s="34"/>
      <c r="L411" s="34"/>
      <c r="M411" s="34"/>
      <c r="N411" s="34"/>
      <c r="O411" s="506"/>
      <c r="P411" s="506"/>
      <c r="Q411" s="506"/>
      <c r="R411" s="506"/>
      <c r="S411" s="506"/>
      <c r="T411" s="506"/>
      <c r="U411" s="506"/>
      <c r="V411" s="506"/>
      <c r="AG411" s="174"/>
      <c r="AH411" s="174"/>
      <c r="AI411" s="174"/>
      <c r="AJ411" s="175"/>
      <c r="AK411" s="175"/>
      <c r="AL411" s="175"/>
      <c r="AM411" s="175"/>
      <c r="AN411" s="175"/>
      <c r="AO411" s="175"/>
      <c r="AP411" s="175"/>
      <c r="AQ411" s="175"/>
      <c r="AR411" s="175"/>
      <c r="AS411" s="175"/>
      <c r="AT411" s="175"/>
      <c r="AU411" s="175"/>
      <c r="AV411" s="175"/>
      <c r="AW411" s="175"/>
      <c r="AX411" s="175"/>
      <c r="AY411" s="175"/>
      <c r="AZ411" s="175"/>
      <c r="BA411" s="175"/>
      <c r="BB411" s="175"/>
      <c r="BC411" s="175"/>
      <c r="BD411" s="175"/>
      <c r="BE411" s="175"/>
      <c r="BF411" s="175"/>
      <c r="BG411" s="175"/>
      <c r="BH411" s="175"/>
      <c r="BI411" s="175"/>
      <c r="BJ411" s="175"/>
      <c r="BK411" s="175"/>
      <c r="BL411" s="175"/>
      <c r="BM411" s="175"/>
      <c r="BN411" s="175"/>
      <c r="BO411" s="175"/>
      <c r="BP411" s="175"/>
    </row>
    <row r="412" spans="1:68" s="123" customFormat="1" ht="12.95" customHeight="1" x14ac:dyDescent="0.2">
      <c r="A412" s="34"/>
      <c r="B412" s="33"/>
      <c r="C412" s="33"/>
      <c r="D412" s="33"/>
      <c r="E412" s="33"/>
      <c r="F412" s="33"/>
      <c r="G412" s="32"/>
      <c r="H412" s="32"/>
      <c r="I412" s="32"/>
      <c r="J412" s="34"/>
      <c r="K412" s="34"/>
      <c r="L412" s="34"/>
      <c r="M412" s="34"/>
      <c r="N412" s="34"/>
      <c r="O412" s="506"/>
      <c r="P412" s="506"/>
      <c r="Q412" s="506"/>
      <c r="R412" s="506"/>
      <c r="S412" s="506"/>
      <c r="T412" s="506"/>
      <c r="U412" s="506"/>
      <c r="V412" s="506"/>
      <c r="AG412" s="174"/>
      <c r="AH412" s="174"/>
      <c r="AI412" s="174"/>
      <c r="AJ412" s="175"/>
      <c r="AK412" s="175"/>
      <c r="AL412" s="175"/>
      <c r="AM412" s="175"/>
      <c r="AN412" s="175"/>
      <c r="AO412" s="175"/>
      <c r="AP412" s="175"/>
      <c r="AQ412" s="175"/>
      <c r="AR412" s="175"/>
      <c r="AS412" s="175"/>
      <c r="AT412" s="175"/>
      <c r="AU412" s="175"/>
      <c r="AV412" s="175"/>
      <c r="AW412" s="175"/>
      <c r="AX412" s="175"/>
      <c r="AY412" s="175"/>
      <c r="AZ412" s="175"/>
      <c r="BA412" s="175"/>
      <c r="BB412" s="175"/>
      <c r="BC412" s="175"/>
      <c r="BD412" s="175"/>
      <c r="BE412" s="175"/>
      <c r="BF412" s="175"/>
      <c r="BG412" s="175"/>
      <c r="BH412" s="175"/>
      <c r="BI412" s="175"/>
      <c r="BJ412" s="175"/>
      <c r="BK412" s="175"/>
      <c r="BL412" s="175"/>
      <c r="BM412" s="175"/>
      <c r="BN412" s="175"/>
      <c r="BO412" s="175"/>
      <c r="BP412" s="175"/>
    </row>
  </sheetData>
  <sheetProtection algorithmName="SHA-512" hashValue="29VO4ui+cdemDr5lPmKa1z6c8vUYx7NZKhO7cSkNLn/JNPInpL1a2oeuRSbd/Jxc6Dn9f6qC6kP7lkxXCmr5qQ==" saltValue="i12zbqAqthh233p8hji6xw==" spinCount="100000" sheet="1" objects="1" scenarios="1" selectLockedCells="1"/>
  <mergeCells count="1071">
    <mergeCell ref="B392:D392"/>
    <mergeCell ref="E392:F392"/>
    <mergeCell ref="B393:D393"/>
    <mergeCell ref="E393:F393"/>
    <mergeCell ref="B394:D394"/>
    <mergeCell ref="E394:F394"/>
    <mergeCell ref="L5:M5"/>
    <mergeCell ref="K404:L404"/>
    <mergeCell ref="B402:D402"/>
    <mergeCell ref="E402:F402"/>
    <mergeCell ref="E403:F403"/>
    <mergeCell ref="E404:F404"/>
    <mergeCell ref="G404:H404"/>
    <mergeCell ref="G398:H398"/>
    <mergeCell ref="K398:L398"/>
    <mergeCell ref="E399:F399"/>
    <mergeCell ref="B400:D400"/>
    <mergeCell ref="E400:F400"/>
    <mergeCell ref="E401:F401"/>
    <mergeCell ref="B395:D395"/>
    <mergeCell ref="E395:F395"/>
    <mergeCell ref="E396:F396"/>
    <mergeCell ref="E397:F397"/>
    <mergeCell ref="B398:D398"/>
    <mergeCell ref="E398:F398"/>
    <mergeCell ref="G11:H12"/>
    <mergeCell ref="I11:I13"/>
    <mergeCell ref="J11:J12"/>
    <mergeCell ref="B16:D16"/>
    <mergeCell ref="B17:D17"/>
    <mergeCell ref="B18:D18"/>
    <mergeCell ref="B19:D19"/>
    <mergeCell ref="K11:M12"/>
    <mergeCell ref="B21:D21"/>
    <mergeCell ref="B22:D22"/>
    <mergeCell ref="B23:D23"/>
    <mergeCell ref="B24:D24"/>
    <mergeCell ref="B25:D25"/>
    <mergeCell ref="B26:D26"/>
    <mergeCell ref="E389:F389"/>
    <mergeCell ref="B391:D391"/>
    <mergeCell ref="E391:F391"/>
    <mergeCell ref="B384:D384"/>
    <mergeCell ref="E384:F384"/>
    <mergeCell ref="B385:D385"/>
    <mergeCell ref="E385:F385"/>
    <mergeCell ref="B386:D386"/>
    <mergeCell ref="E386:F386"/>
    <mergeCell ref="B387:D387"/>
    <mergeCell ref="E352:F352"/>
    <mergeCell ref="B353:D353"/>
    <mergeCell ref="E353:F353"/>
    <mergeCell ref="B354:D354"/>
    <mergeCell ref="E354:F354"/>
    <mergeCell ref="K338:L338"/>
    <mergeCell ref="G339:H339"/>
    <mergeCell ref="K339:L339"/>
    <mergeCell ref="G362:H362"/>
    <mergeCell ref="G363:H363"/>
    <mergeCell ref="E331:F331"/>
    <mergeCell ref="B332:D332"/>
    <mergeCell ref="E332:F332"/>
    <mergeCell ref="B333:D333"/>
    <mergeCell ref="E333:F333"/>
    <mergeCell ref="B401:D401"/>
    <mergeCell ref="E11:F12"/>
    <mergeCell ref="B27:D27"/>
    <mergeCell ref="B28:D28"/>
    <mergeCell ref="B29:D29"/>
    <mergeCell ref="B30:D30"/>
    <mergeCell ref="B31:D31"/>
    <mergeCell ref="E380:F380"/>
    <mergeCell ref="E358:F358"/>
    <mergeCell ref="B362:C362"/>
    <mergeCell ref="B363:C363"/>
    <mergeCell ref="E368:F368"/>
    <mergeCell ref="E387:F387"/>
    <mergeCell ref="B95:D95"/>
    <mergeCell ref="E95:F95"/>
    <mergeCell ref="B96:D96"/>
    <mergeCell ref="E96:F96"/>
    <mergeCell ref="B340:D340"/>
    <mergeCell ref="E346:F346"/>
    <mergeCell ref="B347:D347"/>
    <mergeCell ref="E347:F347"/>
    <mergeCell ref="B348:D348"/>
    <mergeCell ref="E348:F348"/>
    <mergeCell ref="B343:D343"/>
    <mergeCell ref="E343:F343"/>
    <mergeCell ref="B344:D344"/>
    <mergeCell ref="E344:F344"/>
    <mergeCell ref="B345:D345"/>
    <mergeCell ref="E345:F345"/>
    <mergeCell ref="B346:D346"/>
    <mergeCell ref="B388:D388"/>
    <mergeCell ref="E388:F388"/>
    <mergeCell ref="B349:D349"/>
    <mergeCell ref="E349:F349"/>
    <mergeCell ref="B350:D350"/>
    <mergeCell ref="E350:F350"/>
    <mergeCell ref="B351:D351"/>
    <mergeCell ref="E351:F351"/>
    <mergeCell ref="B352:D352"/>
    <mergeCell ref="E370:F370"/>
    <mergeCell ref="B374:C374"/>
    <mergeCell ref="G374:H374"/>
    <mergeCell ref="B375:C375"/>
    <mergeCell ref="G375:H375"/>
    <mergeCell ref="G338:H338"/>
    <mergeCell ref="E328:F328"/>
    <mergeCell ref="B329:D329"/>
    <mergeCell ref="E329:F329"/>
    <mergeCell ref="E325:F325"/>
    <mergeCell ref="B326:D326"/>
    <mergeCell ref="E326:F326"/>
    <mergeCell ref="B327:D327"/>
    <mergeCell ref="E327:F327"/>
    <mergeCell ref="E311:F311"/>
    <mergeCell ref="B312:D312"/>
    <mergeCell ref="E312:F312"/>
    <mergeCell ref="G312:H312"/>
    <mergeCell ref="K312:L312"/>
    <mergeCell ref="G330:H330"/>
    <mergeCell ref="K330:L330"/>
    <mergeCell ref="G318:H318"/>
    <mergeCell ref="K318:L318"/>
    <mergeCell ref="G319:H319"/>
    <mergeCell ref="K319:L319"/>
    <mergeCell ref="G320:H320"/>
    <mergeCell ref="K320:L320"/>
    <mergeCell ref="G321:H321"/>
    <mergeCell ref="K321:L321"/>
    <mergeCell ref="G322:H322"/>
    <mergeCell ref="B308:D308"/>
    <mergeCell ref="E308:F308"/>
    <mergeCell ref="B309:D309"/>
    <mergeCell ref="E309:F309"/>
    <mergeCell ref="B310:D310"/>
    <mergeCell ref="E310:F310"/>
    <mergeCell ref="B311:D311"/>
    <mergeCell ref="E316:F316"/>
    <mergeCell ref="B317:D317"/>
    <mergeCell ref="E317:F317"/>
    <mergeCell ref="B318:D318"/>
    <mergeCell ref="E318:F318"/>
    <mergeCell ref="B313:D313"/>
    <mergeCell ref="E313:F313"/>
    <mergeCell ref="B314:D314"/>
    <mergeCell ref="E314:F314"/>
    <mergeCell ref="B315:D315"/>
    <mergeCell ref="E315:F315"/>
    <mergeCell ref="B316:D316"/>
    <mergeCell ref="G308:H308"/>
    <mergeCell ref="K308:L308"/>
    <mergeCell ref="G309:H309"/>
    <mergeCell ref="K309:L309"/>
    <mergeCell ref="G310:H310"/>
    <mergeCell ref="K310:L310"/>
    <mergeCell ref="G317:H317"/>
    <mergeCell ref="K317:L317"/>
    <mergeCell ref="G299:H299"/>
    <mergeCell ref="K299:L299"/>
    <mergeCell ref="G300:H300"/>
    <mergeCell ref="K300:L300"/>
    <mergeCell ref="G301:H301"/>
    <mergeCell ref="K301:L301"/>
    <mergeCell ref="E305:F305"/>
    <mergeCell ref="B306:D306"/>
    <mergeCell ref="E306:F306"/>
    <mergeCell ref="B307:D307"/>
    <mergeCell ref="E307:F307"/>
    <mergeCell ref="B302:D302"/>
    <mergeCell ref="E302:F302"/>
    <mergeCell ref="B303:D303"/>
    <mergeCell ref="E303:F303"/>
    <mergeCell ref="B304:D304"/>
    <mergeCell ref="E304:F304"/>
    <mergeCell ref="B305:D305"/>
    <mergeCell ref="G307:H307"/>
    <mergeCell ref="K307:L307"/>
    <mergeCell ref="G302:H302"/>
    <mergeCell ref="K302:L302"/>
    <mergeCell ref="G303:H303"/>
    <mergeCell ref="K303:L303"/>
    <mergeCell ref="G304:H304"/>
    <mergeCell ref="K304:L304"/>
    <mergeCell ref="G305:H305"/>
    <mergeCell ref="K305:L305"/>
    <mergeCell ref="G306:H306"/>
    <mergeCell ref="K306:L306"/>
    <mergeCell ref="E294:F294"/>
    <mergeCell ref="B295:D295"/>
    <mergeCell ref="E295:F295"/>
    <mergeCell ref="B296:D296"/>
    <mergeCell ref="E296:F296"/>
    <mergeCell ref="B291:D291"/>
    <mergeCell ref="E291:F291"/>
    <mergeCell ref="B292:D292"/>
    <mergeCell ref="E292:F292"/>
    <mergeCell ref="B293:D293"/>
    <mergeCell ref="E293:F293"/>
    <mergeCell ref="B294:D294"/>
    <mergeCell ref="E299:F299"/>
    <mergeCell ref="B300:D300"/>
    <mergeCell ref="E300:F300"/>
    <mergeCell ref="B301:D301"/>
    <mergeCell ref="E301:F301"/>
    <mergeCell ref="B297:D297"/>
    <mergeCell ref="E297:F297"/>
    <mergeCell ref="B298:D298"/>
    <mergeCell ref="E298:F298"/>
    <mergeCell ref="B299:D299"/>
    <mergeCell ref="G292:H292"/>
    <mergeCell ref="B283:D283"/>
    <mergeCell ref="E283:F283"/>
    <mergeCell ref="B284:D284"/>
    <mergeCell ref="E284:F284"/>
    <mergeCell ref="B280:D280"/>
    <mergeCell ref="E280:F280"/>
    <mergeCell ref="B281:D281"/>
    <mergeCell ref="E281:F281"/>
    <mergeCell ref="B282:D282"/>
    <mergeCell ref="E282:F282"/>
    <mergeCell ref="E288:F288"/>
    <mergeCell ref="B289:D289"/>
    <mergeCell ref="E289:F289"/>
    <mergeCell ref="B290:D290"/>
    <mergeCell ref="E290:F290"/>
    <mergeCell ref="B285:D285"/>
    <mergeCell ref="E285:F285"/>
    <mergeCell ref="B286:D286"/>
    <mergeCell ref="E286:F286"/>
    <mergeCell ref="B287:D287"/>
    <mergeCell ref="E287:F287"/>
    <mergeCell ref="B288:D288"/>
    <mergeCell ref="E271:F271"/>
    <mergeCell ref="B272:D272"/>
    <mergeCell ref="E272:F272"/>
    <mergeCell ref="B273:D273"/>
    <mergeCell ref="E273:F273"/>
    <mergeCell ref="B268:D268"/>
    <mergeCell ref="E268:F268"/>
    <mergeCell ref="B269:D269"/>
    <mergeCell ref="E269:F269"/>
    <mergeCell ref="B270:D270"/>
    <mergeCell ref="E270:F270"/>
    <mergeCell ref="B271:D271"/>
    <mergeCell ref="E277:F277"/>
    <mergeCell ref="B278:D278"/>
    <mergeCell ref="E278:F278"/>
    <mergeCell ref="B279:D279"/>
    <mergeCell ref="E279:F279"/>
    <mergeCell ref="B274:D274"/>
    <mergeCell ref="E274:F274"/>
    <mergeCell ref="B275:D275"/>
    <mergeCell ref="E275:F275"/>
    <mergeCell ref="B276:D276"/>
    <mergeCell ref="E276:F276"/>
    <mergeCell ref="B277:D277"/>
    <mergeCell ref="E266:F266"/>
    <mergeCell ref="B267:D267"/>
    <mergeCell ref="E267:F267"/>
    <mergeCell ref="G267:H267"/>
    <mergeCell ref="K267:L267"/>
    <mergeCell ref="B263:D263"/>
    <mergeCell ref="E263:F263"/>
    <mergeCell ref="B264:D264"/>
    <mergeCell ref="E264:F264"/>
    <mergeCell ref="B265:D265"/>
    <mergeCell ref="E265:F265"/>
    <mergeCell ref="B266:D266"/>
    <mergeCell ref="G263:H263"/>
    <mergeCell ref="K263:L263"/>
    <mergeCell ref="G264:H264"/>
    <mergeCell ref="K264:L264"/>
    <mergeCell ref="G265:H265"/>
    <mergeCell ref="K265:L265"/>
    <mergeCell ref="B254:D254"/>
    <mergeCell ref="E254:F254"/>
    <mergeCell ref="B255:D255"/>
    <mergeCell ref="E255:F255"/>
    <mergeCell ref="B256:D256"/>
    <mergeCell ref="E256:F256"/>
    <mergeCell ref="B252:D252"/>
    <mergeCell ref="E252:F252"/>
    <mergeCell ref="G252:H252"/>
    <mergeCell ref="E260:F260"/>
    <mergeCell ref="B261:D261"/>
    <mergeCell ref="E261:F261"/>
    <mergeCell ref="B262:D262"/>
    <mergeCell ref="E262:F262"/>
    <mergeCell ref="B257:D257"/>
    <mergeCell ref="E257:F257"/>
    <mergeCell ref="B258:D258"/>
    <mergeCell ref="E258:F258"/>
    <mergeCell ref="B259:D259"/>
    <mergeCell ref="E259:F259"/>
    <mergeCell ref="B260:D260"/>
    <mergeCell ref="G258:H258"/>
    <mergeCell ref="B246:D246"/>
    <mergeCell ref="E246:F246"/>
    <mergeCell ref="B247:D247"/>
    <mergeCell ref="E247:F247"/>
    <mergeCell ref="B248:D248"/>
    <mergeCell ref="E248:F248"/>
    <mergeCell ref="B243:D243"/>
    <mergeCell ref="E243:F243"/>
    <mergeCell ref="B244:D244"/>
    <mergeCell ref="E244:F244"/>
    <mergeCell ref="B245:D245"/>
    <mergeCell ref="E245:F245"/>
    <mergeCell ref="K252:L252"/>
    <mergeCell ref="B253:D253"/>
    <mergeCell ref="E253:F253"/>
    <mergeCell ref="B249:D249"/>
    <mergeCell ref="E249:F249"/>
    <mergeCell ref="B250:D250"/>
    <mergeCell ref="E250:F250"/>
    <mergeCell ref="B251:D251"/>
    <mergeCell ref="E251:F251"/>
    <mergeCell ref="B235:D235"/>
    <mergeCell ref="E235:F235"/>
    <mergeCell ref="B236:D236"/>
    <mergeCell ref="E236:F236"/>
    <mergeCell ref="B237:D237"/>
    <mergeCell ref="E237:F237"/>
    <mergeCell ref="B232:D232"/>
    <mergeCell ref="E232:F232"/>
    <mergeCell ref="B233:D233"/>
    <mergeCell ref="E233:F233"/>
    <mergeCell ref="B234:D234"/>
    <mergeCell ref="E234:F234"/>
    <mergeCell ref="B240:D240"/>
    <mergeCell ref="E240:F240"/>
    <mergeCell ref="B241:D241"/>
    <mergeCell ref="E241:F241"/>
    <mergeCell ref="B242:D242"/>
    <mergeCell ref="E242:F242"/>
    <mergeCell ref="B238:D238"/>
    <mergeCell ref="E238:F238"/>
    <mergeCell ref="B239:D239"/>
    <mergeCell ref="E239:F239"/>
    <mergeCell ref="B223:D223"/>
    <mergeCell ref="E223:F223"/>
    <mergeCell ref="B224:D224"/>
    <mergeCell ref="E224:F224"/>
    <mergeCell ref="B225:D225"/>
    <mergeCell ref="E225:F225"/>
    <mergeCell ref="B221:D221"/>
    <mergeCell ref="E221:F221"/>
    <mergeCell ref="B222:D222"/>
    <mergeCell ref="E222:F222"/>
    <mergeCell ref="B229:D229"/>
    <mergeCell ref="E229:F229"/>
    <mergeCell ref="B230:D230"/>
    <mergeCell ref="E230:F230"/>
    <mergeCell ref="B231:D231"/>
    <mergeCell ref="E231:F231"/>
    <mergeCell ref="B226:D226"/>
    <mergeCell ref="E226:F226"/>
    <mergeCell ref="B227:D227"/>
    <mergeCell ref="E227:F227"/>
    <mergeCell ref="B228:D228"/>
    <mergeCell ref="E228:F228"/>
    <mergeCell ref="B212:D212"/>
    <mergeCell ref="E212:F212"/>
    <mergeCell ref="B213:D213"/>
    <mergeCell ref="E213:F213"/>
    <mergeCell ref="B214:D214"/>
    <mergeCell ref="E214:F214"/>
    <mergeCell ref="B209:D209"/>
    <mergeCell ref="E209:F209"/>
    <mergeCell ref="B210:D210"/>
    <mergeCell ref="E210:F210"/>
    <mergeCell ref="B211:D211"/>
    <mergeCell ref="E211:F211"/>
    <mergeCell ref="G222:H222"/>
    <mergeCell ref="K222:L222"/>
    <mergeCell ref="B218:D218"/>
    <mergeCell ref="E218:F218"/>
    <mergeCell ref="B219:D219"/>
    <mergeCell ref="E219:F219"/>
    <mergeCell ref="B220:D220"/>
    <mergeCell ref="E220:F220"/>
    <mergeCell ref="B215:D215"/>
    <mergeCell ref="E215:F215"/>
    <mergeCell ref="B216:D216"/>
    <mergeCell ref="E216:F216"/>
    <mergeCell ref="B217:D217"/>
    <mergeCell ref="E217:F217"/>
    <mergeCell ref="G218:H218"/>
    <mergeCell ref="K218:L218"/>
    <mergeCell ref="G219:H219"/>
    <mergeCell ref="K219:L219"/>
    <mergeCell ref="G220:H220"/>
    <mergeCell ref="K220:L220"/>
    <mergeCell ref="B201:D201"/>
    <mergeCell ref="E201:F201"/>
    <mergeCell ref="B202:D202"/>
    <mergeCell ref="E202:F202"/>
    <mergeCell ref="B203:D203"/>
    <mergeCell ref="E203:F203"/>
    <mergeCell ref="B198:D198"/>
    <mergeCell ref="E198:F198"/>
    <mergeCell ref="B199:D199"/>
    <mergeCell ref="E199:F199"/>
    <mergeCell ref="B200:D200"/>
    <mergeCell ref="E200:F200"/>
    <mergeCell ref="B207:D207"/>
    <mergeCell ref="E207:F207"/>
    <mergeCell ref="G207:H207"/>
    <mergeCell ref="K207:L207"/>
    <mergeCell ref="B208:D208"/>
    <mergeCell ref="E208:F208"/>
    <mergeCell ref="B204:D204"/>
    <mergeCell ref="E204:F204"/>
    <mergeCell ref="B205:D205"/>
    <mergeCell ref="E205:F205"/>
    <mergeCell ref="B206:D206"/>
    <mergeCell ref="E206:F206"/>
    <mergeCell ref="G199:H199"/>
    <mergeCell ref="K199:L199"/>
    <mergeCell ref="G200:H200"/>
    <mergeCell ref="K200:L200"/>
    <mergeCell ref="B190:D190"/>
    <mergeCell ref="E190:F190"/>
    <mergeCell ref="B191:D191"/>
    <mergeCell ref="E191:F191"/>
    <mergeCell ref="B192:D192"/>
    <mergeCell ref="E192:F192"/>
    <mergeCell ref="B187:D187"/>
    <mergeCell ref="E187:F187"/>
    <mergeCell ref="B188:D188"/>
    <mergeCell ref="E188:F188"/>
    <mergeCell ref="B189:D189"/>
    <mergeCell ref="E189:F189"/>
    <mergeCell ref="B195:D195"/>
    <mergeCell ref="E195:F195"/>
    <mergeCell ref="B196:D196"/>
    <mergeCell ref="E196:F196"/>
    <mergeCell ref="B197:D197"/>
    <mergeCell ref="E197:F197"/>
    <mergeCell ref="B193:D193"/>
    <mergeCell ref="E193:F193"/>
    <mergeCell ref="B194:D194"/>
    <mergeCell ref="E194:F194"/>
    <mergeCell ref="B178:D178"/>
    <mergeCell ref="E178:F178"/>
    <mergeCell ref="B179:D179"/>
    <mergeCell ref="E179:F179"/>
    <mergeCell ref="B180:D180"/>
    <mergeCell ref="E180:F180"/>
    <mergeCell ref="B176:D176"/>
    <mergeCell ref="E176:F176"/>
    <mergeCell ref="B177:D177"/>
    <mergeCell ref="E177:F177"/>
    <mergeCell ref="B184:D184"/>
    <mergeCell ref="E184:F184"/>
    <mergeCell ref="B185:D185"/>
    <mergeCell ref="E185:F185"/>
    <mergeCell ref="B186:D186"/>
    <mergeCell ref="E186:F186"/>
    <mergeCell ref="B181:D181"/>
    <mergeCell ref="E181:F181"/>
    <mergeCell ref="B182:D182"/>
    <mergeCell ref="E182:F182"/>
    <mergeCell ref="B183:D183"/>
    <mergeCell ref="E183:F183"/>
    <mergeCell ref="B167:D167"/>
    <mergeCell ref="E167:F167"/>
    <mergeCell ref="B168:D168"/>
    <mergeCell ref="E168:F168"/>
    <mergeCell ref="B169:D169"/>
    <mergeCell ref="E169:F169"/>
    <mergeCell ref="B164:D164"/>
    <mergeCell ref="E164:F164"/>
    <mergeCell ref="B165:D165"/>
    <mergeCell ref="E165:F165"/>
    <mergeCell ref="B166:D166"/>
    <mergeCell ref="E166:F166"/>
    <mergeCell ref="G177:H177"/>
    <mergeCell ref="K177:L177"/>
    <mergeCell ref="B173:D173"/>
    <mergeCell ref="E173:F173"/>
    <mergeCell ref="B174:D174"/>
    <mergeCell ref="E174:F174"/>
    <mergeCell ref="B175:D175"/>
    <mergeCell ref="E175:F175"/>
    <mergeCell ref="B170:D170"/>
    <mergeCell ref="E170:F170"/>
    <mergeCell ref="B171:D171"/>
    <mergeCell ref="E171:F171"/>
    <mergeCell ref="B172:D172"/>
    <mergeCell ref="E172:F172"/>
    <mergeCell ref="G172:H172"/>
    <mergeCell ref="K172:L172"/>
    <mergeCell ref="G173:H173"/>
    <mergeCell ref="K173:L173"/>
    <mergeCell ref="G174:H174"/>
    <mergeCell ref="K174:L174"/>
    <mergeCell ref="B156:D156"/>
    <mergeCell ref="E156:F156"/>
    <mergeCell ref="B157:D157"/>
    <mergeCell ref="E157:F157"/>
    <mergeCell ref="B158:D158"/>
    <mergeCell ref="E158:F158"/>
    <mergeCell ref="B153:D153"/>
    <mergeCell ref="E153:F153"/>
    <mergeCell ref="B154:D154"/>
    <mergeCell ref="E154:F154"/>
    <mergeCell ref="B155:D155"/>
    <mergeCell ref="E155:F155"/>
    <mergeCell ref="B162:D162"/>
    <mergeCell ref="E162:F162"/>
    <mergeCell ref="G162:H162"/>
    <mergeCell ref="K162:L162"/>
    <mergeCell ref="B163:D163"/>
    <mergeCell ref="E163:F163"/>
    <mergeCell ref="B159:D159"/>
    <mergeCell ref="E159:F159"/>
    <mergeCell ref="B160:D160"/>
    <mergeCell ref="E160:F160"/>
    <mergeCell ref="B161:D161"/>
    <mergeCell ref="E161:F161"/>
    <mergeCell ref="G159:H159"/>
    <mergeCell ref="K159:L159"/>
    <mergeCell ref="G160:H160"/>
    <mergeCell ref="K160:L160"/>
    <mergeCell ref="G158:H158"/>
    <mergeCell ref="K158:L158"/>
    <mergeCell ref="G153:H153"/>
    <mergeCell ref="K153:L153"/>
    <mergeCell ref="B145:D145"/>
    <mergeCell ref="E145:F145"/>
    <mergeCell ref="B146:D146"/>
    <mergeCell ref="E146:F146"/>
    <mergeCell ref="B147:D147"/>
    <mergeCell ref="E147:F147"/>
    <mergeCell ref="B142:D142"/>
    <mergeCell ref="E142:F142"/>
    <mergeCell ref="B143:D143"/>
    <mergeCell ref="E143:F143"/>
    <mergeCell ref="B144:D144"/>
    <mergeCell ref="E144:F144"/>
    <mergeCell ref="B150:D150"/>
    <mergeCell ref="E150:F150"/>
    <mergeCell ref="B151:D151"/>
    <mergeCell ref="E151:F151"/>
    <mergeCell ref="B152:D152"/>
    <mergeCell ref="E152:F152"/>
    <mergeCell ref="B148:D148"/>
    <mergeCell ref="E148:F148"/>
    <mergeCell ref="B149:D149"/>
    <mergeCell ref="E149:F149"/>
    <mergeCell ref="B133:D133"/>
    <mergeCell ref="E133:F133"/>
    <mergeCell ref="B134:D134"/>
    <mergeCell ref="E134:F134"/>
    <mergeCell ref="B135:D135"/>
    <mergeCell ref="E135:F135"/>
    <mergeCell ref="B131:D131"/>
    <mergeCell ref="E131:F131"/>
    <mergeCell ref="B132:D132"/>
    <mergeCell ref="E132:F132"/>
    <mergeCell ref="B139:D139"/>
    <mergeCell ref="E139:F139"/>
    <mergeCell ref="B140:D140"/>
    <mergeCell ref="E140:F140"/>
    <mergeCell ref="B141:D141"/>
    <mergeCell ref="E141:F141"/>
    <mergeCell ref="B136:D136"/>
    <mergeCell ref="E136:F136"/>
    <mergeCell ref="B137:D137"/>
    <mergeCell ref="E137:F137"/>
    <mergeCell ref="B138:D138"/>
    <mergeCell ref="E138:F138"/>
    <mergeCell ref="B122:D122"/>
    <mergeCell ref="E122:F122"/>
    <mergeCell ref="B123:D123"/>
    <mergeCell ref="E123:F123"/>
    <mergeCell ref="B124:D124"/>
    <mergeCell ref="E124:F124"/>
    <mergeCell ref="B119:D119"/>
    <mergeCell ref="E119:F119"/>
    <mergeCell ref="B120:D120"/>
    <mergeCell ref="E120:F120"/>
    <mergeCell ref="B121:D121"/>
    <mergeCell ref="E121:F121"/>
    <mergeCell ref="G132:H132"/>
    <mergeCell ref="K132:L132"/>
    <mergeCell ref="B128:D128"/>
    <mergeCell ref="E128:F128"/>
    <mergeCell ref="B129:D129"/>
    <mergeCell ref="E129:F129"/>
    <mergeCell ref="B130:D130"/>
    <mergeCell ref="E130:F130"/>
    <mergeCell ref="B125:D125"/>
    <mergeCell ref="E125:F125"/>
    <mergeCell ref="B126:D126"/>
    <mergeCell ref="E126:F126"/>
    <mergeCell ref="B127:D127"/>
    <mergeCell ref="E127:F127"/>
    <mergeCell ref="G128:H128"/>
    <mergeCell ref="K128:L128"/>
    <mergeCell ref="G129:H129"/>
    <mergeCell ref="K129:L129"/>
    <mergeCell ref="G130:H130"/>
    <mergeCell ref="K130:L130"/>
    <mergeCell ref="B111:D111"/>
    <mergeCell ref="E111:F111"/>
    <mergeCell ref="B112:D112"/>
    <mergeCell ref="E112:F112"/>
    <mergeCell ref="B113:D113"/>
    <mergeCell ref="E113:F113"/>
    <mergeCell ref="B108:D108"/>
    <mergeCell ref="E108:F108"/>
    <mergeCell ref="B109:D109"/>
    <mergeCell ref="E109:F109"/>
    <mergeCell ref="B110:D110"/>
    <mergeCell ref="E110:F110"/>
    <mergeCell ref="B117:D117"/>
    <mergeCell ref="E117:F117"/>
    <mergeCell ref="G117:H117"/>
    <mergeCell ref="K117:L117"/>
    <mergeCell ref="B118:D118"/>
    <mergeCell ref="E118:F118"/>
    <mergeCell ref="B114:D114"/>
    <mergeCell ref="E114:F114"/>
    <mergeCell ref="B115:D115"/>
    <mergeCell ref="E115:F115"/>
    <mergeCell ref="B116:D116"/>
    <mergeCell ref="E116:F116"/>
    <mergeCell ref="G115:H115"/>
    <mergeCell ref="K115:L115"/>
    <mergeCell ref="G110:H110"/>
    <mergeCell ref="K110:L110"/>
    <mergeCell ref="G111:H111"/>
    <mergeCell ref="K111:L111"/>
    <mergeCell ref="G112:H112"/>
    <mergeCell ref="K112:L112"/>
    <mergeCell ref="B100:D100"/>
    <mergeCell ref="E100:F100"/>
    <mergeCell ref="B101:D101"/>
    <mergeCell ref="E101:F101"/>
    <mergeCell ref="B102:D102"/>
    <mergeCell ref="E102:F102"/>
    <mergeCell ref="B97:D97"/>
    <mergeCell ref="E97:F97"/>
    <mergeCell ref="B98:D98"/>
    <mergeCell ref="E98:F98"/>
    <mergeCell ref="B99:D99"/>
    <mergeCell ref="E99:F99"/>
    <mergeCell ref="B105:D105"/>
    <mergeCell ref="E105:F105"/>
    <mergeCell ref="B106:D106"/>
    <mergeCell ref="E106:F106"/>
    <mergeCell ref="B107:D107"/>
    <mergeCell ref="E107:F107"/>
    <mergeCell ref="B103:D103"/>
    <mergeCell ref="E103:F103"/>
    <mergeCell ref="B104:D104"/>
    <mergeCell ref="E104:F104"/>
    <mergeCell ref="B86:D86"/>
    <mergeCell ref="E86:F86"/>
    <mergeCell ref="B87:D87"/>
    <mergeCell ref="E87:F87"/>
    <mergeCell ref="B88:D88"/>
    <mergeCell ref="E88:F88"/>
    <mergeCell ref="B84:D84"/>
    <mergeCell ref="E84:F84"/>
    <mergeCell ref="B85:D85"/>
    <mergeCell ref="E85:F85"/>
    <mergeCell ref="B92:D92"/>
    <mergeCell ref="E92:F92"/>
    <mergeCell ref="B93:D93"/>
    <mergeCell ref="E93:F93"/>
    <mergeCell ref="B94:D94"/>
    <mergeCell ref="E94:F94"/>
    <mergeCell ref="B89:D89"/>
    <mergeCell ref="E89:F89"/>
    <mergeCell ref="B90:D90"/>
    <mergeCell ref="E90:F90"/>
    <mergeCell ref="B91:D91"/>
    <mergeCell ref="E91:F91"/>
    <mergeCell ref="B75:D75"/>
    <mergeCell ref="E75:F75"/>
    <mergeCell ref="B76:D76"/>
    <mergeCell ref="E76:F76"/>
    <mergeCell ref="B77:D77"/>
    <mergeCell ref="E77:F77"/>
    <mergeCell ref="B72:D72"/>
    <mergeCell ref="E72:F72"/>
    <mergeCell ref="B73:D73"/>
    <mergeCell ref="E73:F73"/>
    <mergeCell ref="B74:D74"/>
    <mergeCell ref="E74:F74"/>
    <mergeCell ref="G85:H85"/>
    <mergeCell ref="K85:L85"/>
    <mergeCell ref="B81:D81"/>
    <mergeCell ref="E81:F81"/>
    <mergeCell ref="B82:D82"/>
    <mergeCell ref="E82:F82"/>
    <mergeCell ref="B83:D83"/>
    <mergeCell ref="E83:F83"/>
    <mergeCell ref="B78:D78"/>
    <mergeCell ref="E78:F78"/>
    <mergeCell ref="B79:D79"/>
    <mergeCell ref="E79:F79"/>
    <mergeCell ref="B80:D80"/>
    <mergeCell ref="E80:F80"/>
    <mergeCell ref="G80:H80"/>
    <mergeCell ref="K80:L80"/>
    <mergeCell ref="G81:H81"/>
    <mergeCell ref="K81:L81"/>
    <mergeCell ref="G82:H82"/>
    <mergeCell ref="K82:L82"/>
    <mergeCell ref="B64:D64"/>
    <mergeCell ref="E64:F64"/>
    <mergeCell ref="B65:D65"/>
    <mergeCell ref="E65:F65"/>
    <mergeCell ref="B66:D66"/>
    <mergeCell ref="E66:F66"/>
    <mergeCell ref="B61:D61"/>
    <mergeCell ref="E61:F61"/>
    <mergeCell ref="B62:D62"/>
    <mergeCell ref="E62:F62"/>
    <mergeCell ref="B63:D63"/>
    <mergeCell ref="E63:F63"/>
    <mergeCell ref="B70:D70"/>
    <mergeCell ref="E70:F70"/>
    <mergeCell ref="G70:H70"/>
    <mergeCell ref="K70:L70"/>
    <mergeCell ref="B71:D71"/>
    <mergeCell ref="E71:F71"/>
    <mergeCell ref="B67:D67"/>
    <mergeCell ref="E67:F67"/>
    <mergeCell ref="B68:D68"/>
    <mergeCell ref="E68:F68"/>
    <mergeCell ref="B69:D69"/>
    <mergeCell ref="E69:F69"/>
    <mergeCell ref="G68:H68"/>
    <mergeCell ref="K68:L68"/>
    <mergeCell ref="B55:D55"/>
    <mergeCell ref="E55:F55"/>
    <mergeCell ref="B50:D50"/>
    <mergeCell ref="E50:F50"/>
    <mergeCell ref="B51:D51"/>
    <mergeCell ref="E51:F51"/>
    <mergeCell ref="B52:D52"/>
    <mergeCell ref="E52:F52"/>
    <mergeCell ref="B58:D58"/>
    <mergeCell ref="E58:F58"/>
    <mergeCell ref="B59:D59"/>
    <mergeCell ref="E59:F59"/>
    <mergeCell ref="B60:D60"/>
    <mergeCell ref="E60:F60"/>
    <mergeCell ref="B56:D56"/>
    <mergeCell ref="E56:F56"/>
    <mergeCell ref="B57:D57"/>
    <mergeCell ref="E57:F57"/>
    <mergeCell ref="B47:D47"/>
    <mergeCell ref="E47:F47"/>
    <mergeCell ref="B48:D48"/>
    <mergeCell ref="E48:F48"/>
    <mergeCell ref="B49:D49"/>
    <mergeCell ref="E49:F49"/>
    <mergeCell ref="B44:D44"/>
    <mergeCell ref="E44:F44"/>
    <mergeCell ref="B45:D45"/>
    <mergeCell ref="E45:F45"/>
    <mergeCell ref="B46:D46"/>
    <mergeCell ref="E46:F46"/>
    <mergeCell ref="B53:D53"/>
    <mergeCell ref="E53:F53"/>
    <mergeCell ref="B54:D54"/>
    <mergeCell ref="E54:F54"/>
    <mergeCell ref="B34:D34"/>
    <mergeCell ref="B35:D35"/>
    <mergeCell ref="B36:D36"/>
    <mergeCell ref="B37:D37"/>
    <mergeCell ref="B42:D42"/>
    <mergeCell ref="E42:F42"/>
    <mergeCell ref="B43:D43"/>
    <mergeCell ref="E43:F43"/>
    <mergeCell ref="B40:D40"/>
    <mergeCell ref="E40:F40"/>
    <mergeCell ref="B41:D41"/>
    <mergeCell ref="E41:F41"/>
    <mergeCell ref="G40:H40"/>
    <mergeCell ref="K40:L40"/>
    <mergeCell ref="B39:D39"/>
    <mergeCell ref="E39:F39"/>
    <mergeCell ref="E26:F26"/>
    <mergeCell ref="K26:L26"/>
    <mergeCell ref="E27:F27"/>
    <mergeCell ref="K27:L27"/>
    <mergeCell ref="E28:F28"/>
    <mergeCell ref="K28:L28"/>
    <mergeCell ref="K22:L22"/>
    <mergeCell ref="E23:F23"/>
    <mergeCell ref="K23:L23"/>
    <mergeCell ref="E24:F24"/>
    <mergeCell ref="K24:L24"/>
    <mergeCell ref="E25:F25"/>
    <mergeCell ref="K25:L25"/>
    <mergeCell ref="E34:F34"/>
    <mergeCell ref="K34:L34"/>
    <mergeCell ref="E38:F38"/>
    <mergeCell ref="K38:L38"/>
    <mergeCell ref="E35:F35"/>
    <mergeCell ref="K35:L35"/>
    <mergeCell ref="E36:F36"/>
    <mergeCell ref="K36:L36"/>
    <mergeCell ref="E37:F37"/>
    <mergeCell ref="K37:L37"/>
    <mergeCell ref="E13:F13"/>
    <mergeCell ref="G13:H13"/>
    <mergeCell ref="K13:L13"/>
    <mergeCell ref="E16:F16"/>
    <mergeCell ref="K16:L16"/>
    <mergeCell ref="E17:F17"/>
    <mergeCell ref="K17:L17"/>
    <mergeCell ref="E18:F18"/>
    <mergeCell ref="K18:L18"/>
    <mergeCell ref="E19:F19"/>
    <mergeCell ref="K19:L19"/>
    <mergeCell ref="E20:F20"/>
    <mergeCell ref="E21:F21"/>
    <mergeCell ref="K21:L21"/>
    <mergeCell ref="E22:F22"/>
    <mergeCell ref="B32:D32"/>
    <mergeCell ref="B33:D33"/>
    <mergeCell ref="K32:L32"/>
    <mergeCell ref="E33:F33"/>
    <mergeCell ref="K33:L33"/>
    <mergeCell ref="E32:F32"/>
    <mergeCell ref="B20:D20"/>
    <mergeCell ref="A15:M15"/>
    <mergeCell ref="K20:L20"/>
    <mergeCell ref="E29:F29"/>
    <mergeCell ref="K29:L29"/>
    <mergeCell ref="E30:F30"/>
    <mergeCell ref="K30:L30"/>
    <mergeCell ref="E31:F31"/>
    <mergeCell ref="K31:L31"/>
    <mergeCell ref="G53:H53"/>
    <mergeCell ref="K53:L53"/>
    <mergeCell ref="G67:H67"/>
    <mergeCell ref="K67:L67"/>
    <mergeCell ref="G78:H78"/>
    <mergeCell ref="K78:L78"/>
    <mergeCell ref="G79:H79"/>
    <mergeCell ref="K79:L79"/>
    <mergeCell ref="G48:H48"/>
    <mergeCell ref="K48:L48"/>
    <mergeCell ref="G49:H49"/>
    <mergeCell ref="K49:L49"/>
    <mergeCell ref="G50:H50"/>
    <mergeCell ref="K50:L50"/>
    <mergeCell ref="G51:H51"/>
    <mergeCell ref="K51:L51"/>
    <mergeCell ref="G52:H52"/>
    <mergeCell ref="K52:L52"/>
    <mergeCell ref="G55:H55"/>
    <mergeCell ref="K55:L55"/>
    <mergeCell ref="G142:H142"/>
    <mergeCell ref="K142:L142"/>
    <mergeCell ref="G143:H143"/>
    <mergeCell ref="K143:L143"/>
    <mergeCell ref="G144:H144"/>
    <mergeCell ref="K144:L144"/>
    <mergeCell ref="G145:H145"/>
    <mergeCell ref="K145:L145"/>
    <mergeCell ref="G152:H152"/>
    <mergeCell ref="K152:L152"/>
    <mergeCell ref="G147:H147"/>
    <mergeCell ref="K147:L147"/>
    <mergeCell ref="G113:H113"/>
    <mergeCell ref="K113:L113"/>
    <mergeCell ref="G83:H83"/>
    <mergeCell ref="K83:L83"/>
    <mergeCell ref="G114:H114"/>
    <mergeCell ref="K114:L114"/>
    <mergeCell ref="G99:H99"/>
    <mergeCell ref="K99:L99"/>
    <mergeCell ref="G100:H100"/>
    <mergeCell ref="K100:L100"/>
    <mergeCell ref="G107:H107"/>
    <mergeCell ref="K107:L107"/>
    <mergeCell ref="G108:H108"/>
    <mergeCell ref="K108:L108"/>
    <mergeCell ref="G109:H109"/>
    <mergeCell ref="K109:L109"/>
    <mergeCell ref="G102:H102"/>
    <mergeCell ref="K102:L102"/>
    <mergeCell ref="G183:H183"/>
    <mergeCell ref="K183:L183"/>
    <mergeCell ref="G184:H184"/>
    <mergeCell ref="K184:L184"/>
    <mergeCell ref="G185:H185"/>
    <mergeCell ref="K185:L185"/>
    <mergeCell ref="G186:H186"/>
    <mergeCell ref="K186:L186"/>
    <mergeCell ref="G187:H187"/>
    <mergeCell ref="K187:L187"/>
    <mergeCell ref="G192:H192"/>
    <mergeCell ref="K192:L192"/>
    <mergeCell ref="G154:H154"/>
    <mergeCell ref="K154:L154"/>
    <mergeCell ref="G155:H155"/>
    <mergeCell ref="K155:L155"/>
    <mergeCell ref="G156:H156"/>
    <mergeCell ref="K156:L156"/>
    <mergeCell ref="G157:H157"/>
    <mergeCell ref="K157:L157"/>
    <mergeCell ref="G175:H175"/>
    <mergeCell ref="K175:L175"/>
    <mergeCell ref="G188:H188"/>
    <mergeCell ref="K188:L188"/>
    <mergeCell ref="G189:H189"/>
    <mergeCell ref="K189:L189"/>
    <mergeCell ref="G190:H190"/>
    <mergeCell ref="K190:L190"/>
    <mergeCell ref="G213:H213"/>
    <mergeCell ref="K213:L213"/>
    <mergeCell ref="G214:H214"/>
    <mergeCell ref="K214:L214"/>
    <mergeCell ref="G215:H215"/>
    <mergeCell ref="K215:L215"/>
    <mergeCell ref="G216:H216"/>
    <mergeCell ref="K216:L216"/>
    <mergeCell ref="G217:H217"/>
    <mergeCell ref="K217:L217"/>
    <mergeCell ref="G201:H201"/>
    <mergeCell ref="K201:L201"/>
    <mergeCell ref="G202:H202"/>
    <mergeCell ref="K202:L202"/>
    <mergeCell ref="G203:H203"/>
    <mergeCell ref="K203:L203"/>
    <mergeCell ref="G204:H204"/>
    <mergeCell ref="K204:L204"/>
    <mergeCell ref="G205:H205"/>
    <mergeCell ref="K205:L205"/>
    <mergeCell ref="G232:H232"/>
    <mergeCell ref="K232:L232"/>
    <mergeCell ref="G233:H233"/>
    <mergeCell ref="K233:L233"/>
    <mergeCell ref="G234:H234"/>
    <mergeCell ref="K234:L234"/>
    <mergeCell ref="G235:H235"/>
    <mergeCell ref="K235:L235"/>
    <mergeCell ref="G246:H246"/>
    <mergeCell ref="K246:L246"/>
    <mergeCell ref="G227:H227"/>
    <mergeCell ref="K227:L227"/>
    <mergeCell ref="G228:H228"/>
    <mergeCell ref="K228:L228"/>
    <mergeCell ref="G229:H229"/>
    <mergeCell ref="K229:L229"/>
    <mergeCell ref="G230:H230"/>
    <mergeCell ref="K230:L230"/>
    <mergeCell ref="G231:H231"/>
    <mergeCell ref="K231:L231"/>
    <mergeCell ref="G237:H237"/>
    <mergeCell ref="K237:L237"/>
    <mergeCell ref="K258:L258"/>
    <mergeCell ref="G259:H259"/>
    <mergeCell ref="K259:L259"/>
    <mergeCell ref="G260:H260"/>
    <mergeCell ref="K260:L260"/>
    <mergeCell ref="G261:H261"/>
    <mergeCell ref="K261:L261"/>
    <mergeCell ref="G262:H262"/>
    <mergeCell ref="K262:L262"/>
    <mergeCell ref="G247:H247"/>
    <mergeCell ref="K247:L247"/>
    <mergeCell ref="G248:H248"/>
    <mergeCell ref="K248:L248"/>
    <mergeCell ref="G249:H249"/>
    <mergeCell ref="K249:L249"/>
    <mergeCell ref="G250:H250"/>
    <mergeCell ref="K250:L250"/>
    <mergeCell ref="G257:H257"/>
    <mergeCell ref="K257:L257"/>
    <mergeCell ref="G294:H294"/>
    <mergeCell ref="K294:L294"/>
    <mergeCell ref="G295:H295"/>
    <mergeCell ref="K295:L295"/>
    <mergeCell ref="G298:H298"/>
    <mergeCell ref="K298:L298"/>
    <mergeCell ref="G277:H277"/>
    <mergeCell ref="K277:L277"/>
    <mergeCell ref="G278:H278"/>
    <mergeCell ref="K278:L278"/>
    <mergeCell ref="G279:H279"/>
    <mergeCell ref="K279:L279"/>
    <mergeCell ref="G280:H280"/>
    <mergeCell ref="K280:L280"/>
    <mergeCell ref="G291:H291"/>
    <mergeCell ref="K291:L291"/>
    <mergeCell ref="G282:H282"/>
    <mergeCell ref="K282:L282"/>
    <mergeCell ref="G297:H297"/>
    <mergeCell ref="K297:L297"/>
    <mergeCell ref="K292:L292"/>
    <mergeCell ref="G293:H293"/>
    <mergeCell ref="K293:L293"/>
    <mergeCell ref="K322:L322"/>
    <mergeCell ref="B355:D355"/>
    <mergeCell ref="E355:F355"/>
    <mergeCell ref="G353:H353"/>
    <mergeCell ref="G354:H354"/>
    <mergeCell ref="B381:D381"/>
    <mergeCell ref="E381:F381"/>
    <mergeCell ref="E322:F322"/>
    <mergeCell ref="B323:D323"/>
    <mergeCell ref="E323:F323"/>
    <mergeCell ref="B324:D324"/>
    <mergeCell ref="E324:F324"/>
    <mergeCell ref="B319:D319"/>
    <mergeCell ref="E319:F319"/>
    <mergeCell ref="B320:D320"/>
    <mergeCell ref="E320:F320"/>
    <mergeCell ref="B321:D321"/>
    <mergeCell ref="E321:F321"/>
    <mergeCell ref="B322:D322"/>
    <mergeCell ref="G327:H327"/>
    <mergeCell ref="K327:L327"/>
    <mergeCell ref="G323:H323"/>
    <mergeCell ref="K323:L323"/>
    <mergeCell ref="G324:H324"/>
    <mergeCell ref="K324:L324"/>
    <mergeCell ref="G325:H325"/>
    <mergeCell ref="K325:L325"/>
    <mergeCell ref="G329:H329"/>
    <mergeCell ref="K329:L329"/>
    <mergeCell ref="B330:D330"/>
    <mergeCell ref="E330:F330"/>
    <mergeCell ref="B325:D325"/>
    <mergeCell ref="B397:D397"/>
    <mergeCell ref="G331:H331"/>
    <mergeCell ref="K331:L331"/>
    <mergeCell ref="G332:H332"/>
    <mergeCell ref="K332:L332"/>
    <mergeCell ref="G333:H333"/>
    <mergeCell ref="K333:L333"/>
    <mergeCell ref="G335:H335"/>
    <mergeCell ref="K335:L335"/>
    <mergeCell ref="G336:H336"/>
    <mergeCell ref="K336:L336"/>
    <mergeCell ref="E340:F340"/>
    <mergeCell ref="B341:D341"/>
    <mergeCell ref="E341:F341"/>
    <mergeCell ref="G341:H341"/>
    <mergeCell ref="K341:L341"/>
    <mergeCell ref="B342:D342"/>
    <mergeCell ref="E342:F342"/>
    <mergeCell ref="B337:D337"/>
    <mergeCell ref="E337:F337"/>
    <mergeCell ref="B338:D338"/>
    <mergeCell ref="E338:F338"/>
    <mergeCell ref="B339:D339"/>
    <mergeCell ref="E339:F339"/>
    <mergeCell ref="G337:H337"/>
    <mergeCell ref="K337:L337"/>
    <mergeCell ref="E334:F334"/>
    <mergeCell ref="B335:D335"/>
    <mergeCell ref="E335:F335"/>
    <mergeCell ref="B336:D336"/>
    <mergeCell ref="E336:F336"/>
    <mergeCell ref="B331:D331"/>
  </mergeCells>
  <conditionalFormatting sqref="M41:M47">
    <cfRule type="expression" dxfId="283" priority="446">
      <formula>IF(ISBLANK(L41),FALSE,TRUE)</formula>
    </cfRule>
  </conditionalFormatting>
  <conditionalFormatting sqref="I41:I47">
    <cfRule type="expression" dxfId="282" priority="445">
      <formula>IF(ISBLANK(H41),FALSE,TRUE)</formula>
    </cfRule>
  </conditionalFormatting>
  <conditionalFormatting sqref="G134:G141">
    <cfRule type="expression" dxfId="281" priority="155">
      <formula>H134&lt;&gt;""</formula>
    </cfRule>
  </conditionalFormatting>
  <conditionalFormatting sqref="I148">
    <cfRule type="expression" dxfId="280" priority="152">
      <formula>IF(ISBLANK(H148),FALSE,TRUE)</formula>
    </cfRule>
  </conditionalFormatting>
  <conditionalFormatting sqref="I148">
    <cfRule type="expression" dxfId="279" priority="150">
      <formula>IF(ISBLANK(H148),FALSE,TRUE)</formula>
    </cfRule>
  </conditionalFormatting>
  <conditionalFormatting sqref="G148">
    <cfRule type="expression" dxfId="278" priority="149">
      <formula>H148&lt;&gt;""</formula>
    </cfRule>
  </conditionalFormatting>
  <conditionalFormatting sqref="M41:M47">
    <cfRule type="expression" dxfId="277" priority="349">
      <formula>IF(ISBLANK(L41),FALSE,TRUE)</formula>
    </cfRule>
  </conditionalFormatting>
  <conditionalFormatting sqref="I41:I47">
    <cfRule type="expression" dxfId="276" priority="348">
      <formula>IF(ISBLANK(H41),FALSE,TRUE)</formula>
    </cfRule>
  </conditionalFormatting>
  <conditionalFormatting sqref="M133">
    <cfRule type="expression" dxfId="275" priority="165">
      <formula>IF(ISBLANK(L133),FALSE,TRUE)</formula>
    </cfRule>
  </conditionalFormatting>
  <conditionalFormatting sqref="I133">
    <cfRule type="expression" dxfId="274" priority="164">
      <formula>IF(ISBLANK(H133),FALSE,TRUE)</formula>
    </cfRule>
  </conditionalFormatting>
  <conditionalFormatting sqref="M148">
    <cfRule type="expression" dxfId="273" priority="151">
      <formula>IF(ISBLANK(L148),FALSE,TRUE)</formula>
    </cfRule>
  </conditionalFormatting>
  <conditionalFormatting sqref="M119:M127">
    <cfRule type="expression" dxfId="272" priority="171">
      <formula>IF(ISBLANK(L119),FALSE,TRUE)</formula>
    </cfRule>
  </conditionalFormatting>
  <conditionalFormatting sqref="I119:I127">
    <cfRule type="expression" dxfId="271" priority="170">
      <formula>IF(ISBLANK(H119),FALSE,TRUE)</formula>
    </cfRule>
  </conditionalFormatting>
  <conditionalFormatting sqref="M103">
    <cfRule type="expression" dxfId="270" priority="187">
      <formula>IF(ISBLANK(L103),FALSE,TRUE)</formula>
    </cfRule>
  </conditionalFormatting>
  <conditionalFormatting sqref="I103">
    <cfRule type="expression" dxfId="269" priority="186">
      <formula>IF(ISBLANK(H103),FALSE,TRUE)</formula>
    </cfRule>
  </conditionalFormatting>
  <conditionalFormatting sqref="M87:M98">
    <cfRule type="expression" dxfId="268" priority="195">
      <formula>IF(ISBLANK(L87),FALSE,TRUE)</formula>
    </cfRule>
  </conditionalFormatting>
  <conditionalFormatting sqref="I87:I98">
    <cfRule type="expression" dxfId="267" priority="194">
      <formula>IF(ISBLANK(H87),FALSE,TRUE)</formula>
    </cfRule>
  </conditionalFormatting>
  <conditionalFormatting sqref="I72:I77">
    <cfRule type="expression" dxfId="266" priority="204">
      <formula>IF(ISBLANK(H72),FALSE,TRUE)</formula>
    </cfRule>
  </conditionalFormatting>
  <conditionalFormatting sqref="M71">
    <cfRule type="expression" dxfId="265" priority="213">
      <formula>IF(ISBLANK(L71),FALSE,TRUE)</formula>
    </cfRule>
  </conditionalFormatting>
  <conditionalFormatting sqref="I71">
    <cfRule type="expression" dxfId="264" priority="212">
      <formula>IF(ISBLANK(H71),FALSE,TRUE)</formula>
    </cfRule>
  </conditionalFormatting>
  <conditionalFormatting sqref="M149:M151">
    <cfRule type="expression" dxfId="263" priority="147">
      <formula>IF(ISBLANK(L149),FALSE,TRUE)</formula>
    </cfRule>
  </conditionalFormatting>
  <conditionalFormatting sqref="I149:I151">
    <cfRule type="expression" dxfId="262" priority="146">
      <formula>IF(ISBLANK(H149),FALSE,TRUE)</formula>
    </cfRule>
  </conditionalFormatting>
  <conditionalFormatting sqref="M134:M141">
    <cfRule type="expression" dxfId="261" priority="157">
      <formula>IF(ISBLANK(L134),FALSE,TRUE)</formula>
    </cfRule>
  </conditionalFormatting>
  <conditionalFormatting sqref="I134:I141">
    <cfRule type="expression" dxfId="260" priority="156">
      <formula>IF(ISBLANK(H134),FALSE,TRUE)</formula>
    </cfRule>
  </conditionalFormatting>
  <conditionalFormatting sqref="M118">
    <cfRule type="expression" dxfId="259" priority="177">
      <formula>IF(ISBLANK(L118),FALSE,TRUE)</formula>
    </cfRule>
  </conditionalFormatting>
  <conditionalFormatting sqref="I118">
    <cfRule type="expression" dxfId="258" priority="176">
      <formula>IF(ISBLANK(H118),FALSE,TRUE)</formula>
    </cfRule>
  </conditionalFormatting>
  <conditionalFormatting sqref="M72:M77">
    <cfRule type="expression" dxfId="257" priority="207">
      <formula>IF(ISBLANK(L72),FALSE,TRUE)</formula>
    </cfRule>
  </conditionalFormatting>
  <conditionalFormatting sqref="I72:I77">
    <cfRule type="expression" dxfId="256" priority="206">
      <formula>IF(ISBLANK(H72),FALSE,TRUE)</formula>
    </cfRule>
  </conditionalFormatting>
  <conditionalFormatting sqref="M57:M66">
    <cfRule type="expression" dxfId="255" priority="217">
      <formula>IF(ISBLANK(L57),FALSE,TRUE)</formula>
    </cfRule>
  </conditionalFormatting>
  <conditionalFormatting sqref="I57:I66">
    <cfRule type="expression" dxfId="254" priority="216">
      <formula>IF(ISBLANK(H57),FALSE,TRUE)</formula>
    </cfRule>
  </conditionalFormatting>
  <conditionalFormatting sqref="G41:G47">
    <cfRule type="expression" dxfId="253" priority="261">
      <formula>H41&lt;&gt;""</formula>
    </cfRule>
  </conditionalFormatting>
  <conditionalFormatting sqref="K41:K47">
    <cfRule type="expression" dxfId="252" priority="260">
      <formula>L41&lt;&gt;""</formula>
    </cfRule>
  </conditionalFormatting>
  <conditionalFormatting sqref="G239:G245">
    <cfRule type="expression" dxfId="251" priority="71">
      <formula>H239&lt;&gt;""</formula>
    </cfRule>
  </conditionalFormatting>
  <conditionalFormatting sqref="K239:K245">
    <cfRule type="expression" dxfId="250" priority="70">
      <formula>L239&lt;&gt;""</formula>
    </cfRule>
  </conditionalFormatting>
  <conditionalFormatting sqref="M238">
    <cfRule type="expression" dxfId="249" priority="81">
      <formula>IF(ISBLANK(L238),FALSE,TRUE)</formula>
    </cfRule>
  </conditionalFormatting>
  <conditionalFormatting sqref="I238">
    <cfRule type="expression" dxfId="248" priority="80">
      <formula>IF(ISBLANK(H238),FALSE,TRUE)</formula>
    </cfRule>
  </conditionalFormatting>
  <conditionalFormatting sqref="G86">
    <cfRule type="expression" dxfId="247" priority="197">
      <formula>H86&lt;&gt;""</formula>
    </cfRule>
  </conditionalFormatting>
  <conditionalFormatting sqref="G253">
    <cfRule type="expression" dxfId="246" priority="65">
      <formula>H253&lt;&gt;""</formula>
    </cfRule>
  </conditionalFormatting>
  <conditionalFormatting sqref="K253">
    <cfRule type="expression" dxfId="245" priority="64">
      <formula>L253&lt;&gt;""</formula>
    </cfRule>
  </conditionalFormatting>
  <conditionalFormatting sqref="G193">
    <cfRule type="expression" dxfId="244" priority="119">
      <formula>H193&lt;&gt;""</formula>
    </cfRule>
  </conditionalFormatting>
  <conditionalFormatting sqref="K193">
    <cfRule type="expression" dxfId="243" priority="118">
      <formula>L193&lt;&gt;""</formula>
    </cfRule>
  </conditionalFormatting>
  <conditionalFormatting sqref="K86">
    <cfRule type="expression" dxfId="242" priority="196">
      <formula>L86&lt;&gt;""</formula>
    </cfRule>
  </conditionalFormatting>
  <conditionalFormatting sqref="M56">
    <cfRule type="expression" dxfId="241" priority="225">
      <formula>IF(ISBLANK(L56),FALSE,TRUE)</formula>
    </cfRule>
  </conditionalFormatting>
  <conditionalFormatting sqref="I56">
    <cfRule type="expression" dxfId="240" priority="224">
      <formula>IF(ISBLANK(H56),FALSE,TRUE)</formula>
    </cfRule>
  </conditionalFormatting>
  <conditionalFormatting sqref="M56">
    <cfRule type="expression" dxfId="239" priority="223">
      <formula>IF(ISBLANK(L56),FALSE,TRUE)</formula>
    </cfRule>
  </conditionalFormatting>
  <conditionalFormatting sqref="I56">
    <cfRule type="expression" dxfId="238" priority="222">
      <formula>IF(ISBLANK(H56),FALSE,TRUE)</formula>
    </cfRule>
  </conditionalFormatting>
  <conditionalFormatting sqref="G56">
    <cfRule type="expression" dxfId="237" priority="221">
      <formula>H56&lt;&gt;""</formula>
    </cfRule>
  </conditionalFormatting>
  <conditionalFormatting sqref="K56">
    <cfRule type="expression" dxfId="236" priority="220">
      <formula>L56&lt;&gt;""</formula>
    </cfRule>
  </conditionalFormatting>
  <conditionalFormatting sqref="M57:M66">
    <cfRule type="expression" dxfId="235" priority="219">
      <formula>IF(ISBLANK(L57),FALSE,TRUE)</formula>
    </cfRule>
  </conditionalFormatting>
  <conditionalFormatting sqref="I57:I66">
    <cfRule type="expression" dxfId="234" priority="218">
      <formula>IF(ISBLANK(H57),FALSE,TRUE)</formula>
    </cfRule>
  </conditionalFormatting>
  <conditionalFormatting sqref="G57:G66">
    <cfRule type="expression" dxfId="233" priority="215">
      <formula>H57&lt;&gt;""</formula>
    </cfRule>
  </conditionalFormatting>
  <conditionalFormatting sqref="K57:K66">
    <cfRule type="expression" dxfId="232" priority="214">
      <formula>L57&lt;&gt;""</formula>
    </cfRule>
  </conditionalFormatting>
  <conditionalFormatting sqref="M71">
    <cfRule type="expression" dxfId="231" priority="211">
      <formula>IF(ISBLANK(L71),FALSE,TRUE)</formula>
    </cfRule>
  </conditionalFormatting>
  <conditionalFormatting sqref="I71">
    <cfRule type="expression" dxfId="230" priority="210">
      <formula>IF(ISBLANK(H71),FALSE,TRUE)</formula>
    </cfRule>
  </conditionalFormatting>
  <conditionalFormatting sqref="G71">
    <cfRule type="expression" dxfId="229" priority="209">
      <formula>H71&lt;&gt;""</formula>
    </cfRule>
  </conditionalFormatting>
  <conditionalFormatting sqref="K71">
    <cfRule type="expression" dxfId="228" priority="208">
      <formula>L71&lt;&gt;""</formula>
    </cfRule>
  </conditionalFormatting>
  <conditionalFormatting sqref="M72:M77">
    <cfRule type="expression" dxfId="227" priority="205">
      <formula>IF(ISBLANK(L72),FALSE,TRUE)</formula>
    </cfRule>
  </conditionalFormatting>
  <conditionalFormatting sqref="G72:G77">
    <cfRule type="expression" dxfId="226" priority="203">
      <formula>H72&lt;&gt;""</formula>
    </cfRule>
  </conditionalFormatting>
  <conditionalFormatting sqref="K72:K77">
    <cfRule type="expression" dxfId="225" priority="202">
      <formula>L72&lt;&gt;""</formula>
    </cfRule>
  </conditionalFormatting>
  <conditionalFormatting sqref="M86">
    <cfRule type="expression" dxfId="224" priority="201">
      <formula>IF(ISBLANK(L86),FALSE,TRUE)</formula>
    </cfRule>
  </conditionalFormatting>
  <conditionalFormatting sqref="I86">
    <cfRule type="expression" dxfId="223" priority="200">
      <formula>IF(ISBLANK(H86),FALSE,TRUE)</formula>
    </cfRule>
  </conditionalFormatting>
  <conditionalFormatting sqref="M86">
    <cfRule type="expression" dxfId="222" priority="199">
      <formula>IF(ISBLANK(L86),FALSE,TRUE)</formula>
    </cfRule>
  </conditionalFormatting>
  <conditionalFormatting sqref="I86">
    <cfRule type="expression" dxfId="221" priority="198">
      <formula>IF(ISBLANK(H86),FALSE,TRUE)</formula>
    </cfRule>
  </conditionalFormatting>
  <conditionalFormatting sqref="M87:M98">
    <cfRule type="expression" dxfId="220" priority="193">
      <formula>IF(ISBLANK(L87),FALSE,TRUE)</formula>
    </cfRule>
  </conditionalFormatting>
  <conditionalFormatting sqref="I87:I98">
    <cfRule type="expression" dxfId="219" priority="192">
      <formula>IF(ISBLANK(H87),FALSE,TRUE)</formula>
    </cfRule>
  </conditionalFormatting>
  <conditionalFormatting sqref="G87:G98">
    <cfRule type="expression" dxfId="218" priority="191">
      <formula>H87&lt;&gt;""</formula>
    </cfRule>
  </conditionalFormatting>
  <conditionalFormatting sqref="K87:K98">
    <cfRule type="expression" dxfId="217" priority="190">
      <formula>L87&lt;&gt;""</formula>
    </cfRule>
  </conditionalFormatting>
  <conditionalFormatting sqref="M103">
    <cfRule type="expression" dxfId="216" priority="189">
      <formula>IF(ISBLANK(L103),FALSE,TRUE)</formula>
    </cfRule>
  </conditionalFormatting>
  <conditionalFormatting sqref="I103">
    <cfRule type="expression" dxfId="215" priority="188">
      <formula>IF(ISBLANK(H103),FALSE,TRUE)</formula>
    </cfRule>
  </conditionalFormatting>
  <conditionalFormatting sqref="G103">
    <cfRule type="expression" dxfId="214" priority="185">
      <formula>H103&lt;&gt;""</formula>
    </cfRule>
  </conditionalFormatting>
  <conditionalFormatting sqref="K103">
    <cfRule type="expression" dxfId="213" priority="184">
      <formula>L103&lt;&gt;""</formula>
    </cfRule>
  </conditionalFormatting>
  <conditionalFormatting sqref="M104:M106">
    <cfRule type="expression" dxfId="212" priority="183">
      <formula>IF(ISBLANK(L104),FALSE,TRUE)</formula>
    </cfRule>
  </conditionalFormatting>
  <conditionalFormatting sqref="I104:I106">
    <cfRule type="expression" dxfId="211" priority="182">
      <formula>IF(ISBLANK(H104),FALSE,TRUE)</formula>
    </cfRule>
  </conditionalFormatting>
  <conditionalFormatting sqref="M104:M106">
    <cfRule type="expression" dxfId="210" priority="181">
      <formula>IF(ISBLANK(L104),FALSE,TRUE)</formula>
    </cfRule>
  </conditionalFormatting>
  <conditionalFormatting sqref="I104:I106">
    <cfRule type="expression" dxfId="209" priority="180">
      <formula>IF(ISBLANK(H104),FALSE,TRUE)</formula>
    </cfRule>
  </conditionalFormatting>
  <conditionalFormatting sqref="G104:G106">
    <cfRule type="expression" dxfId="208" priority="179">
      <formula>H104&lt;&gt;""</formula>
    </cfRule>
  </conditionalFormatting>
  <conditionalFormatting sqref="K104:K106">
    <cfRule type="expression" dxfId="207" priority="178">
      <formula>L104&lt;&gt;""</formula>
    </cfRule>
  </conditionalFormatting>
  <conditionalFormatting sqref="M118">
    <cfRule type="expression" dxfId="206" priority="175">
      <formula>IF(ISBLANK(L118),FALSE,TRUE)</formula>
    </cfRule>
  </conditionalFormatting>
  <conditionalFormatting sqref="I118">
    <cfRule type="expression" dxfId="205" priority="174">
      <formula>IF(ISBLANK(H118),FALSE,TRUE)</formula>
    </cfRule>
  </conditionalFormatting>
  <conditionalFormatting sqref="G118">
    <cfRule type="expression" dxfId="204" priority="173">
      <formula>H118&lt;&gt;""</formula>
    </cfRule>
  </conditionalFormatting>
  <conditionalFormatting sqref="K118">
    <cfRule type="expression" dxfId="203" priority="172">
      <formula>L118&lt;&gt;""</formula>
    </cfRule>
  </conditionalFormatting>
  <conditionalFormatting sqref="M119:M127">
    <cfRule type="expression" dxfId="202" priority="169">
      <formula>IF(ISBLANK(L119),FALSE,TRUE)</formula>
    </cfRule>
  </conditionalFormatting>
  <conditionalFormatting sqref="I119:I127">
    <cfRule type="expression" dxfId="201" priority="168">
      <formula>IF(ISBLANK(H119),FALSE,TRUE)</formula>
    </cfRule>
  </conditionalFormatting>
  <conditionalFormatting sqref="G119:G127">
    <cfRule type="expression" dxfId="200" priority="167">
      <formula>H119&lt;&gt;""</formula>
    </cfRule>
  </conditionalFormatting>
  <conditionalFormatting sqref="K119:K127">
    <cfRule type="expression" dxfId="199" priority="166">
      <formula>L119&lt;&gt;""</formula>
    </cfRule>
  </conditionalFormatting>
  <conditionalFormatting sqref="M133">
    <cfRule type="expression" dxfId="198" priority="163">
      <formula>IF(ISBLANK(L133),FALSE,TRUE)</formula>
    </cfRule>
  </conditionalFormatting>
  <conditionalFormatting sqref="I133">
    <cfRule type="expression" dxfId="197" priority="162">
      <formula>IF(ISBLANK(H133),FALSE,TRUE)</formula>
    </cfRule>
  </conditionalFormatting>
  <conditionalFormatting sqref="G133">
    <cfRule type="expression" dxfId="196" priority="161">
      <formula>H133&lt;&gt;""</formula>
    </cfRule>
  </conditionalFormatting>
  <conditionalFormatting sqref="K133">
    <cfRule type="expression" dxfId="195" priority="160">
      <formula>L133&lt;&gt;""</formula>
    </cfRule>
  </conditionalFormatting>
  <conditionalFormatting sqref="M134:M141">
    <cfRule type="expression" dxfId="194" priority="159">
      <formula>IF(ISBLANK(L134),FALSE,TRUE)</formula>
    </cfRule>
  </conditionalFormatting>
  <conditionalFormatting sqref="I134:I141">
    <cfRule type="expression" dxfId="193" priority="158">
      <formula>IF(ISBLANK(H134),FALSE,TRUE)</formula>
    </cfRule>
  </conditionalFormatting>
  <conditionalFormatting sqref="K134:K141">
    <cfRule type="expression" dxfId="192" priority="154">
      <formula>L134&lt;&gt;""</formula>
    </cfRule>
  </conditionalFormatting>
  <conditionalFormatting sqref="M148">
    <cfRule type="expression" dxfId="191" priority="153">
      <formula>IF(ISBLANK(L148),FALSE,TRUE)</formula>
    </cfRule>
  </conditionalFormatting>
  <conditionalFormatting sqref="K148">
    <cfRule type="expression" dxfId="190" priority="148">
      <formula>L148&lt;&gt;""</formula>
    </cfRule>
  </conditionalFormatting>
  <conditionalFormatting sqref="M149:M151">
    <cfRule type="expression" dxfId="189" priority="145">
      <formula>IF(ISBLANK(L149),FALSE,TRUE)</formula>
    </cfRule>
  </conditionalFormatting>
  <conditionalFormatting sqref="I149:I151">
    <cfRule type="expression" dxfId="188" priority="144">
      <formula>IF(ISBLANK(H149),FALSE,TRUE)</formula>
    </cfRule>
  </conditionalFormatting>
  <conditionalFormatting sqref="G149:G151">
    <cfRule type="expression" dxfId="187" priority="143">
      <formula>H149&lt;&gt;""</formula>
    </cfRule>
  </conditionalFormatting>
  <conditionalFormatting sqref="K149:K151">
    <cfRule type="expression" dxfId="186" priority="142">
      <formula>L149&lt;&gt;""</formula>
    </cfRule>
  </conditionalFormatting>
  <conditionalFormatting sqref="M163">
    <cfRule type="expression" dxfId="185" priority="141">
      <formula>IF(ISBLANK(L163),FALSE,TRUE)</formula>
    </cfRule>
  </conditionalFormatting>
  <conditionalFormatting sqref="I163">
    <cfRule type="expression" dxfId="184" priority="140">
      <formula>IF(ISBLANK(H163),FALSE,TRUE)</formula>
    </cfRule>
  </conditionalFormatting>
  <conditionalFormatting sqref="M163">
    <cfRule type="expression" dxfId="183" priority="139">
      <formula>IF(ISBLANK(L163),FALSE,TRUE)</formula>
    </cfRule>
  </conditionalFormatting>
  <conditionalFormatting sqref="I163">
    <cfRule type="expression" dxfId="182" priority="138">
      <formula>IF(ISBLANK(H163),FALSE,TRUE)</formula>
    </cfRule>
  </conditionalFormatting>
  <conditionalFormatting sqref="G163">
    <cfRule type="expression" dxfId="181" priority="137">
      <formula>H163&lt;&gt;""</formula>
    </cfRule>
  </conditionalFormatting>
  <conditionalFormatting sqref="K163">
    <cfRule type="expression" dxfId="180" priority="136">
      <formula>L163&lt;&gt;""</formula>
    </cfRule>
  </conditionalFormatting>
  <conditionalFormatting sqref="M164:M171">
    <cfRule type="expression" dxfId="179" priority="135">
      <formula>IF(ISBLANK(L164),FALSE,TRUE)</formula>
    </cfRule>
  </conditionalFormatting>
  <conditionalFormatting sqref="I164:I171">
    <cfRule type="expression" dxfId="178" priority="134">
      <formula>IF(ISBLANK(H164),FALSE,TRUE)</formula>
    </cfRule>
  </conditionalFormatting>
  <conditionalFormatting sqref="M164:M171">
    <cfRule type="expression" dxfId="177" priority="133">
      <formula>IF(ISBLANK(L164),FALSE,TRUE)</formula>
    </cfRule>
  </conditionalFormatting>
  <conditionalFormatting sqref="I164:I171">
    <cfRule type="expression" dxfId="176" priority="132">
      <formula>IF(ISBLANK(H164),FALSE,TRUE)</formula>
    </cfRule>
  </conditionalFormatting>
  <conditionalFormatting sqref="G164:G171">
    <cfRule type="expression" dxfId="175" priority="131">
      <formula>H164&lt;&gt;""</formula>
    </cfRule>
  </conditionalFormatting>
  <conditionalFormatting sqref="K164:K171">
    <cfRule type="expression" dxfId="174" priority="130">
      <formula>L164&lt;&gt;""</formula>
    </cfRule>
  </conditionalFormatting>
  <conditionalFormatting sqref="M178">
    <cfRule type="expression" dxfId="173" priority="129">
      <formula>IF(ISBLANK(L178),FALSE,TRUE)</formula>
    </cfRule>
  </conditionalFormatting>
  <conditionalFormatting sqref="I178">
    <cfRule type="expression" dxfId="172" priority="128">
      <formula>IF(ISBLANK(H178),FALSE,TRUE)</formula>
    </cfRule>
  </conditionalFormatting>
  <conditionalFormatting sqref="M178">
    <cfRule type="expression" dxfId="171" priority="127">
      <formula>IF(ISBLANK(L178),FALSE,TRUE)</formula>
    </cfRule>
  </conditionalFormatting>
  <conditionalFormatting sqref="I178">
    <cfRule type="expression" dxfId="170" priority="126">
      <formula>IF(ISBLANK(H178),FALSE,TRUE)</formula>
    </cfRule>
  </conditionalFormatting>
  <conditionalFormatting sqref="G178">
    <cfRule type="expression" dxfId="169" priority="125">
      <formula>H178&lt;&gt;""</formula>
    </cfRule>
  </conditionalFormatting>
  <conditionalFormatting sqref="K178">
    <cfRule type="expression" dxfId="168" priority="124">
      <formula>L178&lt;&gt;""</formula>
    </cfRule>
  </conditionalFormatting>
  <conditionalFormatting sqref="M193">
    <cfRule type="expression" dxfId="167" priority="123">
      <formula>IF(ISBLANK(L193),FALSE,TRUE)</formula>
    </cfRule>
  </conditionalFormatting>
  <conditionalFormatting sqref="I193">
    <cfRule type="expression" dxfId="166" priority="122">
      <formula>IF(ISBLANK(H193),FALSE,TRUE)</formula>
    </cfRule>
  </conditionalFormatting>
  <conditionalFormatting sqref="M193">
    <cfRule type="expression" dxfId="165" priority="121">
      <formula>IF(ISBLANK(L193),FALSE,TRUE)</formula>
    </cfRule>
  </conditionalFormatting>
  <conditionalFormatting sqref="I193">
    <cfRule type="expression" dxfId="164" priority="120">
      <formula>IF(ISBLANK(H193),FALSE,TRUE)</formula>
    </cfRule>
  </conditionalFormatting>
  <conditionalFormatting sqref="M179:M182">
    <cfRule type="expression" dxfId="163" priority="117">
      <formula>IF(ISBLANK(L179),FALSE,TRUE)</formula>
    </cfRule>
  </conditionalFormatting>
  <conditionalFormatting sqref="I179:I182">
    <cfRule type="expression" dxfId="162" priority="116">
      <formula>IF(ISBLANK(H179),FALSE,TRUE)</formula>
    </cfRule>
  </conditionalFormatting>
  <conditionalFormatting sqref="M179:M182">
    <cfRule type="expression" dxfId="161" priority="115">
      <formula>IF(ISBLANK(L179),FALSE,TRUE)</formula>
    </cfRule>
  </conditionalFormatting>
  <conditionalFormatting sqref="I179:I182">
    <cfRule type="expression" dxfId="160" priority="114">
      <formula>IF(ISBLANK(H179),FALSE,TRUE)</formula>
    </cfRule>
  </conditionalFormatting>
  <conditionalFormatting sqref="G179:G182">
    <cfRule type="expression" dxfId="159" priority="113">
      <formula>H179&lt;&gt;""</formula>
    </cfRule>
  </conditionalFormatting>
  <conditionalFormatting sqref="K179:K182">
    <cfRule type="expression" dxfId="158" priority="112">
      <formula>L179&lt;&gt;""</formula>
    </cfRule>
  </conditionalFormatting>
  <conditionalFormatting sqref="M194:M198">
    <cfRule type="expression" dxfId="157" priority="111">
      <formula>IF(ISBLANK(L194),FALSE,TRUE)</formula>
    </cfRule>
  </conditionalFormatting>
  <conditionalFormatting sqref="I194:I198">
    <cfRule type="expression" dxfId="156" priority="110">
      <formula>IF(ISBLANK(H194),FALSE,TRUE)</formula>
    </cfRule>
  </conditionalFormatting>
  <conditionalFormatting sqref="M194:M198">
    <cfRule type="expression" dxfId="155" priority="109">
      <formula>IF(ISBLANK(L194),FALSE,TRUE)</formula>
    </cfRule>
  </conditionalFormatting>
  <conditionalFormatting sqref="I194:I198">
    <cfRule type="expression" dxfId="154" priority="108">
      <formula>IF(ISBLANK(H194),FALSE,TRUE)</formula>
    </cfRule>
  </conditionalFormatting>
  <conditionalFormatting sqref="G194:G198">
    <cfRule type="expression" dxfId="153" priority="107">
      <formula>H194&lt;&gt;""</formula>
    </cfRule>
  </conditionalFormatting>
  <conditionalFormatting sqref="K194:K198">
    <cfRule type="expression" dxfId="152" priority="106">
      <formula>L194&lt;&gt;""</formula>
    </cfRule>
  </conditionalFormatting>
  <conditionalFormatting sqref="M208">
    <cfRule type="expression" dxfId="151" priority="105">
      <formula>IF(ISBLANK(L208),FALSE,TRUE)</formula>
    </cfRule>
  </conditionalFormatting>
  <conditionalFormatting sqref="I208">
    <cfRule type="expression" dxfId="150" priority="104">
      <formula>IF(ISBLANK(H208),FALSE,TRUE)</formula>
    </cfRule>
  </conditionalFormatting>
  <conditionalFormatting sqref="M208">
    <cfRule type="expression" dxfId="149" priority="103">
      <formula>IF(ISBLANK(L208),FALSE,TRUE)</formula>
    </cfRule>
  </conditionalFormatting>
  <conditionalFormatting sqref="I208">
    <cfRule type="expression" dxfId="148" priority="102">
      <formula>IF(ISBLANK(H208),FALSE,TRUE)</formula>
    </cfRule>
  </conditionalFormatting>
  <conditionalFormatting sqref="G208">
    <cfRule type="expression" dxfId="147" priority="101">
      <formula>H208&lt;&gt;""</formula>
    </cfRule>
  </conditionalFormatting>
  <conditionalFormatting sqref="K208">
    <cfRule type="expression" dxfId="146" priority="100">
      <formula>L208&lt;&gt;""</formula>
    </cfRule>
  </conditionalFormatting>
  <conditionalFormatting sqref="M209:M212">
    <cfRule type="expression" dxfId="145" priority="99">
      <formula>IF(ISBLANK(L209),FALSE,TRUE)</formula>
    </cfRule>
  </conditionalFormatting>
  <conditionalFormatting sqref="I209:I212">
    <cfRule type="expression" dxfId="144" priority="98">
      <formula>IF(ISBLANK(H209),FALSE,TRUE)</formula>
    </cfRule>
  </conditionalFormatting>
  <conditionalFormatting sqref="M209:M212">
    <cfRule type="expression" dxfId="143" priority="97">
      <formula>IF(ISBLANK(L209),FALSE,TRUE)</formula>
    </cfRule>
  </conditionalFormatting>
  <conditionalFormatting sqref="I209:I212">
    <cfRule type="expression" dxfId="142" priority="96">
      <formula>IF(ISBLANK(H209),FALSE,TRUE)</formula>
    </cfRule>
  </conditionalFormatting>
  <conditionalFormatting sqref="G209:G212">
    <cfRule type="expression" dxfId="141" priority="95">
      <formula>H209&lt;&gt;""</formula>
    </cfRule>
  </conditionalFormatting>
  <conditionalFormatting sqref="K209:K212">
    <cfRule type="expression" dxfId="140" priority="94">
      <formula>L209&lt;&gt;""</formula>
    </cfRule>
  </conditionalFormatting>
  <conditionalFormatting sqref="M223">
    <cfRule type="expression" dxfId="139" priority="93">
      <formula>IF(ISBLANK(L223),FALSE,TRUE)</formula>
    </cfRule>
  </conditionalFormatting>
  <conditionalFormatting sqref="I223">
    <cfRule type="expression" dxfId="138" priority="92">
      <formula>IF(ISBLANK(H223),FALSE,TRUE)</formula>
    </cfRule>
  </conditionalFormatting>
  <conditionalFormatting sqref="M223">
    <cfRule type="expression" dxfId="137" priority="91">
      <formula>IF(ISBLANK(L223),FALSE,TRUE)</formula>
    </cfRule>
  </conditionalFormatting>
  <conditionalFormatting sqref="I223">
    <cfRule type="expression" dxfId="136" priority="90">
      <formula>IF(ISBLANK(H223),FALSE,TRUE)</formula>
    </cfRule>
  </conditionalFormatting>
  <conditionalFormatting sqref="G223">
    <cfRule type="expression" dxfId="135" priority="89">
      <formula>H223&lt;&gt;""</formula>
    </cfRule>
  </conditionalFormatting>
  <conditionalFormatting sqref="K223">
    <cfRule type="expression" dxfId="134" priority="88">
      <formula>L223&lt;&gt;""</formula>
    </cfRule>
  </conditionalFormatting>
  <conditionalFormatting sqref="M224:M226">
    <cfRule type="expression" dxfId="133" priority="87">
      <formula>IF(ISBLANK(L224),FALSE,TRUE)</formula>
    </cfRule>
  </conditionalFormatting>
  <conditionalFormatting sqref="I224:I226">
    <cfRule type="expression" dxfId="132" priority="86">
      <formula>IF(ISBLANK(H224),FALSE,TRUE)</formula>
    </cfRule>
  </conditionalFormatting>
  <conditionalFormatting sqref="M224:M226">
    <cfRule type="expression" dxfId="131" priority="85">
      <formula>IF(ISBLANK(L224),FALSE,TRUE)</formula>
    </cfRule>
  </conditionalFormatting>
  <conditionalFormatting sqref="I224:I226">
    <cfRule type="expression" dxfId="130" priority="84">
      <formula>IF(ISBLANK(H224),FALSE,TRUE)</formula>
    </cfRule>
  </conditionalFormatting>
  <conditionalFormatting sqref="G224:G226">
    <cfRule type="expression" dxfId="129" priority="83">
      <formula>H224&lt;&gt;""</formula>
    </cfRule>
  </conditionalFormatting>
  <conditionalFormatting sqref="K224:K226">
    <cfRule type="expression" dxfId="128" priority="82">
      <formula>L224&lt;&gt;""</formula>
    </cfRule>
  </conditionalFormatting>
  <conditionalFormatting sqref="M238">
    <cfRule type="expression" dxfId="127" priority="79">
      <formula>IF(ISBLANK(L238),FALSE,TRUE)</formula>
    </cfRule>
  </conditionalFormatting>
  <conditionalFormatting sqref="I238">
    <cfRule type="expression" dxfId="126" priority="78">
      <formula>IF(ISBLANK(H238),FALSE,TRUE)</formula>
    </cfRule>
  </conditionalFormatting>
  <conditionalFormatting sqref="G238">
    <cfRule type="expression" dxfId="125" priority="77">
      <formula>H238&lt;&gt;""</formula>
    </cfRule>
  </conditionalFormatting>
  <conditionalFormatting sqref="K238">
    <cfRule type="expression" dxfId="124" priority="76">
      <formula>L238&lt;&gt;""</formula>
    </cfRule>
  </conditionalFormatting>
  <conditionalFormatting sqref="M239:M245">
    <cfRule type="expression" dxfId="123" priority="75">
      <formula>IF(ISBLANK(L239),FALSE,TRUE)</formula>
    </cfRule>
  </conditionalFormatting>
  <conditionalFormatting sqref="I239:I245">
    <cfRule type="expression" dxfId="122" priority="74">
      <formula>IF(ISBLANK(H239),FALSE,TRUE)</formula>
    </cfRule>
  </conditionalFormatting>
  <conditionalFormatting sqref="M239:M245">
    <cfRule type="expression" dxfId="121" priority="73">
      <formula>IF(ISBLANK(L239),FALSE,TRUE)</formula>
    </cfRule>
  </conditionalFormatting>
  <conditionalFormatting sqref="I239:I245">
    <cfRule type="expression" dxfId="120" priority="72">
      <formula>IF(ISBLANK(H239),FALSE,TRUE)</formula>
    </cfRule>
  </conditionalFormatting>
  <conditionalFormatting sqref="M253">
    <cfRule type="expression" dxfId="119" priority="69">
      <formula>IF(ISBLANK(L253),FALSE,TRUE)</formula>
    </cfRule>
  </conditionalFormatting>
  <conditionalFormatting sqref="I253">
    <cfRule type="expression" dxfId="118" priority="68">
      <formula>IF(ISBLANK(H253),FALSE,TRUE)</formula>
    </cfRule>
  </conditionalFormatting>
  <conditionalFormatting sqref="M253">
    <cfRule type="expression" dxfId="117" priority="67">
      <formula>IF(ISBLANK(L253),FALSE,TRUE)</formula>
    </cfRule>
  </conditionalFormatting>
  <conditionalFormatting sqref="I253">
    <cfRule type="expression" dxfId="116" priority="66">
      <formula>IF(ISBLANK(H253),FALSE,TRUE)</formula>
    </cfRule>
  </conditionalFormatting>
  <conditionalFormatting sqref="M254:M256">
    <cfRule type="expression" dxfId="115" priority="63">
      <formula>IF(ISBLANK(L254),FALSE,TRUE)</formula>
    </cfRule>
  </conditionalFormatting>
  <conditionalFormatting sqref="I254:I256">
    <cfRule type="expression" dxfId="114" priority="62">
      <formula>IF(ISBLANK(H254),FALSE,TRUE)</formula>
    </cfRule>
  </conditionalFormatting>
  <conditionalFormatting sqref="M254:M256">
    <cfRule type="expression" dxfId="113" priority="61">
      <formula>IF(ISBLANK(L254),FALSE,TRUE)</formula>
    </cfRule>
  </conditionalFormatting>
  <conditionalFormatting sqref="I254:I256">
    <cfRule type="expression" dxfId="112" priority="60">
      <formula>IF(ISBLANK(H254),FALSE,TRUE)</formula>
    </cfRule>
  </conditionalFormatting>
  <conditionalFormatting sqref="G254:G256">
    <cfRule type="expression" dxfId="111" priority="59">
      <formula>H254&lt;&gt;""</formula>
    </cfRule>
  </conditionalFormatting>
  <conditionalFormatting sqref="K254:K256">
    <cfRule type="expression" dxfId="110" priority="58">
      <formula>L254&lt;&gt;""</formula>
    </cfRule>
  </conditionalFormatting>
  <conditionalFormatting sqref="M268">
    <cfRule type="expression" dxfId="109" priority="57">
      <formula>IF(ISBLANK(L268),FALSE,TRUE)</formula>
    </cfRule>
  </conditionalFormatting>
  <conditionalFormatting sqref="I268">
    <cfRule type="expression" dxfId="108" priority="56">
      <formula>IF(ISBLANK(H268),FALSE,TRUE)</formula>
    </cfRule>
  </conditionalFormatting>
  <conditionalFormatting sqref="M268">
    <cfRule type="expression" dxfId="107" priority="55">
      <formula>IF(ISBLANK(L268),FALSE,TRUE)</formula>
    </cfRule>
  </conditionalFormatting>
  <conditionalFormatting sqref="I268">
    <cfRule type="expression" dxfId="106" priority="54">
      <formula>IF(ISBLANK(H268),FALSE,TRUE)</formula>
    </cfRule>
  </conditionalFormatting>
  <conditionalFormatting sqref="G268">
    <cfRule type="expression" dxfId="105" priority="53">
      <formula>H268&lt;&gt;""</formula>
    </cfRule>
  </conditionalFormatting>
  <conditionalFormatting sqref="K268">
    <cfRule type="expression" dxfId="104" priority="52">
      <formula>L268&lt;&gt;""</formula>
    </cfRule>
  </conditionalFormatting>
  <conditionalFormatting sqref="M269:M276">
    <cfRule type="expression" dxfId="103" priority="51">
      <formula>IF(ISBLANK(L269),FALSE,TRUE)</formula>
    </cfRule>
  </conditionalFormatting>
  <conditionalFormatting sqref="I269:I276">
    <cfRule type="expression" dxfId="102" priority="50">
      <formula>IF(ISBLANK(H269),FALSE,TRUE)</formula>
    </cfRule>
  </conditionalFormatting>
  <conditionalFormatting sqref="M269:M276">
    <cfRule type="expression" dxfId="101" priority="49">
      <formula>IF(ISBLANK(L269),FALSE,TRUE)</formula>
    </cfRule>
  </conditionalFormatting>
  <conditionalFormatting sqref="I269:I276">
    <cfRule type="expression" dxfId="100" priority="48">
      <formula>IF(ISBLANK(H269),FALSE,TRUE)</formula>
    </cfRule>
  </conditionalFormatting>
  <conditionalFormatting sqref="G269:G276">
    <cfRule type="expression" dxfId="99" priority="47">
      <formula>H269&lt;&gt;""</formula>
    </cfRule>
  </conditionalFormatting>
  <conditionalFormatting sqref="K269:K276">
    <cfRule type="expression" dxfId="98" priority="46">
      <formula>L269&lt;&gt;""</formula>
    </cfRule>
  </conditionalFormatting>
  <conditionalFormatting sqref="M283">
    <cfRule type="expression" dxfId="97" priority="45">
      <formula>IF(ISBLANK(L283),FALSE,TRUE)</formula>
    </cfRule>
  </conditionalFormatting>
  <conditionalFormatting sqref="I283">
    <cfRule type="expression" dxfId="96" priority="44">
      <formula>IF(ISBLANK(H283),FALSE,TRUE)</formula>
    </cfRule>
  </conditionalFormatting>
  <conditionalFormatting sqref="M283">
    <cfRule type="expression" dxfId="95" priority="43">
      <formula>IF(ISBLANK(L283),FALSE,TRUE)</formula>
    </cfRule>
  </conditionalFormatting>
  <conditionalFormatting sqref="I283">
    <cfRule type="expression" dxfId="94" priority="42">
      <formula>IF(ISBLANK(H283),FALSE,TRUE)</formula>
    </cfRule>
  </conditionalFormatting>
  <conditionalFormatting sqref="G283">
    <cfRule type="expression" dxfId="93" priority="41">
      <formula>H283&lt;&gt;""</formula>
    </cfRule>
  </conditionalFormatting>
  <conditionalFormatting sqref="K283">
    <cfRule type="expression" dxfId="92" priority="40">
      <formula>L283&lt;&gt;""</formula>
    </cfRule>
  </conditionalFormatting>
  <conditionalFormatting sqref="M284:M290">
    <cfRule type="expression" dxfId="91" priority="39">
      <formula>IF(ISBLANK(L284),FALSE,TRUE)</formula>
    </cfRule>
  </conditionalFormatting>
  <conditionalFormatting sqref="I284:I290">
    <cfRule type="expression" dxfId="90" priority="38">
      <formula>IF(ISBLANK(H284),FALSE,TRUE)</formula>
    </cfRule>
  </conditionalFormatting>
  <conditionalFormatting sqref="M284:M290">
    <cfRule type="expression" dxfId="89" priority="37">
      <formula>IF(ISBLANK(L284),FALSE,TRUE)</formula>
    </cfRule>
  </conditionalFormatting>
  <conditionalFormatting sqref="I284:I290">
    <cfRule type="expression" dxfId="88" priority="36">
      <formula>IF(ISBLANK(H284),FALSE,TRUE)</formula>
    </cfRule>
  </conditionalFormatting>
  <conditionalFormatting sqref="G284:G290">
    <cfRule type="expression" dxfId="87" priority="35">
      <formula>H284&lt;&gt;""</formula>
    </cfRule>
  </conditionalFormatting>
  <conditionalFormatting sqref="K284:K290">
    <cfRule type="expression" dxfId="86" priority="34">
      <formula>L284&lt;&gt;""</formula>
    </cfRule>
  </conditionalFormatting>
  <conditionalFormatting sqref="M313">
    <cfRule type="expression" dxfId="85" priority="33">
      <formula>IF(ISBLANK(L313),FALSE,TRUE)</formula>
    </cfRule>
  </conditionalFormatting>
  <conditionalFormatting sqref="I313">
    <cfRule type="expression" dxfId="84" priority="32">
      <formula>IF(ISBLANK(H313),FALSE,TRUE)</formula>
    </cfRule>
  </conditionalFormatting>
  <conditionalFormatting sqref="M313">
    <cfRule type="expression" dxfId="83" priority="31">
      <formula>IF(ISBLANK(L313),FALSE,TRUE)</formula>
    </cfRule>
  </conditionalFormatting>
  <conditionalFormatting sqref="I313">
    <cfRule type="expression" dxfId="82" priority="30">
      <formula>IF(ISBLANK(H313),FALSE,TRUE)</formula>
    </cfRule>
  </conditionalFormatting>
  <conditionalFormatting sqref="G313">
    <cfRule type="expression" dxfId="81" priority="29">
      <formula>H313&lt;&gt;""</formula>
    </cfRule>
  </conditionalFormatting>
  <conditionalFormatting sqref="K313">
    <cfRule type="expression" dxfId="80" priority="28">
      <formula>L313&lt;&gt;""</formula>
    </cfRule>
  </conditionalFormatting>
  <conditionalFormatting sqref="M314:M316">
    <cfRule type="expression" dxfId="79" priority="27">
      <formula>IF(ISBLANK(L314),FALSE,TRUE)</formula>
    </cfRule>
  </conditionalFormatting>
  <conditionalFormatting sqref="I314:I316">
    <cfRule type="expression" dxfId="78" priority="26">
      <formula>IF(ISBLANK(H314),FALSE,TRUE)</formula>
    </cfRule>
  </conditionalFormatting>
  <conditionalFormatting sqref="M314:M316">
    <cfRule type="expression" dxfId="77" priority="25">
      <formula>IF(ISBLANK(L314),FALSE,TRUE)</formula>
    </cfRule>
  </conditionalFormatting>
  <conditionalFormatting sqref="I314:I316">
    <cfRule type="expression" dxfId="76" priority="24">
      <formula>IF(ISBLANK(H314),FALSE,TRUE)</formula>
    </cfRule>
  </conditionalFormatting>
  <conditionalFormatting sqref="G314:G316">
    <cfRule type="expression" dxfId="75" priority="23">
      <formula>H314&lt;&gt;""</formula>
    </cfRule>
  </conditionalFormatting>
  <conditionalFormatting sqref="K314:K316">
    <cfRule type="expression" dxfId="74" priority="22">
      <formula>L314&lt;&gt;""</formula>
    </cfRule>
  </conditionalFormatting>
  <conditionalFormatting sqref="M328">
    <cfRule type="expression" dxfId="73" priority="21">
      <formula>IF(ISBLANK(L328),FALSE,TRUE)</formula>
    </cfRule>
  </conditionalFormatting>
  <conditionalFormatting sqref="I328">
    <cfRule type="expression" dxfId="72" priority="20">
      <formula>IF(ISBLANK(H328),FALSE,TRUE)</formula>
    </cfRule>
  </conditionalFormatting>
  <conditionalFormatting sqref="M328">
    <cfRule type="expression" dxfId="71" priority="19">
      <formula>IF(ISBLANK(L328),FALSE,TRUE)</formula>
    </cfRule>
  </conditionalFormatting>
  <conditionalFormatting sqref="I328">
    <cfRule type="expression" dxfId="70" priority="18">
      <formula>IF(ISBLANK(H328),FALSE,TRUE)</formula>
    </cfRule>
  </conditionalFormatting>
  <conditionalFormatting sqref="G328">
    <cfRule type="expression" dxfId="69" priority="17">
      <formula>H328&lt;&gt;""</formula>
    </cfRule>
  </conditionalFormatting>
  <conditionalFormatting sqref="K328">
    <cfRule type="expression" dxfId="68" priority="16">
      <formula>L328&lt;&gt;""</formula>
    </cfRule>
  </conditionalFormatting>
  <conditionalFormatting sqref="M334">
    <cfRule type="expression" dxfId="67" priority="15">
      <formula>IF(ISBLANK(L334),FALSE,TRUE)</formula>
    </cfRule>
  </conditionalFormatting>
  <conditionalFormatting sqref="I334">
    <cfRule type="expression" dxfId="66" priority="14">
      <formula>IF(ISBLANK(H334),FALSE,TRUE)</formula>
    </cfRule>
  </conditionalFormatting>
  <conditionalFormatting sqref="M334">
    <cfRule type="expression" dxfId="65" priority="13">
      <formula>IF(ISBLANK(L334),FALSE,TRUE)</formula>
    </cfRule>
  </conditionalFormatting>
  <conditionalFormatting sqref="I334">
    <cfRule type="expression" dxfId="64" priority="12">
      <formula>IF(ISBLANK(H334),FALSE,TRUE)</formula>
    </cfRule>
  </conditionalFormatting>
  <conditionalFormatting sqref="G334">
    <cfRule type="expression" dxfId="63" priority="11">
      <formula>H334&lt;&gt;""</formula>
    </cfRule>
  </conditionalFormatting>
  <conditionalFormatting sqref="K334">
    <cfRule type="expression" dxfId="62" priority="10">
      <formula>L334&lt;&gt;""</formula>
    </cfRule>
  </conditionalFormatting>
  <conditionalFormatting sqref="G346:G352">
    <cfRule type="expression" dxfId="61" priority="1">
      <formula>H346&lt;&gt;""</formula>
    </cfRule>
  </conditionalFormatting>
  <conditionalFormatting sqref="I342">
    <cfRule type="expression" dxfId="60" priority="9">
      <formula>IF(ISBLANK(H342),FALSE,TRUE)</formula>
    </cfRule>
  </conditionalFormatting>
  <conditionalFormatting sqref="I342">
    <cfRule type="expression" dxfId="59" priority="8">
      <formula>IF(ISBLANK(H342),FALSE,TRUE)</formula>
    </cfRule>
  </conditionalFormatting>
  <conditionalFormatting sqref="G342">
    <cfRule type="expression" dxfId="58" priority="7">
      <formula>H342&lt;&gt;""</formula>
    </cfRule>
  </conditionalFormatting>
  <conditionalFormatting sqref="I343:I345">
    <cfRule type="expression" dxfId="57" priority="6">
      <formula>IF(ISBLANK(H343),FALSE,TRUE)</formula>
    </cfRule>
  </conditionalFormatting>
  <conditionalFormatting sqref="I343:I345">
    <cfRule type="expression" dxfId="56" priority="5">
      <formula>IF(ISBLANK(H343),FALSE,TRUE)</formula>
    </cfRule>
  </conditionalFormatting>
  <conditionalFormatting sqref="G343:G345">
    <cfRule type="expression" dxfId="55" priority="4">
      <formula>H343&lt;&gt;""</formula>
    </cfRule>
  </conditionalFormatting>
  <conditionalFormatting sqref="I346:I352">
    <cfRule type="expression" dxfId="54" priority="3">
      <formula>IF(ISBLANK(H346),FALSE,TRUE)</formula>
    </cfRule>
  </conditionalFormatting>
  <conditionalFormatting sqref="I346:I352">
    <cfRule type="expression" dxfId="53" priority="2">
      <formula>IF(ISBLANK(H346),FALSE,TRUE)</formula>
    </cfRule>
  </conditionalFormatting>
  <hyperlinks>
    <hyperlink ref="F2" location="Neu_in_Version" display="i" xr:uid="{00000000-0004-0000-0F00-000000000000}"/>
  </hyperlinks>
  <printOptions horizontalCentered="1"/>
  <pageMargins left="0.47244094488188981" right="0.43" top="0.39370078740157483" bottom="0.62992125984251968" header="0.39370078740157483" footer="0.31496062992125984"/>
  <pageSetup paperSize="9" scale="89" firstPageNumber="3" fitToHeight="0" orientation="portrait" r:id="rId1"/>
  <headerFooter scaleWithDoc="0">
    <oddFooter>&amp;L&amp;8Druckdatum  &amp;D&amp;C&amp;8&amp;F/&amp;A&amp;R&amp;8Seite &amp;P / &amp;N</oddFooter>
  </headerFooter>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rgb="FF00B050"/>
    <pageSetUpPr fitToPage="1"/>
  </sheetPr>
  <dimension ref="A1:CM243"/>
  <sheetViews>
    <sheetView showGridLines="0" showZeros="0" zoomScale="110" zoomScaleNormal="110" zoomScaleSheetLayoutView="100" workbookViewId="0">
      <pane ySplit="6" topLeftCell="A7" activePane="bottomLeft" state="frozen"/>
      <selection activeCell="A8" sqref="A8:N8"/>
      <selection pane="bottomLeft" activeCell="A30" sqref="A30:B30"/>
    </sheetView>
  </sheetViews>
  <sheetFormatPr baseColWidth="10" defaultColWidth="9.28515625" defaultRowHeight="12.75" x14ac:dyDescent="0.2"/>
  <cols>
    <col min="1" max="1" width="17.85546875" customWidth="1"/>
    <col min="2" max="2" width="9" style="623" customWidth="1"/>
    <col min="3" max="3" width="0.85546875" customWidth="1"/>
    <col min="4" max="4" width="1.7109375" customWidth="1"/>
    <col min="5" max="5" width="8.140625" customWidth="1"/>
    <col min="6" max="6" width="8.140625" style="722" customWidth="1"/>
    <col min="7" max="7" width="7.140625" customWidth="1"/>
    <col min="8" max="8" width="0.7109375" customWidth="1"/>
    <col min="9" max="10" width="0.85546875" customWidth="1"/>
    <col min="11" max="11" width="1.7109375" customWidth="1"/>
    <col min="12" max="12" width="8.140625" customWidth="1"/>
    <col min="13" max="13" width="8.140625" style="722" customWidth="1"/>
    <col min="14" max="14" width="7.140625" customWidth="1"/>
    <col min="15" max="15" width="0.7109375" customWidth="1"/>
    <col min="16" max="17" width="0.85546875" customWidth="1"/>
    <col min="18" max="18" width="1.7109375" customWidth="1"/>
    <col min="19" max="19" width="8.140625" customWidth="1"/>
    <col min="20" max="20" width="8.140625" style="722" customWidth="1"/>
    <col min="21" max="21" width="7.140625" customWidth="1"/>
    <col min="22" max="22" width="0.7109375" customWidth="1"/>
    <col min="23" max="24" width="0.85546875" customWidth="1"/>
    <col min="25" max="25" width="1.7109375" customWidth="1"/>
    <col min="26" max="26" width="8.140625" style="722" customWidth="1"/>
    <col min="27" max="27" width="8.140625" customWidth="1"/>
    <col min="28" max="28" width="7.140625" customWidth="1"/>
    <col min="29" max="29" width="0.7109375" customWidth="1"/>
    <col min="30" max="30" width="5.28515625" customWidth="1"/>
    <col min="31" max="31" width="10" customWidth="1"/>
    <col min="32" max="32" width="8.85546875" customWidth="1"/>
    <col min="33" max="33" width="6.5703125" customWidth="1"/>
  </cols>
  <sheetData>
    <row r="1" spans="1:91" s="1584" customFormat="1" ht="54" customHeight="1" x14ac:dyDescent="0.2">
      <c r="D1" s="1556"/>
      <c r="E1" s="1556"/>
      <c r="F1" s="1556"/>
      <c r="G1" s="1556"/>
      <c r="H1" s="67"/>
      <c r="I1" s="67"/>
      <c r="J1" s="721"/>
      <c r="K1" s="67"/>
      <c r="L1" s="67"/>
      <c r="M1" s="67"/>
      <c r="N1" s="67"/>
      <c r="O1" s="67"/>
      <c r="P1" s="67"/>
      <c r="Q1" s="67"/>
    </row>
    <row r="2" spans="1:91" s="1584" customFormat="1" ht="15" customHeight="1" x14ac:dyDescent="0.25">
      <c r="A2" s="1565" t="str">
        <f>CONCATENATE("Variantenvergleich Energiesysteme - Version ",Versionsinfo!$B$4)</f>
        <v>Variantenvergleich Energiesysteme - Version 3.0</v>
      </c>
      <c r="B2" s="716"/>
      <c r="C2" s="716"/>
      <c r="D2" s="717"/>
      <c r="E2" s="717"/>
      <c r="F2" s="717"/>
      <c r="G2" s="718"/>
      <c r="L2" s="651"/>
      <c r="M2" s="652" t="s">
        <v>586</v>
      </c>
      <c r="N2" s="145"/>
      <c r="O2" s="145"/>
      <c r="P2" s="881"/>
      <c r="Q2" s="881"/>
      <c r="R2" s="145"/>
      <c r="S2" s="145"/>
      <c r="T2" s="145"/>
    </row>
    <row r="3" spans="1:91" s="1584" customFormat="1" ht="12.75" customHeight="1" x14ac:dyDescent="0.2">
      <c r="A3" s="1557" t="s">
        <v>781</v>
      </c>
      <c r="B3" s="425"/>
      <c r="C3" s="425"/>
      <c r="D3" s="427"/>
      <c r="E3" s="427"/>
      <c r="F3" s="427"/>
      <c r="G3" s="427"/>
      <c r="H3" s="425"/>
      <c r="I3" s="425"/>
      <c r="J3" s="145"/>
      <c r="K3" s="145"/>
      <c r="L3" s="145"/>
      <c r="M3" s="145"/>
      <c r="N3" s="145"/>
      <c r="O3" s="145"/>
      <c r="P3" s="881"/>
      <c r="Q3" s="881"/>
      <c r="R3" s="145"/>
      <c r="S3" s="145"/>
      <c r="T3" s="145"/>
      <c r="U3" s="903">
        <f>Projektdaten!$C$8</f>
        <v>0</v>
      </c>
      <c r="V3" s="903"/>
      <c r="W3" s="903"/>
      <c r="X3" s="903"/>
      <c r="Y3" s="903"/>
      <c r="Z3" s="903"/>
      <c r="AA3" s="903"/>
      <c r="AB3" s="903"/>
      <c r="AC3" s="903"/>
      <c r="AO3" s="184"/>
      <c r="AP3" s="184"/>
      <c r="AQ3" s="184"/>
      <c r="AR3" s="184"/>
      <c r="AS3" s="184"/>
      <c r="AT3" s="184"/>
      <c r="AU3" s="184"/>
      <c r="AV3" s="184"/>
      <c r="AW3" s="184"/>
      <c r="AX3" s="184"/>
      <c r="AY3" s="184"/>
      <c r="AZ3" s="184"/>
      <c r="BA3" s="184"/>
      <c r="BB3" s="184"/>
      <c r="BC3" s="184"/>
      <c r="BD3" s="184"/>
      <c r="BE3" s="184"/>
      <c r="BF3" s="184"/>
      <c r="BG3" s="184"/>
      <c r="BH3" s="184"/>
      <c r="BI3" s="184"/>
      <c r="BJ3" s="184"/>
      <c r="BK3" s="184"/>
      <c r="BL3" s="184"/>
      <c r="BM3" s="184"/>
      <c r="BN3" s="184"/>
      <c r="BO3" s="184"/>
      <c r="BP3" s="184"/>
      <c r="BQ3" s="184"/>
      <c r="BR3" s="184"/>
      <c r="BS3" s="184"/>
      <c r="BT3" s="184"/>
      <c r="BU3" s="184"/>
      <c r="BV3" s="184"/>
      <c r="BW3" s="184"/>
      <c r="BX3" s="184"/>
      <c r="BY3" s="184"/>
      <c r="BZ3" s="184"/>
      <c r="CA3" s="184"/>
      <c r="CB3" s="184"/>
      <c r="CC3" s="184"/>
      <c r="CD3" s="184"/>
      <c r="CE3" s="184"/>
      <c r="CF3" s="184"/>
      <c r="CG3" s="184"/>
      <c r="CH3" s="184"/>
      <c r="CI3" s="184"/>
      <c r="CJ3" s="184"/>
      <c r="CK3" s="184"/>
      <c r="CL3" s="184"/>
      <c r="CM3" s="184"/>
    </row>
    <row r="4" spans="1:91" s="1584" customFormat="1" ht="16.5" customHeight="1" x14ac:dyDescent="0.2">
      <c r="A4" s="430"/>
      <c r="B4" s="425"/>
      <c r="C4" s="425"/>
      <c r="D4" s="425"/>
      <c r="E4" s="425"/>
      <c r="F4" s="425"/>
      <c r="G4" s="425"/>
      <c r="H4" s="425"/>
      <c r="I4" s="425"/>
      <c r="J4" s="145"/>
      <c r="K4" s="145"/>
      <c r="L4" s="145"/>
      <c r="M4" s="145"/>
      <c r="N4" s="145"/>
      <c r="O4" s="145"/>
      <c r="P4" s="145"/>
      <c r="Q4" s="145"/>
      <c r="R4" s="145"/>
      <c r="S4" s="145"/>
      <c r="T4" s="145"/>
      <c r="U4" s="903">
        <f>Projektdaten!$J$8</f>
        <v>0</v>
      </c>
      <c r="V4" s="903"/>
      <c r="W4" s="905"/>
      <c r="X4" s="905"/>
      <c r="Y4" s="905"/>
      <c r="Z4" s="905"/>
      <c r="AA4" s="905"/>
      <c r="AB4" s="905"/>
      <c r="AC4" s="905"/>
      <c r="AO4" s="184"/>
      <c r="AP4" s="184"/>
      <c r="AQ4" s="184"/>
      <c r="AR4" s="184"/>
      <c r="AS4" s="184"/>
      <c r="AT4" s="184"/>
      <c r="AU4" s="184"/>
      <c r="AV4" s="184"/>
      <c r="AW4" s="184"/>
      <c r="AX4" s="184"/>
      <c r="AY4" s="184"/>
      <c r="AZ4" s="184"/>
      <c r="BA4" s="184"/>
      <c r="BB4" s="184"/>
      <c r="BC4" s="184"/>
      <c r="BD4" s="184"/>
      <c r="BE4" s="184"/>
      <c r="BF4" s="184"/>
      <c r="BG4" s="184"/>
      <c r="BH4" s="184"/>
      <c r="BI4" s="184"/>
      <c r="BJ4" s="184"/>
      <c r="BK4" s="184"/>
      <c r="BL4" s="184"/>
      <c r="BM4" s="184"/>
      <c r="BN4" s="184"/>
      <c r="BO4" s="184"/>
      <c r="BP4" s="184"/>
      <c r="BQ4" s="184"/>
      <c r="BR4" s="184"/>
      <c r="BS4" s="184"/>
      <c r="BT4" s="184"/>
      <c r="BU4" s="184"/>
      <c r="BV4" s="184"/>
      <c r="BW4" s="184"/>
      <c r="BX4" s="184"/>
      <c r="BY4" s="184"/>
      <c r="BZ4" s="184"/>
      <c r="CA4" s="184"/>
      <c r="CB4" s="184"/>
      <c r="CC4" s="184"/>
      <c r="CD4" s="184"/>
      <c r="CE4" s="184"/>
      <c r="CF4" s="184"/>
      <c r="CG4" s="184"/>
      <c r="CH4" s="184"/>
      <c r="CI4" s="184"/>
      <c r="CJ4" s="184"/>
      <c r="CK4" s="184"/>
      <c r="CL4" s="184"/>
      <c r="CM4" s="184"/>
    </row>
    <row r="5" spans="1:91" s="1" customFormat="1" ht="16.5" customHeight="1" x14ac:dyDescent="0.25">
      <c r="A5" s="1585" t="s">
        <v>163</v>
      </c>
      <c r="C5" s="1428"/>
      <c r="D5" s="1433" t="str">
        <f>CONCATENATE("Erstellt von: ",Projektdaten!$K$15,", ",Projektdaten!$K$13)</f>
        <v xml:space="preserve">Erstellt von: , </v>
      </c>
      <c r="E5" s="1428"/>
      <c r="F5" s="1428"/>
      <c r="G5" s="1430"/>
      <c r="H5" s="1430"/>
      <c r="I5" s="1430"/>
      <c r="J5" s="1430"/>
      <c r="K5" s="1430"/>
      <c r="L5" s="1430"/>
      <c r="M5" s="1430"/>
      <c r="N5" s="1430"/>
      <c r="O5" s="1430"/>
      <c r="P5" s="1430"/>
      <c r="Q5" s="1430"/>
      <c r="R5" s="1430"/>
      <c r="S5" s="1434"/>
      <c r="T5" s="1432"/>
      <c r="U5" s="1435" t="str">
        <f>CONCATENATE("Version: ",Projektdaten!$F$13)</f>
        <v>Version: 1</v>
      </c>
      <c r="V5" s="1435"/>
      <c r="W5" s="1435"/>
      <c r="X5" s="1428"/>
      <c r="Y5" s="1428"/>
      <c r="Z5" s="1428"/>
      <c r="AA5" s="2199">
        <f ca="1">Projektdaten!$F$15</f>
        <v>45372</v>
      </c>
      <c r="AB5" s="2199"/>
      <c r="AC5" s="2199"/>
    </row>
    <row r="6" spans="1:91" s="1" customFormat="1" ht="13.5" customHeight="1" x14ac:dyDescent="0.2">
      <c r="A6" s="1429"/>
      <c r="B6" s="1431"/>
      <c r="S6" s="1432"/>
      <c r="T6" s="1432"/>
    </row>
    <row r="7" spans="1:91" ht="18" customHeight="1" x14ac:dyDescent="0.2">
      <c r="A7" s="19" t="s">
        <v>10</v>
      </c>
      <c r="B7" s="19"/>
      <c r="C7" s="2798">
        <v>1</v>
      </c>
      <c r="D7" s="2798"/>
      <c r="E7" s="2796">
        <f>EV_Var1!$C$7</f>
        <v>0</v>
      </c>
      <c r="F7" s="2796"/>
      <c r="G7" s="2796"/>
      <c r="H7" s="9"/>
      <c r="I7" s="2"/>
      <c r="J7" s="2798">
        <v>2</v>
      </c>
      <c r="K7" s="2798"/>
      <c r="L7" s="2804">
        <f>EV_Var2!$C$7</f>
        <v>0</v>
      </c>
      <c r="M7" s="2796"/>
      <c r="N7" s="2796"/>
      <c r="O7" s="9"/>
      <c r="P7" s="2"/>
      <c r="Q7" s="2798">
        <v>3</v>
      </c>
      <c r="R7" s="2798"/>
      <c r="S7" s="2804">
        <f>EV_Var3!$C$7</f>
        <v>0</v>
      </c>
      <c r="T7" s="2796"/>
      <c r="U7" s="2796"/>
      <c r="V7" s="9"/>
      <c r="W7" s="2"/>
      <c r="X7" s="2798">
        <v>4</v>
      </c>
      <c r="Y7" s="2798"/>
      <c r="Z7" s="2804">
        <f>EV_Var4!$C$7</f>
        <v>0</v>
      </c>
      <c r="AA7" s="2796"/>
      <c r="AB7" s="2796"/>
      <c r="AC7" s="9"/>
    </row>
    <row r="8" spans="1:91" ht="27.75" customHeight="1" x14ac:dyDescent="0.2">
      <c r="A8" s="2"/>
      <c r="B8" s="2"/>
      <c r="C8" s="3"/>
      <c r="D8" s="3"/>
      <c r="E8" s="2800">
        <f>EV_Var1!$J$7</f>
        <v>0</v>
      </c>
      <c r="F8" s="2800"/>
      <c r="G8" s="2800"/>
      <c r="H8" s="10"/>
      <c r="I8" s="2"/>
      <c r="J8" s="3"/>
      <c r="K8" s="3"/>
      <c r="L8" s="2800">
        <f>EV_Var2!$J$7</f>
        <v>0</v>
      </c>
      <c r="M8" s="2800"/>
      <c r="N8" s="2800"/>
      <c r="O8" s="10"/>
      <c r="P8" s="2"/>
      <c r="Q8" s="3"/>
      <c r="R8" s="3"/>
      <c r="S8" s="2800">
        <f>EV_Var3!$J$7</f>
        <v>0</v>
      </c>
      <c r="T8" s="2800"/>
      <c r="U8" s="2800"/>
      <c r="V8" s="10"/>
      <c r="W8" s="2"/>
      <c r="X8" s="3"/>
      <c r="Y8" s="3"/>
      <c r="Z8" s="2800">
        <f>EV_Var4!$J$7</f>
        <v>0</v>
      </c>
      <c r="AA8" s="2800"/>
      <c r="AB8" s="2800"/>
      <c r="AC8" s="10"/>
    </row>
    <row r="9" spans="1:91" ht="6" customHeight="1" x14ac:dyDescent="0.2">
      <c r="A9" s="2"/>
      <c r="B9" s="2"/>
      <c r="C9" s="3"/>
      <c r="D9" s="3"/>
      <c r="E9" s="3"/>
      <c r="F9" s="3"/>
      <c r="G9" s="3"/>
      <c r="H9" s="3"/>
      <c r="I9" s="2"/>
      <c r="J9" s="3"/>
      <c r="K9" s="3"/>
      <c r="L9" s="3"/>
      <c r="M9" s="3"/>
      <c r="N9" s="3"/>
      <c r="O9" s="3"/>
      <c r="P9" s="2"/>
      <c r="Q9" s="3"/>
      <c r="R9" s="3"/>
      <c r="S9" s="3"/>
      <c r="T9" s="3"/>
      <c r="U9" s="3"/>
      <c r="V9" s="3"/>
      <c r="W9" s="2"/>
      <c r="X9" s="3"/>
      <c r="Y9" s="3"/>
      <c r="Z9" s="3"/>
      <c r="AA9" s="3"/>
      <c r="AB9" s="3"/>
      <c r="AC9" s="3"/>
    </row>
    <row r="10" spans="1:91" s="1" customFormat="1" ht="15" customHeight="1" x14ac:dyDescent="0.2">
      <c r="A10" s="15" t="s">
        <v>0</v>
      </c>
      <c r="B10" s="15"/>
      <c r="C10" s="2803" t="str">
        <f>IF(Berechnungen!$D$10=0,"",ROUND(Berechnungen!$D$10,-3))</f>
        <v/>
      </c>
      <c r="D10" s="2803"/>
      <c r="E10" s="2803"/>
      <c r="F10" s="2803"/>
      <c r="G10" s="18" t="s">
        <v>2</v>
      </c>
      <c r="H10" s="17"/>
      <c r="I10" s="11"/>
      <c r="J10" s="2803" t="str">
        <f>IF(Berechnungen!$F$10=0,"",ROUND(Berechnungen!$F$10,-3))</f>
        <v/>
      </c>
      <c r="K10" s="2803"/>
      <c r="L10" s="2803"/>
      <c r="M10" s="2803"/>
      <c r="N10" s="18" t="s">
        <v>2</v>
      </c>
      <c r="O10" s="17"/>
      <c r="P10" s="11"/>
      <c r="Q10" s="2803" t="str">
        <f>IF(Berechnungen!$H$10=0,"",ROUND(Berechnungen!$H$10,-3))</f>
        <v/>
      </c>
      <c r="R10" s="2803"/>
      <c r="S10" s="2803"/>
      <c r="T10" s="2803"/>
      <c r="U10" s="18" t="s">
        <v>2</v>
      </c>
      <c r="V10" s="17"/>
      <c r="W10" s="11"/>
      <c r="X10" s="2803" t="str">
        <f>IF(Berechnungen!$J$10=0,"",ROUND(Berechnungen!$J$10,-3))</f>
        <v/>
      </c>
      <c r="Y10" s="2803"/>
      <c r="Z10" s="2803"/>
      <c r="AA10" s="2803"/>
      <c r="AB10" s="18" t="s">
        <v>2</v>
      </c>
      <c r="AC10" s="17"/>
      <c r="AF10" s="12"/>
    </row>
    <row r="11" spans="1:91" ht="4.7" customHeight="1" x14ac:dyDescent="0.2">
      <c r="A11" s="2"/>
      <c r="B11" s="2"/>
      <c r="C11" s="3"/>
      <c r="D11" s="4"/>
      <c r="E11" s="5"/>
      <c r="F11" s="5"/>
      <c r="G11" s="6"/>
      <c r="H11" s="3"/>
      <c r="I11" s="2"/>
      <c r="J11" s="3"/>
      <c r="K11" s="4"/>
      <c r="L11" s="5"/>
      <c r="M11" s="5"/>
      <c r="N11" s="6"/>
      <c r="O11" s="3"/>
      <c r="P11" s="2"/>
      <c r="Q11" s="3"/>
      <c r="R11" s="4"/>
      <c r="S11" s="5"/>
      <c r="T11" s="5"/>
      <c r="U11" s="6"/>
      <c r="V11" s="3"/>
      <c r="W11" s="2"/>
      <c r="X11" s="3"/>
      <c r="Y11" s="4"/>
      <c r="Z11" s="4"/>
      <c r="AA11" s="5"/>
      <c r="AB11" s="6"/>
      <c r="AC11" s="3"/>
    </row>
    <row r="12" spans="1:91" ht="15" customHeight="1" x14ac:dyDescent="0.2">
      <c r="A12" s="15" t="s">
        <v>728</v>
      </c>
      <c r="B12" s="15"/>
      <c r="C12" s="2803" t="str">
        <f>IF(Berechnungen!$D$23=0,"",ROUND(Berechnungen!$D$23,-2))</f>
        <v/>
      </c>
      <c r="D12" s="2803"/>
      <c r="E12" s="2803"/>
      <c r="F12" s="2803"/>
      <c r="G12" s="18" t="s">
        <v>3</v>
      </c>
      <c r="H12" s="17"/>
      <c r="I12" s="16"/>
      <c r="J12" s="2803" t="str">
        <f>IF(Berechnungen!$F$23=0,"",ROUND(Berechnungen!$F$23,-2))</f>
        <v/>
      </c>
      <c r="K12" s="2803"/>
      <c r="L12" s="2803"/>
      <c r="M12" s="2803"/>
      <c r="N12" s="18" t="s">
        <v>3</v>
      </c>
      <c r="O12" s="17"/>
      <c r="P12" s="16"/>
      <c r="Q12" s="2803" t="str">
        <f>IF(Berechnungen!$H$23=0,"",ROUND(Berechnungen!$H$23,-2))</f>
        <v/>
      </c>
      <c r="R12" s="2803"/>
      <c r="S12" s="2803"/>
      <c r="T12" s="2803"/>
      <c r="U12" s="18" t="s">
        <v>3</v>
      </c>
      <c r="V12" s="17"/>
      <c r="W12" s="16"/>
      <c r="X12" s="2803" t="str">
        <f>IF(Berechnungen!$J$23=0,"",ROUND(Berechnungen!$J$23,-2))</f>
        <v/>
      </c>
      <c r="Y12" s="2803"/>
      <c r="Z12" s="2803"/>
      <c r="AA12" s="2803"/>
      <c r="AB12" s="18" t="s">
        <v>3</v>
      </c>
      <c r="AC12" s="17"/>
      <c r="AF12" s="12"/>
    </row>
    <row r="13" spans="1:91" ht="4.7" customHeight="1" x14ac:dyDescent="0.2">
      <c r="A13" s="2"/>
      <c r="B13" s="2"/>
      <c r="C13" s="3"/>
      <c r="D13" s="4"/>
      <c r="E13" s="5"/>
      <c r="F13" s="5"/>
      <c r="G13" s="6"/>
      <c r="H13" s="3"/>
      <c r="I13" s="2"/>
      <c r="J13" s="3"/>
      <c r="K13" s="4"/>
      <c r="L13" s="5"/>
      <c r="M13" s="5"/>
      <c r="N13" s="6"/>
      <c r="O13" s="3"/>
      <c r="P13" s="2"/>
      <c r="Q13" s="3"/>
      <c r="R13" s="4"/>
      <c r="S13" s="5"/>
      <c r="T13" s="5"/>
      <c r="U13" s="6"/>
      <c r="V13" s="3"/>
      <c r="W13" s="2"/>
      <c r="X13" s="3"/>
      <c r="Y13" s="4"/>
      <c r="Z13" s="4"/>
      <c r="AA13" s="5"/>
      <c r="AB13" s="6"/>
      <c r="AC13" s="3"/>
    </row>
    <row r="14" spans="1:91" ht="15" customHeight="1" x14ac:dyDescent="0.2">
      <c r="A14" s="15" t="s">
        <v>142</v>
      </c>
      <c r="B14" s="15"/>
      <c r="C14" s="2803" t="str">
        <f>IF(Berechnungen!$D$83=0,"",ROUND(Berechnungen!$D$83,-2))</f>
        <v/>
      </c>
      <c r="D14" s="2803"/>
      <c r="E14" s="2803"/>
      <c r="F14" s="2803"/>
      <c r="G14" s="18" t="s">
        <v>4</v>
      </c>
      <c r="H14" s="17"/>
      <c r="I14" s="16"/>
      <c r="J14" s="2803">
        <f>IF(Berechnungen!$F$83=0,"",ROUND(Berechnungen!$F$83,-2))</f>
        <v>100</v>
      </c>
      <c r="K14" s="2803"/>
      <c r="L14" s="2803"/>
      <c r="M14" s="2803"/>
      <c r="N14" s="18" t="s">
        <v>4</v>
      </c>
      <c r="O14" s="17"/>
      <c r="P14" s="16"/>
      <c r="Q14" s="2803" t="str">
        <f>IF(Berechnungen!$H$83=0,"",ROUND(Berechnungen!$H$83,-2))</f>
        <v/>
      </c>
      <c r="R14" s="2803"/>
      <c r="S14" s="2803"/>
      <c r="T14" s="2803"/>
      <c r="U14" s="18" t="s">
        <v>4</v>
      </c>
      <c r="V14" s="17"/>
      <c r="W14" s="16"/>
      <c r="X14" s="2803" t="str">
        <f>IF(Berechnungen!$J$83=0,"",ROUND(Berechnungen!$J$83,-2))</f>
        <v/>
      </c>
      <c r="Y14" s="2803"/>
      <c r="Z14" s="2803"/>
      <c r="AA14" s="2803"/>
      <c r="AB14" s="18" t="s">
        <v>4</v>
      </c>
      <c r="AC14" s="17"/>
      <c r="AF14" s="12"/>
    </row>
    <row r="15" spans="1:91" s="398" customFormat="1" ht="4.7" customHeight="1" x14ac:dyDescent="0.2">
      <c r="A15" s="2"/>
      <c r="B15" s="2"/>
      <c r="C15" s="3"/>
      <c r="D15" s="4"/>
      <c r="E15" s="5"/>
      <c r="F15" s="5"/>
      <c r="G15" s="6"/>
      <c r="H15" s="3"/>
      <c r="I15" s="2"/>
      <c r="J15" s="3"/>
      <c r="K15" s="4"/>
      <c r="L15" s="5"/>
      <c r="M15" s="5"/>
      <c r="N15" s="6"/>
      <c r="O15" s="3"/>
      <c r="P15" s="2"/>
      <c r="Q15" s="3"/>
      <c r="R15" s="4"/>
      <c r="S15" s="5"/>
      <c r="T15" s="5"/>
      <c r="U15" s="6"/>
      <c r="V15" s="3"/>
      <c r="W15" s="2"/>
      <c r="X15" s="3"/>
      <c r="Y15" s="4"/>
      <c r="Z15" s="4"/>
      <c r="AA15" s="5"/>
      <c r="AB15" s="6"/>
      <c r="AC15" s="3"/>
    </row>
    <row r="16" spans="1:91" s="398" customFormat="1" ht="15" customHeight="1" x14ac:dyDescent="0.2">
      <c r="A16" s="15" t="s">
        <v>483</v>
      </c>
      <c r="B16" s="15"/>
      <c r="C16" s="2803" t="str">
        <f>IF(Berechnungen!$D$85=0,"",ROUND(Berechnungen!$D$85,-2))</f>
        <v/>
      </c>
      <c r="D16" s="2803"/>
      <c r="E16" s="2803"/>
      <c r="F16" s="2803"/>
      <c r="G16" s="18" t="s">
        <v>4</v>
      </c>
      <c r="H16" s="17"/>
      <c r="I16" s="16"/>
      <c r="J16" s="2803" t="str">
        <f>IF(Berechnungen!$F$85=0,"",ROUND(Berechnungen!$F$85,-2))</f>
        <v/>
      </c>
      <c r="K16" s="2803"/>
      <c r="L16" s="2803"/>
      <c r="M16" s="2803"/>
      <c r="N16" s="18" t="s">
        <v>4</v>
      </c>
      <c r="O16" s="17"/>
      <c r="P16" s="16"/>
      <c r="Q16" s="2803" t="str">
        <f>IF(Berechnungen!$H$85=0,"",ROUND(Berechnungen!$H$85,-2))</f>
        <v/>
      </c>
      <c r="R16" s="2803"/>
      <c r="S16" s="2803"/>
      <c r="T16" s="2803"/>
      <c r="U16" s="18" t="s">
        <v>4</v>
      </c>
      <c r="V16" s="17"/>
      <c r="W16" s="16"/>
      <c r="X16" s="2803" t="str">
        <f>IF(Berechnungen!$J$85=0,"",ROUND(Berechnungen!$J$85,-2))</f>
        <v/>
      </c>
      <c r="Y16" s="2803"/>
      <c r="Z16" s="2803"/>
      <c r="AA16" s="2803"/>
      <c r="AB16" s="18" t="s">
        <v>4</v>
      </c>
      <c r="AC16" s="17"/>
      <c r="AF16" s="12"/>
    </row>
    <row r="17" spans="1:37" ht="4.7" customHeight="1" x14ac:dyDescent="0.2">
      <c r="A17" s="2"/>
      <c r="B17" s="2"/>
      <c r="C17" s="3"/>
      <c r="D17" s="4"/>
      <c r="E17" s="5"/>
      <c r="F17" s="5"/>
      <c r="G17" s="6"/>
      <c r="H17" s="3"/>
      <c r="I17" s="2"/>
      <c r="J17" s="3"/>
      <c r="K17" s="4"/>
      <c r="L17" s="5"/>
      <c r="M17" s="5"/>
      <c r="N17" s="6"/>
      <c r="O17" s="3"/>
      <c r="P17" s="2"/>
      <c r="Q17" s="3"/>
      <c r="R17" s="4"/>
      <c r="S17" s="5"/>
      <c r="T17" s="5"/>
      <c r="U17" s="6"/>
      <c r="V17" s="3"/>
      <c r="W17" s="2"/>
      <c r="X17" s="3"/>
      <c r="Y17" s="4"/>
      <c r="Z17" s="4"/>
      <c r="AA17" s="5"/>
      <c r="AB17" s="6"/>
      <c r="AC17" s="3"/>
    </row>
    <row r="18" spans="1:37" ht="15" customHeight="1" x14ac:dyDescent="0.2">
      <c r="A18" s="15" t="s">
        <v>5</v>
      </c>
      <c r="B18" s="15"/>
      <c r="C18" s="2803" t="str">
        <f>IF(Berechnungen!$D$89=0,"",ROUND(Berechnungen!$D$89,-1))</f>
        <v/>
      </c>
      <c r="D18" s="2803"/>
      <c r="E18" s="2803"/>
      <c r="F18" s="2803"/>
      <c r="G18" s="18" t="s">
        <v>92</v>
      </c>
      <c r="H18" s="17"/>
      <c r="I18" s="16"/>
      <c r="J18" s="2803">
        <f>IF(Berechnungen!$F$89=0,"",ROUND(Berechnungen!$F$89,-1))</f>
        <v>40</v>
      </c>
      <c r="K18" s="2803"/>
      <c r="L18" s="2803"/>
      <c r="M18" s="2803"/>
      <c r="N18" s="18" t="s">
        <v>92</v>
      </c>
      <c r="O18" s="17"/>
      <c r="P18" s="16"/>
      <c r="Q18" s="2803" t="str">
        <f>IF(Berechnungen!$H$89=0,"",ROUND(Berechnungen!$H$89,-1))</f>
        <v/>
      </c>
      <c r="R18" s="2803"/>
      <c r="S18" s="2803"/>
      <c r="T18" s="2803"/>
      <c r="U18" s="18" t="s">
        <v>92</v>
      </c>
      <c r="V18" s="17"/>
      <c r="W18" s="16"/>
      <c r="X18" s="2803" t="str">
        <f>IF(Berechnungen!$J$89=0,"",ROUND(Berechnungen!$J$89,-1))</f>
        <v/>
      </c>
      <c r="Y18" s="2803"/>
      <c r="Z18" s="2803"/>
      <c r="AA18" s="2803"/>
      <c r="AB18" s="18" t="s">
        <v>92</v>
      </c>
      <c r="AC18" s="17"/>
      <c r="AK18" s="583"/>
    </row>
    <row r="19" spans="1:37" ht="4.7" customHeight="1" x14ac:dyDescent="0.2">
      <c r="A19" s="2"/>
      <c r="B19" s="2"/>
      <c r="C19" s="3"/>
      <c r="D19" s="4"/>
      <c r="E19" s="8"/>
      <c r="F19" s="8"/>
      <c r="G19" s="3"/>
      <c r="H19" s="3"/>
      <c r="I19" s="2"/>
      <c r="J19" s="3"/>
      <c r="K19" s="4"/>
      <c r="L19" s="8"/>
      <c r="M19" s="8"/>
      <c r="N19" s="3"/>
      <c r="O19" s="3"/>
      <c r="P19" s="2"/>
      <c r="Q19" s="3"/>
      <c r="R19" s="4"/>
      <c r="S19" s="8"/>
      <c r="T19" s="8"/>
      <c r="U19" s="3"/>
      <c r="V19" s="3"/>
      <c r="W19" s="2"/>
      <c r="X19" s="3"/>
      <c r="Y19" s="4"/>
      <c r="Z19" s="4"/>
      <c r="AA19" s="8"/>
      <c r="AB19" s="3"/>
      <c r="AC19" s="3"/>
    </row>
    <row r="20" spans="1:37" ht="15" customHeight="1" x14ac:dyDescent="0.2">
      <c r="A20" s="492" t="s">
        <v>614</v>
      </c>
      <c r="B20" s="492"/>
      <c r="C20" s="2803" t="str">
        <f>IF(Berechnungen!$D$93=0,"",ROUND(Berechnungen!$D$93,-4))</f>
        <v/>
      </c>
      <c r="D20" s="2803"/>
      <c r="E20" s="2803"/>
      <c r="F20" s="2803"/>
      <c r="G20" s="18" t="s">
        <v>143</v>
      </c>
      <c r="H20" s="17"/>
      <c r="I20" s="16"/>
      <c r="J20" s="2803">
        <f>IF(Berechnungen!$F$93=0,"",ROUND(Berechnungen!$F$93,-4))</f>
        <v>90000</v>
      </c>
      <c r="K20" s="2803"/>
      <c r="L20" s="2803"/>
      <c r="M20" s="2803"/>
      <c r="N20" s="18" t="s">
        <v>143</v>
      </c>
      <c r="O20" s="17"/>
      <c r="P20" s="16"/>
      <c r="Q20" s="2803" t="str">
        <f>IF(Berechnungen!$H$93=0,"",ROUND(Berechnungen!$H$93,-4))</f>
        <v/>
      </c>
      <c r="R20" s="2803"/>
      <c r="S20" s="2803"/>
      <c r="T20" s="2803"/>
      <c r="U20" s="18" t="s">
        <v>143</v>
      </c>
      <c r="V20" s="17"/>
      <c r="W20" s="16"/>
      <c r="X20" s="2803" t="str">
        <f>IF(Berechnungen!$J$93=0,"",ROUND(Berechnungen!$J$93,-4))</f>
        <v/>
      </c>
      <c r="Y20" s="2803"/>
      <c r="Z20" s="2803"/>
      <c r="AA20" s="2803"/>
      <c r="AB20" s="18" t="s">
        <v>143</v>
      </c>
      <c r="AC20" s="17"/>
    </row>
    <row r="21" spans="1:37" ht="4.7" customHeight="1" x14ac:dyDescent="0.2">
      <c r="A21" s="418"/>
      <c r="B21" s="418"/>
      <c r="C21" s="3"/>
      <c r="D21" s="4"/>
      <c r="E21" s="8"/>
      <c r="F21" s="8"/>
      <c r="G21" s="3"/>
      <c r="H21" s="3"/>
      <c r="I21" s="2"/>
      <c r="J21" s="3"/>
      <c r="K21" s="4"/>
      <c r="L21" s="8"/>
      <c r="M21" s="8"/>
      <c r="N21" s="3"/>
      <c r="O21" s="3"/>
      <c r="P21" s="2"/>
      <c r="Q21" s="3"/>
      <c r="R21" s="4"/>
      <c r="S21" s="8"/>
      <c r="T21" s="8"/>
      <c r="U21" s="3"/>
      <c r="V21" s="3"/>
      <c r="W21" s="2"/>
      <c r="X21" s="3"/>
      <c r="Y21" s="4"/>
      <c r="Z21" s="4"/>
      <c r="AA21" s="8"/>
      <c r="AB21" s="3"/>
      <c r="AC21" s="3"/>
    </row>
    <row r="22" spans="1:37" ht="15" customHeight="1" x14ac:dyDescent="0.2">
      <c r="A22" s="1519" t="s">
        <v>762</v>
      </c>
      <c r="B22" s="492"/>
      <c r="C22" s="2803" t="str">
        <f>IF(OR(Berechnungen!$D$97=0,$AF$22=0),"",ROUND(Berechnungen!$D$97,-2))</f>
        <v/>
      </c>
      <c r="D22" s="2803"/>
      <c r="E22" s="2803"/>
      <c r="F22" s="2803"/>
      <c r="G22" s="18" t="s">
        <v>4</v>
      </c>
      <c r="H22" s="17"/>
      <c r="I22" s="16"/>
      <c r="J22" s="2803" t="str">
        <f>IF(OR(Berechnungen!$F$97=0,$AF$22=0),"",ROUND(Berechnungen!$F$97,-2))</f>
        <v/>
      </c>
      <c r="K22" s="2803"/>
      <c r="L22" s="2803"/>
      <c r="M22" s="2803"/>
      <c r="N22" s="18" t="s">
        <v>4</v>
      </c>
      <c r="O22" s="17"/>
      <c r="P22" s="16"/>
      <c r="Q22" s="2803" t="str">
        <f>IF(OR(Berechnungen!$H$97=0,$AF$22=0),"",ROUND(Berechnungen!$H$97,-2))</f>
        <v/>
      </c>
      <c r="R22" s="2803"/>
      <c r="S22" s="2803"/>
      <c r="T22" s="2803"/>
      <c r="U22" s="18" t="s">
        <v>4</v>
      </c>
      <c r="V22" s="17"/>
      <c r="W22" s="16"/>
      <c r="X22" s="2803" t="str">
        <f>IF(OR(Berechnungen!$J$97=0,$AF$22=0),"",ROUND(Berechnungen!$J$97,-2))</f>
        <v/>
      </c>
      <c r="Y22" s="2803"/>
      <c r="Z22" s="2803"/>
      <c r="AA22" s="2803"/>
      <c r="AB22" s="18" t="s">
        <v>4</v>
      </c>
      <c r="AC22" s="17"/>
      <c r="AD22" s="65"/>
      <c r="AE22" s="99" t="s">
        <v>145</v>
      </c>
      <c r="AF22" s="100">
        <f>Berechnungen!D106</f>
        <v>0</v>
      </c>
      <c r="AG22" s="93" t="s">
        <v>4</v>
      </c>
    </row>
    <row r="23" spans="1:37" ht="4.7" customHeight="1" x14ac:dyDescent="0.2">
      <c r="A23" s="418"/>
      <c r="B23" s="418"/>
      <c r="C23" s="3"/>
      <c r="D23" s="4"/>
      <c r="E23" s="7"/>
      <c r="F23" s="7"/>
      <c r="G23" s="3"/>
      <c r="H23" s="3"/>
      <c r="I23" s="2"/>
      <c r="J23" s="3"/>
      <c r="K23" s="4"/>
      <c r="L23" s="7"/>
      <c r="M23" s="7"/>
      <c r="N23" s="3"/>
      <c r="O23" s="3"/>
      <c r="P23" s="2"/>
      <c r="Q23" s="3"/>
      <c r="R23" s="4"/>
      <c r="S23" s="7"/>
      <c r="T23" s="7"/>
      <c r="U23" s="3"/>
      <c r="V23" s="3"/>
      <c r="W23" s="2"/>
      <c r="X23" s="3"/>
      <c r="Y23" s="4"/>
      <c r="Z23" s="4"/>
      <c r="AA23" s="7"/>
      <c r="AB23" s="3"/>
      <c r="AC23" s="3"/>
    </row>
    <row r="24" spans="1:37" ht="15" customHeight="1" x14ac:dyDescent="0.2">
      <c r="A24" s="492" t="s">
        <v>405</v>
      </c>
      <c r="B24" s="492"/>
      <c r="C24" s="2795">
        <f>Berechnungen!$D$109</f>
        <v>0</v>
      </c>
      <c r="D24" s="2795"/>
      <c r="E24" s="2795"/>
      <c r="F24" s="2795"/>
      <c r="G24" s="18" t="s">
        <v>414</v>
      </c>
      <c r="H24" s="17"/>
      <c r="I24" s="16"/>
      <c r="J24" s="2795">
        <f>Berechnungen!$F$109</f>
        <v>0</v>
      </c>
      <c r="K24" s="2795"/>
      <c r="L24" s="2795"/>
      <c r="M24" s="2795"/>
      <c r="N24" s="18" t="s">
        <v>414</v>
      </c>
      <c r="O24" s="17"/>
      <c r="P24" s="16"/>
      <c r="Q24" s="2795">
        <f>Berechnungen!$H$109</f>
        <v>0</v>
      </c>
      <c r="R24" s="2795"/>
      <c r="S24" s="2795"/>
      <c r="T24" s="2795"/>
      <c r="U24" s="18" t="s">
        <v>414</v>
      </c>
      <c r="V24" s="17"/>
      <c r="W24" s="16"/>
      <c r="X24" s="2795">
        <f>Berechnungen!$J$109</f>
        <v>0</v>
      </c>
      <c r="Y24" s="2795"/>
      <c r="Z24" s="2795"/>
      <c r="AA24" s="2795"/>
      <c r="AB24" s="18" t="s">
        <v>414</v>
      </c>
      <c r="AC24" s="17"/>
    </row>
    <row r="25" spans="1:37" ht="4.7" customHeight="1" x14ac:dyDescent="0.2">
      <c r="A25" s="418"/>
      <c r="B25" s="418"/>
      <c r="C25" s="3"/>
      <c r="D25" s="4"/>
      <c r="E25" s="8"/>
      <c r="F25" s="8"/>
      <c r="G25" s="3"/>
      <c r="H25" s="3"/>
      <c r="I25" s="2"/>
      <c r="J25" s="3"/>
      <c r="K25" s="4"/>
      <c r="L25" s="8"/>
      <c r="M25" s="8"/>
      <c r="N25" s="3"/>
      <c r="O25" s="3"/>
      <c r="P25" s="2"/>
      <c r="Q25" s="3"/>
      <c r="R25" s="4"/>
      <c r="S25" s="8"/>
      <c r="T25" s="8"/>
      <c r="U25" s="3"/>
      <c r="V25" s="3"/>
      <c r="W25" s="2"/>
      <c r="X25" s="3"/>
      <c r="Y25" s="4"/>
      <c r="Z25" s="4"/>
      <c r="AA25" s="8"/>
      <c r="AB25" s="3"/>
      <c r="AC25" s="3"/>
    </row>
    <row r="26" spans="1:37" ht="15" customHeight="1" x14ac:dyDescent="0.2">
      <c r="A26" s="492" t="s">
        <v>406</v>
      </c>
      <c r="B26" s="492"/>
      <c r="C26" s="2795">
        <f>Berechnungen!$D$110</f>
        <v>0</v>
      </c>
      <c r="D26" s="2795"/>
      <c r="E26" s="2795"/>
      <c r="F26" s="2795"/>
      <c r="G26" s="18" t="s">
        <v>414</v>
      </c>
      <c r="H26" s="17"/>
      <c r="I26" s="16"/>
      <c r="J26" s="2795">
        <f>Berechnungen!$F$110</f>
        <v>0</v>
      </c>
      <c r="K26" s="2795"/>
      <c r="L26" s="2795"/>
      <c r="M26" s="2795"/>
      <c r="N26" s="18" t="s">
        <v>414</v>
      </c>
      <c r="O26" s="17"/>
      <c r="P26" s="16"/>
      <c r="Q26" s="2795">
        <f>Berechnungen!$H$110</f>
        <v>0</v>
      </c>
      <c r="R26" s="2795"/>
      <c r="S26" s="2795"/>
      <c r="T26" s="2795"/>
      <c r="U26" s="18" t="s">
        <v>414</v>
      </c>
      <c r="V26" s="17"/>
      <c r="W26" s="16"/>
      <c r="X26" s="2795">
        <f>Berechnungen!$J$110</f>
        <v>0</v>
      </c>
      <c r="Y26" s="2795"/>
      <c r="Z26" s="2795"/>
      <c r="AA26" s="2795"/>
      <c r="AB26" s="18" t="s">
        <v>414</v>
      </c>
      <c r="AC26" s="17"/>
    </row>
    <row r="27" spans="1:37" ht="4.7" customHeight="1" x14ac:dyDescent="0.2">
      <c r="A27" s="418"/>
      <c r="B27" s="418"/>
      <c r="C27" s="3"/>
      <c r="D27" s="4"/>
      <c r="E27" s="8"/>
      <c r="F27" s="8"/>
      <c r="G27" s="3"/>
      <c r="H27" s="3"/>
      <c r="I27" s="2"/>
      <c r="J27" s="3"/>
      <c r="K27" s="4"/>
      <c r="L27" s="8"/>
      <c r="M27" s="8"/>
      <c r="N27" s="3"/>
      <c r="O27" s="3"/>
      <c r="P27" s="2"/>
      <c r="Q27" s="3"/>
      <c r="R27" s="4"/>
      <c r="S27" s="8"/>
      <c r="T27" s="8"/>
      <c r="U27" s="3"/>
      <c r="V27" s="3"/>
      <c r="W27" s="2"/>
      <c r="X27" s="3"/>
      <c r="Y27" s="4"/>
      <c r="Z27" s="4"/>
      <c r="AA27" s="8"/>
      <c r="AB27" s="3"/>
      <c r="AC27" s="3"/>
    </row>
    <row r="28" spans="1:37" ht="15" customHeight="1" x14ac:dyDescent="0.2">
      <c r="A28" s="492" t="s">
        <v>415</v>
      </c>
      <c r="B28" s="492"/>
      <c r="C28" s="2795">
        <f>Berechnungen!$D$111</f>
        <v>0</v>
      </c>
      <c r="D28" s="2795"/>
      <c r="E28" s="2795"/>
      <c r="F28" s="2795"/>
      <c r="G28" s="18" t="s">
        <v>414</v>
      </c>
      <c r="H28" s="17"/>
      <c r="I28" s="16"/>
      <c r="J28" s="2795">
        <f>Berechnungen!$F$111</f>
        <v>0</v>
      </c>
      <c r="K28" s="2795"/>
      <c r="L28" s="2795"/>
      <c r="M28" s="2795"/>
      <c r="N28" s="18" t="s">
        <v>414</v>
      </c>
      <c r="O28" s="17"/>
      <c r="P28" s="16"/>
      <c r="Q28" s="2795">
        <f>Berechnungen!$H$111</f>
        <v>0</v>
      </c>
      <c r="R28" s="2795"/>
      <c r="S28" s="2795"/>
      <c r="T28" s="2795"/>
      <c r="U28" s="18" t="s">
        <v>414</v>
      </c>
      <c r="V28" s="17"/>
      <c r="W28" s="16"/>
      <c r="X28" s="2795">
        <f>Berechnungen!$J$111</f>
        <v>0</v>
      </c>
      <c r="Y28" s="2795"/>
      <c r="Z28" s="2795"/>
      <c r="AA28" s="2795"/>
      <c r="AB28" s="18" t="s">
        <v>414</v>
      </c>
      <c r="AC28" s="17"/>
    </row>
    <row r="29" spans="1:37" ht="4.7" customHeight="1" x14ac:dyDescent="0.2">
      <c r="A29" s="418"/>
      <c r="B29" s="418"/>
      <c r="C29" s="3"/>
      <c r="D29" s="4"/>
      <c r="E29" s="8"/>
      <c r="F29" s="8"/>
      <c r="G29" s="3"/>
      <c r="H29" s="3"/>
      <c r="I29" s="2"/>
      <c r="J29" s="3"/>
      <c r="K29" s="4"/>
      <c r="L29" s="8"/>
      <c r="M29" s="8"/>
      <c r="N29" s="3"/>
      <c r="O29" s="3"/>
      <c r="P29" s="2"/>
      <c r="Q29" s="3"/>
      <c r="R29" s="4"/>
      <c r="S29" s="8"/>
      <c r="T29" s="8"/>
      <c r="U29" s="3"/>
      <c r="V29" s="3"/>
      <c r="W29" s="2"/>
      <c r="X29" s="3"/>
      <c r="Y29" s="4"/>
      <c r="Z29" s="4"/>
      <c r="AA29" s="8"/>
      <c r="AB29" s="3"/>
      <c r="AC29" s="3"/>
    </row>
    <row r="30" spans="1:37" ht="15" customHeight="1" x14ac:dyDescent="0.2">
      <c r="A30" s="2809"/>
      <c r="B30" s="2809"/>
      <c r="C30" s="2799"/>
      <c r="D30" s="2799"/>
      <c r="E30" s="2805"/>
      <c r="F30" s="2805"/>
      <c r="G30" s="2805"/>
      <c r="H30" s="17"/>
      <c r="I30" s="16"/>
      <c r="J30" s="2799"/>
      <c r="K30" s="2799"/>
      <c r="L30" s="2805"/>
      <c r="M30" s="2805"/>
      <c r="N30" s="2805"/>
      <c r="O30" s="17"/>
      <c r="P30" s="16"/>
      <c r="Q30" s="2799"/>
      <c r="R30" s="2799"/>
      <c r="S30" s="2805"/>
      <c r="T30" s="2805"/>
      <c r="U30" s="2805"/>
      <c r="V30" s="17"/>
      <c r="W30" s="16"/>
      <c r="X30" s="2799"/>
      <c r="Y30" s="2799"/>
      <c r="Z30" s="2805"/>
      <c r="AA30" s="2805"/>
      <c r="AB30" s="2805"/>
      <c r="AC30" s="17"/>
      <c r="AE30" s="2797" t="s">
        <v>187</v>
      </c>
      <c r="AF30" s="2797"/>
      <c r="AG30" s="2797"/>
      <c r="AH30" s="2797"/>
    </row>
    <row r="31" spans="1:37" s="722" customFormat="1" ht="4.7" customHeight="1" x14ac:dyDescent="0.2">
      <c r="A31" s="2"/>
      <c r="B31" s="2"/>
      <c r="C31" s="3"/>
      <c r="D31" s="4"/>
      <c r="E31" s="8"/>
      <c r="F31" s="8"/>
      <c r="G31" s="3"/>
      <c r="H31" s="3"/>
      <c r="I31" s="2"/>
      <c r="J31" s="3"/>
      <c r="K31" s="4"/>
      <c r="L31" s="8"/>
      <c r="M31" s="8"/>
      <c r="N31" s="3"/>
      <c r="O31" s="3"/>
      <c r="P31" s="2"/>
      <c r="Q31" s="3"/>
      <c r="R31" s="4"/>
      <c r="S31" s="8"/>
      <c r="T31" s="8"/>
      <c r="U31" s="3"/>
      <c r="V31" s="3"/>
      <c r="W31" s="2"/>
      <c r="X31" s="3"/>
      <c r="Y31" s="4"/>
      <c r="Z31" s="4"/>
      <c r="AA31" s="8"/>
      <c r="AB31" s="3"/>
      <c r="AC31" s="3"/>
      <c r="AE31" s="2797"/>
      <c r="AF31" s="2797"/>
      <c r="AG31" s="2797"/>
      <c r="AH31" s="2797"/>
    </row>
    <row r="32" spans="1:37" s="722" customFormat="1" ht="15" customHeight="1" x14ac:dyDescent="0.2">
      <c r="A32" s="2809"/>
      <c r="B32" s="2809"/>
      <c r="C32" s="2799"/>
      <c r="D32" s="2799"/>
      <c r="E32" s="2805"/>
      <c r="F32" s="2805"/>
      <c r="G32" s="2805"/>
      <c r="H32" s="17"/>
      <c r="I32" s="16"/>
      <c r="J32" s="2799"/>
      <c r="K32" s="2799"/>
      <c r="L32" s="2805"/>
      <c r="M32" s="2805"/>
      <c r="N32" s="2805"/>
      <c r="O32" s="17"/>
      <c r="P32" s="16"/>
      <c r="Q32" s="2799"/>
      <c r="R32" s="2799"/>
      <c r="S32" s="2805"/>
      <c r="T32" s="2805"/>
      <c r="U32" s="2805"/>
      <c r="V32" s="17"/>
      <c r="W32" s="16"/>
      <c r="X32" s="2799"/>
      <c r="Y32" s="2799"/>
      <c r="Z32" s="2805"/>
      <c r="AA32" s="2805"/>
      <c r="AB32" s="2805"/>
      <c r="AC32" s="17"/>
      <c r="AE32" s="2797"/>
      <c r="AF32" s="2797"/>
      <c r="AG32" s="2797"/>
      <c r="AH32" s="2797"/>
    </row>
    <row r="33" spans="1:34" s="281" customFormat="1" ht="4.7" customHeight="1" x14ac:dyDescent="0.2">
      <c r="A33" s="2"/>
      <c r="B33" s="2"/>
      <c r="C33" s="3"/>
      <c r="D33" s="4"/>
      <c r="E33" s="8"/>
      <c r="F33" s="8"/>
      <c r="G33" s="3"/>
      <c r="H33" s="3"/>
      <c r="I33" s="2"/>
      <c r="J33" s="3"/>
      <c r="K33" s="4"/>
      <c r="L33" s="8"/>
      <c r="M33" s="8"/>
      <c r="N33" s="3"/>
      <c r="O33" s="3"/>
      <c r="P33" s="2"/>
      <c r="Q33" s="3"/>
      <c r="R33" s="4"/>
      <c r="S33" s="8"/>
      <c r="T33" s="8"/>
      <c r="U33" s="3"/>
      <c r="V33" s="3"/>
      <c r="W33" s="2"/>
      <c r="X33" s="3"/>
      <c r="Y33" s="4"/>
      <c r="Z33" s="4"/>
      <c r="AA33" s="8"/>
      <c r="AB33" s="3"/>
      <c r="AC33" s="3"/>
      <c r="AE33" s="2797"/>
      <c r="AF33" s="2797"/>
      <c r="AG33" s="2797"/>
      <c r="AH33" s="2797"/>
    </row>
    <row r="34" spans="1:34" s="281" customFormat="1" ht="15" customHeight="1" x14ac:dyDescent="0.2">
      <c r="A34" s="2809"/>
      <c r="B34" s="2809"/>
      <c r="C34" s="2799"/>
      <c r="D34" s="2799"/>
      <c r="E34" s="2805"/>
      <c r="F34" s="2805"/>
      <c r="G34" s="2805"/>
      <c r="H34" s="17"/>
      <c r="I34" s="16"/>
      <c r="J34" s="2799"/>
      <c r="K34" s="2799"/>
      <c r="L34" s="2805"/>
      <c r="M34" s="2805"/>
      <c r="N34" s="2805"/>
      <c r="O34" s="17"/>
      <c r="P34" s="16"/>
      <c r="Q34" s="2799"/>
      <c r="R34" s="2799"/>
      <c r="S34" s="2805"/>
      <c r="T34" s="2805"/>
      <c r="U34" s="2805"/>
      <c r="V34" s="17"/>
      <c r="W34" s="16"/>
      <c r="X34" s="2799"/>
      <c r="Y34" s="2799"/>
      <c r="Z34" s="2805"/>
      <c r="AA34" s="2805"/>
      <c r="AB34" s="2805"/>
      <c r="AC34" s="17"/>
      <c r="AE34" s="2797"/>
      <c r="AF34" s="2797"/>
      <c r="AG34" s="2797"/>
      <c r="AH34" s="2797"/>
    </row>
    <row r="35" spans="1:34" ht="4.7" customHeight="1" x14ac:dyDescent="0.2">
      <c r="A35" s="2"/>
      <c r="B35" s="2"/>
      <c r="C35" s="3"/>
      <c r="D35" s="4"/>
      <c r="E35" s="8"/>
      <c r="F35" s="8"/>
      <c r="G35" s="3"/>
      <c r="H35" s="3"/>
      <c r="I35" s="2"/>
      <c r="J35" s="3"/>
      <c r="K35" s="4"/>
      <c r="L35" s="8"/>
      <c r="M35" s="8"/>
      <c r="N35" s="3"/>
      <c r="O35" s="3"/>
      <c r="P35" s="2"/>
      <c r="Q35" s="3"/>
      <c r="R35" s="4"/>
      <c r="S35" s="8"/>
      <c r="T35" s="8"/>
      <c r="U35" s="3"/>
      <c r="V35" s="3"/>
      <c r="W35" s="2"/>
      <c r="X35" s="3"/>
      <c r="Y35" s="4"/>
      <c r="Z35" s="4"/>
      <c r="AA35" s="8"/>
      <c r="AB35" s="3"/>
      <c r="AC35" s="3"/>
    </row>
    <row r="36" spans="1:34" ht="30" customHeight="1" x14ac:dyDescent="0.2">
      <c r="A36" s="20" t="s">
        <v>9</v>
      </c>
      <c r="B36" s="20"/>
      <c r="C36" s="2799"/>
      <c r="D36" s="2799"/>
      <c r="E36" s="2806"/>
      <c r="F36" s="2806"/>
      <c r="G36" s="2806"/>
      <c r="H36" s="17"/>
      <c r="I36" s="16"/>
      <c r="J36" s="2799"/>
      <c r="K36" s="2799"/>
      <c r="L36" s="2806"/>
      <c r="M36" s="2806"/>
      <c r="N36" s="2806"/>
      <c r="O36" s="17"/>
      <c r="P36" s="16"/>
      <c r="Q36" s="2799"/>
      <c r="R36" s="2799"/>
      <c r="S36" s="2806"/>
      <c r="T36" s="2806"/>
      <c r="U36" s="2806"/>
      <c r="V36" s="17"/>
      <c r="W36" s="16"/>
      <c r="X36" s="2807"/>
      <c r="Y36" s="2807"/>
      <c r="Z36" s="2806"/>
      <c r="AA36" s="2806"/>
      <c r="AB36" s="2806"/>
      <c r="AC36" s="17"/>
      <c r="AE36" s="2797" t="s">
        <v>188</v>
      </c>
      <c r="AF36" s="2797"/>
      <c r="AG36" s="2797"/>
      <c r="AH36" s="2797"/>
    </row>
    <row r="37" spans="1:34" ht="6.75" customHeight="1" x14ac:dyDescent="0.2">
      <c r="A37" s="60"/>
      <c r="B37" s="60"/>
      <c r="C37" s="61"/>
      <c r="D37" s="61"/>
      <c r="E37" s="62"/>
      <c r="F37" s="62"/>
      <c r="G37" s="62"/>
      <c r="H37" s="55"/>
      <c r="I37" s="13"/>
      <c r="J37" s="63"/>
      <c r="K37" s="63"/>
      <c r="L37" s="62"/>
      <c r="M37" s="62"/>
      <c r="N37" s="62"/>
      <c r="O37" s="55"/>
      <c r="P37" s="13"/>
      <c r="Q37" s="61"/>
      <c r="R37" s="61"/>
      <c r="S37" s="62"/>
      <c r="T37" s="62"/>
      <c r="U37" s="62"/>
      <c r="V37" s="55"/>
      <c r="W37" s="13"/>
      <c r="X37" s="64"/>
      <c r="Y37" s="64"/>
      <c r="Z37" s="64"/>
      <c r="AA37" s="62"/>
      <c r="AB37" s="62"/>
      <c r="AC37" s="55"/>
      <c r="AE37" s="101"/>
      <c r="AF37" s="101"/>
      <c r="AG37" s="101"/>
      <c r="AH37" s="101"/>
    </row>
    <row r="38" spans="1:34" ht="15" customHeight="1" x14ac:dyDescent="0.2">
      <c r="A38" s="1484" t="s">
        <v>729</v>
      </c>
      <c r="B38" s="53"/>
      <c r="C38" s="2801">
        <v>1</v>
      </c>
      <c r="D38" s="2802"/>
      <c r="E38" s="1545" t="s">
        <v>8</v>
      </c>
      <c r="F38" s="1545"/>
      <c r="G38" s="1546"/>
      <c r="H38" s="1547"/>
      <c r="I38" s="1547"/>
      <c r="J38" s="1548"/>
      <c r="K38" s="1548"/>
      <c r="L38" s="1549">
        <v>2</v>
      </c>
      <c r="M38" s="1545" t="s">
        <v>6</v>
      </c>
      <c r="N38" s="1548"/>
      <c r="O38" s="1548"/>
      <c r="P38" s="1548"/>
      <c r="Q38" s="1548"/>
      <c r="R38" s="1548"/>
      <c r="S38" s="1548"/>
      <c r="T38" s="1549">
        <v>3</v>
      </c>
      <c r="U38" s="1545" t="s">
        <v>7</v>
      </c>
      <c r="V38" s="1548"/>
      <c r="W38" s="1550"/>
      <c r="X38" s="1551"/>
      <c r="Y38" s="1551"/>
      <c r="Z38" s="1551"/>
      <c r="AA38" s="1552"/>
      <c r="AB38" s="1552"/>
      <c r="AC38" s="1553"/>
      <c r="AE38" s="101"/>
      <c r="AF38" s="101"/>
      <c r="AG38" s="101"/>
      <c r="AH38" s="101"/>
    </row>
    <row r="39" spans="1:34" s="110" customFormat="1" ht="13.5" customHeight="1" x14ac:dyDescent="0.2">
      <c r="A39" s="1483" t="str">
        <f>CONCATENATE("   tungsdauer (",Berechnungen!D28," Jahre)")</f>
        <v xml:space="preserve">   tungsdauer (0 Jahre)</v>
      </c>
      <c r="C39" s="1533"/>
      <c r="D39" s="1525"/>
      <c r="E39" s="1526" t="s">
        <v>778</v>
      </c>
      <c r="F39" s="1527"/>
      <c r="G39" s="1527"/>
      <c r="H39" s="1527"/>
      <c r="I39" s="1527"/>
      <c r="J39" s="1527"/>
      <c r="K39" s="1527"/>
      <c r="L39" s="1527"/>
      <c r="M39" s="1526" t="s">
        <v>776</v>
      </c>
      <c r="N39" s="1528"/>
      <c r="O39" s="1528"/>
      <c r="P39" s="1528"/>
      <c r="Q39" s="1528"/>
      <c r="R39" s="1528"/>
      <c r="S39" s="1528"/>
      <c r="T39" s="1529"/>
      <c r="U39" s="1526" t="s">
        <v>777</v>
      </c>
      <c r="V39" s="1528"/>
      <c r="W39" s="1482"/>
      <c r="X39" s="1530"/>
      <c r="Y39" s="1530"/>
      <c r="Z39" s="1530"/>
      <c r="AA39" s="1531"/>
      <c r="AB39" s="1531"/>
      <c r="AC39" s="1532"/>
      <c r="AE39" s="101"/>
      <c r="AF39" s="101"/>
      <c r="AG39" s="101"/>
      <c r="AH39" s="101"/>
    </row>
    <row r="40" spans="1:34" s="1" customFormat="1" ht="16.5" customHeight="1" x14ac:dyDescent="0.2">
      <c r="A40" s="1534"/>
      <c r="C40" s="1535"/>
      <c r="D40" s="1536"/>
      <c r="E40" s="1538" t="s">
        <v>779</v>
      </c>
      <c r="F40" s="1537"/>
      <c r="G40" s="1537"/>
      <c r="H40" s="1537"/>
      <c r="I40" s="1537"/>
      <c r="J40" s="1537"/>
      <c r="K40" s="1537"/>
      <c r="L40" s="1537"/>
      <c r="M40" s="1538"/>
      <c r="N40" s="1539"/>
      <c r="O40" s="1539"/>
      <c r="P40" s="1539"/>
      <c r="Q40" s="1539"/>
      <c r="R40" s="1539"/>
      <c r="S40" s="1539"/>
      <c r="T40" s="1540"/>
      <c r="U40" s="1538"/>
      <c r="V40" s="1539"/>
      <c r="W40" s="1541"/>
      <c r="X40" s="1542"/>
      <c r="Y40" s="1542"/>
      <c r="Z40" s="1542"/>
      <c r="AA40" s="1543"/>
      <c r="AB40" s="1543"/>
      <c r="AC40" s="1544"/>
      <c r="AE40" s="101"/>
      <c r="AF40" s="101"/>
      <c r="AG40" s="101"/>
      <c r="AH40" s="101"/>
    </row>
    <row r="41" spans="1:34" ht="18" customHeight="1" x14ac:dyDescent="0.2">
      <c r="A41" s="19" t="s">
        <v>0</v>
      </c>
      <c r="B41" s="19"/>
      <c r="C41" s="2798">
        <v>1</v>
      </c>
      <c r="D41" s="2798"/>
      <c r="E41" s="2796">
        <f>E$7</f>
        <v>0</v>
      </c>
      <c r="F41" s="2796"/>
      <c r="G41" s="2796"/>
      <c r="H41" s="9"/>
      <c r="I41" s="2"/>
      <c r="J41" s="2798">
        <v>2</v>
      </c>
      <c r="K41" s="2798"/>
      <c r="L41" s="2796">
        <f>L$7</f>
        <v>0</v>
      </c>
      <c r="M41" s="2796"/>
      <c r="N41" s="2796"/>
      <c r="O41" s="9"/>
      <c r="P41" s="2"/>
      <c r="Q41" s="2798">
        <v>3</v>
      </c>
      <c r="R41" s="2798"/>
      <c r="S41" s="2796">
        <f>S$7</f>
        <v>0</v>
      </c>
      <c r="T41" s="2796"/>
      <c r="U41" s="2796"/>
      <c r="V41" s="9"/>
      <c r="W41" s="2"/>
      <c r="X41" s="2798">
        <v>4</v>
      </c>
      <c r="Y41" s="2798"/>
      <c r="Z41" s="2796">
        <f>Z$7</f>
        <v>0</v>
      </c>
      <c r="AA41" s="2796"/>
      <c r="AB41" s="2796"/>
      <c r="AC41" s="9"/>
      <c r="AE41" s="101"/>
      <c r="AF41" s="101"/>
      <c r="AG41" s="101"/>
      <c r="AH41" s="101"/>
    </row>
    <row r="42" spans="1:34" ht="27.75" customHeight="1" x14ac:dyDescent="0.2">
      <c r="B42" s="627" t="s">
        <v>2</v>
      </c>
      <c r="C42" s="3"/>
      <c r="D42" s="3"/>
      <c r="E42" s="2800">
        <f>E$8</f>
        <v>0</v>
      </c>
      <c r="F42" s="2800"/>
      <c r="G42" s="2800"/>
      <c r="H42" s="10"/>
      <c r="I42" s="2"/>
      <c r="J42" s="3"/>
      <c r="K42" s="3"/>
      <c r="L42" s="2800">
        <f>L$8</f>
        <v>0</v>
      </c>
      <c r="M42" s="2800"/>
      <c r="N42" s="2800"/>
      <c r="O42" s="10"/>
      <c r="P42" s="2"/>
      <c r="Q42" s="3"/>
      <c r="R42" s="3"/>
      <c r="S42" s="2800">
        <f>S$8</f>
        <v>0</v>
      </c>
      <c r="T42" s="2800"/>
      <c r="U42" s="2800"/>
      <c r="V42" s="10"/>
      <c r="W42" s="2"/>
      <c r="X42" s="3"/>
      <c r="Y42" s="3"/>
      <c r="Z42" s="2800">
        <f>Z$8</f>
        <v>0</v>
      </c>
      <c r="AA42" s="2800"/>
      <c r="AB42" s="2800"/>
      <c r="AC42" s="10"/>
      <c r="AE42" s="101"/>
      <c r="AF42" s="101"/>
      <c r="AG42" s="101"/>
      <c r="AH42" s="101"/>
    </row>
    <row r="43" spans="1:34" ht="6" customHeight="1" x14ac:dyDescent="0.2">
      <c r="A43" s="2"/>
      <c r="B43" s="2"/>
      <c r="C43" s="3"/>
      <c r="D43" s="3"/>
      <c r="E43" s="3"/>
      <c r="F43" s="3"/>
      <c r="G43" s="3"/>
      <c r="H43" s="3"/>
      <c r="I43" s="2"/>
      <c r="J43" s="3"/>
      <c r="K43" s="3"/>
      <c r="L43" s="3"/>
      <c r="M43" s="3"/>
      <c r="N43" s="3"/>
      <c r="O43" s="3"/>
      <c r="P43" s="2"/>
      <c r="Q43" s="3"/>
      <c r="R43" s="3"/>
      <c r="S43" s="3"/>
      <c r="T43" s="3"/>
      <c r="U43" s="3"/>
      <c r="V43" s="3"/>
      <c r="W43" s="2"/>
      <c r="X43" s="3"/>
      <c r="Y43" s="3"/>
      <c r="Z43" s="3"/>
      <c r="AA43" s="3"/>
      <c r="AB43" s="3"/>
      <c r="AC43" s="3"/>
    </row>
    <row r="44" spans="1:34" x14ac:dyDescent="0.2">
      <c r="A44" s="2"/>
      <c r="B44" s="2"/>
      <c r="C44" s="2794"/>
      <c r="D44" s="2794"/>
      <c r="E44" s="2794"/>
      <c r="F44" s="2794"/>
      <c r="G44" s="2794"/>
      <c r="H44" s="2794"/>
      <c r="I44" s="13"/>
      <c r="J44" s="2794"/>
      <c r="K44" s="2794"/>
      <c r="L44" s="2794"/>
      <c r="M44" s="2794"/>
      <c r="N44" s="2794"/>
      <c r="O44" s="2794"/>
      <c r="P44" s="13"/>
      <c r="Q44" s="2794"/>
      <c r="R44" s="2794"/>
      <c r="S44" s="2794"/>
      <c r="T44" s="2794"/>
      <c r="U44" s="2794"/>
      <c r="V44" s="2794"/>
      <c r="W44" s="13"/>
      <c r="X44" s="2794"/>
      <c r="Y44" s="2794"/>
      <c r="Z44" s="2794"/>
      <c r="AA44" s="2794"/>
      <c r="AB44" s="2794"/>
      <c r="AC44" s="2794"/>
    </row>
    <row r="45" spans="1:34" x14ac:dyDescent="0.2">
      <c r="C45" s="2794"/>
      <c r="D45" s="2794"/>
      <c r="E45" s="2794"/>
      <c r="F45" s="2794"/>
      <c r="G45" s="2794"/>
      <c r="H45" s="2794"/>
      <c r="J45" s="2794"/>
      <c r="K45" s="2794"/>
      <c r="L45" s="2794"/>
      <c r="M45" s="2794"/>
      <c r="N45" s="2794"/>
      <c r="O45" s="2794"/>
      <c r="Q45" s="2794"/>
      <c r="R45" s="2794"/>
      <c r="S45" s="2794"/>
      <c r="T45" s="2794"/>
      <c r="U45" s="2794"/>
      <c r="V45" s="2794"/>
      <c r="X45" s="2794"/>
      <c r="Y45" s="2794"/>
      <c r="Z45" s="2794"/>
      <c r="AA45" s="2794"/>
      <c r="AB45" s="2794"/>
      <c r="AC45" s="2794"/>
    </row>
    <row r="46" spans="1:34" x14ac:dyDescent="0.2">
      <c r="C46" s="2794"/>
      <c r="D46" s="2794"/>
      <c r="E46" s="2794"/>
      <c r="F46" s="2794"/>
      <c r="G46" s="2794"/>
      <c r="H46" s="2794"/>
      <c r="J46" s="2794"/>
      <c r="K46" s="2794"/>
      <c r="L46" s="2794"/>
      <c r="M46" s="2794"/>
      <c r="N46" s="2794"/>
      <c r="O46" s="2794"/>
      <c r="Q46" s="2794"/>
      <c r="R46" s="2794"/>
      <c r="S46" s="2794"/>
      <c r="T46" s="2794"/>
      <c r="U46" s="2794"/>
      <c r="V46" s="2794"/>
      <c r="X46" s="2794"/>
      <c r="Y46" s="2794"/>
      <c r="Z46" s="2794"/>
      <c r="AA46" s="2794"/>
      <c r="AB46" s="2794"/>
      <c r="AC46" s="2794"/>
    </row>
    <row r="47" spans="1:34" x14ac:dyDescent="0.2">
      <c r="C47" s="2794"/>
      <c r="D47" s="2794"/>
      <c r="E47" s="2794"/>
      <c r="F47" s="2794"/>
      <c r="G47" s="2794"/>
      <c r="H47" s="2794"/>
      <c r="J47" s="2794"/>
      <c r="K47" s="2794"/>
      <c r="L47" s="2794"/>
      <c r="M47" s="2794"/>
      <c r="N47" s="2794"/>
      <c r="O47" s="2794"/>
      <c r="Q47" s="2794"/>
      <c r="R47" s="2794"/>
      <c r="S47" s="2794"/>
      <c r="T47" s="2794"/>
      <c r="U47" s="2794"/>
      <c r="V47" s="2794"/>
      <c r="X47" s="2794"/>
      <c r="Y47" s="2794"/>
      <c r="Z47" s="2794"/>
      <c r="AA47" s="2794"/>
      <c r="AB47" s="2794"/>
      <c r="AC47" s="2794"/>
    </row>
    <row r="48" spans="1:34" x14ac:dyDescent="0.2">
      <c r="C48" s="2794"/>
      <c r="D48" s="2794"/>
      <c r="E48" s="2794"/>
      <c r="F48" s="2794"/>
      <c r="G48" s="2794"/>
      <c r="H48" s="2794"/>
      <c r="J48" s="2794"/>
      <c r="K48" s="2794"/>
      <c r="L48" s="2794"/>
      <c r="M48" s="2794"/>
      <c r="N48" s="2794"/>
      <c r="O48" s="2794"/>
      <c r="Q48" s="2794"/>
      <c r="R48" s="2794"/>
      <c r="S48" s="2794"/>
      <c r="T48" s="2794"/>
      <c r="U48" s="2794"/>
      <c r="V48" s="2794"/>
      <c r="X48" s="2794"/>
      <c r="Y48" s="2794"/>
      <c r="Z48" s="2794"/>
      <c r="AA48" s="2794"/>
      <c r="AB48" s="2794"/>
      <c r="AC48" s="2794"/>
    </row>
    <row r="49" spans="3:29" x14ac:dyDescent="0.2">
      <c r="C49" s="2794"/>
      <c r="D49" s="2794"/>
      <c r="E49" s="2794"/>
      <c r="F49" s="2794"/>
      <c r="G49" s="2794"/>
      <c r="H49" s="2794"/>
      <c r="J49" s="2794"/>
      <c r="K49" s="2794"/>
      <c r="L49" s="2794"/>
      <c r="M49" s="2794"/>
      <c r="N49" s="2794"/>
      <c r="O49" s="2794"/>
      <c r="Q49" s="2794"/>
      <c r="R49" s="2794"/>
      <c r="S49" s="2794"/>
      <c r="T49" s="2794"/>
      <c r="U49" s="2794"/>
      <c r="V49" s="2794"/>
      <c r="X49" s="2794"/>
      <c r="Y49" s="2794"/>
      <c r="Z49" s="2794"/>
      <c r="AA49" s="2794"/>
      <c r="AB49" s="2794"/>
      <c r="AC49" s="2794"/>
    </row>
    <row r="50" spans="3:29" x14ac:dyDescent="0.2">
      <c r="C50" s="2794"/>
      <c r="D50" s="2794"/>
      <c r="E50" s="2794"/>
      <c r="F50" s="2794"/>
      <c r="G50" s="2794"/>
      <c r="H50" s="2794"/>
      <c r="J50" s="2794"/>
      <c r="K50" s="2794"/>
      <c r="L50" s="2794"/>
      <c r="M50" s="2794"/>
      <c r="N50" s="2794"/>
      <c r="O50" s="2794"/>
      <c r="Q50" s="2794"/>
      <c r="R50" s="2794"/>
      <c r="S50" s="2794"/>
      <c r="T50" s="2794"/>
      <c r="U50" s="2794"/>
      <c r="V50" s="2794"/>
      <c r="X50" s="2794"/>
      <c r="Y50" s="2794"/>
      <c r="Z50" s="2794"/>
      <c r="AA50" s="2794"/>
      <c r="AB50" s="2794"/>
      <c r="AC50" s="2794"/>
    </row>
    <row r="51" spans="3:29" x14ac:dyDescent="0.2">
      <c r="C51" s="2794"/>
      <c r="D51" s="2794"/>
      <c r="E51" s="2794"/>
      <c r="F51" s="2794"/>
      <c r="G51" s="2794"/>
      <c r="H51" s="2794"/>
      <c r="J51" s="2794"/>
      <c r="K51" s="2794"/>
      <c r="L51" s="2794"/>
      <c r="M51" s="2794"/>
      <c r="N51" s="2794"/>
      <c r="O51" s="2794"/>
      <c r="Q51" s="2794"/>
      <c r="R51" s="2794"/>
      <c r="S51" s="2794"/>
      <c r="T51" s="2794"/>
      <c r="U51" s="2794"/>
      <c r="V51" s="2794"/>
      <c r="X51" s="2794"/>
      <c r="Y51" s="2794"/>
      <c r="Z51" s="2794"/>
      <c r="AA51" s="2794"/>
      <c r="AB51" s="2794"/>
      <c r="AC51" s="2794"/>
    </row>
    <row r="52" spans="3:29" x14ac:dyDescent="0.2">
      <c r="C52" s="2794"/>
      <c r="D52" s="2794"/>
      <c r="E52" s="2794"/>
      <c r="F52" s="2794"/>
      <c r="G52" s="2794"/>
      <c r="H52" s="2794"/>
      <c r="J52" s="2794"/>
      <c r="K52" s="2794"/>
      <c r="L52" s="2794"/>
      <c r="M52" s="2794"/>
      <c r="N52" s="2794"/>
      <c r="O52" s="2794"/>
      <c r="Q52" s="2794"/>
      <c r="R52" s="2794"/>
      <c r="S52" s="2794"/>
      <c r="T52" s="2794"/>
      <c r="U52" s="2794"/>
      <c r="V52" s="2794"/>
      <c r="X52" s="2794"/>
      <c r="Y52" s="2794"/>
      <c r="Z52" s="2794"/>
      <c r="AA52" s="2794"/>
      <c r="AB52" s="2794"/>
      <c r="AC52" s="2794"/>
    </row>
    <row r="53" spans="3:29" x14ac:dyDescent="0.2">
      <c r="C53" s="2794"/>
      <c r="D53" s="2794"/>
      <c r="E53" s="2794"/>
      <c r="F53" s="2794"/>
      <c r="G53" s="2794"/>
      <c r="H53" s="2794"/>
      <c r="J53" s="2794"/>
      <c r="K53" s="2794"/>
      <c r="L53" s="2794"/>
      <c r="M53" s="2794"/>
      <c r="N53" s="2794"/>
      <c r="O53" s="2794"/>
      <c r="Q53" s="2794"/>
      <c r="R53" s="2794"/>
      <c r="S53" s="2794"/>
      <c r="T53" s="2794"/>
      <c r="U53" s="2794"/>
      <c r="V53" s="2794"/>
      <c r="X53" s="2794"/>
      <c r="Y53" s="2794"/>
      <c r="Z53" s="2794"/>
      <c r="AA53" s="2794"/>
      <c r="AB53" s="2794"/>
      <c r="AC53" s="2794"/>
    </row>
    <row r="54" spans="3:29" x14ac:dyDescent="0.2">
      <c r="C54" s="2794"/>
      <c r="D54" s="2794"/>
      <c r="E54" s="2794"/>
      <c r="F54" s="2794"/>
      <c r="G54" s="2794"/>
      <c r="H54" s="2794"/>
      <c r="J54" s="2794"/>
      <c r="K54" s="2794"/>
      <c r="L54" s="2794"/>
      <c r="M54" s="2794"/>
      <c r="N54" s="2794"/>
      <c r="O54" s="2794"/>
      <c r="Q54" s="2794"/>
      <c r="R54" s="2794"/>
      <c r="S54" s="2794"/>
      <c r="T54" s="2794"/>
      <c r="U54" s="2794"/>
      <c r="V54" s="2794"/>
      <c r="X54" s="2794"/>
      <c r="Y54" s="2794"/>
      <c r="Z54" s="2794"/>
      <c r="AA54" s="2794"/>
      <c r="AB54" s="2794"/>
      <c r="AC54" s="2794"/>
    </row>
    <row r="55" spans="3:29" x14ac:dyDescent="0.2">
      <c r="C55" s="2794"/>
      <c r="D55" s="2794"/>
      <c r="E55" s="2794"/>
      <c r="F55" s="2794"/>
      <c r="G55" s="2794"/>
      <c r="H55" s="2794"/>
      <c r="J55" s="2794"/>
      <c r="K55" s="2794"/>
      <c r="L55" s="2794"/>
      <c r="M55" s="2794"/>
      <c r="N55" s="2794"/>
      <c r="O55" s="2794"/>
      <c r="Q55" s="2794"/>
      <c r="R55" s="2794"/>
      <c r="S55" s="2794"/>
      <c r="T55" s="2794"/>
      <c r="U55" s="2794"/>
      <c r="V55" s="2794"/>
      <c r="X55" s="2794"/>
      <c r="Y55" s="2794"/>
      <c r="Z55" s="2794"/>
      <c r="AA55" s="2794"/>
      <c r="AB55" s="2794"/>
      <c r="AC55" s="2794"/>
    </row>
    <row r="56" spans="3:29" x14ac:dyDescent="0.2">
      <c r="C56" s="2794"/>
      <c r="D56" s="2794"/>
      <c r="E56" s="2794"/>
      <c r="F56" s="2794"/>
      <c r="G56" s="2794"/>
      <c r="H56" s="2794"/>
      <c r="J56" s="2794"/>
      <c r="K56" s="2794"/>
      <c r="L56" s="2794"/>
      <c r="M56" s="2794"/>
      <c r="N56" s="2794"/>
      <c r="O56" s="2794"/>
      <c r="Q56" s="2794"/>
      <c r="R56" s="2794"/>
      <c r="S56" s="2794"/>
      <c r="T56" s="2794"/>
      <c r="U56" s="2794"/>
      <c r="V56" s="2794"/>
      <c r="X56" s="2794"/>
      <c r="Y56" s="2794"/>
      <c r="Z56" s="2794"/>
      <c r="AA56" s="2794"/>
      <c r="AB56" s="2794"/>
      <c r="AC56" s="2794"/>
    </row>
    <row r="57" spans="3:29" x14ac:dyDescent="0.2">
      <c r="C57" s="2794"/>
      <c r="D57" s="2794"/>
      <c r="E57" s="2794"/>
      <c r="F57" s="2794"/>
      <c r="G57" s="2794"/>
      <c r="H57" s="2794"/>
      <c r="J57" s="2794"/>
      <c r="K57" s="2794"/>
      <c r="L57" s="2794"/>
      <c r="M57" s="2794"/>
      <c r="N57" s="2794"/>
      <c r="O57" s="2794"/>
      <c r="Q57" s="2794"/>
      <c r="R57" s="2794"/>
      <c r="S57" s="2794"/>
      <c r="T57" s="2794"/>
      <c r="U57" s="2794"/>
      <c r="V57" s="2794"/>
      <c r="X57" s="2794"/>
      <c r="Y57" s="2794"/>
      <c r="Z57" s="2794"/>
      <c r="AA57" s="2794"/>
      <c r="AB57" s="2794"/>
      <c r="AC57" s="2794"/>
    </row>
    <row r="58" spans="3:29" x14ac:dyDescent="0.2">
      <c r="C58" s="2794"/>
      <c r="D58" s="2794"/>
      <c r="E58" s="2794"/>
      <c r="F58" s="2794"/>
      <c r="G58" s="2794"/>
      <c r="H58" s="2794"/>
      <c r="J58" s="2794"/>
      <c r="K58" s="2794"/>
      <c r="L58" s="2794"/>
      <c r="M58" s="2794"/>
      <c r="N58" s="2794"/>
      <c r="O58" s="2794"/>
      <c r="Q58" s="2794"/>
      <c r="R58" s="2794"/>
      <c r="S58" s="2794"/>
      <c r="T58" s="2794"/>
      <c r="U58" s="2794"/>
      <c r="V58" s="2794"/>
      <c r="X58" s="2794"/>
      <c r="Y58" s="2794"/>
      <c r="Z58" s="2794"/>
      <c r="AA58" s="2794"/>
      <c r="AB58" s="2794"/>
      <c r="AC58" s="2794"/>
    </row>
    <row r="59" spans="3:29" x14ac:dyDescent="0.2">
      <c r="C59" s="2794"/>
      <c r="D59" s="2794"/>
      <c r="E59" s="2794"/>
      <c r="F59" s="2794"/>
      <c r="G59" s="2794"/>
      <c r="H59" s="2794"/>
      <c r="J59" s="2794"/>
      <c r="K59" s="2794"/>
      <c r="L59" s="2794"/>
      <c r="M59" s="2794"/>
      <c r="N59" s="2794"/>
      <c r="O59" s="2794"/>
      <c r="Q59" s="2794"/>
      <c r="R59" s="2794"/>
      <c r="S59" s="2794"/>
      <c r="T59" s="2794"/>
      <c r="U59" s="2794"/>
      <c r="V59" s="2794"/>
      <c r="X59" s="2794"/>
      <c r="Y59" s="2794"/>
      <c r="Z59" s="2794"/>
      <c r="AA59" s="2794"/>
      <c r="AB59" s="2794"/>
      <c r="AC59" s="2794"/>
    </row>
    <row r="60" spans="3:29" x14ac:dyDescent="0.2">
      <c r="C60" s="2794"/>
      <c r="D60" s="2794"/>
      <c r="E60" s="2794"/>
      <c r="F60" s="2794"/>
      <c r="G60" s="2794"/>
      <c r="H60" s="2794"/>
      <c r="J60" s="2794"/>
      <c r="K60" s="2794"/>
      <c r="L60" s="2794"/>
      <c r="M60" s="2794"/>
      <c r="N60" s="2794"/>
      <c r="O60" s="2794"/>
      <c r="Q60" s="2794"/>
      <c r="R60" s="2794"/>
      <c r="S60" s="2794"/>
      <c r="T60" s="2794"/>
      <c r="U60" s="2794"/>
      <c r="V60" s="2794"/>
      <c r="X60" s="2794"/>
      <c r="Y60" s="2794"/>
      <c r="Z60" s="2794"/>
      <c r="AA60" s="2794"/>
      <c r="AB60" s="2794"/>
      <c r="AC60" s="2794"/>
    </row>
    <row r="61" spans="3:29" x14ac:dyDescent="0.2">
      <c r="C61" s="2794"/>
      <c r="D61" s="2794"/>
      <c r="E61" s="2794"/>
      <c r="F61" s="2794"/>
      <c r="G61" s="2794"/>
      <c r="H61" s="2794"/>
      <c r="J61" s="2794"/>
      <c r="K61" s="2794"/>
      <c r="L61" s="2794"/>
      <c r="M61" s="2794"/>
      <c r="N61" s="2794"/>
      <c r="O61" s="2794"/>
      <c r="Q61" s="2794"/>
      <c r="R61" s="2794"/>
      <c r="S61" s="2794"/>
      <c r="T61" s="2794"/>
      <c r="U61" s="2794"/>
      <c r="V61" s="2794"/>
      <c r="X61" s="2794"/>
      <c r="Y61" s="2794"/>
      <c r="Z61" s="2794"/>
      <c r="AA61" s="2794"/>
      <c r="AB61" s="2794"/>
      <c r="AC61" s="2794"/>
    </row>
    <row r="62" spans="3:29" x14ac:dyDescent="0.2">
      <c r="C62" s="2794"/>
      <c r="D62" s="2794"/>
      <c r="E62" s="2794"/>
      <c r="F62" s="2794"/>
      <c r="G62" s="2794"/>
      <c r="H62" s="2794"/>
      <c r="J62" s="2794"/>
      <c r="K62" s="2794"/>
      <c r="L62" s="2794"/>
      <c r="M62" s="2794"/>
      <c r="N62" s="2794"/>
      <c r="O62" s="2794"/>
      <c r="Q62" s="2794"/>
      <c r="R62" s="2794"/>
      <c r="S62" s="2794"/>
      <c r="T62" s="2794"/>
      <c r="U62" s="2794"/>
      <c r="V62" s="2794"/>
      <c r="X62" s="2794"/>
      <c r="Y62" s="2794"/>
      <c r="Z62" s="2794"/>
      <c r="AA62" s="2794"/>
      <c r="AB62" s="2794"/>
      <c r="AC62" s="2794"/>
    </row>
    <row r="63" spans="3:29" x14ac:dyDescent="0.2">
      <c r="C63" s="2794"/>
      <c r="D63" s="2794"/>
      <c r="E63" s="2794"/>
      <c r="F63" s="2794"/>
      <c r="G63" s="2794"/>
      <c r="H63" s="2794"/>
      <c r="J63" s="2794"/>
      <c r="K63" s="2794"/>
      <c r="L63" s="2794"/>
      <c r="M63" s="2794"/>
      <c r="N63" s="2794"/>
      <c r="O63" s="2794"/>
      <c r="Q63" s="2794"/>
      <c r="R63" s="2794"/>
      <c r="S63" s="2794"/>
      <c r="T63" s="2794"/>
      <c r="U63" s="2794"/>
      <c r="V63" s="2794"/>
      <c r="X63" s="2794"/>
      <c r="Y63" s="2794"/>
      <c r="Z63" s="2794"/>
      <c r="AA63" s="2794"/>
      <c r="AB63" s="2794"/>
      <c r="AC63" s="2794"/>
    </row>
    <row r="64" spans="3:29" x14ac:dyDescent="0.2">
      <c r="C64" s="2794"/>
      <c r="D64" s="2794"/>
      <c r="E64" s="2794"/>
      <c r="F64" s="2794"/>
      <c r="G64" s="2794"/>
      <c r="H64" s="2794"/>
      <c r="J64" s="2794"/>
      <c r="K64" s="2794"/>
      <c r="L64" s="2794"/>
      <c r="M64" s="2794"/>
      <c r="N64" s="2794"/>
      <c r="O64" s="2794"/>
      <c r="Q64" s="2794"/>
      <c r="R64" s="2794"/>
      <c r="S64" s="2794"/>
      <c r="T64" s="2794"/>
      <c r="U64" s="2794"/>
      <c r="V64" s="2794"/>
      <c r="X64" s="2794"/>
      <c r="Y64" s="2794"/>
      <c r="Z64" s="2794"/>
      <c r="AA64" s="2794"/>
      <c r="AB64" s="2794"/>
      <c r="AC64" s="2794"/>
    </row>
    <row r="65" spans="1:29" x14ac:dyDescent="0.2">
      <c r="C65" s="2794"/>
      <c r="D65" s="2794"/>
      <c r="E65" s="2794"/>
      <c r="F65" s="2794"/>
      <c r="G65" s="2794"/>
      <c r="H65" s="2794"/>
      <c r="J65" s="2794"/>
      <c r="K65" s="2794"/>
      <c r="L65" s="2794"/>
      <c r="M65" s="2794"/>
      <c r="N65" s="2794"/>
      <c r="O65" s="2794"/>
      <c r="Q65" s="2794"/>
      <c r="R65" s="2794"/>
      <c r="S65" s="2794"/>
      <c r="T65" s="2794"/>
      <c r="U65" s="2794"/>
      <c r="V65" s="2794"/>
      <c r="X65" s="2794"/>
      <c r="Y65" s="2794"/>
      <c r="Z65" s="2794"/>
      <c r="AA65" s="2794"/>
      <c r="AB65" s="2794"/>
      <c r="AC65" s="2794"/>
    </row>
    <row r="66" spans="1:29" x14ac:dyDescent="0.2">
      <c r="C66" s="2794"/>
      <c r="D66" s="2794"/>
      <c r="E66" s="2794"/>
      <c r="F66" s="2794"/>
      <c r="G66" s="2794"/>
      <c r="H66" s="2794"/>
      <c r="J66" s="2794"/>
      <c r="K66" s="2794"/>
      <c r="L66" s="2794"/>
      <c r="M66" s="2794"/>
      <c r="N66" s="2794"/>
      <c r="O66" s="2794"/>
      <c r="Q66" s="2794"/>
      <c r="R66" s="2794"/>
      <c r="S66" s="2794"/>
      <c r="T66" s="2794"/>
      <c r="U66" s="2794"/>
      <c r="V66" s="2794"/>
      <c r="X66" s="2794"/>
      <c r="Y66" s="2794"/>
      <c r="Z66" s="2794"/>
      <c r="AA66" s="2794"/>
      <c r="AB66" s="2794"/>
      <c r="AC66" s="2794"/>
    </row>
    <row r="67" spans="1:29" s="722" customFormat="1" x14ac:dyDescent="0.2">
      <c r="C67" s="1381"/>
      <c r="D67" s="1381"/>
      <c r="E67" s="1381"/>
      <c r="F67" s="1381"/>
      <c r="G67" s="1381"/>
      <c r="H67" s="1381"/>
      <c r="J67" s="1381"/>
      <c r="K67" s="1381"/>
      <c r="L67" s="1381"/>
      <c r="M67" s="1381"/>
      <c r="N67" s="1381"/>
      <c r="O67" s="1381"/>
      <c r="Q67" s="1381"/>
      <c r="R67" s="1381"/>
      <c r="S67" s="1381"/>
      <c r="T67" s="1381"/>
      <c r="U67" s="1381"/>
      <c r="V67" s="1381"/>
      <c r="X67" s="1381"/>
      <c r="Y67" s="1381"/>
      <c r="Z67" s="1381"/>
      <c r="AA67" s="1381"/>
      <c r="AB67" s="1381"/>
      <c r="AC67" s="1381"/>
    </row>
    <row r="68" spans="1:29" x14ac:dyDescent="0.2">
      <c r="C68" s="2794"/>
      <c r="D68" s="2794"/>
      <c r="E68" s="2794"/>
      <c r="F68" s="2794"/>
      <c r="G68" s="2794"/>
      <c r="H68" s="2794"/>
      <c r="J68" s="2794"/>
      <c r="K68" s="2794"/>
      <c r="L68" s="2794"/>
      <c r="M68" s="2794"/>
      <c r="N68" s="2794"/>
      <c r="O68" s="2794"/>
      <c r="Q68" s="2794"/>
      <c r="R68" s="2794"/>
      <c r="S68" s="2794"/>
      <c r="T68" s="2794"/>
      <c r="U68" s="2794"/>
      <c r="V68" s="2794"/>
      <c r="X68" s="2794"/>
      <c r="Y68" s="2794"/>
      <c r="Z68" s="2794"/>
      <c r="AA68" s="2794"/>
      <c r="AB68" s="2794"/>
      <c r="AC68" s="2794"/>
    </row>
    <row r="69" spans="1:29" x14ac:dyDescent="0.2">
      <c r="C69" s="2794"/>
      <c r="D69" s="2794"/>
      <c r="E69" s="2794"/>
      <c r="F69" s="2794"/>
      <c r="G69" s="2794"/>
      <c r="H69" s="2794"/>
      <c r="J69" s="2794"/>
      <c r="K69" s="2794"/>
      <c r="L69" s="2794"/>
      <c r="M69" s="2794"/>
      <c r="N69" s="2794"/>
      <c r="O69" s="2794"/>
      <c r="Q69" s="2794"/>
      <c r="R69" s="2794"/>
      <c r="S69" s="2794"/>
      <c r="T69" s="2794"/>
      <c r="U69" s="2794"/>
      <c r="V69" s="2794"/>
      <c r="X69" s="2794"/>
      <c r="Y69" s="2794"/>
      <c r="Z69" s="2794"/>
      <c r="AA69" s="2794"/>
      <c r="AB69" s="2794"/>
      <c r="AC69" s="2794"/>
    </row>
    <row r="70" spans="1:29" ht="18" customHeight="1" x14ac:dyDescent="0.2">
      <c r="A70" s="19" t="s">
        <v>624</v>
      </c>
      <c r="B70" s="19"/>
      <c r="C70" s="2798">
        <v>1</v>
      </c>
      <c r="D70" s="2798"/>
      <c r="E70" s="2796">
        <f>E$7</f>
        <v>0</v>
      </c>
      <c r="F70" s="2796"/>
      <c r="G70" s="2796"/>
      <c r="H70" s="14"/>
      <c r="I70" s="2"/>
      <c r="J70" s="2798">
        <v>2</v>
      </c>
      <c r="K70" s="2798"/>
      <c r="L70" s="2796">
        <f>L$7</f>
        <v>0</v>
      </c>
      <c r="M70" s="2796"/>
      <c r="N70" s="2796"/>
      <c r="O70" s="14"/>
      <c r="P70" s="2"/>
      <c r="Q70" s="2798">
        <v>3</v>
      </c>
      <c r="R70" s="2798"/>
      <c r="S70" s="2796">
        <f>S$7</f>
        <v>0</v>
      </c>
      <c r="T70" s="2796"/>
      <c r="U70" s="2796"/>
      <c r="V70" s="14"/>
      <c r="W70" s="2"/>
      <c r="X70" s="2798">
        <v>4</v>
      </c>
      <c r="Y70" s="2798"/>
      <c r="Z70" s="2796">
        <f>Z$7</f>
        <v>0</v>
      </c>
      <c r="AA70" s="2796"/>
      <c r="AB70" s="2796"/>
      <c r="AC70" s="14"/>
    </row>
    <row r="71" spans="1:29" ht="27.75" customHeight="1" x14ac:dyDescent="0.2">
      <c r="A71" s="626" t="str">
        <f>Grunddaten!$U$10</f>
        <v>Förderbeiträge berücksichtigen</v>
      </c>
      <c r="B71" s="627" t="s">
        <v>3</v>
      </c>
      <c r="C71" s="3"/>
      <c r="D71" s="3"/>
      <c r="E71" s="2800">
        <f>E$8</f>
        <v>0</v>
      </c>
      <c r="F71" s="2800"/>
      <c r="G71" s="2800"/>
      <c r="H71" s="10"/>
      <c r="I71" s="2"/>
      <c r="J71" s="3"/>
      <c r="K71" s="3"/>
      <c r="L71" s="2800">
        <f>L$8</f>
        <v>0</v>
      </c>
      <c r="M71" s="2800"/>
      <c r="N71" s="2800"/>
      <c r="O71" s="10"/>
      <c r="P71" s="2"/>
      <c r="Q71" s="3"/>
      <c r="R71" s="3"/>
      <c r="S71" s="2800">
        <f>S$8</f>
        <v>0</v>
      </c>
      <c r="T71" s="2800"/>
      <c r="U71" s="2800"/>
      <c r="V71" s="10"/>
      <c r="W71" s="2"/>
      <c r="X71" s="3"/>
      <c r="Y71" s="3"/>
      <c r="Z71" s="2800">
        <f>Z$8</f>
        <v>0</v>
      </c>
      <c r="AA71" s="2800"/>
      <c r="AB71" s="2800"/>
      <c r="AC71" s="10"/>
    </row>
    <row r="72" spans="1:29" ht="6" customHeight="1" x14ac:dyDescent="0.2">
      <c r="A72" s="2"/>
      <c r="B72" s="2"/>
      <c r="C72" s="3"/>
      <c r="D72" s="3"/>
      <c r="E72" s="3"/>
      <c r="F72" s="3"/>
      <c r="G72" s="3"/>
      <c r="H72" s="3"/>
      <c r="I72" s="2"/>
      <c r="J72" s="3"/>
      <c r="K72" s="3"/>
      <c r="L72" s="3"/>
      <c r="M72" s="3"/>
      <c r="N72" s="3"/>
      <c r="O72" s="3"/>
      <c r="P72" s="2"/>
      <c r="Q72" s="3"/>
      <c r="R72" s="3"/>
      <c r="S72" s="3"/>
      <c r="T72" s="3"/>
      <c r="U72" s="3"/>
      <c r="V72" s="3"/>
      <c r="W72" s="2"/>
      <c r="X72" s="3"/>
      <c r="Y72" s="3"/>
      <c r="Z72" s="3"/>
      <c r="AA72" s="3"/>
      <c r="AB72" s="3"/>
      <c r="AC72" s="3"/>
    </row>
    <row r="73" spans="1:29" ht="12.75" customHeight="1" x14ac:dyDescent="0.2">
      <c r="A73" s="1378" t="s">
        <v>730</v>
      </c>
      <c r="B73" s="625"/>
      <c r="C73" s="2794"/>
      <c r="D73" s="2794"/>
      <c r="E73" s="2794"/>
      <c r="F73" s="2794"/>
      <c r="G73" s="2794"/>
      <c r="H73" s="2794"/>
      <c r="I73" s="13"/>
      <c r="J73" s="2794"/>
      <c r="K73" s="2794"/>
      <c r="L73" s="2794"/>
      <c r="M73" s="2794"/>
      <c r="N73" s="2794"/>
      <c r="O73" s="2794"/>
      <c r="P73" s="13"/>
      <c r="Q73" s="2794"/>
      <c r="R73" s="2794"/>
      <c r="S73" s="2794"/>
      <c r="T73" s="2794"/>
      <c r="U73" s="2794"/>
      <c r="V73" s="2794"/>
      <c r="W73" s="13"/>
      <c r="X73" s="2794"/>
      <c r="Y73" s="2794"/>
      <c r="Z73" s="2794"/>
      <c r="AA73" s="2794"/>
      <c r="AB73" s="2794"/>
      <c r="AC73" s="2794"/>
    </row>
    <row r="74" spans="1:29" x14ac:dyDescent="0.2">
      <c r="A74" s="1379" t="s">
        <v>721</v>
      </c>
      <c r="B74" s="625"/>
      <c r="C74" s="2794"/>
      <c r="D74" s="2794"/>
      <c r="E74" s="2794"/>
      <c r="F74" s="2794"/>
      <c r="G74" s="2794"/>
      <c r="H74" s="2794"/>
      <c r="J74" s="2794"/>
      <c r="K74" s="2794"/>
      <c r="L74" s="2794"/>
      <c r="M74" s="2794"/>
      <c r="N74" s="2794"/>
      <c r="O74" s="2794"/>
      <c r="Q74" s="2794"/>
      <c r="R74" s="2794"/>
      <c r="S74" s="2794"/>
      <c r="T74" s="2794"/>
      <c r="U74" s="2794"/>
      <c r="V74" s="2794"/>
      <c r="X74" s="2794"/>
      <c r="Y74" s="2794"/>
      <c r="Z74" s="2794"/>
      <c r="AA74" s="2794"/>
      <c r="AB74" s="2794"/>
      <c r="AC74" s="2794"/>
    </row>
    <row r="75" spans="1:29" x14ac:dyDescent="0.2">
      <c r="A75" s="58" t="str">
        <f>CONCATENATE("dauer (",Berechnungen!D28," Jahre)")</f>
        <v>dauer (0 Jahre)</v>
      </c>
      <c r="B75" s="625"/>
      <c r="C75" s="2794"/>
      <c r="D75" s="2794"/>
      <c r="E75" s="2794"/>
      <c r="F75" s="2794"/>
      <c r="G75" s="2794"/>
      <c r="H75" s="2794"/>
      <c r="J75" s="2794"/>
      <c r="K75" s="2794"/>
      <c r="L75" s="2794"/>
      <c r="M75" s="2794"/>
      <c r="N75" s="2794"/>
      <c r="O75" s="2794"/>
      <c r="Q75" s="2794"/>
      <c r="R75" s="2794"/>
      <c r="S75" s="2794"/>
      <c r="T75" s="2794"/>
      <c r="U75" s="2794"/>
      <c r="V75" s="2794"/>
      <c r="X75" s="2794"/>
      <c r="Y75" s="2794"/>
      <c r="Z75" s="2794"/>
      <c r="AA75" s="2794"/>
      <c r="AB75" s="2794"/>
      <c r="AC75" s="2794"/>
    </row>
    <row r="76" spans="1:29" x14ac:dyDescent="0.2">
      <c r="C76" s="2794"/>
      <c r="D76" s="2794"/>
      <c r="E76" s="2794"/>
      <c r="F76" s="2794"/>
      <c r="G76" s="2794"/>
      <c r="H76" s="2794"/>
      <c r="J76" s="2794"/>
      <c r="K76" s="2794"/>
      <c r="L76" s="2794"/>
      <c r="M76" s="2794"/>
      <c r="N76" s="2794"/>
      <c r="O76" s="2794"/>
      <c r="Q76" s="2794"/>
      <c r="R76" s="2794"/>
      <c r="S76" s="2794"/>
      <c r="T76" s="2794"/>
      <c r="U76" s="2794"/>
      <c r="V76" s="2794"/>
      <c r="X76" s="2794"/>
      <c r="Y76" s="2794"/>
      <c r="Z76" s="2794"/>
      <c r="AA76" s="2794"/>
      <c r="AB76" s="2794"/>
      <c r="AC76" s="2794"/>
    </row>
    <row r="77" spans="1:29" x14ac:dyDescent="0.2">
      <c r="A77" s="1380"/>
      <c r="C77" s="2794"/>
      <c r="D77" s="2794"/>
      <c r="E77" s="2794"/>
      <c r="F77" s="2794"/>
      <c r="G77" s="2794"/>
      <c r="H77" s="2794"/>
      <c r="J77" s="2794"/>
      <c r="K77" s="2794"/>
      <c r="L77" s="2794"/>
      <c r="M77" s="2794"/>
      <c r="N77" s="2794"/>
      <c r="O77" s="2794"/>
      <c r="Q77" s="2794"/>
      <c r="R77" s="2794"/>
      <c r="S77" s="2794"/>
      <c r="T77" s="2794"/>
      <c r="U77" s="2794"/>
      <c r="V77" s="2794"/>
      <c r="X77" s="2794"/>
      <c r="Y77" s="2794"/>
      <c r="Z77" s="2794"/>
      <c r="AA77" s="2794"/>
      <c r="AB77" s="2794"/>
      <c r="AC77" s="2794"/>
    </row>
    <row r="78" spans="1:29" x14ac:dyDescent="0.2">
      <c r="C78" s="2794"/>
      <c r="D78" s="2794"/>
      <c r="E78" s="2794"/>
      <c r="F78" s="2794"/>
      <c r="G78" s="2794"/>
      <c r="H78" s="2794"/>
      <c r="J78" s="2794"/>
      <c r="K78" s="2794"/>
      <c r="L78" s="2794"/>
      <c r="M78" s="2794"/>
      <c r="N78" s="2794"/>
      <c r="O78" s="2794"/>
      <c r="Q78" s="2794"/>
      <c r="R78" s="2794"/>
      <c r="S78" s="2794"/>
      <c r="T78" s="2794"/>
      <c r="U78" s="2794"/>
      <c r="V78" s="2794"/>
      <c r="X78" s="2794"/>
      <c r="Y78" s="2794"/>
      <c r="Z78" s="2794"/>
      <c r="AA78" s="2794"/>
      <c r="AB78" s="2794"/>
      <c r="AC78" s="2794"/>
    </row>
    <row r="79" spans="1:29" x14ac:dyDescent="0.2">
      <c r="C79" s="2794"/>
      <c r="D79" s="2794"/>
      <c r="E79" s="2794"/>
      <c r="F79" s="2794"/>
      <c r="G79" s="2794"/>
      <c r="H79" s="2794"/>
      <c r="J79" s="2794"/>
      <c r="K79" s="2794"/>
      <c r="L79" s="2794"/>
      <c r="M79" s="2794"/>
      <c r="N79" s="2794"/>
      <c r="O79" s="2794"/>
      <c r="Q79" s="2794"/>
      <c r="R79" s="2794"/>
      <c r="S79" s="2794"/>
      <c r="T79" s="2794"/>
      <c r="U79" s="2794"/>
      <c r="V79" s="2794"/>
      <c r="X79" s="2794"/>
      <c r="Y79" s="2794"/>
      <c r="Z79" s="2794"/>
      <c r="AA79" s="2794"/>
      <c r="AB79" s="2794"/>
      <c r="AC79" s="2794"/>
    </row>
    <row r="80" spans="1:29" x14ac:dyDescent="0.2">
      <c r="C80" s="2794"/>
      <c r="D80" s="2794"/>
      <c r="E80" s="2794"/>
      <c r="F80" s="2794"/>
      <c r="G80" s="2794"/>
      <c r="H80" s="2794"/>
      <c r="J80" s="2794"/>
      <c r="K80" s="2794"/>
      <c r="L80" s="2794"/>
      <c r="M80" s="2794"/>
      <c r="N80" s="2794"/>
      <c r="O80" s="2794"/>
      <c r="Q80" s="2794"/>
      <c r="R80" s="2794"/>
      <c r="S80" s="2794"/>
      <c r="T80" s="2794"/>
      <c r="U80" s="2794"/>
      <c r="V80" s="2794"/>
      <c r="X80" s="2794"/>
      <c r="Y80" s="2794"/>
      <c r="Z80" s="2794"/>
      <c r="AA80" s="2794"/>
      <c r="AB80" s="2794"/>
      <c r="AC80" s="2794"/>
    </row>
    <row r="81" spans="3:29" x14ac:dyDescent="0.2">
      <c r="C81" s="2794"/>
      <c r="D81" s="2794"/>
      <c r="E81" s="2794"/>
      <c r="F81" s="2794"/>
      <c r="G81" s="2794"/>
      <c r="H81" s="2794"/>
      <c r="J81" s="2794"/>
      <c r="K81" s="2794"/>
      <c r="L81" s="2794"/>
      <c r="M81" s="2794"/>
      <c r="N81" s="2794"/>
      <c r="O81" s="2794"/>
      <c r="Q81" s="2794"/>
      <c r="R81" s="2794"/>
      <c r="S81" s="2794"/>
      <c r="T81" s="2794"/>
      <c r="U81" s="2794"/>
      <c r="V81" s="2794"/>
      <c r="X81" s="2794"/>
      <c r="Y81" s="2794"/>
      <c r="Z81" s="2794"/>
      <c r="AA81" s="2794"/>
      <c r="AB81" s="2794"/>
      <c r="AC81" s="2794"/>
    </row>
    <row r="82" spans="3:29" x14ac:dyDescent="0.2">
      <c r="C82" s="2794"/>
      <c r="D82" s="2794"/>
      <c r="E82" s="2794"/>
      <c r="F82" s="2794"/>
      <c r="G82" s="2794"/>
      <c r="H82" s="2794"/>
      <c r="J82" s="2794"/>
      <c r="K82" s="2794"/>
      <c r="L82" s="2794"/>
      <c r="M82" s="2794"/>
      <c r="N82" s="2794"/>
      <c r="O82" s="2794"/>
      <c r="Q82" s="2794"/>
      <c r="R82" s="2794"/>
      <c r="S82" s="2794"/>
      <c r="T82" s="2794"/>
      <c r="U82" s="2794"/>
      <c r="V82" s="2794"/>
      <c r="X82" s="2794"/>
      <c r="Y82" s="2794"/>
      <c r="Z82" s="2794"/>
      <c r="AA82" s="2794"/>
      <c r="AB82" s="2794"/>
      <c r="AC82" s="2794"/>
    </row>
    <row r="83" spans="3:29" x14ac:dyDescent="0.2">
      <c r="C83" s="2794"/>
      <c r="D83" s="2794"/>
      <c r="E83" s="2794"/>
      <c r="F83" s="2794"/>
      <c r="G83" s="2794"/>
      <c r="H83" s="2794"/>
      <c r="J83" s="2794"/>
      <c r="K83" s="2794"/>
      <c r="L83" s="2794"/>
      <c r="M83" s="2794"/>
      <c r="N83" s="2794"/>
      <c r="O83" s="2794"/>
      <c r="Q83" s="2794"/>
      <c r="R83" s="2794"/>
      <c r="S83" s="2794"/>
      <c r="T83" s="2794"/>
      <c r="U83" s="2794"/>
      <c r="V83" s="2794"/>
      <c r="X83" s="2794"/>
      <c r="Y83" s="2794"/>
      <c r="Z83" s="2794"/>
      <c r="AA83" s="2794"/>
      <c r="AB83" s="2794"/>
      <c r="AC83" s="2794"/>
    </row>
    <row r="84" spans="3:29" x14ac:dyDescent="0.2">
      <c r="C84" s="2794"/>
      <c r="D84" s="2794"/>
      <c r="E84" s="2794"/>
      <c r="F84" s="2794"/>
      <c r="G84" s="2794"/>
      <c r="H84" s="2794"/>
      <c r="J84" s="2794"/>
      <c r="K84" s="2794"/>
      <c r="L84" s="2794"/>
      <c r="M84" s="2794"/>
      <c r="N84" s="2794"/>
      <c r="O84" s="2794"/>
      <c r="Q84" s="2794"/>
      <c r="R84" s="2794"/>
      <c r="S84" s="2794"/>
      <c r="T84" s="2794"/>
      <c r="U84" s="2794"/>
      <c r="V84" s="2794"/>
      <c r="X84" s="2794"/>
      <c r="Y84" s="2794"/>
      <c r="Z84" s="2794"/>
      <c r="AA84" s="2794"/>
      <c r="AB84" s="2794"/>
      <c r="AC84" s="2794"/>
    </row>
    <row r="85" spans="3:29" x14ac:dyDescent="0.2">
      <c r="C85" s="2794"/>
      <c r="D85" s="2794"/>
      <c r="E85" s="2794"/>
      <c r="F85" s="2794"/>
      <c r="G85" s="2794"/>
      <c r="H85" s="2794"/>
      <c r="J85" s="2794"/>
      <c r="K85" s="2794"/>
      <c r="L85" s="2794"/>
      <c r="M85" s="2794"/>
      <c r="N85" s="2794"/>
      <c r="O85" s="2794"/>
      <c r="Q85" s="2794"/>
      <c r="R85" s="2794"/>
      <c r="S85" s="2794"/>
      <c r="T85" s="2794"/>
      <c r="U85" s="2794"/>
      <c r="V85" s="2794"/>
      <c r="X85" s="2794"/>
      <c r="Y85" s="2794"/>
      <c r="Z85" s="2794"/>
      <c r="AA85" s="2794"/>
      <c r="AB85" s="2794"/>
      <c r="AC85" s="2794"/>
    </row>
    <row r="86" spans="3:29" x14ac:dyDescent="0.2">
      <c r="C86" s="2794"/>
      <c r="D86" s="2794"/>
      <c r="E86" s="2794"/>
      <c r="F86" s="2794"/>
      <c r="G86" s="2794"/>
      <c r="H86" s="2794"/>
      <c r="J86" s="2794"/>
      <c r="K86" s="2794"/>
      <c r="L86" s="2794"/>
      <c r="M86" s="2794"/>
      <c r="N86" s="2794"/>
      <c r="O86" s="2794"/>
      <c r="Q86" s="2794"/>
      <c r="R86" s="2794"/>
      <c r="S86" s="2794"/>
      <c r="T86" s="2794"/>
      <c r="U86" s="2794"/>
      <c r="V86" s="2794"/>
      <c r="X86" s="2794"/>
      <c r="Y86" s="2794"/>
      <c r="Z86" s="2794"/>
      <c r="AA86" s="2794"/>
      <c r="AB86" s="2794"/>
      <c r="AC86" s="2794"/>
    </row>
    <row r="87" spans="3:29" x14ac:dyDescent="0.2">
      <c r="C87" s="2794"/>
      <c r="D87" s="2794"/>
      <c r="E87" s="2794"/>
      <c r="F87" s="2794"/>
      <c r="G87" s="2794"/>
      <c r="H87" s="2794"/>
      <c r="J87" s="2794"/>
      <c r="K87" s="2794"/>
      <c r="L87" s="2794"/>
      <c r="M87" s="2794"/>
      <c r="N87" s="2794"/>
      <c r="O87" s="2794"/>
      <c r="Q87" s="2794"/>
      <c r="R87" s="2794"/>
      <c r="S87" s="2794"/>
      <c r="T87" s="2794"/>
      <c r="U87" s="2794"/>
      <c r="V87" s="2794"/>
      <c r="X87" s="2794"/>
      <c r="Y87" s="2794"/>
      <c r="Z87" s="2794"/>
      <c r="AA87" s="2794"/>
      <c r="AB87" s="2794"/>
      <c r="AC87" s="2794"/>
    </row>
    <row r="88" spans="3:29" x14ac:dyDescent="0.2">
      <c r="C88" s="2794"/>
      <c r="D88" s="2794"/>
      <c r="E88" s="2794"/>
      <c r="F88" s="2794"/>
      <c r="G88" s="2794"/>
      <c r="H88" s="2794"/>
      <c r="J88" s="2794"/>
      <c r="K88" s="2794"/>
      <c r="L88" s="2794"/>
      <c r="M88" s="2794"/>
      <c r="N88" s="2794"/>
      <c r="O88" s="2794"/>
      <c r="Q88" s="2794"/>
      <c r="R88" s="2794"/>
      <c r="S88" s="2794"/>
      <c r="T88" s="2794"/>
      <c r="U88" s="2794"/>
      <c r="V88" s="2794"/>
      <c r="X88" s="2794"/>
      <c r="Y88" s="2794"/>
      <c r="Z88" s="2794"/>
      <c r="AA88" s="2794"/>
      <c r="AB88" s="2794"/>
      <c r="AC88" s="2794"/>
    </row>
    <row r="89" spans="3:29" x14ac:dyDescent="0.2">
      <c r="C89" s="2794"/>
      <c r="D89" s="2794"/>
      <c r="E89" s="2794"/>
      <c r="F89" s="2794"/>
      <c r="G89" s="2794"/>
      <c r="H89" s="2794"/>
      <c r="J89" s="2794"/>
      <c r="K89" s="2794"/>
      <c r="L89" s="2794"/>
      <c r="M89" s="2794"/>
      <c r="N89" s="2794"/>
      <c r="O89" s="2794"/>
      <c r="Q89" s="2794"/>
      <c r="R89" s="2794"/>
      <c r="S89" s="2794"/>
      <c r="T89" s="2794"/>
      <c r="U89" s="2794"/>
      <c r="V89" s="2794"/>
      <c r="X89" s="2794"/>
      <c r="Y89" s="2794"/>
      <c r="Z89" s="2794"/>
      <c r="AA89" s="2794"/>
      <c r="AB89" s="2794"/>
      <c r="AC89" s="2794"/>
    </row>
    <row r="90" spans="3:29" x14ac:dyDescent="0.2">
      <c r="C90" s="2794"/>
      <c r="D90" s="2794"/>
      <c r="E90" s="2794"/>
      <c r="F90" s="2794"/>
      <c r="G90" s="2794"/>
      <c r="H90" s="2794"/>
      <c r="J90" s="2794"/>
      <c r="K90" s="2794"/>
      <c r="L90" s="2794"/>
      <c r="M90" s="2794"/>
      <c r="N90" s="2794"/>
      <c r="O90" s="2794"/>
      <c r="Q90" s="2794"/>
      <c r="R90" s="2794"/>
      <c r="S90" s="2794"/>
      <c r="T90" s="2794"/>
      <c r="U90" s="2794"/>
      <c r="V90" s="2794"/>
      <c r="X90" s="2794"/>
      <c r="Y90" s="2794"/>
      <c r="Z90" s="2794"/>
      <c r="AA90" s="2794"/>
      <c r="AB90" s="2794"/>
      <c r="AC90" s="2794"/>
    </row>
    <row r="91" spans="3:29" x14ac:dyDescent="0.2">
      <c r="C91" s="2794"/>
      <c r="D91" s="2794"/>
      <c r="E91" s="2794"/>
      <c r="F91" s="2794"/>
      <c r="G91" s="2794"/>
      <c r="H91" s="2794"/>
      <c r="J91" s="2794"/>
      <c r="K91" s="2794"/>
      <c r="L91" s="2794"/>
      <c r="M91" s="2794"/>
      <c r="N91" s="2794"/>
      <c r="O91" s="2794"/>
      <c r="Q91" s="2794"/>
      <c r="R91" s="2794"/>
      <c r="S91" s="2794"/>
      <c r="T91" s="2794"/>
      <c r="U91" s="2794"/>
      <c r="V91" s="2794"/>
      <c r="X91" s="2794"/>
      <c r="Y91" s="2794"/>
      <c r="Z91" s="2794"/>
      <c r="AA91" s="2794"/>
      <c r="AB91" s="2794"/>
      <c r="AC91" s="2794"/>
    </row>
    <row r="92" spans="3:29" x14ac:dyDescent="0.2">
      <c r="C92" s="2794"/>
      <c r="D92" s="2794"/>
      <c r="E92" s="2794"/>
      <c r="F92" s="2794"/>
      <c r="G92" s="2794"/>
      <c r="H92" s="2794"/>
      <c r="J92" s="2794"/>
      <c r="K92" s="2794"/>
      <c r="L92" s="2794"/>
      <c r="M92" s="2794"/>
      <c r="N92" s="2794"/>
      <c r="O92" s="2794"/>
      <c r="Q92" s="2794"/>
      <c r="R92" s="2794"/>
      <c r="S92" s="2794"/>
      <c r="T92" s="2794"/>
      <c r="U92" s="2794"/>
      <c r="V92" s="2794"/>
      <c r="X92" s="2794"/>
      <c r="Y92" s="2794"/>
      <c r="Z92" s="2794"/>
      <c r="AA92" s="2794"/>
      <c r="AB92" s="2794"/>
      <c r="AC92" s="2794"/>
    </row>
    <row r="93" spans="3:29" x14ac:dyDescent="0.2">
      <c r="C93" s="2794"/>
      <c r="D93" s="2794"/>
      <c r="E93" s="2794"/>
      <c r="F93" s="2794"/>
      <c r="G93" s="2794"/>
      <c r="H93" s="2794"/>
      <c r="J93" s="2794"/>
      <c r="K93" s="2794"/>
      <c r="L93" s="2794"/>
      <c r="M93" s="2794"/>
      <c r="N93" s="2794"/>
      <c r="O93" s="2794"/>
      <c r="Q93" s="2794"/>
      <c r="R93" s="2794"/>
      <c r="S93" s="2794"/>
      <c r="T93" s="2794"/>
      <c r="U93" s="2794"/>
      <c r="V93" s="2794"/>
      <c r="X93" s="2794"/>
      <c r="Y93" s="2794"/>
      <c r="Z93" s="2794"/>
      <c r="AA93" s="2794"/>
      <c r="AB93" s="2794"/>
      <c r="AC93" s="2794"/>
    </row>
    <row r="94" spans="3:29" x14ac:dyDescent="0.2">
      <c r="C94" s="2794"/>
      <c r="D94" s="2794"/>
      <c r="E94" s="2794"/>
      <c r="F94" s="2794"/>
      <c r="G94" s="2794"/>
      <c r="H94" s="2794"/>
      <c r="J94" s="2794"/>
      <c r="K94" s="2794"/>
      <c r="L94" s="2794"/>
      <c r="M94" s="2794"/>
      <c r="N94" s="2794"/>
      <c r="O94" s="2794"/>
      <c r="Q94" s="2794"/>
      <c r="R94" s="2794"/>
      <c r="S94" s="2794"/>
      <c r="T94" s="2794"/>
      <c r="U94" s="2794"/>
      <c r="V94" s="2794"/>
      <c r="X94" s="2794"/>
      <c r="Y94" s="2794"/>
      <c r="Z94" s="2794"/>
      <c r="AA94" s="2794"/>
      <c r="AB94" s="2794"/>
      <c r="AC94" s="2794"/>
    </row>
    <row r="95" spans="3:29" x14ac:dyDescent="0.2">
      <c r="C95" s="2794"/>
      <c r="D95" s="2794"/>
      <c r="E95" s="2794"/>
      <c r="F95" s="2794"/>
      <c r="G95" s="2794"/>
      <c r="H95" s="2794"/>
      <c r="J95" s="2794"/>
      <c r="K95" s="2794"/>
      <c r="L95" s="2794"/>
      <c r="M95" s="2794"/>
      <c r="N95" s="2794"/>
      <c r="O95" s="2794"/>
      <c r="Q95" s="2794"/>
      <c r="R95" s="2794"/>
      <c r="S95" s="2794"/>
      <c r="T95" s="2794"/>
      <c r="U95" s="2794"/>
      <c r="V95" s="2794"/>
      <c r="X95" s="2794"/>
      <c r="Y95" s="2794"/>
      <c r="Z95" s="2794"/>
      <c r="AA95" s="2794"/>
      <c r="AB95" s="2794"/>
      <c r="AC95" s="2794"/>
    </row>
    <row r="96" spans="3:29" s="722" customFormat="1" x14ac:dyDescent="0.2">
      <c r="C96" s="1381"/>
      <c r="D96" s="1381"/>
      <c r="E96" s="1381"/>
      <c r="F96" s="1381"/>
      <c r="G96" s="1381"/>
      <c r="H96" s="1381"/>
      <c r="J96" s="1381"/>
      <c r="K96" s="1381"/>
      <c r="L96" s="1381"/>
      <c r="M96" s="1381"/>
      <c r="N96" s="1381"/>
      <c r="O96" s="1381"/>
      <c r="Q96" s="1381"/>
      <c r="R96" s="1381"/>
      <c r="S96" s="1381"/>
      <c r="T96" s="1381"/>
      <c r="U96" s="1381"/>
      <c r="V96" s="1381"/>
      <c r="X96" s="1381"/>
      <c r="Y96" s="1381"/>
      <c r="Z96" s="1381"/>
      <c r="AA96" s="1381"/>
      <c r="AB96" s="1381"/>
      <c r="AC96" s="1381"/>
    </row>
    <row r="97" spans="1:29" x14ac:dyDescent="0.2">
      <c r="C97" s="2794"/>
      <c r="D97" s="2794"/>
      <c r="E97" s="2794"/>
      <c r="F97" s="2794"/>
      <c r="G97" s="2794"/>
      <c r="H97" s="2794"/>
      <c r="J97" s="2794"/>
      <c r="K97" s="2794"/>
      <c r="L97" s="2794"/>
      <c r="M97" s="2794"/>
      <c r="N97" s="2794"/>
      <c r="O97" s="2794"/>
      <c r="Q97" s="2794"/>
      <c r="R97" s="2794"/>
      <c r="S97" s="2794"/>
      <c r="T97" s="2794"/>
      <c r="U97" s="2794"/>
      <c r="V97" s="2794"/>
      <c r="X97" s="2794"/>
      <c r="Y97" s="2794"/>
      <c r="Z97" s="2794"/>
      <c r="AA97" s="2794"/>
      <c r="AB97" s="2794"/>
      <c r="AC97" s="2794"/>
    </row>
    <row r="98" spans="1:29" x14ac:dyDescent="0.2">
      <c r="C98" s="2794"/>
      <c r="D98" s="2794"/>
      <c r="E98" s="2794"/>
      <c r="F98" s="2794"/>
      <c r="G98" s="2794"/>
      <c r="H98" s="2794"/>
      <c r="J98" s="2794"/>
      <c r="K98" s="2794"/>
      <c r="L98" s="2794"/>
      <c r="M98" s="2794"/>
      <c r="N98" s="2794"/>
      <c r="O98" s="2794"/>
      <c r="Q98" s="2794"/>
      <c r="R98" s="2794"/>
      <c r="S98" s="2794"/>
      <c r="T98" s="2794"/>
      <c r="U98" s="2794"/>
      <c r="V98" s="2794"/>
      <c r="X98" s="2794"/>
      <c r="Y98" s="2794"/>
      <c r="Z98" s="2794"/>
      <c r="AA98" s="2794"/>
      <c r="AB98" s="2794"/>
      <c r="AC98" s="2794"/>
    </row>
    <row r="99" spans="1:29" ht="18" customHeight="1" x14ac:dyDescent="0.2">
      <c r="A99" s="19" t="s">
        <v>1</v>
      </c>
      <c r="B99" s="19"/>
      <c r="C99" s="2798">
        <v>1</v>
      </c>
      <c r="D99" s="2798"/>
      <c r="E99" s="2796">
        <f>E$7</f>
        <v>0</v>
      </c>
      <c r="F99" s="2796"/>
      <c r="G99" s="2796"/>
      <c r="H99" s="51"/>
      <c r="I99" s="2"/>
      <c r="J99" s="2798">
        <v>2</v>
      </c>
      <c r="K99" s="2798"/>
      <c r="L99" s="2796">
        <f>L$7</f>
        <v>0</v>
      </c>
      <c r="M99" s="2796"/>
      <c r="N99" s="2796"/>
      <c r="O99" s="51"/>
      <c r="P99" s="2"/>
      <c r="Q99" s="2798">
        <v>3</v>
      </c>
      <c r="R99" s="2798"/>
      <c r="S99" s="2796">
        <f>S$7</f>
        <v>0</v>
      </c>
      <c r="T99" s="2796"/>
      <c r="U99" s="2796"/>
      <c r="V99" s="51"/>
      <c r="W99" s="2"/>
      <c r="X99" s="2798">
        <v>4</v>
      </c>
      <c r="Y99" s="2798"/>
      <c r="Z99" s="2796">
        <f>Z$7</f>
        <v>0</v>
      </c>
      <c r="AA99" s="2796"/>
      <c r="AB99" s="2796"/>
      <c r="AC99" s="51"/>
    </row>
    <row r="100" spans="1:29" ht="27.75" customHeight="1" x14ac:dyDescent="0.2">
      <c r="B100" s="627" t="s">
        <v>4</v>
      </c>
      <c r="C100" s="3"/>
      <c r="D100" s="3"/>
      <c r="E100" s="2800">
        <f>E$8</f>
        <v>0</v>
      </c>
      <c r="F100" s="2800"/>
      <c r="G100" s="2800"/>
      <c r="H100" s="10"/>
      <c r="I100" s="2"/>
      <c r="J100" s="3"/>
      <c r="K100" s="3"/>
      <c r="L100" s="2800">
        <f>L$8</f>
        <v>0</v>
      </c>
      <c r="M100" s="2800"/>
      <c r="N100" s="2800"/>
      <c r="O100" s="10"/>
      <c r="P100" s="2"/>
      <c r="Q100" s="3"/>
      <c r="R100" s="3"/>
      <c r="S100" s="2800">
        <f>S$8</f>
        <v>0</v>
      </c>
      <c r="T100" s="2800"/>
      <c r="U100" s="2800"/>
      <c r="V100" s="10"/>
      <c r="W100" s="2"/>
      <c r="X100" s="3"/>
      <c r="Y100" s="3"/>
      <c r="Z100" s="2800">
        <f>Z$8</f>
        <v>0</v>
      </c>
      <c r="AA100" s="2800"/>
      <c r="AB100" s="2800"/>
      <c r="AC100" s="10"/>
    </row>
    <row r="101" spans="1:29" ht="6" customHeight="1" x14ac:dyDescent="0.2">
      <c r="A101" s="2"/>
      <c r="B101" s="2"/>
      <c r="C101" s="3"/>
      <c r="D101" s="3"/>
      <c r="E101" s="3"/>
      <c r="F101" s="3"/>
      <c r="G101" s="3"/>
      <c r="H101" s="3"/>
      <c r="I101" s="2"/>
      <c r="J101" s="3"/>
      <c r="K101" s="3"/>
      <c r="L101" s="3"/>
      <c r="M101" s="3"/>
      <c r="N101" s="3"/>
      <c r="O101" s="3"/>
      <c r="P101" s="2"/>
      <c r="Q101" s="3"/>
      <c r="R101" s="3"/>
      <c r="S101" s="3"/>
      <c r="T101" s="3"/>
      <c r="U101" s="3"/>
      <c r="V101" s="3"/>
      <c r="W101" s="2"/>
      <c r="X101" s="3"/>
      <c r="Y101" s="3"/>
      <c r="Z101" s="3"/>
      <c r="AA101" s="3"/>
      <c r="AB101" s="3"/>
      <c r="AC101" s="3"/>
    </row>
    <row r="102" spans="1:29" x14ac:dyDescent="0.2">
      <c r="A102" s="2"/>
      <c r="B102" s="2"/>
      <c r="C102" s="2794"/>
      <c r="D102" s="2794"/>
      <c r="E102" s="2794"/>
      <c r="F102" s="2794"/>
      <c r="G102" s="2794"/>
      <c r="H102" s="2794"/>
      <c r="I102" s="13"/>
      <c r="J102" s="2794"/>
      <c r="K102" s="2794"/>
      <c r="L102" s="2794"/>
      <c r="M102" s="2794"/>
      <c r="N102" s="2794"/>
      <c r="O102" s="2794"/>
      <c r="P102" s="13"/>
      <c r="Q102" s="2794"/>
      <c r="R102" s="2794"/>
      <c r="S102" s="2794"/>
      <c r="T102" s="2794"/>
      <c r="U102" s="2794"/>
      <c r="V102" s="2794"/>
      <c r="W102" s="13"/>
      <c r="X102" s="2794"/>
      <c r="Y102" s="2794"/>
      <c r="Z102" s="2794"/>
      <c r="AA102" s="2794"/>
      <c r="AB102" s="2794"/>
      <c r="AC102" s="2794"/>
    </row>
    <row r="103" spans="1:29" x14ac:dyDescent="0.2">
      <c r="C103" s="2794"/>
      <c r="D103" s="2794"/>
      <c r="E103" s="2794"/>
      <c r="F103" s="2794"/>
      <c r="G103" s="2794"/>
      <c r="H103" s="2794"/>
      <c r="J103" s="2794"/>
      <c r="K103" s="2794"/>
      <c r="L103" s="2794"/>
      <c r="M103" s="2794"/>
      <c r="N103" s="2794"/>
      <c r="O103" s="2794"/>
      <c r="Q103" s="2794"/>
      <c r="R103" s="2794"/>
      <c r="S103" s="2794"/>
      <c r="T103" s="2794"/>
      <c r="U103" s="2794"/>
      <c r="V103" s="2794"/>
      <c r="X103" s="2794"/>
      <c r="Y103" s="2794"/>
      <c r="Z103" s="2794"/>
      <c r="AA103" s="2794"/>
      <c r="AB103" s="2794"/>
      <c r="AC103" s="2794"/>
    </row>
    <row r="104" spans="1:29" x14ac:dyDescent="0.2">
      <c r="C104" s="2794"/>
      <c r="D104" s="2794"/>
      <c r="E104" s="2794"/>
      <c r="F104" s="2794"/>
      <c r="G104" s="2794"/>
      <c r="H104" s="2794"/>
      <c r="J104" s="2794"/>
      <c r="K104" s="2794"/>
      <c r="L104" s="2794"/>
      <c r="M104" s="2794"/>
      <c r="N104" s="2794"/>
      <c r="O104" s="2794"/>
      <c r="Q104" s="2794"/>
      <c r="R104" s="2794"/>
      <c r="S104" s="2794"/>
      <c r="T104" s="2794"/>
      <c r="U104" s="2794"/>
      <c r="V104" s="2794"/>
      <c r="X104" s="2794"/>
      <c r="Y104" s="2794"/>
      <c r="Z104" s="2794"/>
      <c r="AA104" s="2794"/>
      <c r="AB104" s="2794"/>
      <c r="AC104" s="2794"/>
    </row>
    <row r="105" spans="1:29" x14ac:dyDescent="0.2">
      <c r="C105" s="2794"/>
      <c r="D105" s="2794"/>
      <c r="E105" s="2794"/>
      <c r="F105" s="2794"/>
      <c r="G105" s="2794"/>
      <c r="H105" s="2794"/>
      <c r="J105" s="2794"/>
      <c r="K105" s="2794"/>
      <c r="L105" s="2794"/>
      <c r="M105" s="2794"/>
      <c r="N105" s="2794"/>
      <c r="O105" s="2794"/>
      <c r="Q105" s="2794"/>
      <c r="R105" s="2794"/>
      <c r="S105" s="2794"/>
      <c r="T105" s="2794"/>
      <c r="U105" s="2794"/>
      <c r="V105" s="2794"/>
      <c r="X105" s="2794"/>
      <c r="Y105" s="2794"/>
      <c r="Z105" s="2794"/>
      <c r="AA105" s="2794"/>
      <c r="AB105" s="2794"/>
      <c r="AC105" s="2794"/>
    </row>
    <row r="106" spans="1:29" x14ac:dyDescent="0.2">
      <c r="C106" s="2794"/>
      <c r="D106" s="2794"/>
      <c r="E106" s="2794"/>
      <c r="F106" s="2794"/>
      <c r="G106" s="2794"/>
      <c r="H106" s="2794"/>
      <c r="J106" s="2794"/>
      <c r="K106" s="2794"/>
      <c r="L106" s="2794"/>
      <c r="M106" s="2794"/>
      <c r="N106" s="2794"/>
      <c r="O106" s="2794"/>
      <c r="Q106" s="2794"/>
      <c r="R106" s="2794"/>
      <c r="S106" s="2794"/>
      <c r="T106" s="2794"/>
      <c r="U106" s="2794"/>
      <c r="V106" s="2794"/>
      <c r="X106" s="2794"/>
      <c r="Y106" s="2794"/>
      <c r="Z106" s="2794"/>
      <c r="AA106" s="2794"/>
      <c r="AB106" s="2794"/>
      <c r="AC106" s="2794"/>
    </row>
    <row r="107" spans="1:29" x14ac:dyDescent="0.2">
      <c r="C107" s="2794"/>
      <c r="D107" s="2794"/>
      <c r="E107" s="2794"/>
      <c r="F107" s="2794"/>
      <c r="G107" s="2794"/>
      <c r="H107" s="2794"/>
      <c r="J107" s="2794"/>
      <c r="K107" s="2794"/>
      <c r="L107" s="2794"/>
      <c r="M107" s="2794"/>
      <c r="N107" s="2794"/>
      <c r="O107" s="2794"/>
      <c r="Q107" s="2794"/>
      <c r="R107" s="2794"/>
      <c r="S107" s="2794"/>
      <c r="T107" s="2794"/>
      <c r="U107" s="2794"/>
      <c r="V107" s="2794"/>
      <c r="X107" s="2794"/>
      <c r="Y107" s="2794"/>
      <c r="Z107" s="2794"/>
      <c r="AA107" s="2794"/>
      <c r="AB107" s="2794"/>
      <c r="AC107" s="2794"/>
    </row>
    <row r="108" spans="1:29" x14ac:dyDescent="0.2">
      <c r="C108" s="2794"/>
      <c r="D108" s="2794"/>
      <c r="E108" s="2794"/>
      <c r="F108" s="2794"/>
      <c r="G108" s="2794"/>
      <c r="H108" s="2794"/>
      <c r="J108" s="2794"/>
      <c r="K108" s="2794"/>
      <c r="L108" s="2794"/>
      <c r="M108" s="2794"/>
      <c r="N108" s="2794"/>
      <c r="O108" s="2794"/>
      <c r="Q108" s="2794"/>
      <c r="R108" s="2794"/>
      <c r="S108" s="2794"/>
      <c r="T108" s="2794"/>
      <c r="U108" s="2794"/>
      <c r="V108" s="2794"/>
      <c r="X108" s="2794"/>
      <c r="Y108" s="2794"/>
      <c r="Z108" s="2794"/>
      <c r="AA108" s="2794"/>
      <c r="AB108" s="2794"/>
      <c r="AC108" s="2794"/>
    </row>
    <row r="109" spans="1:29" x14ac:dyDescent="0.2">
      <c r="C109" s="2794"/>
      <c r="D109" s="2794"/>
      <c r="E109" s="2794"/>
      <c r="F109" s="2794"/>
      <c r="G109" s="2794"/>
      <c r="H109" s="2794"/>
      <c r="J109" s="2794"/>
      <c r="K109" s="2794"/>
      <c r="L109" s="2794"/>
      <c r="M109" s="2794"/>
      <c r="N109" s="2794"/>
      <c r="O109" s="2794"/>
      <c r="Q109" s="2794"/>
      <c r="R109" s="2794"/>
      <c r="S109" s="2794"/>
      <c r="T109" s="2794"/>
      <c r="U109" s="2794"/>
      <c r="V109" s="2794"/>
      <c r="X109" s="2794"/>
      <c r="Y109" s="2794"/>
      <c r="Z109" s="2794"/>
      <c r="AA109" s="2794"/>
      <c r="AB109" s="2794"/>
      <c r="AC109" s="2794"/>
    </row>
    <row r="110" spans="1:29" x14ac:dyDescent="0.2">
      <c r="C110" s="2794"/>
      <c r="D110" s="2794"/>
      <c r="E110" s="2794"/>
      <c r="F110" s="2794"/>
      <c r="G110" s="2794"/>
      <c r="H110" s="2794"/>
      <c r="J110" s="2794"/>
      <c r="K110" s="2794"/>
      <c r="L110" s="2794"/>
      <c r="M110" s="2794"/>
      <c r="N110" s="2794"/>
      <c r="O110" s="2794"/>
      <c r="Q110" s="2794"/>
      <c r="R110" s="2794"/>
      <c r="S110" s="2794"/>
      <c r="T110" s="2794"/>
      <c r="U110" s="2794"/>
      <c r="V110" s="2794"/>
      <c r="X110" s="2794"/>
      <c r="Y110" s="2794"/>
      <c r="Z110" s="2794"/>
      <c r="AA110" s="2794"/>
      <c r="AB110" s="2794"/>
      <c r="AC110" s="2794"/>
    </row>
    <row r="111" spans="1:29" x14ac:dyDescent="0.2">
      <c r="C111" s="2794"/>
      <c r="D111" s="2794"/>
      <c r="E111" s="2794"/>
      <c r="F111" s="2794"/>
      <c r="G111" s="2794"/>
      <c r="H111" s="2794"/>
      <c r="J111" s="2794"/>
      <c r="K111" s="2794"/>
      <c r="L111" s="2794"/>
      <c r="M111" s="2794"/>
      <c r="N111" s="2794"/>
      <c r="O111" s="2794"/>
      <c r="Q111" s="2794"/>
      <c r="R111" s="2794"/>
      <c r="S111" s="2794"/>
      <c r="T111" s="2794"/>
      <c r="U111" s="2794"/>
      <c r="V111" s="2794"/>
      <c r="X111" s="2794"/>
      <c r="Y111" s="2794"/>
      <c r="Z111" s="2794"/>
      <c r="AA111" s="2794"/>
      <c r="AB111" s="2794"/>
      <c r="AC111" s="2794"/>
    </row>
    <row r="112" spans="1:29" x14ac:dyDescent="0.2">
      <c r="C112" s="2794"/>
      <c r="D112" s="2794"/>
      <c r="E112" s="2794"/>
      <c r="F112" s="2794"/>
      <c r="G112" s="2794"/>
      <c r="H112" s="2794"/>
      <c r="J112" s="2794"/>
      <c r="K112" s="2794"/>
      <c r="L112" s="2794"/>
      <c r="M112" s="2794"/>
      <c r="N112" s="2794"/>
      <c r="O112" s="2794"/>
      <c r="Q112" s="2794"/>
      <c r="R112" s="2794"/>
      <c r="S112" s="2794"/>
      <c r="T112" s="2794"/>
      <c r="U112" s="2794"/>
      <c r="V112" s="2794"/>
      <c r="X112" s="2794"/>
      <c r="Y112" s="2794"/>
      <c r="Z112" s="2794"/>
      <c r="AA112" s="2794"/>
      <c r="AB112" s="2794"/>
      <c r="AC112" s="2794"/>
    </row>
    <row r="113" spans="1:29" x14ac:dyDescent="0.2">
      <c r="C113" s="2794"/>
      <c r="D113" s="2794"/>
      <c r="E113" s="2794"/>
      <c r="F113" s="2794"/>
      <c r="G113" s="2794"/>
      <c r="H113" s="2794"/>
      <c r="J113" s="2794"/>
      <c r="K113" s="2794"/>
      <c r="L113" s="2794"/>
      <c r="M113" s="2794"/>
      <c r="N113" s="2794"/>
      <c r="O113" s="2794"/>
      <c r="Q113" s="2794"/>
      <c r="R113" s="2794"/>
      <c r="S113" s="2794"/>
      <c r="T113" s="2794"/>
      <c r="U113" s="2794"/>
      <c r="V113" s="2794"/>
      <c r="X113" s="2794"/>
      <c r="Y113" s="2794"/>
      <c r="Z113" s="2794"/>
      <c r="AA113" s="2794"/>
      <c r="AB113" s="2794"/>
      <c r="AC113" s="2794"/>
    </row>
    <row r="114" spans="1:29" x14ac:dyDescent="0.2">
      <c r="C114" s="2794"/>
      <c r="D114" s="2794"/>
      <c r="E114" s="2794"/>
      <c r="F114" s="2794"/>
      <c r="G114" s="2794"/>
      <c r="H114" s="2794"/>
      <c r="J114" s="2794"/>
      <c r="K114" s="2794"/>
      <c r="L114" s="2794"/>
      <c r="M114" s="2794"/>
      <c r="N114" s="2794"/>
      <c r="O114" s="2794"/>
      <c r="Q114" s="2794"/>
      <c r="R114" s="2794"/>
      <c r="S114" s="2794"/>
      <c r="T114" s="2794"/>
      <c r="U114" s="2794"/>
      <c r="V114" s="2794"/>
      <c r="X114" s="2794"/>
      <c r="Y114" s="2794"/>
      <c r="Z114" s="2794"/>
      <c r="AA114" s="2794"/>
      <c r="AB114" s="2794"/>
      <c r="AC114" s="2794"/>
    </row>
    <row r="115" spans="1:29" x14ac:dyDescent="0.2">
      <c r="C115" s="2794"/>
      <c r="D115" s="2794"/>
      <c r="E115" s="2794"/>
      <c r="F115" s="2794"/>
      <c r="G115" s="2794"/>
      <c r="H115" s="2794"/>
      <c r="J115" s="2794"/>
      <c r="K115" s="2794"/>
      <c r="L115" s="2794"/>
      <c r="M115" s="2794"/>
      <c r="N115" s="2794"/>
      <c r="O115" s="2794"/>
      <c r="Q115" s="2794"/>
      <c r="R115" s="2794"/>
      <c r="S115" s="2794"/>
      <c r="T115" s="2794"/>
      <c r="U115" s="2794"/>
      <c r="V115" s="2794"/>
      <c r="X115" s="2794"/>
      <c r="Y115" s="2794"/>
      <c r="Z115" s="2794"/>
      <c r="AA115" s="2794"/>
      <c r="AB115" s="2794"/>
      <c r="AC115" s="2794"/>
    </row>
    <row r="116" spans="1:29" x14ac:dyDescent="0.2">
      <c r="C116" s="2794"/>
      <c r="D116" s="2794"/>
      <c r="E116" s="2794"/>
      <c r="F116" s="2794"/>
      <c r="G116" s="2794"/>
      <c r="H116" s="2794"/>
      <c r="J116" s="2794"/>
      <c r="K116" s="2794"/>
      <c r="L116" s="2794"/>
      <c r="M116" s="2794"/>
      <c r="N116" s="2794"/>
      <c r="O116" s="2794"/>
      <c r="Q116" s="2794"/>
      <c r="R116" s="2794"/>
      <c r="S116" s="2794"/>
      <c r="T116" s="2794"/>
      <c r="U116" s="2794"/>
      <c r="V116" s="2794"/>
      <c r="X116" s="2794"/>
      <c r="Y116" s="2794"/>
      <c r="Z116" s="2794"/>
      <c r="AA116" s="2794"/>
      <c r="AB116" s="2794"/>
      <c r="AC116" s="2794"/>
    </row>
    <row r="117" spans="1:29" x14ac:dyDescent="0.2">
      <c r="C117" s="2794"/>
      <c r="D117" s="2794"/>
      <c r="E117" s="2794"/>
      <c r="F117" s="2794"/>
      <c r="G117" s="2794"/>
      <c r="H117" s="2794"/>
      <c r="J117" s="2794"/>
      <c r="K117" s="2794"/>
      <c r="L117" s="2794"/>
      <c r="M117" s="2794"/>
      <c r="N117" s="2794"/>
      <c r="O117" s="2794"/>
      <c r="Q117" s="2794"/>
      <c r="R117" s="2794"/>
      <c r="S117" s="2794"/>
      <c r="T117" s="2794"/>
      <c r="U117" s="2794"/>
      <c r="V117" s="2794"/>
      <c r="X117" s="2794"/>
      <c r="Y117" s="2794"/>
      <c r="Z117" s="2794"/>
      <c r="AA117" s="2794"/>
      <c r="AB117" s="2794"/>
      <c r="AC117" s="2794"/>
    </row>
    <row r="118" spans="1:29" x14ac:dyDescent="0.2">
      <c r="C118" s="2794"/>
      <c r="D118" s="2794"/>
      <c r="E118" s="2794"/>
      <c r="F118" s="2794"/>
      <c r="G118" s="2794"/>
      <c r="H118" s="2794"/>
      <c r="J118" s="2794"/>
      <c r="K118" s="2794"/>
      <c r="L118" s="2794"/>
      <c r="M118" s="2794"/>
      <c r="N118" s="2794"/>
      <c r="O118" s="2794"/>
      <c r="Q118" s="2794"/>
      <c r="R118" s="2794"/>
      <c r="S118" s="2794"/>
      <c r="T118" s="2794"/>
      <c r="U118" s="2794"/>
      <c r="V118" s="2794"/>
      <c r="X118" s="2794"/>
      <c r="Y118" s="2794"/>
      <c r="Z118" s="2794"/>
      <c r="AA118" s="2794"/>
      <c r="AB118" s="2794"/>
      <c r="AC118" s="2794"/>
    </row>
    <row r="119" spans="1:29" x14ac:dyDescent="0.2">
      <c r="C119" s="2794"/>
      <c r="D119" s="2794"/>
      <c r="E119" s="2794"/>
      <c r="F119" s="2794"/>
      <c r="G119" s="2794"/>
      <c r="H119" s="2794"/>
      <c r="J119" s="2794"/>
      <c r="K119" s="2794"/>
      <c r="L119" s="2794"/>
      <c r="M119" s="2794"/>
      <c r="N119" s="2794"/>
      <c r="O119" s="2794"/>
      <c r="Q119" s="2794"/>
      <c r="R119" s="2794"/>
      <c r="S119" s="2794"/>
      <c r="T119" s="2794"/>
      <c r="U119" s="2794"/>
      <c r="V119" s="2794"/>
      <c r="X119" s="2794"/>
      <c r="Y119" s="2794"/>
      <c r="Z119" s="2794"/>
      <c r="AA119" s="2794"/>
      <c r="AB119" s="2794"/>
      <c r="AC119" s="2794"/>
    </row>
    <row r="120" spans="1:29" x14ac:dyDescent="0.2">
      <c r="C120" s="2794"/>
      <c r="D120" s="2794"/>
      <c r="E120" s="2794"/>
      <c r="F120" s="2794"/>
      <c r="G120" s="2794"/>
      <c r="H120" s="2794"/>
      <c r="J120" s="2794"/>
      <c r="K120" s="2794"/>
      <c r="L120" s="2794"/>
      <c r="M120" s="2794"/>
      <c r="N120" s="2794"/>
      <c r="O120" s="2794"/>
      <c r="Q120" s="2794"/>
      <c r="R120" s="2794"/>
      <c r="S120" s="2794"/>
      <c r="T120" s="2794"/>
      <c r="U120" s="2794"/>
      <c r="V120" s="2794"/>
      <c r="X120" s="2794"/>
      <c r="Y120" s="2794"/>
      <c r="Z120" s="2794"/>
      <c r="AA120" s="2794"/>
      <c r="AB120" s="2794"/>
      <c r="AC120" s="2794"/>
    </row>
    <row r="121" spans="1:29" x14ac:dyDescent="0.2">
      <c r="C121" s="2794"/>
      <c r="D121" s="2794"/>
      <c r="E121" s="2794"/>
      <c r="F121" s="2794"/>
      <c r="G121" s="2794"/>
      <c r="H121" s="2794"/>
      <c r="J121" s="2794"/>
      <c r="K121" s="2794"/>
      <c r="L121" s="2794"/>
      <c r="M121" s="2794"/>
      <c r="N121" s="2794"/>
      <c r="O121" s="2794"/>
      <c r="Q121" s="2794"/>
      <c r="R121" s="2794"/>
      <c r="S121" s="2794"/>
      <c r="T121" s="2794"/>
      <c r="U121" s="2794"/>
      <c r="V121" s="2794"/>
      <c r="X121" s="2794"/>
      <c r="Y121" s="2794"/>
      <c r="Z121" s="2794"/>
      <c r="AA121" s="2794"/>
      <c r="AB121" s="2794"/>
      <c r="AC121" s="2794"/>
    </row>
    <row r="122" spans="1:29" x14ac:dyDescent="0.2">
      <c r="C122" s="2794"/>
      <c r="D122" s="2794"/>
      <c r="E122" s="2794"/>
      <c r="F122" s="2794"/>
      <c r="G122" s="2794"/>
      <c r="H122" s="2794"/>
      <c r="J122" s="2794"/>
      <c r="K122" s="2794"/>
      <c r="L122" s="2794"/>
      <c r="M122" s="2794"/>
      <c r="N122" s="2794"/>
      <c r="O122" s="2794"/>
      <c r="Q122" s="2794"/>
      <c r="R122" s="2794"/>
      <c r="S122" s="2794"/>
      <c r="T122" s="2794"/>
      <c r="U122" s="2794"/>
      <c r="V122" s="2794"/>
      <c r="X122" s="2794"/>
      <c r="Y122" s="2794"/>
      <c r="Z122" s="2794"/>
      <c r="AA122" s="2794"/>
      <c r="AB122" s="2794"/>
      <c r="AC122" s="2794"/>
    </row>
    <row r="123" spans="1:29" x14ac:dyDescent="0.2">
      <c r="C123" s="2794"/>
      <c r="D123" s="2794"/>
      <c r="E123" s="2794"/>
      <c r="F123" s="2794"/>
      <c r="G123" s="2794"/>
      <c r="H123" s="2794"/>
      <c r="J123" s="2794"/>
      <c r="K123" s="2794"/>
      <c r="L123" s="2794"/>
      <c r="M123" s="2794"/>
      <c r="N123" s="2794"/>
      <c r="O123" s="2794"/>
      <c r="Q123" s="2794"/>
      <c r="R123" s="2794"/>
      <c r="S123" s="2794"/>
      <c r="T123" s="2794"/>
      <c r="U123" s="2794"/>
      <c r="V123" s="2794"/>
      <c r="X123" s="2794"/>
      <c r="Y123" s="2794"/>
      <c r="Z123" s="2794"/>
      <c r="AA123" s="2794"/>
      <c r="AB123" s="2794"/>
      <c r="AC123" s="2794"/>
    </row>
    <row r="124" spans="1:29" x14ac:dyDescent="0.2">
      <c r="C124" s="2794"/>
      <c r="D124" s="2794"/>
      <c r="E124" s="2794"/>
      <c r="F124" s="2794"/>
      <c r="G124" s="2794"/>
      <c r="H124" s="2794"/>
      <c r="J124" s="2794"/>
      <c r="K124" s="2794"/>
      <c r="L124" s="2794"/>
      <c r="M124" s="2794"/>
      <c r="N124" s="2794"/>
      <c r="O124" s="2794"/>
      <c r="Q124" s="2794"/>
      <c r="R124" s="2794"/>
      <c r="S124" s="2794"/>
      <c r="T124" s="2794"/>
      <c r="U124" s="2794"/>
      <c r="V124" s="2794"/>
      <c r="X124" s="2794"/>
      <c r="Y124" s="2794"/>
      <c r="Z124" s="2794"/>
      <c r="AA124" s="2794"/>
      <c r="AB124" s="2794"/>
      <c r="AC124" s="2794"/>
    </row>
    <row r="125" spans="1:29" s="722" customFormat="1" x14ac:dyDescent="0.2">
      <c r="C125" s="1381"/>
      <c r="D125" s="1381"/>
      <c r="E125" s="1381"/>
      <c r="F125" s="1381"/>
      <c r="G125" s="1381"/>
      <c r="H125" s="1381"/>
      <c r="J125" s="1381"/>
      <c r="K125" s="1381"/>
      <c r="L125" s="1381"/>
      <c r="M125" s="1381"/>
      <c r="N125" s="1381"/>
      <c r="O125" s="1381"/>
      <c r="Q125" s="1381"/>
      <c r="R125" s="1381"/>
      <c r="S125" s="1381"/>
      <c r="T125" s="1381"/>
      <c r="U125" s="1381"/>
      <c r="V125" s="1381"/>
      <c r="X125" s="1381"/>
      <c r="Y125" s="1381"/>
      <c r="Z125" s="1381"/>
      <c r="AA125" s="1381"/>
      <c r="AB125" s="1381"/>
      <c r="AC125" s="1381"/>
    </row>
    <row r="126" spans="1:29" x14ac:dyDescent="0.2">
      <c r="C126" s="2794"/>
      <c r="D126" s="2794"/>
      <c r="E126" s="2794"/>
      <c r="F126" s="2794"/>
      <c r="G126" s="2794"/>
      <c r="H126" s="2794"/>
      <c r="J126" s="2794"/>
      <c r="K126" s="2794"/>
      <c r="L126" s="2794"/>
      <c r="M126" s="2794"/>
      <c r="N126" s="2794"/>
      <c r="O126" s="2794"/>
      <c r="Q126" s="2794"/>
      <c r="R126" s="2794"/>
      <c r="S126" s="2794"/>
      <c r="T126" s="2794"/>
      <c r="U126" s="2794"/>
      <c r="V126" s="2794"/>
      <c r="X126" s="2794"/>
      <c r="Y126" s="2794"/>
      <c r="Z126" s="2794"/>
      <c r="AA126" s="2794"/>
      <c r="AB126" s="2794"/>
      <c r="AC126" s="2794"/>
    </row>
    <row r="127" spans="1:29" x14ac:dyDescent="0.2">
      <c r="C127" s="2794"/>
      <c r="D127" s="2794"/>
      <c r="E127" s="2794"/>
      <c r="F127" s="2794"/>
      <c r="G127" s="2794"/>
      <c r="H127" s="2794"/>
      <c r="J127" s="2794"/>
      <c r="K127" s="2794"/>
      <c r="L127" s="2794"/>
      <c r="M127" s="2794"/>
      <c r="N127" s="2794"/>
      <c r="O127" s="2794"/>
      <c r="Q127" s="2794"/>
      <c r="R127" s="2794"/>
      <c r="S127" s="2794"/>
      <c r="T127" s="2794"/>
      <c r="U127" s="2794"/>
      <c r="V127" s="2794"/>
      <c r="X127" s="2794"/>
      <c r="Y127" s="2794"/>
      <c r="Z127" s="2794"/>
      <c r="AA127" s="2794"/>
      <c r="AB127" s="2794"/>
      <c r="AC127" s="2794"/>
    </row>
    <row r="128" spans="1:29" ht="18" customHeight="1" x14ac:dyDescent="0.2">
      <c r="A128" s="52" t="s">
        <v>5</v>
      </c>
      <c r="B128" s="52"/>
      <c r="C128" s="2798">
        <v>1</v>
      </c>
      <c r="D128" s="2798"/>
      <c r="E128" s="2796">
        <f>E$7</f>
        <v>0</v>
      </c>
      <c r="F128" s="2796"/>
      <c r="G128" s="2796"/>
      <c r="H128" s="51"/>
      <c r="I128" s="2"/>
      <c r="J128" s="2798">
        <v>2</v>
      </c>
      <c r="K128" s="2798"/>
      <c r="L128" s="2796">
        <f>L$7</f>
        <v>0</v>
      </c>
      <c r="M128" s="2796"/>
      <c r="N128" s="2796"/>
      <c r="O128" s="51"/>
      <c r="P128" s="2"/>
      <c r="Q128" s="2798">
        <v>3</v>
      </c>
      <c r="R128" s="2798"/>
      <c r="S128" s="2796">
        <f>S$7</f>
        <v>0</v>
      </c>
      <c r="T128" s="2796"/>
      <c r="U128" s="2796"/>
      <c r="V128" s="51"/>
      <c r="W128" s="2"/>
      <c r="X128" s="2798">
        <v>4</v>
      </c>
      <c r="Y128" s="2798"/>
      <c r="Z128" s="2796">
        <f>Z$7</f>
        <v>0</v>
      </c>
      <c r="AA128" s="2796"/>
      <c r="AB128" s="2796"/>
      <c r="AC128" s="51"/>
    </row>
    <row r="129" spans="1:29" ht="27.75" customHeight="1" x14ac:dyDescent="0.3">
      <c r="B129" s="627" t="s">
        <v>96</v>
      </c>
      <c r="C129" s="3"/>
      <c r="D129" s="3"/>
      <c r="E129" s="2800">
        <f>E$8</f>
        <v>0</v>
      </c>
      <c r="F129" s="2800"/>
      <c r="G129" s="2800"/>
      <c r="H129" s="10"/>
      <c r="I129" s="2"/>
      <c r="J129" s="3"/>
      <c r="K129" s="3"/>
      <c r="L129" s="2800">
        <f>L$8</f>
        <v>0</v>
      </c>
      <c r="M129" s="2800"/>
      <c r="N129" s="2800"/>
      <c r="O129" s="10"/>
      <c r="P129" s="2"/>
      <c r="Q129" s="3"/>
      <c r="R129" s="3"/>
      <c r="S129" s="2800">
        <f>S$8</f>
        <v>0</v>
      </c>
      <c r="T129" s="2800"/>
      <c r="U129" s="2800"/>
      <c r="V129" s="10"/>
      <c r="W129" s="2"/>
      <c r="X129" s="3"/>
      <c r="Y129" s="3"/>
      <c r="Z129" s="2800">
        <f>Z$8</f>
        <v>0</v>
      </c>
      <c r="AA129" s="2800"/>
      <c r="AB129" s="2800"/>
      <c r="AC129" s="10"/>
    </row>
    <row r="130" spans="1:29" ht="6" customHeight="1" x14ac:dyDescent="0.2">
      <c r="A130" s="2"/>
      <c r="B130" s="2"/>
      <c r="C130" s="3"/>
      <c r="D130" s="3"/>
      <c r="E130" s="3"/>
      <c r="F130" s="3"/>
      <c r="G130" s="3"/>
      <c r="H130" s="3"/>
      <c r="I130" s="2"/>
      <c r="J130" s="3"/>
      <c r="K130" s="3"/>
      <c r="L130" s="3"/>
      <c r="M130" s="3"/>
      <c r="N130" s="3"/>
      <c r="O130" s="3"/>
      <c r="P130" s="2"/>
      <c r="Q130" s="3"/>
      <c r="R130" s="3"/>
      <c r="S130" s="3"/>
      <c r="T130" s="3"/>
      <c r="U130" s="3"/>
      <c r="V130" s="3"/>
      <c r="W130" s="2"/>
      <c r="X130" s="3"/>
      <c r="Y130" s="3"/>
      <c r="Z130" s="3"/>
      <c r="AA130" s="3"/>
      <c r="AB130" s="3"/>
      <c r="AC130" s="3"/>
    </row>
    <row r="131" spans="1:29" x14ac:dyDescent="0.2">
      <c r="A131" s="2"/>
      <c r="B131" s="2"/>
      <c r="C131" s="2794"/>
      <c r="D131" s="2794"/>
      <c r="E131" s="2794"/>
      <c r="F131" s="2794"/>
      <c r="G131" s="2794"/>
      <c r="H131" s="2794"/>
      <c r="I131" s="13"/>
      <c r="J131" s="2794"/>
      <c r="K131" s="2794"/>
      <c r="L131" s="2794"/>
      <c r="M131" s="2794"/>
      <c r="N131" s="2794"/>
      <c r="O131" s="2794"/>
      <c r="P131" s="13"/>
      <c r="Q131" s="2794"/>
      <c r="R131" s="2794"/>
      <c r="S131" s="2794"/>
      <c r="T131" s="2794"/>
      <c r="U131" s="2794"/>
      <c r="V131" s="2794"/>
      <c r="W131" s="13"/>
      <c r="X131" s="2794"/>
      <c r="Y131" s="2794"/>
      <c r="Z131" s="2794"/>
      <c r="AA131" s="2794"/>
      <c r="AB131" s="2794"/>
      <c r="AC131" s="2794"/>
    </row>
    <row r="132" spans="1:29" x14ac:dyDescent="0.2">
      <c r="C132" s="2794"/>
      <c r="D132" s="2794"/>
      <c r="E132" s="2794"/>
      <c r="F132" s="2794"/>
      <c r="G132" s="2794"/>
      <c r="H132" s="2794"/>
      <c r="J132" s="2794"/>
      <c r="K132" s="2794"/>
      <c r="L132" s="2794"/>
      <c r="M132" s="2794"/>
      <c r="N132" s="2794"/>
      <c r="O132" s="2794"/>
      <c r="Q132" s="2794"/>
      <c r="R132" s="2794"/>
      <c r="S132" s="2794"/>
      <c r="T132" s="2794"/>
      <c r="U132" s="2794"/>
      <c r="V132" s="2794"/>
      <c r="X132" s="2794"/>
      <c r="Y132" s="2794"/>
      <c r="Z132" s="2794"/>
      <c r="AA132" s="2794"/>
      <c r="AB132" s="2794"/>
      <c r="AC132" s="2794"/>
    </row>
    <row r="133" spans="1:29" x14ac:dyDescent="0.2">
      <c r="C133" s="2794"/>
      <c r="D133" s="2794"/>
      <c r="E133" s="2794"/>
      <c r="F133" s="2794"/>
      <c r="G133" s="2794"/>
      <c r="H133" s="2794"/>
      <c r="J133" s="2794"/>
      <c r="K133" s="2794"/>
      <c r="L133" s="2794"/>
      <c r="M133" s="2794"/>
      <c r="N133" s="2794"/>
      <c r="O133" s="2794"/>
      <c r="Q133" s="2794"/>
      <c r="R133" s="2794"/>
      <c r="S133" s="2794"/>
      <c r="T133" s="2794"/>
      <c r="U133" s="2794"/>
      <c r="V133" s="2794"/>
      <c r="X133" s="2794"/>
      <c r="Y133" s="2794"/>
      <c r="Z133" s="2794"/>
      <c r="AA133" s="2794"/>
      <c r="AB133" s="2794"/>
      <c r="AC133" s="2794"/>
    </row>
    <row r="134" spans="1:29" x14ac:dyDescent="0.2">
      <c r="C134" s="2794"/>
      <c r="D134" s="2794"/>
      <c r="E134" s="2794"/>
      <c r="F134" s="2794"/>
      <c r="G134" s="2794"/>
      <c r="H134" s="2794"/>
      <c r="J134" s="2794"/>
      <c r="K134" s="2794"/>
      <c r="L134" s="2794"/>
      <c r="M134" s="2794"/>
      <c r="N134" s="2794"/>
      <c r="O134" s="2794"/>
      <c r="Q134" s="2794"/>
      <c r="R134" s="2794"/>
      <c r="S134" s="2794"/>
      <c r="T134" s="2794"/>
      <c r="U134" s="2794"/>
      <c r="V134" s="2794"/>
      <c r="X134" s="2794"/>
      <c r="Y134" s="2794"/>
      <c r="Z134" s="2794"/>
      <c r="AA134" s="2794"/>
      <c r="AB134" s="2794"/>
      <c r="AC134" s="2794"/>
    </row>
    <row r="135" spans="1:29" x14ac:dyDescent="0.2">
      <c r="C135" s="2794"/>
      <c r="D135" s="2794"/>
      <c r="E135" s="2794"/>
      <c r="F135" s="2794"/>
      <c r="G135" s="2794"/>
      <c r="H135" s="2794"/>
      <c r="J135" s="2794"/>
      <c r="K135" s="2794"/>
      <c r="L135" s="2794"/>
      <c r="M135" s="2794"/>
      <c r="N135" s="2794"/>
      <c r="O135" s="2794"/>
      <c r="Q135" s="2794"/>
      <c r="R135" s="2794"/>
      <c r="S135" s="2794"/>
      <c r="T135" s="2794"/>
      <c r="U135" s="2794"/>
      <c r="V135" s="2794"/>
      <c r="X135" s="2794"/>
      <c r="Y135" s="2794"/>
      <c r="Z135" s="2794"/>
      <c r="AA135" s="2794"/>
      <c r="AB135" s="2794"/>
      <c r="AC135" s="2794"/>
    </row>
    <row r="136" spans="1:29" x14ac:dyDescent="0.2">
      <c r="C136" s="2794"/>
      <c r="D136" s="2794"/>
      <c r="E136" s="2794"/>
      <c r="F136" s="2794"/>
      <c r="G136" s="2794"/>
      <c r="H136" s="2794"/>
      <c r="J136" s="2794"/>
      <c r="K136" s="2794"/>
      <c r="L136" s="2794"/>
      <c r="M136" s="2794"/>
      <c r="N136" s="2794"/>
      <c r="O136" s="2794"/>
      <c r="Q136" s="2794"/>
      <c r="R136" s="2794"/>
      <c r="S136" s="2794"/>
      <c r="T136" s="2794"/>
      <c r="U136" s="2794"/>
      <c r="V136" s="2794"/>
      <c r="X136" s="2794"/>
      <c r="Y136" s="2794"/>
      <c r="Z136" s="2794"/>
      <c r="AA136" s="2794"/>
      <c r="AB136" s="2794"/>
      <c r="AC136" s="2794"/>
    </row>
    <row r="137" spans="1:29" x14ac:dyDescent="0.2">
      <c r="C137" s="2794"/>
      <c r="D137" s="2794"/>
      <c r="E137" s="2794"/>
      <c r="F137" s="2794"/>
      <c r="G137" s="2794"/>
      <c r="H137" s="2794"/>
      <c r="J137" s="2794"/>
      <c r="K137" s="2794"/>
      <c r="L137" s="2794"/>
      <c r="M137" s="2794"/>
      <c r="N137" s="2794"/>
      <c r="O137" s="2794"/>
      <c r="Q137" s="2794"/>
      <c r="R137" s="2794"/>
      <c r="S137" s="2794"/>
      <c r="T137" s="2794"/>
      <c r="U137" s="2794"/>
      <c r="V137" s="2794"/>
      <c r="X137" s="2794"/>
      <c r="Y137" s="2794"/>
      <c r="Z137" s="2794"/>
      <c r="AA137" s="2794"/>
      <c r="AB137" s="2794"/>
      <c r="AC137" s="2794"/>
    </row>
    <row r="138" spans="1:29" x14ac:dyDescent="0.2">
      <c r="C138" s="2794"/>
      <c r="D138" s="2794"/>
      <c r="E138" s="2794"/>
      <c r="F138" s="2794"/>
      <c r="G138" s="2794"/>
      <c r="H138" s="2794"/>
      <c r="J138" s="2794"/>
      <c r="K138" s="2794"/>
      <c r="L138" s="2794"/>
      <c r="M138" s="2794"/>
      <c r="N138" s="2794"/>
      <c r="O138" s="2794"/>
      <c r="Q138" s="2794"/>
      <c r="R138" s="2794"/>
      <c r="S138" s="2794"/>
      <c r="T138" s="2794"/>
      <c r="U138" s="2794"/>
      <c r="V138" s="2794"/>
      <c r="X138" s="2794"/>
      <c r="Y138" s="2794"/>
      <c r="Z138" s="2794"/>
      <c r="AA138" s="2794"/>
      <c r="AB138" s="2794"/>
      <c r="AC138" s="2794"/>
    </row>
    <row r="139" spans="1:29" x14ac:dyDescent="0.2">
      <c r="C139" s="2794"/>
      <c r="D139" s="2794"/>
      <c r="E139" s="2794"/>
      <c r="F139" s="2794"/>
      <c r="G139" s="2794"/>
      <c r="H139" s="2794"/>
      <c r="J139" s="2794"/>
      <c r="K139" s="2794"/>
      <c r="L139" s="2794"/>
      <c r="M139" s="2794"/>
      <c r="N139" s="2794"/>
      <c r="O139" s="2794"/>
      <c r="Q139" s="2794"/>
      <c r="R139" s="2794"/>
      <c r="S139" s="2794"/>
      <c r="T139" s="2794"/>
      <c r="U139" s="2794"/>
      <c r="V139" s="2794"/>
      <c r="X139" s="2794"/>
      <c r="Y139" s="2794"/>
      <c r="Z139" s="2794"/>
      <c r="AA139" s="2794"/>
      <c r="AB139" s="2794"/>
      <c r="AC139" s="2794"/>
    </row>
    <row r="140" spans="1:29" x14ac:dyDescent="0.2">
      <c r="C140" s="2794"/>
      <c r="D140" s="2794"/>
      <c r="E140" s="2794"/>
      <c r="F140" s="2794"/>
      <c r="G140" s="2794"/>
      <c r="H140" s="2794"/>
      <c r="J140" s="2794"/>
      <c r="K140" s="2794"/>
      <c r="L140" s="2794"/>
      <c r="M140" s="2794"/>
      <c r="N140" s="2794"/>
      <c r="O140" s="2794"/>
      <c r="Q140" s="2794"/>
      <c r="R140" s="2794"/>
      <c r="S140" s="2794"/>
      <c r="T140" s="2794"/>
      <c r="U140" s="2794"/>
      <c r="V140" s="2794"/>
      <c r="X140" s="2794"/>
      <c r="Y140" s="2794"/>
      <c r="Z140" s="2794"/>
      <c r="AA140" s="2794"/>
      <c r="AB140" s="2794"/>
      <c r="AC140" s="2794"/>
    </row>
    <row r="141" spans="1:29" x14ac:dyDescent="0.2">
      <c r="C141" s="2794"/>
      <c r="D141" s="2794"/>
      <c r="E141" s="2794"/>
      <c r="F141" s="2794"/>
      <c r="G141" s="2794"/>
      <c r="H141" s="2794"/>
      <c r="J141" s="2794"/>
      <c r="K141" s="2794"/>
      <c r="L141" s="2794"/>
      <c r="M141" s="2794"/>
      <c r="N141" s="2794"/>
      <c r="O141" s="2794"/>
      <c r="Q141" s="2794"/>
      <c r="R141" s="2794"/>
      <c r="S141" s="2794"/>
      <c r="T141" s="2794"/>
      <c r="U141" s="2794"/>
      <c r="V141" s="2794"/>
      <c r="X141" s="2794"/>
      <c r="Y141" s="2794"/>
      <c r="Z141" s="2794"/>
      <c r="AA141" s="2794"/>
      <c r="AB141" s="2794"/>
      <c r="AC141" s="2794"/>
    </row>
    <row r="142" spans="1:29" x14ac:dyDescent="0.2">
      <c r="C142" s="2794"/>
      <c r="D142" s="2794"/>
      <c r="E142" s="2794"/>
      <c r="F142" s="2794"/>
      <c r="G142" s="2794"/>
      <c r="H142" s="2794"/>
      <c r="J142" s="2794"/>
      <c r="K142" s="2794"/>
      <c r="L142" s="2794"/>
      <c r="M142" s="2794"/>
      <c r="N142" s="2794"/>
      <c r="O142" s="2794"/>
      <c r="Q142" s="2794"/>
      <c r="R142" s="2794"/>
      <c r="S142" s="2794"/>
      <c r="T142" s="2794"/>
      <c r="U142" s="2794"/>
      <c r="V142" s="2794"/>
      <c r="X142" s="2794"/>
      <c r="Y142" s="2794"/>
      <c r="Z142" s="2794"/>
      <c r="AA142" s="2794"/>
      <c r="AB142" s="2794"/>
      <c r="AC142" s="2794"/>
    </row>
    <row r="143" spans="1:29" x14ac:dyDescent="0.2">
      <c r="C143" s="2794"/>
      <c r="D143" s="2794"/>
      <c r="E143" s="2794"/>
      <c r="F143" s="2794"/>
      <c r="G143" s="2794"/>
      <c r="H143" s="2794"/>
      <c r="J143" s="2794"/>
      <c r="K143" s="2794"/>
      <c r="L143" s="2794"/>
      <c r="M143" s="2794"/>
      <c r="N143" s="2794"/>
      <c r="O143" s="2794"/>
      <c r="Q143" s="2794"/>
      <c r="R143" s="2794"/>
      <c r="S143" s="2794"/>
      <c r="T143" s="2794"/>
      <c r="U143" s="2794"/>
      <c r="V143" s="2794"/>
      <c r="X143" s="2794"/>
      <c r="Y143" s="2794"/>
      <c r="Z143" s="2794"/>
      <c r="AA143" s="2794"/>
      <c r="AB143" s="2794"/>
      <c r="AC143" s="2794"/>
    </row>
    <row r="144" spans="1:29" x14ac:dyDescent="0.2">
      <c r="C144" s="2794"/>
      <c r="D144" s="2794"/>
      <c r="E144" s="2794"/>
      <c r="F144" s="2794"/>
      <c r="G144" s="2794"/>
      <c r="H144" s="2794"/>
      <c r="J144" s="2794"/>
      <c r="K144" s="2794"/>
      <c r="L144" s="2794"/>
      <c r="M144" s="2794"/>
      <c r="N144" s="2794"/>
      <c r="O144" s="2794"/>
      <c r="Q144" s="2794"/>
      <c r="R144" s="2794"/>
      <c r="S144" s="2794"/>
      <c r="T144" s="2794"/>
      <c r="U144" s="2794"/>
      <c r="V144" s="2794"/>
      <c r="X144" s="2794"/>
      <c r="Y144" s="2794"/>
      <c r="Z144" s="2794"/>
      <c r="AA144" s="2794"/>
      <c r="AB144" s="2794"/>
      <c r="AC144" s="2794"/>
    </row>
    <row r="145" spans="1:29" x14ac:dyDescent="0.2">
      <c r="C145" s="2794"/>
      <c r="D145" s="2794"/>
      <c r="E145" s="2794"/>
      <c r="F145" s="2794"/>
      <c r="G145" s="2794"/>
      <c r="H145" s="2794"/>
      <c r="J145" s="2794"/>
      <c r="K145" s="2794"/>
      <c r="L145" s="2794"/>
      <c r="M145" s="2794"/>
      <c r="N145" s="2794"/>
      <c r="O145" s="2794"/>
      <c r="Q145" s="2794"/>
      <c r="R145" s="2794"/>
      <c r="S145" s="2794"/>
      <c r="T145" s="2794"/>
      <c r="U145" s="2794"/>
      <c r="V145" s="2794"/>
      <c r="X145" s="2794"/>
      <c r="Y145" s="2794"/>
      <c r="Z145" s="2794"/>
      <c r="AA145" s="2794"/>
      <c r="AB145" s="2794"/>
      <c r="AC145" s="2794"/>
    </row>
    <row r="146" spans="1:29" x14ac:dyDescent="0.2">
      <c r="C146" s="2794"/>
      <c r="D146" s="2794"/>
      <c r="E146" s="2794"/>
      <c r="F146" s="2794"/>
      <c r="G146" s="2794"/>
      <c r="H146" s="2794"/>
      <c r="J146" s="2794"/>
      <c r="K146" s="2794"/>
      <c r="L146" s="2794"/>
      <c r="M146" s="2794"/>
      <c r="N146" s="2794"/>
      <c r="O146" s="2794"/>
      <c r="Q146" s="2794"/>
      <c r="R146" s="2794"/>
      <c r="S146" s="2794"/>
      <c r="T146" s="2794"/>
      <c r="U146" s="2794"/>
      <c r="V146" s="2794"/>
      <c r="X146" s="2794"/>
      <c r="Y146" s="2794"/>
      <c r="Z146" s="2794"/>
      <c r="AA146" s="2794"/>
      <c r="AB146" s="2794"/>
      <c r="AC146" s="2794"/>
    </row>
    <row r="147" spans="1:29" x14ac:dyDescent="0.2">
      <c r="C147" s="2794"/>
      <c r="D147" s="2794"/>
      <c r="E147" s="2794"/>
      <c r="F147" s="2794"/>
      <c r="G147" s="2794"/>
      <c r="H147" s="2794"/>
      <c r="J147" s="2794"/>
      <c r="K147" s="2794"/>
      <c r="L147" s="2794"/>
      <c r="M147" s="2794"/>
      <c r="N147" s="2794"/>
      <c r="O147" s="2794"/>
      <c r="Q147" s="2794"/>
      <c r="R147" s="2794"/>
      <c r="S147" s="2794"/>
      <c r="T147" s="2794"/>
      <c r="U147" s="2794"/>
      <c r="V147" s="2794"/>
      <c r="X147" s="2794"/>
      <c r="Y147" s="2794"/>
      <c r="Z147" s="2794"/>
      <c r="AA147" s="2794"/>
      <c r="AB147" s="2794"/>
      <c r="AC147" s="2794"/>
    </row>
    <row r="148" spans="1:29" x14ac:dyDescent="0.2">
      <c r="C148" s="2794"/>
      <c r="D148" s="2794"/>
      <c r="E148" s="2794"/>
      <c r="F148" s="2794"/>
      <c r="G148" s="2794"/>
      <c r="H148" s="2794"/>
      <c r="J148" s="2794"/>
      <c r="K148" s="2794"/>
      <c r="L148" s="2794"/>
      <c r="M148" s="2794"/>
      <c r="N148" s="2794"/>
      <c r="O148" s="2794"/>
      <c r="Q148" s="2794"/>
      <c r="R148" s="2794"/>
      <c r="S148" s="2794"/>
      <c r="T148" s="2794"/>
      <c r="U148" s="2794"/>
      <c r="V148" s="2794"/>
      <c r="X148" s="2794"/>
      <c r="Y148" s="2794"/>
      <c r="Z148" s="2794"/>
      <c r="AA148" s="2794"/>
      <c r="AB148" s="2794"/>
      <c r="AC148" s="2794"/>
    </row>
    <row r="149" spans="1:29" x14ac:dyDescent="0.2">
      <c r="C149" s="2794"/>
      <c r="D149" s="2794"/>
      <c r="E149" s="2794"/>
      <c r="F149" s="2794"/>
      <c r="G149" s="2794"/>
      <c r="H149" s="2794"/>
      <c r="J149" s="2794"/>
      <c r="K149" s="2794"/>
      <c r="L149" s="2794"/>
      <c r="M149" s="2794"/>
      <c r="N149" s="2794"/>
      <c r="O149" s="2794"/>
      <c r="Q149" s="2794"/>
      <c r="R149" s="2794"/>
      <c r="S149" s="2794"/>
      <c r="T149" s="2794"/>
      <c r="U149" s="2794"/>
      <c r="V149" s="2794"/>
      <c r="X149" s="2794"/>
      <c r="Y149" s="2794"/>
      <c r="Z149" s="2794"/>
      <c r="AA149" s="2794"/>
      <c r="AB149" s="2794"/>
      <c r="AC149" s="2794"/>
    </row>
    <row r="150" spans="1:29" x14ac:dyDescent="0.2">
      <c r="C150" s="2794"/>
      <c r="D150" s="2794"/>
      <c r="E150" s="2794"/>
      <c r="F150" s="2794"/>
      <c r="G150" s="2794"/>
      <c r="H150" s="2794"/>
      <c r="J150" s="2794"/>
      <c r="K150" s="2794"/>
      <c r="L150" s="2794"/>
      <c r="M150" s="2794"/>
      <c r="N150" s="2794"/>
      <c r="O150" s="2794"/>
      <c r="Q150" s="2794"/>
      <c r="R150" s="2794"/>
      <c r="S150" s="2794"/>
      <c r="T150" s="2794"/>
      <c r="U150" s="2794"/>
      <c r="V150" s="2794"/>
      <c r="X150" s="2794"/>
      <c r="Y150" s="2794"/>
      <c r="Z150" s="2794"/>
      <c r="AA150" s="2794"/>
      <c r="AB150" s="2794"/>
      <c r="AC150" s="2794"/>
    </row>
    <row r="151" spans="1:29" x14ac:dyDescent="0.2">
      <c r="C151" s="2794"/>
      <c r="D151" s="2794"/>
      <c r="E151" s="2794"/>
      <c r="F151" s="2794"/>
      <c r="G151" s="2794"/>
      <c r="H151" s="2794"/>
      <c r="J151" s="2794"/>
      <c r="K151" s="2794"/>
      <c r="L151" s="2794"/>
      <c r="M151" s="2794"/>
      <c r="N151" s="2794"/>
      <c r="O151" s="2794"/>
      <c r="Q151" s="2794"/>
      <c r="R151" s="2794"/>
      <c r="S151" s="2794"/>
      <c r="T151" s="2794"/>
      <c r="U151" s="2794"/>
      <c r="V151" s="2794"/>
      <c r="X151" s="2794"/>
      <c r="Y151" s="2794"/>
      <c r="Z151" s="2794"/>
      <c r="AA151" s="2794"/>
      <c r="AB151" s="2794"/>
      <c r="AC151" s="2794"/>
    </row>
    <row r="152" spans="1:29" x14ac:dyDescent="0.2">
      <c r="C152" s="2794"/>
      <c r="D152" s="2794"/>
      <c r="E152" s="2794"/>
      <c r="F152" s="2794"/>
      <c r="G152" s="2794"/>
      <c r="H152" s="2794"/>
      <c r="J152" s="2794"/>
      <c r="K152" s="2794"/>
      <c r="L152" s="2794"/>
      <c r="M152" s="2794"/>
      <c r="N152" s="2794"/>
      <c r="O152" s="2794"/>
      <c r="Q152" s="2794"/>
      <c r="R152" s="2794"/>
      <c r="S152" s="2794"/>
      <c r="T152" s="2794"/>
      <c r="U152" s="2794"/>
      <c r="V152" s="2794"/>
      <c r="X152" s="2794"/>
      <c r="Y152" s="2794"/>
      <c r="Z152" s="2794"/>
      <c r="AA152" s="2794"/>
      <c r="AB152" s="2794"/>
      <c r="AC152" s="2794"/>
    </row>
    <row r="153" spans="1:29" s="722" customFormat="1" x14ac:dyDescent="0.2">
      <c r="C153" s="1381"/>
      <c r="D153" s="1381"/>
      <c r="E153" s="1381"/>
      <c r="F153" s="1381"/>
      <c r="G153" s="1381"/>
      <c r="H153" s="1381"/>
      <c r="J153" s="1381"/>
      <c r="K153" s="1381"/>
      <c r="L153" s="1381"/>
      <c r="M153" s="1381"/>
      <c r="N153" s="1381"/>
      <c r="O153" s="1381"/>
      <c r="Q153" s="1381"/>
      <c r="R153" s="1381"/>
      <c r="S153" s="1381"/>
      <c r="T153" s="1381"/>
      <c r="U153" s="1381"/>
      <c r="V153" s="1381"/>
      <c r="X153" s="1381"/>
      <c r="Y153" s="1381"/>
      <c r="Z153" s="1381"/>
      <c r="AA153" s="1381"/>
      <c r="AB153" s="1381"/>
      <c r="AC153" s="1381"/>
    </row>
    <row r="154" spans="1:29" x14ac:dyDescent="0.2">
      <c r="C154" s="2794"/>
      <c r="D154" s="2794"/>
      <c r="E154" s="2794"/>
      <c r="F154" s="2794"/>
      <c r="G154" s="2794"/>
      <c r="H154" s="2794"/>
      <c r="J154" s="2794"/>
      <c r="K154" s="2794"/>
      <c r="L154" s="2794"/>
      <c r="M154" s="2794"/>
      <c r="N154" s="2794"/>
      <c r="O154" s="2794"/>
      <c r="Q154" s="2794"/>
      <c r="R154" s="2794"/>
      <c r="S154" s="2794"/>
      <c r="T154" s="2794"/>
      <c r="U154" s="2794"/>
      <c r="V154" s="2794"/>
      <c r="X154" s="2794"/>
      <c r="Y154" s="2794"/>
      <c r="Z154" s="2794"/>
      <c r="AA154" s="2794"/>
      <c r="AB154" s="2794"/>
      <c r="AC154" s="2794"/>
    </row>
    <row r="155" spans="1:29" x14ac:dyDescent="0.2">
      <c r="C155" s="2794"/>
      <c r="D155" s="2794"/>
      <c r="E155" s="2794"/>
      <c r="F155" s="2794"/>
      <c r="G155" s="2794"/>
      <c r="H155" s="2794"/>
      <c r="J155" s="2794"/>
      <c r="K155" s="2794"/>
      <c r="L155" s="2794"/>
      <c r="M155" s="2794"/>
      <c r="N155" s="2794"/>
      <c r="O155" s="2794"/>
      <c r="Q155" s="2794"/>
      <c r="R155" s="2794"/>
      <c r="S155" s="2794"/>
      <c r="T155" s="2794"/>
      <c r="U155" s="2794"/>
      <c r="V155" s="2794"/>
      <c r="X155" s="2794"/>
      <c r="Y155" s="2794"/>
      <c r="Z155" s="2794"/>
      <c r="AA155" s="2794"/>
      <c r="AB155" s="2794"/>
      <c r="AC155" s="2794"/>
    </row>
    <row r="156" spans="1:29" x14ac:dyDescent="0.2">
      <c r="C156" s="2794"/>
      <c r="D156" s="2794"/>
      <c r="E156" s="2794"/>
      <c r="F156" s="2794"/>
      <c r="G156" s="2794"/>
      <c r="H156" s="2794"/>
      <c r="J156" s="2794"/>
      <c r="K156" s="2794"/>
      <c r="L156" s="2794"/>
      <c r="M156" s="2794"/>
      <c r="N156" s="2794"/>
      <c r="O156" s="2794"/>
      <c r="Q156" s="2794"/>
      <c r="R156" s="2794"/>
      <c r="S156" s="2794"/>
      <c r="T156" s="2794"/>
      <c r="U156" s="2794"/>
      <c r="V156" s="2794"/>
      <c r="X156" s="2794"/>
      <c r="Y156" s="2794"/>
      <c r="Z156" s="2794"/>
      <c r="AA156" s="2794"/>
      <c r="AB156" s="2794"/>
      <c r="AC156" s="2794"/>
    </row>
    <row r="157" spans="1:29" ht="18" customHeight="1" x14ac:dyDescent="0.2">
      <c r="A157" s="19" t="s">
        <v>144</v>
      </c>
      <c r="B157" s="19"/>
      <c r="C157" s="2798">
        <v>1</v>
      </c>
      <c r="D157" s="2798"/>
      <c r="E157" s="2796">
        <f>E$7</f>
        <v>0</v>
      </c>
      <c r="F157" s="2796"/>
      <c r="G157" s="2796"/>
      <c r="H157" s="59"/>
      <c r="I157" s="2"/>
      <c r="J157" s="2798">
        <v>2</v>
      </c>
      <c r="K157" s="2798"/>
      <c r="L157" s="2796">
        <f>L$7</f>
        <v>0</v>
      </c>
      <c r="M157" s="2796"/>
      <c r="N157" s="2796"/>
      <c r="O157" s="59"/>
      <c r="P157" s="2"/>
      <c r="Q157" s="2798">
        <v>3</v>
      </c>
      <c r="R157" s="2798"/>
      <c r="S157" s="2796">
        <f>S$7</f>
        <v>0</v>
      </c>
      <c r="T157" s="2796"/>
      <c r="U157" s="2796"/>
      <c r="V157" s="59"/>
      <c r="W157" s="2"/>
      <c r="X157" s="2798">
        <v>4</v>
      </c>
      <c r="Y157" s="2798"/>
      <c r="Z157" s="2796">
        <f>Z$7</f>
        <v>0</v>
      </c>
      <c r="AA157" s="2796"/>
      <c r="AB157" s="2796"/>
      <c r="AC157" s="59"/>
    </row>
    <row r="158" spans="1:29" ht="27.75" customHeight="1" x14ac:dyDescent="0.2">
      <c r="B158" s="627" t="s">
        <v>573</v>
      </c>
      <c r="C158" s="3"/>
      <c r="D158" s="3"/>
      <c r="E158" s="2800">
        <f>E$8</f>
        <v>0</v>
      </c>
      <c r="F158" s="2800"/>
      <c r="G158" s="2800"/>
      <c r="H158" s="10"/>
      <c r="I158" s="2"/>
      <c r="J158" s="3"/>
      <c r="K158" s="3"/>
      <c r="L158" s="2800">
        <f>L$8</f>
        <v>0</v>
      </c>
      <c r="M158" s="2800"/>
      <c r="N158" s="2800"/>
      <c r="O158" s="10"/>
      <c r="P158" s="2"/>
      <c r="Q158" s="3"/>
      <c r="R158" s="3"/>
      <c r="S158" s="2800">
        <f>S$8</f>
        <v>0</v>
      </c>
      <c r="T158" s="2800"/>
      <c r="U158" s="2800"/>
      <c r="V158" s="10"/>
      <c r="W158" s="2"/>
      <c r="X158" s="3"/>
      <c r="Y158" s="3"/>
      <c r="Z158" s="2800">
        <f>Z$8</f>
        <v>0</v>
      </c>
      <c r="AA158" s="2800"/>
      <c r="AB158" s="2800"/>
      <c r="AC158" s="10"/>
    </row>
    <row r="159" spans="1:29" ht="6" customHeight="1" x14ac:dyDescent="0.2">
      <c r="A159" s="2"/>
      <c r="B159" s="2"/>
      <c r="C159" s="3"/>
      <c r="D159" s="3"/>
      <c r="E159" s="3"/>
      <c r="F159" s="3"/>
      <c r="G159" s="3"/>
      <c r="H159" s="3"/>
      <c r="I159" s="2"/>
      <c r="J159" s="3"/>
      <c r="K159" s="3"/>
      <c r="L159" s="3"/>
      <c r="M159" s="3"/>
      <c r="N159" s="3"/>
      <c r="O159" s="3"/>
      <c r="P159" s="2"/>
      <c r="Q159" s="3"/>
      <c r="R159" s="3"/>
      <c r="S159" s="3"/>
      <c r="T159" s="3"/>
      <c r="U159" s="3"/>
      <c r="V159" s="3"/>
      <c r="W159" s="2"/>
      <c r="X159" s="3"/>
      <c r="Y159" s="3"/>
      <c r="Z159" s="3"/>
      <c r="AA159" s="3"/>
      <c r="AB159" s="3"/>
      <c r="AC159" s="3"/>
    </row>
    <row r="160" spans="1:29" x14ac:dyDescent="0.2">
      <c r="A160" s="2"/>
      <c r="B160" s="2"/>
      <c r="C160" s="2794"/>
      <c r="D160" s="2794"/>
      <c r="E160" s="2794"/>
      <c r="F160" s="2794"/>
      <c r="G160" s="2794"/>
      <c r="H160" s="2794"/>
      <c r="I160" s="13"/>
      <c r="J160" s="2794"/>
      <c r="K160" s="2794"/>
      <c r="L160" s="2794"/>
      <c r="M160" s="2794"/>
      <c r="N160" s="2794"/>
      <c r="O160" s="2794"/>
      <c r="P160" s="13"/>
      <c r="Q160" s="2794"/>
      <c r="R160" s="2794"/>
      <c r="S160" s="2794"/>
      <c r="T160" s="2794"/>
      <c r="U160" s="2794"/>
      <c r="V160" s="2794"/>
      <c r="W160" s="13"/>
      <c r="X160" s="2794"/>
      <c r="Y160" s="2794"/>
      <c r="Z160" s="2794"/>
      <c r="AA160" s="2794"/>
      <c r="AB160" s="2794"/>
      <c r="AC160" s="2794"/>
    </row>
    <row r="161" spans="3:29" x14ac:dyDescent="0.2">
      <c r="C161" s="2794"/>
      <c r="D161" s="2794"/>
      <c r="E161" s="2794"/>
      <c r="F161" s="2794"/>
      <c r="G161" s="2794"/>
      <c r="H161" s="2794"/>
      <c r="J161" s="2794"/>
      <c r="K161" s="2794"/>
      <c r="L161" s="2794"/>
      <c r="M161" s="2794"/>
      <c r="N161" s="2794"/>
      <c r="O161" s="2794"/>
      <c r="Q161" s="2794"/>
      <c r="R161" s="2794"/>
      <c r="S161" s="2794"/>
      <c r="T161" s="2794"/>
      <c r="U161" s="2794"/>
      <c r="V161" s="2794"/>
      <c r="X161" s="2794"/>
      <c r="Y161" s="2794"/>
      <c r="Z161" s="2794"/>
      <c r="AA161" s="2794"/>
      <c r="AB161" s="2794"/>
      <c r="AC161" s="2794"/>
    </row>
    <row r="162" spans="3:29" x14ac:dyDescent="0.2">
      <c r="C162" s="2794"/>
      <c r="D162" s="2794"/>
      <c r="E162" s="2794"/>
      <c r="F162" s="2794"/>
      <c r="G162" s="2794"/>
      <c r="H162" s="2794"/>
      <c r="J162" s="2794"/>
      <c r="K162" s="2794"/>
      <c r="L162" s="2794"/>
      <c r="M162" s="2794"/>
      <c r="N162" s="2794"/>
      <c r="O162" s="2794"/>
      <c r="Q162" s="2794"/>
      <c r="R162" s="2794"/>
      <c r="S162" s="2794"/>
      <c r="T162" s="2794"/>
      <c r="U162" s="2794"/>
      <c r="V162" s="2794"/>
      <c r="X162" s="2794"/>
      <c r="Y162" s="2794"/>
      <c r="Z162" s="2794"/>
      <c r="AA162" s="2794"/>
      <c r="AB162" s="2794"/>
      <c r="AC162" s="2794"/>
    </row>
    <row r="163" spans="3:29" x14ac:dyDescent="0.2">
      <c r="C163" s="2794"/>
      <c r="D163" s="2794"/>
      <c r="E163" s="2794"/>
      <c r="F163" s="2794"/>
      <c r="G163" s="2794"/>
      <c r="H163" s="2794"/>
      <c r="J163" s="2794"/>
      <c r="K163" s="2794"/>
      <c r="L163" s="2794"/>
      <c r="M163" s="2794"/>
      <c r="N163" s="2794"/>
      <c r="O163" s="2794"/>
      <c r="Q163" s="2794"/>
      <c r="R163" s="2794"/>
      <c r="S163" s="2794"/>
      <c r="T163" s="2794"/>
      <c r="U163" s="2794"/>
      <c r="V163" s="2794"/>
      <c r="X163" s="2794"/>
      <c r="Y163" s="2794"/>
      <c r="Z163" s="2794"/>
      <c r="AA163" s="2794"/>
      <c r="AB163" s="2794"/>
      <c r="AC163" s="2794"/>
    </row>
    <row r="164" spans="3:29" x14ac:dyDescent="0.2">
      <c r="C164" s="2794"/>
      <c r="D164" s="2794"/>
      <c r="E164" s="2794"/>
      <c r="F164" s="2794"/>
      <c r="G164" s="2794"/>
      <c r="H164" s="2794"/>
      <c r="J164" s="2794"/>
      <c r="K164" s="2794"/>
      <c r="L164" s="2794"/>
      <c r="M164" s="2794"/>
      <c r="N164" s="2794"/>
      <c r="O164" s="2794"/>
      <c r="Q164" s="2794"/>
      <c r="R164" s="2794"/>
      <c r="S164" s="2794"/>
      <c r="T164" s="2794"/>
      <c r="U164" s="2794"/>
      <c r="V164" s="2794"/>
      <c r="X164" s="2794"/>
      <c r="Y164" s="2794"/>
      <c r="Z164" s="2794"/>
      <c r="AA164" s="2794"/>
      <c r="AB164" s="2794"/>
      <c r="AC164" s="2794"/>
    </row>
    <row r="165" spans="3:29" x14ac:dyDescent="0.2">
      <c r="C165" s="2794"/>
      <c r="D165" s="2794"/>
      <c r="E165" s="2794"/>
      <c r="F165" s="2794"/>
      <c r="G165" s="2794"/>
      <c r="H165" s="2794"/>
      <c r="J165" s="2794"/>
      <c r="K165" s="2794"/>
      <c r="L165" s="2794"/>
      <c r="M165" s="2794"/>
      <c r="N165" s="2794"/>
      <c r="O165" s="2794"/>
      <c r="Q165" s="2794"/>
      <c r="R165" s="2794"/>
      <c r="S165" s="2794"/>
      <c r="T165" s="2794"/>
      <c r="U165" s="2794"/>
      <c r="V165" s="2794"/>
      <c r="X165" s="2794"/>
      <c r="Y165" s="2794"/>
      <c r="Z165" s="2794"/>
      <c r="AA165" s="2794"/>
      <c r="AB165" s="2794"/>
      <c r="AC165" s="2794"/>
    </row>
    <row r="166" spans="3:29" x14ac:dyDescent="0.2">
      <c r="C166" s="2794"/>
      <c r="D166" s="2794"/>
      <c r="E166" s="2794"/>
      <c r="F166" s="2794"/>
      <c r="G166" s="2794"/>
      <c r="H166" s="2794"/>
      <c r="J166" s="2794"/>
      <c r="K166" s="2794"/>
      <c r="L166" s="2794"/>
      <c r="M166" s="2794"/>
      <c r="N166" s="2794"/>
      <c r="O166" s="2794"/>
      <c r="Q166" s="2794"/>
      <c r="R166" s="2794"/>
      <c r="S166" s="2794"/>
      <c r="T166" s="2794"/>
      <c r="U166" s="2794"/>
      <c r="V166" s="2794"/>
      <c r="X166" s="2794"/>
      <c r="Y166" s="2794"/>
      <c r="Z166" s="2794"/>
      <c r="AA166" s="2794"/>
      <c r="AB166" s="2794"/>
      <c r="AC166" s="2794"/>
    </row>
    <row r="167" spans="3:29" x14ac:dyDescent="0.2">
      <c r="C167" s="2794"/>
      <c r="D167" s="2794"/>
      <c r="E167" s="2794"/>
      <c r="F167" s="2794"/>
      <c r="G167" s="2794"/>
      <c r="H167" s="2794"/>
      <c r="J167" s="2794"/>
      <c r="K167" s="2794"/>
      <c r="L167" s="2794"/>
      <c r="M167" s="2794"/>
      <c r="N167" s="2794"/>
      <c r="O167" s="2794"/>
      <c r="Q167" s="2794"/>
      <c r="R167" s="2794"/>
      <c r="S167" s="2794"/>
      <c r="T167" s="2794"/>
      <c r="U167" s="2794"/>
      <c r="V167" s="2794"/>
      <c r="X167" s="2794"/>
      <c r="Y167" s="2794"/>
      <c r="Z167" s="2794"/>
      <c r="AA167" s="2794"/>
      <c r="AB167" s="2794"/>
      <c r="AC167" s="2794"/>
    </row>
    <row r="168" spans="3:29" x14ac:dyDescent="0.2">
      <c r="C168" s="2794"/>
      <c r="D168" s="2794"/>
      <c r="E168" s="2794"/>
      <c r="F168" s="2794"/>
      <c r="G168" s="2794"/>
      <c r="H168" s="2794"/>
      <c r="J168" s="2794"/>
      <c r="K168" s="2794"/>
      <c r="L168" s="2794"/>
      <c r="M168" s="2794"/>
      <c r="N168" s="2794"/>
      <c r="O168" s="2794"/>
      <c r="Q168" s="2794"/>
      <c r="R168" s="2794"/>
      <c r="S168" s="2794"/>
      <c r="T168" s="2794"/>
      <c r="U168" s="2794"/>
      <c r="V168" s="2794"/>
      <c r="X168" s="2794"/>
      <c r="Y168" s="2794"/>
      <c r="Z168" s="2794"/>
      <c r="AA168" s="2794"/>
      <c r="AB168" s="2794"/>
      <c r="AC168" s="2794"/>
    </row>
    <row r="169" spans="3:29" x14ac:dyDescent="0.2">
      <c r="C169" s="2794"/>
      <c r="D169" s="2794"/>
      <c r="E169" s="2794"/>
      <c r="F169" s="2794"/>
      <c r="G169" s="2794"/>
      <c r="H169" s="2794"/>
      <c r="J169" s="2794"/>
      <c r="K169" s="2794"/>
      <c r="L169" s="2794"/>
      <c r="M169" s="2794"/>
      <c r="N169" s="2794"/>
      <c r="O169" s="2794"/>
      <c r="Q169" s="2794"/>
      <c r="R169" s="2794"/>
      <c r="S169" s="2794"/>
      <c r="T169" s="2794"/>
      <c r="U169" s="2794"/>
      <c r="V169" s="2794"/>
      <c r="X169" s="2794"/>
      <c r="Y169" s="2794"/>
      <c r="Z169" s="2794"/>
      <c r="AA169" s="2794"/>
      <c r="AB169" s="2794"/>
      <c r="AC169" s="2794"/>
    </row>
    <row r="170" spans="3:29" x14ac:dyDescent="0.2">
      <c r="C170" s="2794"/>
      <c r="D170" s="2794"/>
      <c r="E170" s="2794"/>
      <c r="F170" s="2794"/>
      <c r="G170" s="2794"/>
      <c r="H170" s="2794"/>
      <c r="J170" s="2794"/>
      <c r="K170" s="2794"/>
      <c r="L170" s="2794"/>
      <c r="M170" s="2794"/>
      <c r="N170" s="2794"/>
      <c r="O170" s="2794"/>
      <c r="Q170" s="2794"/>
      <c r="R170" s="2794"/>
      <c r="S170" s="2794"/>
      <c r="T170" s="2794"/>
      <c r="U170" s="2794"/>
      <c r="V170" s="2794"/>
      <c r="X170" s="2794"/>
      <c r="Y170" s="2794"/>
      <c r="Z170" s="2794"/>
      <c r="AA170" s="2794"/>
      <c r="AB170" s="2794"/>
      <c r="AC170" s="2794"/>
    </row>
    <row r="171" spans="3:29" x14ac:dyDescent="0.2">
      <c r="C171" s="2794"/>
      <c r="D171" s="2794"/>
      <c r="E171" s="2794"/>
      <c r="F171" s="2794"/>
      <c r="G171" s="2794"/>
      <c r="H171" s="2794"/>
      <c r="J171" s="2794"/>
      <c r="K171" s="2794"/>
      <c r="L171" s="2794"/>
      <c r="M171" s="2794"/>
      <c r="N171" s="2794"/>
      <c r="O171" s="2794"/>
      <c r="Q171" s="2794"/>
      <c r="R171" s="2794"/>
      <c r="S171" s="2794"/>
      <c r="T171" s="2794"/>
      <c r="U171" s="2794"/>
      <c r="V171" s="2794"/>
      <c r="X171" s="2794"/>
      <c r="Y171" s="2794"/>
      <c r="Z171" s="2794"/>
      <c r="AA171" s="2794"/>
      <c r="AB171" s="2794"/>
      <c r="AC171" s="2794"/>
    </row>
    <row r="172" spans="3:29" x14ac:dyDescent="0.2">
      <c r="C172" s="2794"/>
      <c r="D172" s="2794"/>
      <c r="E172" s="2794"/>
      <c r="F172" s="2794"/>
      <c r="G172" s="2794"/>
      <c r="H172" s="2794"/>
      <c r="J172" s="2794"/>
      <c r="K172" s="2794"/>
      <c r="L172" s="2794"/>
      <c r="M172" s="2794"/>
      <c r="N172" s="2794"/>
      <c r="O172" s="2794"/>
      <c r="Q172" s="2794"/>
      <c r="R172" s="2794"/>
      <c r="S172" s="2794"/>
      <c r="T172" s="2794"/>
      <c r="U172" s="2794"/>
      <c r="V172" s="2794"/>
      <c r="X172" s="2794"/>
      <c r="Y172" s="2794"/>
      <c r="Z172" s="2794"/>
      <c r="AA172" s="2794"/>
      <c r="AB172" s="2794"/>
      <c r="AC172" s="2794"/>
    </row>
    <row r="173" spans="3:29" x14ac:dyDescent="0.2">
      <c r="C173" s="2794"/>
      <c r="D173" s="2794"/>
      <c r="E173" s="2794"/>
      <c r="F173" s="2794"/>
      <c r="G173" s="2794"/>
      <c r="H173" s="2794"/>
      <c r="J173" s="2794"/>
      <c r="K173" s="2794"/>
      <c r="L173" s="2794"/>
      <c r="M173" s="2794"/>
      <c r="N173" s="2794"/>
      <c r="O173" s="2794"/>
      <c r="Q173" s="2794"/>
      <c r="R173" s="2794"/>
      <c r="S173" s="2794"/>
      <c r="T173" s="2794"/>
      <c r="U173" s="2794"/>
      <c r="V173" s="2794"/>
      <c r="X173" s="2794"/>
      <c r="Y173" s="2794"/>
      <c r="Z173" s="2794"/>
      <c r="AA173" s="2794"/>
      <c r="AB173" s="2794"/>
      <c r="AC173" s="2794"/>
    </row>
    <row r="174" spans="3:29" x14ac:dyDescent="0.2">
      <c r="C174" s="2794"/>
      <c r="D174" s="2794"/>
      <c r="E174" s="2794"/>
      <c r="F174" s="2794"/>
      <c r="G174" s="2794"/>
      <c r="H174" s="2794"/>
      <c r="J174" s="2794"/>
      <c r="K174" s="2794"/>
      <c r="L174" s="2794"/>
      <c r="M174" s="2794"/>
      <c r="N174" s="2794"/>
      <c r="O174" s="2794"/>
      <c r="Q174" s="2794"/>
      <c r="R174" s="2794"/>
      <c r="S174" s="2794"/>
      <c r="T174" s="2794"/>
      <c r="U174" s="2794"/>
      <c r="V174" s="2794"/>
      <c r="X174" s="2794"/>
      <c r="Y174" s="2794"/>
      <c r="Z174" s="2794"/>
      <c r="AA174" s="2794"/>
      <c r="AB174" s="2794"/>
      <c r="AC174" s="2794"/>
    </row>
    <row r="175" spans="3:29" x14ac:dyDescent="0.2">
      <c r="C175" s="2794"/>
      <c r="D175" s="2794"/>
      <c r="E175" s="2794"/>
      <c r="F175" s="2794"/>
      <c r="G175" s="2794"/>
      <c r="H175" s="2794"/>
      <c r="J175" s="2794"/>
      <c r="K175" s="2794"/>
      <c r="L175" s="2794"/>
      <c r="M175" s="2794"/>
      <c r="N175" s="2794"/>
      <c r="O175" s="2794"/>
      <c r="Q175" s="2794"/>
      <c r="R175" s="2794"/>
      <c r="S175" s="2794"/>
      <c r="T175" s="2794"/>
      <c r="U175" s="2794"/>
      <c r="V175" s="2794"/>
      <c r="X175" s="2794"/>
      <c r="Y175" s="2794"/>
      <c r="Z175" s="2794"/>
      <c r="AA175" s="2794"/>
      <c r="AB175" s="2794"/>
      <c r="AC175" s="2794"/>
    </row>
    <row r="176" spans="3:29" x14ac:dyDescent="0.2">
      <c r="C176" s="2794"/>
      <c r="D176" s="2794"/>
      <c r="E176" s="2794"/>
      <c r="F176" s="2794"/>
      <c r="G176" s="2794"/>
      <c r="H176" s="2794"/>
      <c r="J176" s="2794"/>
      <c r="K176" s="2794"/>
      <c r="L176" s="2794"/>
      <c r="M176" s="2794"/>
      <c r="N176" s="2794"/>
      <c r="O176" s="2794"/>
      <c r="Q176" s="2794"/>
      <c r="R176" s="2794"/>
      <c r="S176" s="2794"/>
      <c r="T176" s="2794"/>
      <c r="U176" s="2794"/>
      <c r="V176" s="2794"/>
      <c r="X176" s="2794"/>
      <c r="Y176" s="2794"/>
      <c r="Z176" s="2794"/>
      <c r="AA176" s="2794"/>
      <c r="AB176" s="2794"/>
      <c r="AC176" s="2794"/>
    </row>
    <row r="177" spans="1:29" x14ac:dyDescent="0.2">
      <c r="C177" s="2794"/>
      <c r="D177" s="2794"/>
      <c r="E177" s="2794"/>
      <c r="F177" s="2794"/>
      <c r="G177" s="2794"/>
      <c r="H177" s="2794"/>
      <c r="J177" s="2794"/>
      <c r="K177" s="2794"/>
      <c r="L177" s="2794"/>
      <c r="M177" s="2794"/>
      <c r="N177" s="2794"/>
      <c r="O177" s="2794"/>
      <c r="Q177" s="2794"/>
      <c r="R177" s="2794"/>
      <c r="S177" s="2794"/>
      <c r="T177" s="2794"/>
      <c r="U177" s="2794"/>
      <c r="V177" s="2794"/>
      <c r="X177" s="2794"/>
      <c r="Y177" s="2794"/>
      <c r="Z177" s="2794"/>
      <c r="AA177" s="2794"/>
      <c r="AB177" s="2794"/>
      <c r="AC177" s="2794"/>
    </row>
    <row r="178" spans="1:29" x14ac:dyDescent="0.2">
      <c r="C178" s="2794"/>
      <c r="D178" s="2794"/>
      <c r="E178" s="2794"/>
      <c r="F178" s="2794"/>
      <c r="G178" s="2794"/>
      <c r="H178" s="2794"/>
      <c r="J178" s="2794"/>
      <c r="K178" s="2794"/>
      <c r="L178" s="2794"/>
      <c r="M178" s="2794"/>
      <c r="N178" s="2794"/>
      <c r="O178" s="2794"/>
      <c r="Q178" s="2794"/>
      <c r="R178" s="2794"/>
      <c r="S178" s="2794"/>
      <c r="T178" s="2794"/>
      <c r="U178" s="2794"/>
      <c r="V178" s="2794"/>
      <c r="X178" s="2794"/>
      <c r="Y178" s="2794"/>
      <c r="Z178" s="2794"/>
      <c r="AA178" s="2794"/>
      <c r="AB178" s="2794"/>
      <c r="AC178" s="2794"/>
    </row>
    <row r="179" spans="1:29" x14ac:dyDescent="0.2">
      <c r="C179" s="2794"/>
      <c r="D179" s="2794"/>
      <c r="E179" s="2794"/>
      <c r="F179" s="2794"/>
      <c r="G179" s="2794"/>
      <c r="H179" s="2794"/>
      <c r="J179" s="2794"/>
      <c r="K179" s="2794"/>
      <c r="L179" s="2794"/>
      <c r="M179" s="2794"/>
      <c r="N179" s="2794"/>
      <c r="O179" s="2794"/>
      <c r="Q179" s="2794"/>
      <c r="R179" s="2794"/>
      <c r="S179" s="2794"/>
      <c r="T179" s="2794"/>
      <c r="U179" s="2794"/>
      <c r="V179" s="2794"/>
      <c r="X179" s="2794"/>
      <c r="Y179" s="2794"/>
      <c r="Z179" s="2794"/>
      <c r="AA179" s="2794"/>
      <c r="AB179" s="2794"/>
      <c r="AC179" s="2794"/>
    </row>
    <row r="180" spans="1:29" x14ac:dyDescent="0.2">
      <c r="C180" s="2794"/>
      <c r="D180" s="2794"/>
      <c r="E180" s="2794"/>
      <c r="F180" s="2794"/>
      <c r="G180" s="2794"/>
      <c r="H180" s="2794"/>
      <c r="J180" s="2794"/>
      <c r="K180" s="2794"/>
      <c r="L180" s="2794"/>
      <c r="M180" s="2794"/>
      <c r="N180" s="2794"/>
      <c r="O180" s="2794"/>
      <c r="Q180" s="2794"/>
      <c r="R180" s="2794"/>
      <c r="S180" s="2794"/>
      <c r="T180" s="2794"/>
      <c r="U180" s="2794"/>
      <c r="V180" s="2794"/>
      <c r="X180" s="2794"/>
      <c r="Y180" s="2794"/>
      <c r="Z180" s="2794"/>
      <c r="AA180" s="2794"/>
      <c r="AB180" s="2794"/>
      <c r="AC180" s="2794"/>
    </row>
    <row r="181" spans="1:29" x14ac:dyDescent="0.2">
      <c r="C181" s="2794"/>
      <c r="D181" s="2794"/>
      <c r="E181" s="2794"/>
      <c r="F181" s="2794"/>
      <c r="G181" s="2794"/>
      <c r="H181" s="2794"/>
      <c r="J181" s="2794"/>
      <c r="K181" s="2794"/>
      <c r="L181" s="2794"/>
      <c r="M181" s="2794"/>
      <c r="N181" s="2794"/>
      <c r="O181" s="2794"/>
      <c r="Q181" s="2794"/>
      <c r="R181" s="2794"/>
      <c r="S181" s="2794"/>
      <c r="T181" s="2794"/>
      <c r="U181" s="2794"/>
      <c r="V181" s="2794"/>
      <c r="X181" s="2794"/>
      <c r="Y181" s="2794"/>
      <c r="Z181" s="2794"/>
      <c r="AA181" s="2794"/>
      <c r="AB181" s="2794"/>
      <c r="AC181" s="2794"/>
    </row>
    <row r="182" spans="1:29" s="722" customFormat="1" x14ac:dyDescent="0.2">
      <c r="C182" s="1381"/>
      <c r="D182" s="1381"/>
      <c r="E182" s="1381"/>
      <c r="F182" s="1381"/>
      <c r="G182" s="1381"/>
      <c r="H182" s="1381"/>
      <c r="J182" s="1381"/>
      <c r="K182" s="1381"/>
      <c r="L182" s="1381"/>
      <c r="M182" s="1381"/>
      <c r="N182" s="1381"/>
      <c r="O182" s="1381"/>
      <c r="Q182" s="1381"/>
      <c r="R182" s="1381"/>
      <c r="S182" s="1381"/>
      <c r="T182" s="1381"/>
      <c r="U182" s="1381"/>
      <c r="V182" s="1381"/>
      <c r="X182" s="1381"/>
      <c r="Y182" s="1381"/>
      <c r="Z182" s="1381"/>
      <c r="AA182" s="1381"/>
      <c r="AB182" s="1381"/>
      <c r="AC182" s="1381"/>
    </row>
    <row r="183" spans="1:29" x14ac:dyDescent="0.2">
      <c r="C183" s="2794"/>
      <c r="D183" s="2794"/>
      <c r="E183" s="2794"/>
      <c r="F183" s="2794"/>
      <c r="G183" s="2794"/>
      <c r="H183" s="2794"/>
      <c r="J183" s="2794"/>
      <c r="K183" s="2794"/>
      <c r="L183" s="2794"/>
      <c r="M183" s="2794"/>
      <c r="N183" s="2794"/>
      <c r="O183" s="2794"/>
      <c r="Q183" s="2794"/>
      <c r="R183" s="2794"/>
      <c r="S183" s="2794"/>
      <c r="T183" s="2794"/>
      <c r="U183" s="2794"/>
      <c r="V183" s="2794"/>
      <c r="X183" s="2794"/>
      <c r="Y183" s="2794"/>
      <c r="Z183" s="2794"/>
      <c r="AA183" s="2794"/>
      <c r="AB183" s="2794"/>
      <c r="AC183" s="2794"/>
    </row>
    <row r="184" spans="1:29" x14ac:dyDescent="0.2">
      <c r="C184" s="2794"/>
      <c r="D184" s="2794"/>
      <c r="E184" s="2794"/>
      <c r="F184" s="2794"/>
      <c r="G184" s="2794"/>
      <c r="H184" s="2794"/>
      <c r="J184" s="2794"/>
      <c r="K184" s="2794"/>
      <c r="L184" s="2794"/>
      <c r="M184" s="2794"/>
      <c r="N184" s="2794"/>
      <c r="O184" s="2794"/>
      <c r="Q184" s="2794"/>
      <c r="R184" s="2794"/>
      <c r="S184" s="2794"/>
      <c r="T184" s="2794"/>
      <c r="U184" s="2794"/>
      <c r="V184" s="2794"/>
      <c r="X184" s="2794"/>
      <c r="Y184" s="2794"/>
      <c r="Z184" s="2794"/>
      <c r="AA184" s="2794"/>
      <c r="AB184" s="2794"/>
      <c r="AC184" s="2794"/>
    </row>
    <row r="185" spans="1:29" x14ac:dyDescent="0.2">
      <c r="C185" s="2794"/>
      <c r="D185" s="2794"/>
      <c r="E185" s="2794"/>
      <c r="F185" s="2794"/>
      <c r="G185" s="2794"/>
      <c r="H185" s="2794"/>
      <c r="J185" s="2794"/>
      <c r="K185" s="2794"/>
      <c r="L185" s="2794"/>
      <c r="M185" s="2794"/>
      <c r="N185" s="2794"/>
      <c r="O185" s="2794"/>
      <c r="Q185" s="2794"/>
      <c r="R185" s="2794"/>
      <c r="S185" s="2794"/>
      <c r="T185" s="2794"/>
      <c r="U185" s="2794"/>
      <c r="V185" s="2794"/>
      <c r="X185" s="2794"/>
      <c r="Y185" s="2794"/>
      <c r="Z185" s="2794"/>
      <c r="AA185" s="2794"/>
      <c r="AB185" s="2794"/>
      <c r="AC185" s="2794"/>
    </row>
    <row r="186" spans="1:29" ht="18" customHeight="1" x14ac:dyDescent="0.2">
      <c r="A186" s="52" t="s">
        <v>759</v>
      </c>
      <c r="B186" s="52"/>
      <c r="C186" s="2798">
        <v>1</v>
      </c>
      <c r="D186" s="2798"/>
      <c r="E186" s="2796">
        <f>E$7</f>
        <v>0</v>
      </c>
      <c r="F186" s="2796"/>
      <c r="G186" s="2796"/>
      <c r="H186" s="56"/>
      <c r="I186" s="2"/>
      <c r="J186" s="2798">
        <v>2</v>
      </c>
      <c r="K186" s="2798"/>
      <c r="L186" s="2796">
        <f>L$7</f>
        <v>0</v>
      </c>
      <c r="M186" s="2796"/>
      <c r="N186" s="2796"/>
      <c r="O186" s="56"/>
      <c r="P186" s="2"/>
      <c r="Q186" s="2798">
        <v>3</v>
      </c>
      <c r="R186" s="2798"/>
      <c r="S186" s="2796">
        <f>S$7</f>
        <v>0</v>
      </c>
      <c r="T186" s="2796"/>
      <c r="U186" s="2796"/>
      <c r="V186" s="56"/>
      <c r="W186" s="2"/>
      <c r="X186" s="2798">
        <v>4</v>
      </c>
      <c r="Y186" s="2798"/>
      <c r="Z186" s="2796">
        <f>Z$7</f>
        <v>0</v>
      </c>
      <c r="AA186" s="2796"/>
      <c r="AB186" s="2796"/>
      <c r="AC186" s="56"/>
    </row>
    <row r="187" spans="1:29" ht="27.75" customHeight="1" x14ac:dyDescent="0.2">
      <c r="A187" s="1495"/>
      <c r="B187" s="627" t="s">
        <v>4</v>
      </c>
      <c r="C187" s="3"/>
      <c r="D187" s="3"/>
      <c r="E187" s="2800">
        <f>E$8</f>
        <v>0</v>
      </c>
      <c r="F187" s="2800"/>
      <c r="G187" s="2800"/>
      <c r="H187" s="10"/>
      <c r="I187" s="2"/>
      <c r="J187" s="3"/>
      <c r="K187" s="3"/>
      <c r="L187" s="2800">
        <f>L$8</f>
        <v>0</v>
      </c>
      <c r="M187" s="2800"/>
      <c r="N187" s="2800"/>
      <c r="O187" s="10"/>
      <c r="P187" s="2"/>
      <c r="Q187" s="3"/>
      <c r="R187" s="3"/>
      <c r="S187" s="2800">
        <f>S$8</f>
        <v>0</v>
      </c>
      <c r="T187" s="2800"/>
      <c r="U187" s="2800"/>
      <c r="V187" s="10"/>
      <c r="W187" s="2"/>
      <c r="X187" s="3"/>
      <c r="Y187" s="3"/>
      <c r="Z187" s="2800">
        <f>Z$8</f>
        <v>0</v>
      </c>
      <c r="AA187" s="2800"/>
      <c r="AB187" s="2800"/>
      <c r="AC187" s="10"/>
    </row>
    <row r="188" spans="1:29" ht="6" customHeight="1" x14ac:dyDescent="0.2">
      <c r="A188" s="2"/>
      <c r="B188" s="2"/>
      <c r="C188" s="3"/>
      <c r="D188" s="3"/>
      <c r="E188" s="3"/>
      <c r="F188" s="3"/>
      <c r="G188" s="3"/>
      <c r="H188" s="3"/>
      <c r="I188" s="2"/>
      <c r="J188" s="3"/>
      <c r="K188" s="3"/>
      <c r="L188" s="3"/>
      <c r="M188" s="3"/>
      <c r="N188" s="3"/>
      <c r="O188" s="3"/>
      <c r="P188" s="2"/>
      <c r="Q188" s="3"/>
      <c r="R188" s="3"/>
      <c r="S188" s="3"/>
      <c r="T188" s="3"/>
      <c r="U188" s="3"/>
      <c r="V188" s="3"/>
      <c r="W188" s="2"/>
      <c r="X188" s="3"/>
      <c r="Y188" s="3"/>
      <c r="Z188" s="3"/>
      <c r="AA188" s="3"/>
      <c r="AB188" s="3"/>
      <c r="AC188" s="3"/>
    </row>
    <row r="189" spans="1:29" x14ac:dyDescent="0.2">
      <c r="A189" s="2"/>
      <c r="B189" s="2"/>
      <c r="C189" s="2794"/>
      <c r="D189" s="2794"/>
      <c r="E189" s="2794"/>
      <c r="F189" s="2794"/>
      <c r="G189" s="2794"/>
      <c r="H189" s="2794"/>
      <c r="I189" s="13"/>
      <c r="J189" s="2794"/>
      <c r="K189" s="2794"/>
      <c r="L189" s="2794"/>
      <c r="M189" s="2794"/>
      <c r="N189" s="2794"/>
      <c r="O189" s="2794"/>
      <c r="P189" s="13"/>
      <c r="Q189" s="2794"/>
      <c r="R189" s="2794"/>
      <c r="S189" s="2794"/>
      <c r="T189" s="2794"/>
      <c r="U189" s="2794"/>
      <c r="V189" s="2794"/>
      <c r="W189" s="13"/>
      <c r="X189" s="2794"/>
      <c r="Y189" s="2794"/>
      <c r="Z189" s="2794"/>
      <c r="AA189" s="2794"/>
      <c r="AB189" s="2794"/>
      <c r="AC189" s="2794"/>
    </row>
    <row r="190" spans="1:29" x14ac:dyDescent="0.2">
      <c r="C190" s="2794"/>
      <c r="D190" s="2794"/>
      <c r="E190" s="2794"/>
      <c r="F190" s="2794"/>
      <c r="G190" s="2794"/>
      <c r="H190" s="2794"/>
      <c r="J190" s="2794"/>
      <c r="K190" s="2794"/>
      <c r="L190" s="2794"/>
      <c r="M190" s="2794"/>
      <c r="N190" s="2794"/>
      <c r="O190" s="2794"/>
      <c r="Q190" s="2794"/>
      <c r="R190" s="2794"/>
      <c r="S190" s="2794"/>
      <c r="T190" s="2794"/>
      <c r="U190" s="2794"/>
      <c r="V190" s="2794"/>
      <c r="X190" s="2794"/>
      <c r="Y190" s="2794"/>
      <c r="Z190" s="2794"/>
      <c r="AA190" s="2794"/>
      <c r="AB190" s="2794"/>
      <c r="AC190" s="2794"/>
    </row>
    <row r="191" spans="1:29" x14ac:dyDescent="0.2">
      <c r="C191" s="2794"/>
      <c r="D191" s="2794"/>
      <c r="E191" s="2794"/>
      <c r="F191" s="2794"/>
      <c r="G191" s="2794"/>
      <c r="H191" s="2794"/>
      <c r="J191" s="2794"/>
      <c r="K191" s="2794"/>
      <c r="L191" s="2794"/>
      <c r="M191" s="2794"/>
      <c r="N191" s="2794"/>
      <c r="O191" s="2794"/>
      <c r="Q191" s="2794"/>
      <c r="R191" s="2794"/>
      <c r="S191" s="2794"/>
      <c r="T191" s="2794"/>
      <c r="U191" s="2794"/>
      <c r="V191" s="2794"/>
      <c r="X191" s="2794"/>
      <c r="Y191" s="2794"/>
      <c r="Z191" s="2794"/>
      <c r="AA191" s="2794"/>
      <c r="AB191" s="2794"/>
      <c r="AC191" s="2794"/>
    </row>
    <row r="192" spans="1:29" x14ac:dyDescent="0.2">
      <c r="C192" s="2794"/>
      <c r="D192" s="2794"/>
      <c r="E192" s="2794"/>
      <c r="F192" s="2794"/>
      <c r="G192" s="2794"/>
      <c r="H192" s="2794"/>
      <c r="J192" s="2794"/>
      <c r="K192" s="2794"/>
      <c r="L192" s="2794"/>
      <c r="M192" s="2794"/>
      <c r="N192" s="2794"/>
      <c r="O192" s="2794"/>
      <c r="Q192" s="2794"/>
      <c r="R192" s="2794"/>
      <c r="S192" s="2794"/>
      <c r="T192" s="2794"/>
      <c r="U192" s="2794"/>
      <c r="V192" s="2794"/>
      <c r="X192" s="2794"/>
      <c r="Y192" s="2794"/>
      <c r="Z192" s="2794"/>
      <c r="AA192" s="2794"/>
      <c r="AB192" s="2794"/>
      <c r="AC192" s="2794"/>
    </row>
    <row r="193" spans="3:29" x14ac:dyDescent="0.2">
      <c r="C193" s="2794"/>
      <c r="D193" s="2794"/>
      <c r="E193" s="2794"/>
      <c r="F193" s="2794"/>
      <c r="G193" s="2794"/>
      <c r="H193" s="2794"/>
      <c r="J193" s="2794"/>
      <c r="K193" s="2794"/>
      <c r="L193" s="2794"/>
      <c r="M193" s="2794"/>
      <c r="N193" s="2794"/>
      <c r="O193" s="2794"/>
      <c r="Q193" s="2794"/>
      <c r="R193" s="2794"/>
      <c r="S193" s="2794"/>
      <c r="T193" s="2794"/>
      <c r="U193" s="2794"/>
      <c r="V193" s="2794"/>
      <c r="X193" s="2794"/>
      <c r="Y193" s="2794"/>
      <c r="Z193" s="2794"/>
      <c r="AA193" s="2794"/>
      <c r="AB193" s="2794"/>
      <c r="AC193" s="2794"/>
    </row>
    <row r="194" spans="3:29" x14ac:dyDescent="0.2">
      <c r="C194" s="2794"/>
      <c r="D194" s="2794"/>
      <c r="E194" s="2794"/>
      <c r="F194" s="2794"/>
      <c r="G194" s="2794"/>
      <c r="H194" s="2794"/>
      <c r="J194" s="2794"/>
      <c r="K194" s="2794"/>
      <c r="L194" s="2794"/>
      <c r="M194" s="2794"/>
      <c r="N194" s="2794"/>
      <c r="O194" s="2794"/>
      <c r="Q194" s="2794"/>
      <c r="R194" s="2794"/>
      <c r="S194" s="2794"/>
      <c r="T194" s="2794"/>
      <c r="U194" s="2794"/>
      <c r="V194" s="2794"/>
      <c r="X194" s="2794"/>
      <c r="Y194" s="2794"/>
      <c r="Z194" s="2794"/>
      <c r="AA194" s="2794"/>
      <c r="AB194" s="2794"/>
      <c r="AC194" s="2794"/>
    </row>
    <row r="195" spans="3:29" x14ac:dyDescent="0.2">
      <c r="C195" s="2794"/>
      <c r="D195" s="2794"/>
      <c r="E195" s="2794"/>
      <c r="F195" s="2794"/>
      <c r="G195" s="2794"/>
      <c r="H195" s="2794"/>
      <c r="J195" s="2794"/>
      <c r="K195" s="2794"/>
      <c r="L195" s="2794"/>
      <c r="M195" s="2794"/>
      <c r="N195" s="2794"/>
      <c r="O195" s="2794"/>
      <c r="Q195" s="2794"/>
      <c r="R195" s="2794"/>
      <c r="S195" s="2794"/>
      <c r="T195" s="2794"/>
      <c r="U195" s="2794"/>
      <c r="V195" s="2794"/>
      <c r="X195" s="2794"/>
      <c r="Y195" s="2794"/>
      <c r="Z195" s="2794"/>
      <c r="AA195" s="2794"/>
      <c r="AB195" s="2794"/>
      <c r="AC195" s="2794"/>
    </row>
    <row r="196" spans="3:29" x14ac:dyDescent="0.2">
      <c r="C196" s="2794"/>
      <c r="D196" s="2794"/>
      <c r="E196" s="2794"/>
      <c r="F196" s="2794"/>
      <c r="G196" s="2794"/>
      <c r="H196" s="2794"/>
      <c r="J196" s="2794"/>
      <c r="K196" s="2794"/>
      <c r="L196" s="2794"/>
      <c r="M196" s="2794"/>
      <c r="N196" s="2794"/>
      <c r="O196" s="2794"/>
      <c r="Q196" s="2794"/>
      <c r="R196" s="2794"/>
      <c r="S196" s="2794"/>
      <c r="T196" s="2794"/>
      <c r="U196" s="2794"/>
      <c r="V196" s="2794"/>
      <c r="X196" s="2794"/>
      <c r="Y196" s="2794"/>
      <c r="Z196" s="2794"/>
      <c r="AA196" s="2794"/>
      <c r="AB196" s="2794"/>
      <c r="AC196" s="2794"/>
    </row>
    <row r="197" spans="3:29" x14ac:dyDescent="0.2">
      <c r="C197" s="2794"/>
      <c r="D197" s="2794"/>
      <c r="E197" s="2794"/>
      <c r="F197" s="2794"/>
      <c r="G197" s="2794"/>
      <c r="H197" s="2794"/>
      <c r="J197" s="2794"/>
      <c r="K197" s="2794"/>
      <c r="L197" s="2794"/>
      <c r="M197" s="2794"/>
      <c r="N197" s="2794"/>
      <c r="O197" s="2794"/>
      <c r="Q197" s="2794"/>
      <c r="R197" s="2794"/>
      <c r="S197" s="2794"/>
      <c r="T197" s="2794"/>
      <c r="U197" s="2794"/>
      <c r="V197" s="2794"/>
      <c r="X197" s="2794"/>
      <c r="Y197" s="2794"/>
      <c r="Z197" s="2794"/>
      <c r="AA197" s="2794"/>
      <c r="AB197" s="2794"/>
      <c r="AC197" s="2794"/>
    </row>
    <row r="198" spans="3:29" x14ac:dyDescent="0.2">
      <c r="C198" s="2794"/>
      <c r="D198" s="2794"/>
      <c r="E198" s="2794"/>
      <c r="F198" s="2794"/>
      <c r="G198" s="2794"/>
      <c r="H198" s="2794"/>
      <c r="J198" s="2794"/>
      <c r="K198" s="2794"/>
      <c r="L198" s="2794"/>
      <c r="M198" s="2794"/>
      <c r="N198" s="2794"/>
      <c r="O198" s="2794"/>
      <c r="Q198" s="2794"/>
      <c r="R198" s="2794"/>
      <c r="S198" s="2794"/>
      <c r="T198" s="2794"/>
      <c r="U198" s="2794"/>
      <c r="V198" s="2794"/>
      <c r="X198" s="2794"/>
      <c r="Y198" s="2794"/>
      <c r="Z198" s="2794"/>
      <c r="AA198" s="2794"/>
      <c r="AB198" s="2794"/>
      <c r="AC198" s="2794"/>
    </row>
    <row r="199" spans="3:29" x14ac:dyDescent="0.2">
      <c r="C199" s="2794"/>
      <c r="D199" s="2794"/>
      <c r="E199" s="2794"/>
      <c r="F199" s="2794"/>
      <c r="G199" s="2794"/>
      <c r="H199" s="2794"/>
      <c r="J199" s="2794"/>
      <c r="K199" s="2794"/>
      <c r="L199" s="2794"/>
      <c r="M199" s="2794"/>
      <c r="N199" s="2794"/>
      <c r="O199" s="2794"/>
      <c r="Q199" s="2794"/>
      <c r="R199" s="2794"/>
      <c r="S199" s="2794"/>
      <c r="T199" s="2794"/>
      <c r="U199" s="2794"/>
      <c r="V199" s="2794"/>
      <c r="X199" s="2794"/>
      <c r="Y199" s="2794"/>
      <c r="Z199" s="2794"/>
      <c r="AA199" s="2794"/>
      <c r="AB199" s="2794"/>
      <c r="AC199" s="2794"/>
    </row>
    <row r="200" spans="3:29" x14ac:dyDescent="0.2">
      <c r="C200" s="2794"/>
      <c r="D200" s="2794"/>
      <c r="E200" s="2794"/>
      <c r="F200" s="2794"/>
      <c r="G200" s="2794"/>
      <c r="H200" s="2794"/>
      <c r="J200" s="2794"/>
      <c r="K200" s="2794"/>
      <c r="L200" s="2794"/>
      <c r="M200" s="2794"/>
      <c r="N200" s="2794"/>
      <c r="O200" s="2794"/>
      <c r="Q200" s="2794"/>
      <c r="R200" s="2794"/>
      <c r="S200" s="2794"/>
      <c r="T200" s="2794"/>
      <c r="U200" s="2794"/>
      <c r="V200" s="2794"/>
      <c r="X200" s="2794"/>
      <c r="Y200" s="2794"/>
      <c r="Z200" s="2794"/>
      <c r="AA200" s="2794"/>
      <c r="AB200" s="2794"/>
      <c r="AC200" s="2794"/>
    </row>
    <row r="201" spans="3:29" x14ac:dyDescent="0.2">
      <c r="C201" s="2794"/>
      <c r="D201" s="2794"/>
      <c r="E201" s="2794"/>
      <c r="F201" s="2794"/>
      <c r="G201" s="2794"/>
      <c r="H201" s="2794"/>
      <c r="J201" s="2794"/>
      <c r="K201" s="2794"/>
      <c r="L201" s="2794"/>
      <c r="M201" s="2794"/>
      <c r="N201" s="2794"/>
      <c r="O201" s="2794"/>
      <c r="Q201" s="2794"/>
      <c r="R201" s="2794"/>
      <c r="S201" s="2794"/>
      <c r="T201" s="2794"/>
      <c r="U201" s="2794"/>
      <c r="V201" s="2794"/>
      <c r="X201" s="2794"/>
      <c r="Y201" s="2794"/>
      <c r="Z201" s="2794"/>
      <c r="AA201" s="2794"/>
      <c r="AB201" s="2794"/>
      <c r="AC201" s="2794"/>
    </row>
    <row r="202" spans="3:29" x14ac:dyDescent="0.2">
      <c r="C202" s="2794"/>
      <c r="D202" s="2794"/>
      <c r="E202" s="2794"/>
      <c r="F202" s="2794"/>
      <c r="G202" s="2794"/>
      <c r="H202" s="2794"/>
      <c r="J202" s="2794"/>
      <c r="K202" s="2794"/>
      <c r="L202" s="2794"/>
      <c r="M202" s="2794"/>
      <c r="N202" s="2794"/>
      <c r="O202" s="2794"/>
      <c r="Q202" s="2794"/>
      <c r="R202" s="2794"/>
      <c r="S202" s="2794"/>
      <c r="T202" s="2794"/>
      <c r="U202" s="2794"/>
      <c r="V202" s="2794"/>
      <c r="X202" s="2794"/>
      <c r="Y202" s="2794"/>
      <c r="Z202" s="2794"/>
      <c r="AA202" s="2794"/>
      <c r="AB202" s="2794"/>
      <c r="AC202" s="2794"/>
    </row>
    <row r="203" spans="3:29" x14ac:dyDescent="0.2">
      <c r="C203" s="2794"/>
      <c r="D203" s="2794"/>
      <c r="E203" s="2794"/>
      <c r="F203" s="2794"/>
      <c r="G203" s="2794"/>
      <c r="H203" s="2794"/>
      <c r="J203" s="2794"/>
      <c r="K203" s="2794"/>
      <c r="L203" s="2794"/>
      <c r="M203" s="2794"/>
      <c r="N203" s="2794"/>
      <c r="O203" s="2794"/>
      <c r="Q203" s="2794"/>
      <c r="R203" s="2794"/>
      <c r="S203" s="2794"/>
      <c r="T203" s="2794"/>
      <c r="U203" s="2794"/>
      <c r="V203" s="2794"/>
      <c r="X203" s="2794"/>
      <c r="Y203" s="2794"/>
      <c r="Z203" s="2794"/>
      <c r="AA203" s="2794"/>
      <c r="AB203" s="2794"/>
      <c r="AC203" s="2794"/>
    </row>
    <row r="204" spans="3:29" x14ac:dyDescent="0.2">
      <c r="C204" s="2794"/>
      <c r="D204" s="2794"/>
      <c r="E204" s="2794"/>
      <c r="F204" s="2794"/>
      <c r="G204" s="2794"/>
      <c r="H204" s="2794"/>
      <c r="J204" s="2794"/>
      <c r="K204" s="2794"/>
      <c r="L204" s="2794"/>
      <c r="M204" s="2794"/>
      <c r="N204" s="2794"/>
      <c r="O204" s="2794"/>
      <c r="Q204" s="2794"/>
      <c r="R204" s="2794"/>
      <c r="S204" s="2794"/>
      <c r="T204" s="2794"/>
      <c r="U204" s="2794"/>
      <c r="V204" s="2794"/>
      <c r="X204" s="2794"/>
      <c r="Y204" s="2794"/>
      <c r="Z204" s="2794"/>
      <c r="AA204" s="2794"/>
      <c r="AB204" s="2794"/>
      <c r="AC204" s="2794"/>
    </row>
    <row r="205" spans="3:29" x14ac:dyDescent="0.2">
      <c r="C205" s="2794"/>
      <c r="D205" s="2794"/>
      <c r="E205" s="2794"/>
      <c r="F205" s="2794"/>
      <c r="G205" s="2794"/>
      <c r="H205" s="2794"/>
      <c r="J205" s="2794"/>
      <c r="K205" s="2794"/>
      <c r="L205" s="2794"/>
      <c r="M205" s="2794"/>
      <c r="N205" s="2794"/>
      <c r="O205" s="2794"/>
      <c r="Q205" s="2794"/>
      <c r="R205" s="2794"/>
      <c r="S205" s="2794"/>
      <c r="T205" s="2794"/>
      <c r="U205" s="2794"/>
      <c r="V205" s="2794"/>
      <c r="X205" s="2794"/>
      <c r="Y205" s="2794"/>
      <c r="Z205" s="2794"/>
      <c r="AA205" s="2794"/>
      <c r="AB205" s="2794"/>
      <c r="AC205" s="2794"/>
    </row>
    <row r="206" spans="3:29" x14ac:dyDescent="0.2">
      <c r="C206" s="2794"/>
      <c r="D206" s="2794"/>
      <c r="E206" s="2794"/>
      <c r="F206" s="2794"/>
      <c r="G206" s="2794"/>
      <c r="H206" s="2794"/>
      <c r="J206" s="2794"/>
      <c r="K206" s="2794"/>
      <c r="L206" s="2794"/>
      <c r="M206" s="2794"/>
      <c r="N206" s="2794"/>
      <c r="O206" s="2794"/>
      <c r="Q206" s="2794"/>
      <c r="R206" s="2794"/>
      <c r="S206" s="2794"/>
      <c r="T206" s="2794"/>
      <c r="U206" s="2794"/>
      <c r="V206" s="2794"/>
      <c r="X206" s="2794"/>
      <c r="Y206" s="2794"/>
      <c r="Z206" s="2794"/>
      <c r="AA206" s="2794"/>
      <c r="AB206" s="2794"/>
      <c r="AC206" s="2794"/>
    </row>
    <row r="207" spans="3:29" x14ac:dyDescent="0.2">
      <c r="C207" s="2794"/>
      <c r="D207" s="2794"/>
      <c r="E207" s="2794"/>
      <c r="F207" s="2794"/>
      <c r="G207" s="2794"/>
      <c r="H207" s="2794"/>
      <c r="J207" s="2794"/>
      <c r="K207" s="2794"/>
      <c r="L207" s="2794"/>
      <c r="M207" s="2794"/>
      <c r="N207" s="2794"/>
      <c r="O207" s="2794"/>
      <c r="Q207" s="2794"/>
      <c r="R207" s="2794"/>
      <c r="S207" s="2794"/>
      <c r="T207" s="2794"/>
      <c r="U207" s="2794"/>
      <c r="V207" s="2794"/>
      <c r="X207" s="2794"/>
      <c r="Y207" s="2794"/>
      <c r="Z207" s="2794"/>
      <c r="AA207" s="2794"/>
      <c r="AB207" s="2794"/>
      <c r="AC207" s="2794"/>
    </row>
    <row r="208" spans="3:29" x14ac:dyDescent="0.2">
      <c r="C208" s="2794"/>
      <c r="D208" s="2794"/>
      <c r="E208" s="2794"/>
      <c r="F208" s="2794"/>
      <c r="G208" s="2794"/>
      <c r="H208" s="2794"/>
      <c r="J208" s="2794"/>
      <c r="K208" s="2794"/>
      <c r="L208" s="2794"/>
      <c r="M208" s="2794"/>
      <c r="N208" s="2794"/>
      <c r="O208" s="2794"/>
      <c r="Q208" s="2794"/>
      <c r="R208" s="2794"/>
      <c r="S208" s="2794"/>
      <c r="T208" s="2794"/>
      <c r="U208" s="2794"/>
      <c r="V208" s="2794"/>
      <c r="X208" s="2794"/>
      <c r="Y208" s="2794"/>
      <c r="Z208" s="2794"/>
      <c r="AA208" s="2794"/>
      <c r="AB208" s="2794"/>
      <c r="AC208" s="2794"/>
    </row>
    <row r="209" spans="1:29" x14ac:dyDescent="0.2">
      <c r="C209" s="2794"/>
      <c r="D209" s="2794"/>
      <c r="E209" s="2794"/>
      <c r="F209" s="2794"/>
      <c r="G209" s="2794"/>
      <c r="H209" s="2794"/>
      <c r="J209" s="2794"/>
      <c r="K209" s="2794"/>
      <c r="L209" s="2794"/>
      <c r="M209" s="2794"/>
      <c r="N209" s="2794"/>
      <c r="O209" s="2794"/>
      <c r="Q209" s="2794"/>
      <c r="R209" s="2794"/>
      <c r="S209" s="2794"/>
      <c r="T209" s="2794"/>
      <c r="U209" s="2794"/>
      <c r="V209" s="2794"/>
      <c r="X209" s="2794"/>
      <c r="Y209" s="2794"/>
      <c r="Z209" s="2794"/>
      <c r="AA209" s="2794"/>
      <c r="AB209" s="2794"/>
      <c r="AC209" s="2794"/>
    </row>
    <row r="210" spans="1:29" x14ac:dyDescent="0.2">
      <c r="C210" s="2794"/>
      <c r="D210" s="2794"/>
      <c r="E210" s="2794"/>
      <c r="F210" s="2794"/>
      <c r="G210" s="2794"/>
      <c r="H210" s="2794"/>
      <c r="J210" s="2794"/>
      <c r="K210" s="2794"/>
      <c r="L210" s="2794"/>
      <c r="M210" s="2794"/>
      <c r="N210" s="2794"/>
      <c r="O210" s="2794"/>
      <c r="Q210" s="2794"/>
      <c r="R210" s="2794"/>
      <c r="S210" s="2794"/>
      <c r="T210" s="2794"/>
      <c r="U210" s="2794"/>
      <c r="V210" s="2794"/>
      <c r="X210" s="2794"/>
      <c r="Y210" s="2794"/>
      <c r="Z210" s="2794"/>
      <c r="AA210" s="2794"/>
      <c r="AB210" s="2794"/>
      <c r="AC210" s="2794"/>
    </row>
    <row r="211" spans="1:29" x14ac:dyDescent="0.2">
      <c r="C211" s="2794"/>
      <c r="D211" s="2794"/>
      <c r="E211" s="2794"/>
      <c r="F211" s="2794"/>
      <c r="G211" s="2794"/>
      <c r="H211" s="2794"/>
      <c r="J211" s="2794"/>
      <c r="K211" s="2794"/>
      <c r="L211" s="2794"/>
      <c r="M211" s="2794"/>
      <c r="N211" s="2794"/>
      <c r="O211" s="2794"/>
      <c r="Q211" s="2794"/>
      <c r="R211" s="2794"/>
      <c r="S211" s="2794"/>
      <c r="T211" s="2794"/>
      <c r="U211" s="2794"/>
      <c r="V211" s="2794"/>
      <c r="X211" s="2794"/>
      <c r="Y211" s="2794"/>
      <c r="Z211" s="2794"/>
      <c r="AA211" s="2794"/>
      <c r="AB211" s="2794"/>
      <c r="AC211" s="2794"/>
    </row>
    <row r="212" spans="1:29" s="722" customFormat="1" x14ac:dyDescent="0.2">
      <c r="A212" s="2808"/>
      <c r="C212" s="1381"/>
      <c r="D212" s="1381"/>
      <c r="E212" s="1381"/>
      <c r="F212" s="1381"/>
      <c r="G212" s="1381"/>
      <c r="H212" s="1381"/>
      <c r="J212" s="1381"/>
      <c r="K212" s="1381"/>
      <c r="L212" s="1381"/>
      <c r="M212" s="1381"/>
      <c r="N212" s="1381"/>
      <c r="O212" s="1381"/>
      <c r="Q212" s="1381"/>
      <c r="R212" s="1381"/>
      <c r="S212" s="1381"/>
      <c r="T212" s="1381"/>
      <c r="U212" s="1381"/>
      <c r="V212" s="1381"/>
      <c r="X212" s="1381"/>
      <c r="Y212" s="1381"/>
      <c r="Z212" s="1381"/>
      <c r="AA212" s="1381"/>
      <c r="AB212" s="1381"/>
      <c r="AC212" s="1381"/>
    </row>
    <row r="213" spans="1:29" x14ac:dyDescent="0.2">
      <c r="A213" s="2808"/>
      <c r="C213" s="2794"/>
      <c r="D213" s="2794"/>
      <c r="E213" s="2794"/>
      <c r="F213" s="2794"/>
      <c r="G213" s="2794"/>
      <c r="H213" s="2794"/>
      <c r="J213" s="2794"/>
      <c r="K213" s="2794"/>
      <c r="L213" s="2794"/>
      <c r="M213" s="2794"/>
      <c r="N213" s="2794"/>
      <c r="O213" s="2794"/>
      <c r="Q213" s="2794"/>
      <c r="R213" s="2794"/>
      <c r="S213" s="2794"/>
      <c r="T213" s="2794"/>
      <c r="U213" s="2794"/>
      <c r="V213" s="2794"/>
      <c r="X213" s="2794"/>
      <c r="Y213" s="2794"/>
      <c r="Z213" s="2794"/>
      <c r="AA213" s="2794"/>
      <c r="AB213" s="2794"/>
      <c r="AC213" s="2794"/>
    </row>
    <row r="214" spans="1:29" x14ac:dyDescent="0.2">
      <c r="C214" s="2794"/>
      <c r="D214" s="2794"/>
      <c r="E214" s="2794"/>
      <c r="F214" s="2794"/>
      <c r="G214" s="2794"/>
      <c r="H214" s="2794"/>
      <c r="J214" s="2794"/>
      <c r="K214" s="2794"/>
      <c r="L214" s="2794"/>
      <c r="M214" s="2794"/>
      <c r="N214" s="2794"/>
      <c r="O214" s="2794"/>
      <c r="Q214" s="2794"/>
      <c r="R214" s="2794"/>
      <c r="S214" s="2794"/>
      <c r="T214" s="2794"/>
      <c r="U214" s="2794"/>
      <c r="V214" s="2794"/>
      <c r="X214" s="2794"/>
      <c r="Y214" s="2794"/>
      <c r="Z214" s="2794"/>
      <c r="AA214" s="2794"/>
      <c r="AB214" s="2794"/>
      <c r="AC214" s="2794"/>
    </row>
    <row r="215" spans="1:29" s="281" customFormat="1" ht="18" customHeight="1" x14ac:dyDescent="0.2">
      <c r="A215" s="19" t="s">
        <v>416</v>
      </c>
      <c r="B215" s="19"/>
      <c r="C215" s="2798">
        <v>1</v>
      </c>
      <c r="D215" s="2798"/>
      <c r="E215" s="2796">
        <f>E$7</f>
        <v>0</v>
      </c>
      <c r="F215" s="2796"/>
      <c r="G215" s="2796"/>
      <c r="H215" s="282"/>
      <c r="I215" s="2"/>
      <c r="J215" s="2798">
        <v>2</v>
      </c>
      <c r="K215" s="2798"/>
      <c r="L215" s="2796">
        <f>L$7</f>
        <v>0</v>
      </c>
      <c r="M215" s="2796"/>
      <c r="N215" s="2796"/>
      <c r="O215" s="282"/>
      <c r="P215" s="2"/>
      <c r="Q215" s="2798">
        <v>3</v>
      </c>
      <c r="R215" s="2798"/>
      <c r="S215" s="2796">
        <f>S$7</f>
        <v>0</v>
      </c>
      <c r="T215" s="2796"/>
      <c r="U215" s="2796"/>
      <c r="V215" s="282"/>
      <c r="W215" s="2"/>
      <c r="X215" s="2798">
        <v>4</v>
      </c>
      <c r="Y215" s="2798"/>
      <c r="Z215" s="2796">
        <f>Z$7</f>
        <v>0</v>
      </c>
      <c r="AA215" s="2796"/>
      <c r="AB215" s="2796"/>
      <c r="AC215" s="282"/>
    </row>
    <row r="216" spans="1:29" s="281" customFormat="1" ht="27.75" customHeight="1" x14ac:dyDescent="0.2">
      <c r="A216" s="626" t="str">
        <f>Grunddaten!$U$10</f>
        <v>Förderbeiträge berücksichtigen</v>
      </c>
      <c r="B216" s="627" t="s">
        <v>414</v>
      </c>
      <c r="C216" s="3"/>
      <c r="D216" s="3"/>
      <c r="E216" s="2800">
        <f>E$8</f>
        <v>0</v>
      </c>
      <c r="F216" s="2800"/>
      <c r="G216" s="2800"/>
      <c r="H216" s="10"/>
      <c r="I216" s="2"/>
      <c r="J216" s="3"/>
      <c r="K216" s="3"/>
      <c r="L216" s="2800">
        <f>L$8</f>
        <v>0</v>
      </c>
      <c r="M216" s="2800"/>
      <c r="N216" s="2800"/>
      <c r="O216" s="10"/>
      <c r="P216" s="2"/>
      <c r="Q216" s="3"/>
      <c r="R216" s="3"/>
      <c r="S216" s="2800">
        <f>S$8</f>
        <v>0</v>
      </c>
      <c r="T216" s="2800"/>
      <c r="U216" s="2800"/>
      <c r="V216" s="10"/>
      <c r="W216" s="2"/>
      <c r="X216" s="3"/>
      <c r="Y216" s="3"/>
      <c r="Z216" s="2800">
        <f>Z$8</f>
        <v>0</v>
      </c>
      <c r="AA216" s="2800"/>
      <c r="AB216" s="2800"/>
      <c r="AC216" s="10"/>
    </row>
    <row r="217" spans="1:29" s="281" customFormat="1" ht="6" customHeight="1" x14ac:dyDescent="0.2">
      <c r="A217" s="2"/>
      <c r="B217" s="2"/>
      <c r="C217" s="3"/>
      <c r="D217" s="3"/>
      <c r="E217" s="3"/>
      <c r="F217" s="3"/>
      <c r="G217" s="3"/>
      <c r="H217" s="3"/>
      <c r="I217" s="2"/>
      <c r="J217" s="3"/>
      <c r="K217" s="3"/>
      <c r="L217" s="3"/>
      <c r="M217" s="3"/>
      <c r="N217" s="3"/>
      <c r="O217" s="3"/>
      <c r="P217" s="2"/>
      <c r="Q217" s="3"/>
      <c r="R217" s="3"/>
      <c r="S217" s="3"/>
      <c r="T217" s="3"/>
      <c r="U217" s="3"/>
      <c r="V217" s="3"/>
      <c r="W217" s="2"/>
      <c r="X217" s="3"/>
      <c r="Y217" s="3"/>
      <c r="Z217" s="3"/>
      <c r="AA217" s="3"/>
      <c r="AB217" s="3"/>
      <c r="AC217" s="3"/>
    </row>
    <row r="218" spans="1:29" s="281" customFormat="1" x14ac:dyDescent="0.2">
      <c r="A218" s="2"/>
      <c r="B218" s="2"/>
      <c r="C218" s="2794"/>
      <c r="D218" s="2794"/>
      <c r="E218" s="2794"/>
      <c r="F218" s="2794"/>
      <c r="G218" s="2794"/>
      <c r="H218" s="2794"/>
      <c r="I218" s="13"/>
      <c r="J218" s="2794"/>
      <c r="K218" s="2794"/>
      <c r="L218" s="2794"/>
      <c r="M218" s="2794"/>
      <c r="N218" s="2794"/>
      <c r="O218" s="2794"/>
      <c r="P218" s="13"/>
      <c r="Q218" s="2794"/>
      <c r="R218" s="2794"/>
      <c r="S218" s="2794"/>
      <c r="T218" s="2794"/>
      <c r="U218" s="2794"/>
      <c r="V218" s="2794"/>
      <c r="W218" s="13"/>
      <c r="X218" s="2794"/>
      <c r="Y218" s="2794"/>
      <c r="Z218" s="2794"/>
      <c r="AA218" s="2794"/>
      <c r="AB218" s="2794"/>
      <c r="AC218" s="2794"/>
    </row>
    <row r="219" spans="1:29" s="281" customFormat="1" x14ac:dyDescent="0.2">
      <c r="B219" s="623"/>
      <c r="C219" s="2794"/>
      <c r="D219" s="2794"/>
      <c r="E219" s="2794"/>
      <c r="F219" s="2794"/>
      <c r="G219" s="2794"/>
      <c r="H219" s="2794"/>
      <c r="J219" s="2794"/>
      <c r="K219" s="2794"/>
      <c r="L219" s="2794"/>
      <c r="M219" s="2794"/>
      <c r="N219" s="2794"/>
      <c r="O219" s="2794"/>
      <c r="Q219" s="2794"/>
      <c r="R219" s="2794"/>
      <c r="S219" s="2794"/>
      <c r="T219" s="2794"/>
      <c r="U219" s="2794"/>
      <c r="V219" s="2794"/>
      <c r="X219" s="2794"/>
      <c r="Y219" s="2794"/>
      <c r="Z219" s="2794"/>
      <c r="AA219" s="2794"/>
      <c r="AB219" s="2794"/>
      <c r="AC219" s="2794"/>
    </row>
    <row r="220" spans="1:29" s="281" customFormat="1" x14ac:dyDescent="0.2">
      <c r="B220" s="623"/>
      <c r="C220" s="2794"/>
      <c r="D220" s="2794"/>
      <c r="E220" s="2794"/>
      <c r="F220" s="2794"/>
      <c r="G220" s="2794"/>
      <c r="H220" s="2794"/>
      <c r="J220" s="2794"/>
      <c r="K220" s="2794"/>
      <c r="L220" s="2794"/>
      <c r="M220" s="2794"/>
      <c r="N220" s="2794"/>
      <c r="O220" s="2794"/>
      <c r="Q220" s="2794"/>
      <c r="R220" s="2794"/>
      <c r="S220" s="2794"/>
      <c r="T220" s="2794"/>
      <c r="U220" s="2794"/>
      <c r="V220" s="2794"/>
      <c r="X220" s="2794"/>
      <c r="Y220" s="2794"/>
      <c r="Z220" s="2794"/>
      <c r="AA220" s="2794"/>
      <c r="AB220" s="2794"/>
      <c r="AC220" s="2794"/>
    </row>
    <row r="221" spans="1:29" s="281" customFormat="1" x14ac:dyDescent="0.2">
      <c r="B221" s="623"/>
      <c r="C221" s="2794"/>
      <c r="D221" s="2794"/>
      <c r="E221" s="2794"/>
      <c r="F221" s="2794"/>
      <c r="G221" s="2794"/>
      <c r="H221" s="2794"/>
      <c r="J221" s="2794"/>
      <c r="K221" s="2794"/>
      <c r="L221" s="2794"/>
      <c r="M221" s="2794"/>
      <c r="N221" s="2794"/>
      <c r="O221" s="2794"/>
      <c r="Q221" s="2794"/>
      <c r="R221" s="2794"/>
      <c r="S221" s="2794"/>
      <c r="T221" s="2794"/>
      <c r="U221" s="2794"/>
      <c r="V221" s="2794"/>
      <c r="X221" s="2794"/>
      <c r="Y221" s="2794"/>
      <c r="Z221" s="2794"/>
      <c r="AA221" s="2794"/>
      <c r="AB221" s="2794"/>
      <c r="AC221" s="2794"/>
    </row>
    <row r="222" spans="1:29" s="281" customFormat="1" x14ac:dyDescent="0.2">
      <c r="B222" s="623"/>
      <c r="C222" s="2794"/>
      <c r="D222" s="2794"/>
      <c r="E222" s="2794"/>
      <c r="F222" s="2794"/>
      <c r="G222" s="2794"/>
      <c r="H222" s="2794"/>
      <c r="J222" s="2794"/>
      <c r="K222" s="2794"/>
      <c r="L222" s="2794"/>
      <c r="M222" s="2794"/>
      <c r="N222" s="2794"/>
      <c r="O222" s="2794"/>
      <c r="Q222" s="2794"/>
      <c r="R222" s="2794"/>
      <c r="S222" s="2794"/>
      <c r="T222" s="2794"/>
      <c r="U222" s="2794"/>
      <c r="V222" s="2794"/>
      <c r="X222" s="2794"/>
      <c r="Y222" s="2794"/>
      <c r="Z222" s="2794"/>
      <c r="AA222" s="2794"/>
      <c r="AB222" s="2794"/>
      <c r="AC222" s="2794"/>
    </row>
    <row r="223" spans="1:29" s="281" customFormat="1" x14ac:dyDescent="0.2">
      <c r="B223" s="623"/>
      <c r="C223" s="2794"/>
      <c r="D223" s="2794"/>
      <c r="E223" s="2794"/>
      <c r="F223" s="2794"/>
      <c r="G223" s="2794"/>
      <c r="H223" s="2794"/>
      <c r="J223" s="2794"/>
      <c r="K223" s="2794"/>
      <c r="L223" s="2794"/>
      <c r="M223" s="2794"/>
      <c r="N223" s="2794"/>
      <c r="O223" s="2794"/>
      <c r="Q223" s="2794"/>
      <c r="R223" s="2794"/>
      <c r="S223" s="2794"/>
      <c r="T223" s="2794"/>
      <c r="U223" s="2794"/>
      <c r="V223" s="2794"/>
      <c r="X223" s="2794"/>
      <c r="Y223" s="2794"/>
      <c r="Z223" s="2794"/>
      <c r="AA223" s="2794"/>
      <c r="AB223" s="2794"/>
      <c r="AC223" s="2794"/>
    </row>
    <row r="224" spans="1:29" s="281" customFormat="1" x14ac:dyDescent="0.2">
      <c r="B224" s="623"/>
      <c r="C224" s="2794"/>
      <c r="D224" s="2794"/>
      <c r="E224" s="2794"/>
      <c r="F224" s="2794"/>
      <c r="G224" s="2794"/>
      <c r="H224" s="2794"/>
      <c r="J224" s="2794"/>
      <c r="K224" s="2794"/>
      <c r="L224" s="2794"/>
      <c r="M224" s="2794"/>
      <c r="N224" s="2794"/>
      <c r="O224" s="2794"/>
      <c r="Q224" s="2794"/>
      <c r="R224" s="2794"/>
      <c r="S224" s="2794"/>
      <c r="T224" s="2794"/>
      <c r="U224" s="2794"/>
      <c r="V224" s="2794"/>
      <c r="X224" s="2794"/>
      <c r="Y224" s="2794"/>
      <c r="Z224" s="2794"/>
      <c r="AA224" s="2794"/>
      <c r="AB224" s="2794"/>
      <c r="AC224" s="2794"/>
    </row>
    <row r="225" spans="2:29" s="281" customFormat="1" x14ac:dyDescent="0.2">
      <c r="B225" s="623"/>
      <c r="C225" s="2794"/>
      <c r="D225" s="2794"/>
      <c r="E225" s="2794"/>
      <c r="F225" s="2794"/>
      <c r="G225" s="2794"/>
      <c r="H225" s="2794"/>
      <c r="J225" s="2794"/>
      <c r="K225" s="2794"/>
      <c r="L225" s="2794"/>
      <c r="M225" s="2794"/>
      <c r="N225" s="2794"/>
      <c r="O225" s="2794"/>
      <c r="Q225" s="2794"/>
      <c r="R225" s="2794"/>
      <c r="S225" s="2794"/>
      <c r="T225" s="2794"/>
      <c r="U225" s="2794"/>
      <c r="V225" s="2794"/>
      <c r="X225" s="2794"/>
      <c r="Y225" s="2794"/>
      <c r="Z225" s="2794"/>
      <c r="AA225" s="2794"/>
      <c r="AB225" s="2794"/>
      <c r="AC225" s="2794"/>
    </row>
    <row r="226" spans="2:29" s="281" customFormat="1" x14ac:dyDescent="0.2">
      <c r="B226" s="623"/>
      <c r="C226" s="2794"/>
      <c r="D226" s="2794"/>
      <c r="E226" s="2794"/>
      <c r="F226" s="2794"/>
      <c r="G226" s="2794"/>
      <c r="H226" s="2794"/>
      <c r="J226" s="2794"/>
      <c r="K226" s="2794"/>
      <c r="L226" s="2794"/>
      <c r="M226" s="2794"/>
      <c r="N226" s="2794"/>
      <c r="O226" s="2794"/>
      <c r="Q226" s="2794"/>
      <c r="R226" s="2794"/>
      <c r="S226" s="2794"/>
      <c r="T226" s="2794"/>
      <c r="U226" s="2794"/>
      <c r="V226" s="2794"/>
      <c r="X226" s="2794"/>
      <c r="Y226" s="2794"/>
      <c r="Z226" s="2794"/>
      <c r="AA226" s="2794"/>
      <c r="AB226" s="2794"/>
      <c r="AC226" s="2794"/>
    </row>
    <row r="227" spans="2:29" s="281" customFormat="1" x14ac:dyDescent="0.2">
      <c r="B227" s="623"/>
      <c r="C227" s="2794"/>
      <c r="D227" s="2794"/>
      <c r="E227" s="2794"/>
      <c r="F227" s="2794"/>
      <c r="G227" s="2794"/>
      <c r="H227" s="2794"/>
      <c r="J227" s="2794"/>
      <c r="K227" s="2794"/>
      <c r="L227" s="2794"/>
      <c r="M227" s="2794"/>
      <c r="N227" s="2794"/>
      <c r="O227" s="2794"/>
      <c r="Q227" s="2794"/>
      <c r="R227" s="2794"/>
      <c r="S227" s="2794"/>
      <c r="T227" s="2794"/>
      <c r="U227" s="2794"/>
      <c r="V227" s="2794"/>
      <c r="X227" s="2794"/>
      <c r="Y227" s="2794"/>
      <c r="Z227" s="2794"/>
      <c r="AA227" s="2794"/>
      <c r="AB227" s="2794"/>
      <c r="AC227" s="2794"/>
    </row>
    <row r="228" spans="2:29" s="281" customFormat="1" x14ac:dyDescent="0.2">
      <c r="B228" s="623"/>
      <c r="C228" s="2794"/>
      <c r="D228" s="2794"/>
      <c r="E228" s="2794"/>
      <c r="F228" s="2794"/>
      <c r="G228" s="2794"/>
      <c r="H228" s="2794"/>
      <c r="J228" s="2794"/>
      <c r="K228" s="2794"/>
      <c r="L228" s="2794"/>
      <c r="M228" s="2794"/>
      <c r="N228" s="2794"/>
      <c r="O228" s="2794"/>
      <c r="Q228" s="2794"/>
      <c r="R228" s="2794"/>
      <c r="S228" s="2794"/>
      <c r="T228" s="2794"/>
      <c r="U228" s="2794"/>
      <c r="V228" s="2794"/>
      <c r="X228" s="2794"/>
      <c r="Y228" s="2794"/>
      <c r="Z228" s="2794"/>
      <c r="AA228" s="2794"/>
      <c r="AB228" s="2794"/>
      <c r="AC228" s="2794"/>
    </row>
    <row r="229" spans="2:29" s="281" customFormat="1" x14ac:dyDescent="0.2">
      <c r="B229" s="623"/>
      <c r="C229" s="2794"/>
      <c r="D229" s="2794"/>
      <c r="E229" s="2794"/>
      <c r="F229" s="2794"/>
      <c r="G229" s="2794"/>
      <c r="H229" s="2794"/>
      <c r="J229" s="2794"/>
      <c r="K229" s="2794"/>
      <c r="L229" s="2794"/>
      <c r="M229" s="2794"/>
      <c r="N229" s="2794"/>
      <c r="O229" s="2794"/>
      <c r="Q229" s="2794"/>
      <c r="R229" s="2794"/>
      <c r="S229" s="2794"/>
      <c r="T229" s="2794"/>
      <c r="U229" s="2794"/>
      <c r="V229" s="2794"/>
      <c r="X229" s="2794"/>
      <c r="Y229" s="2794"/>
      <c r="Z229" s="2794"/>
      <c r="AA229" s="2794"/>
      <c r="AB229" s="2794"/>
      <c r="AC229" s="2794"/>
    </row>
    <row r="230" spans="2:29" s="281" customFormat="1" x14ac:dyDescent="0.2">
      <c r="B230" s="623"/>
      <c r="C230" s="2794"/>
      <c r="D230" s="2794"/>
      <c r="E230" s="2794"/>
      <c r="F230" s="2794"/>
      <c r="G230" s="2794"/>
      <c r="H230" s="2794"/>
      <c r="J230" s="2794"/>
      <c r="K230" s="2794"/>
      <c r="L230" s="2794"/>
      <c r="M230" s="2794"/>
      <c r="N230" s="2794"/>
      <c r="O230" s="2794"/>
      <c r="Q230" s="2794"/>
      <c r="R230" s="2794"/>
      <c r="S230" s="2794"/>
      <c r="T230" s="2794"/>
      <c r="U230" s="2794"/>
      <c r="V230" s="2794"/>
      <c r="X230" s="2794"/>
      <c r="Y230" s="2794"/>
      <c r="Z230" s="2794"/>
      <c r="AA230" s="2794"/>
      <c r="AB230" s="2794"/>
      <c r="AC230" s="2794"/>
    </row>
    <row r="231" spans="2:29" s="281" customFormat="1" x14ac:dyDescent="0.2">
      <c r="B231" s="623"/>
      <c r="C231" s="2794"/>
      <c r="D231" s="2794"/>
      <c r="E231" s="2794"/>
      <c r="F231" s="2794"/>
      <c r="G231" s="2794"/>
      <c r="H231" s="2794"/>
      <c r="J231" s="2794"/>
      <c r="K231" s="2794"/>
      <c r="L231" s="2794"/>
      <c r="M231" s="2794"/>
      <c r="N231" s="2794"/>
      <c r="O231" s="2794"/>
      <c r="Q231" s="2794"/>
      <c r="R231" s="2794"/>
      <c r="S231" s="2794"/>
      <c r="T231" s="2794"/>
      <c r="U231" s="2794"/>
      <c r="V231" s="2794"/>
      <c r="X231" s="2794"/>
      <c r="Y231" s="2794"/>
      <c r="Z231" s="2794"/>
      <c r="AA231" s="2794"/>
      <c r="AB231" s="2794"/>
      <c r="AC231" s="2794"/>
    </row>
    <row r="232" spans="2:29" s="281" customFormat="1" x14ac:dyDescent="0.2">
      <c r="B232" s="623"/>
      <c r="C232" s="2794"/>
      <c r="D232" s="2794"/>
      <c r="E232" s="2794"/>
      <c r="F232" s="2794"/>
      <c r="G232" s="2794"/>
      <c r="H232" s="2794"/>
      <c r="J232" s="2794"/>
      <c r="K232" s="2794"/>
      <c r="L232" s="2794"/>
      <c r="M232" s="2794"/>
      <c r="N232" s="2794"/>
      <c r="O232" s="2794"/>
      <c r="Q232" s="2794"/>
      <c r="R232" s="2794"/>
      <c r="S232" s="2794"/>
      <c r="T232" s="2794"/>
      <c r="U232" s="2794"/>
      <c r="V232" s="2794"/>
      <c r="X232" s="2794"/>
      <c r="Y232" s="2794"/>
      <c r="Z232" s="2794"/>
      <c r="AA232" s="2794"/>
      <c r="AB232" s="2794"/>
      <c r="AC232" s="2794"/>
    </row>
    <row r="233" spans="2:29" s="281" customFormat="1" x14ac:dyDescent="0.2">
      <c r="B233" s="623"/>
      <c r="C233" s="2794"/>
      <c r="D233" s="2794"/>
      <c r="E233" s="2794"/>
      <c r="F233" s="2794"/>
      <c r="G233" s="2794"/>
      <c r="H233" s="2794"/>
      <c r="J233" s="2794"/>
      <c r="K233" s="2794"/>
      <c r="L233" s="2794"/>
      <c r="M233" s="2794"/>
      <c r="N233" s="2794"/>
      <c r="O233" s="2794"/>
      <c r="Q233" s="2794"/>
      <c r="R233" s="2794"/>
      <c r="S233" s="2794"/>
      <c r="T233" s="2794"/>
      <c r="U233" s="2794"/>
      <c r="V233" s="2794"/>
      <c r="X233" s="2794"/>
      <c r="Y233" s="2794"/>
      <c r="Z233" s="2794"/>
      <c r="AA233" s="2794"/>
      <c r="AB233" s="2794"/>
      <c r="AC233" s="2794"/>
    </row>
    <row r="234" spans="2:29" s="281" customFormat="1" x14ac:dyDescent="0.2">
      <c r="B234" s="623"/>
      <c r="C234" s="2794"/>
      <c r="D234" s="2794"/>
      <c r="E234" s="2794"/>
      <c r="F234" s="2794"/>
      <c r="G234" s="2794"/>
      <c r="H234" s="2794"/>
      <c r="J234" s="2794"/>
      <c r="K234" s="2794"/>
      <c r="L234" s="2794"/>
      <c r="M234" s="2794"/>
      <c r="N234" s="2794"/>
      <c r="O234" s="2794"/>
      <c r="Q234" s="2794"/>
      <c r="R234" s="2794"/>
      <c r="S234" s="2794"/>
      <c r="T234" s="2794"/>
      <c r="U234" s="2794"/>
      <c r="V234" s="2794"/>
      <c r="X234" s="2794"/>
      <c r="Y234" s="2794"/>
      <c r="Z234" s="2794"/>
      <c r="AA234" s="2794"/>
      <c r="AB234" s="2794"/>
      <c r="AC234" s="2794"/>
    </row>
    <row r="235" spans="2:29" s="281" customFormat="1" x14ac:dyDescent="0.2">
      <c r="B235" s="623"/>
      <c r="C235" s="2794"/>
      <c r="D235" s="2794"/>
      <c r="E235" s="2794"/>
      <c r="F235" s="2794"/>
      <c r="G235" s="2794"/>
      <c r="H235" s="2794"/>
      <c r="J235" s="2794"/>
      <c r="K235" s="2794"/>
      <c r="L235" s="2794"/>
      <c r="M235" s="2794"/>
      <c r="N235" s="2794"/>
      <c r="O235" s="2794"/>
      <c r="Q235" s="2794"/>
      <c r="R235" s="2794"/>
      <c r="S235" s="2794"/>
      <c r="T235" s="2794"/>
      <c r="U235" s="2794"/>
      <c r="V235" s="2794"/>
      <c r="X235" s="2794"/>
      <c r="Y235" s="2794"/>
      <c r="Z235" s="2794"/>
      <c r="AA235" s="2794"/>
      <c r="AB235" s="2794"/>
      <c r="AC235" s="2794"/>
    </row>
    <row r="236" spans="2:29" s="281" customFormat="1" x14ac:dyDescent="0.2">
      <c r="B236" s="623"/>
      <c r="C236" s="2794"/>
      <c r="D236" s="2794"/>
      <c r="E236" s="2794"/>
      <c r="F236" s="2794"/>
      <c r="G236" s="2794"/>
      <c r="H236" s="2794"/>
      <c r="J236" s="2794"/>
      <c r="K236" s="2794"/>
      <c r="L236" s="2794"/>
      <c r="M236" s="2794"/>
      <c r="N236" s="2794"/>
      <c r="O236" s="2794"/>
      <c r="Q236" s="2794"/>
      <c r="R236" s="2794"/>
      <c r="S236" s="2794"/>
      <c r="T236" s="2794"/>
      <c r="U236" s="2794"/>
      <c r="V236" s="2794"/>
      <c r="X236" s="2794"/>
      <c r="Y236" s="2794"/>
      <c r="Z236" s="2794"/>
      <c r="AA236" s="2794"/>
      <c r="AB236" s="2794"/>
      <c r="AC236" s="2794"/>
    </row>
    <row r="237" spans="2:29" s="281" customFormat="1" x14ac:dyDescent="0.2">
      <c r="B237" s="623"/>
      <c r="C237" s="2794"/>
      <c r="D237" s="2794"/>
      <c r="E237" s="2794"/>
      <c r="F237" s="2794"/>
      <c r="G237" s="2794"/>
      <c r="H237" s="2794"/>
      <c r="J237" s="2794"/>
      <c r="K237" s="2794"/>
      <c r="L237" s="2794"/>
      <c r="M237" s="2794"/>
      <c r="N237" s="2794"/>
      <c r="O237" s="2794"/>
      <c r="Q237" s="2794"/>
      <c r="R237" s="2794"/>
      <c r="S237" s="2794"/>
      <c r="T237" s="2794"/>
      <c r="U237" s="2794"/>
      <c r="V237" s="2794"/>
      <c r="X237" s="2794"/>
      <c r="Y237" s="2794"/>
      <c r="Z237" s="2794"/>
      <c r="AA237" s="2794"/>
      <c r="AB237" s="2794"/>
      <c r="AC237" s="2794"/>
    </row>
    <row r="238" spans="2:29" s="281" customFormat="1" x14ac:dyDescent="0.2">
      <c r="B238" s="623"/>
      <c r="C238" s="2794"/>
      <c r="D238" s="2794"/>
      <c r="E238" s="2794"/>
      <c r="F238" s="2794"/>
      <c r="G238" s="2794"/>
      <c r="H238" s="2794"/>
      <c r="J238" s="2794"/>
      <c r="K238" s="2794"/>
      <c r="L238" s="2794"/>
      <c r="M238" s="2794"/>
      <c r="N238" s="2794"/>
      <c r="O238" s="2794"/>
      <c r="Q238" s="2794"/>
      <c r="R238" s="2794"/>
      <c r="S238" s="2794"/>
      <c r="T238" s="2794"/>
      <c r="U238" s="2794"/>
      <c r="V238" s="2794"/>
      <c r="X238" s="2794"/>
      <c r="Y238" s="2794"/>
      <c r="Z238" s="2794"/>
      <c r="AA238" s="2794"/>
      <c r="AB238" s="2794"/>
      <c r="AC238" s="2794"/>
    </row>
    <row r="239" spans="2:29" s="281" customFormat="1" x14ac:dyDescent="0.2">
      <c r="B239" s="623"/>
      <c r="C239" s="2794"/>
      <c r="D239" s="2794"/>
      <c r="E239" s="2794"/>
      <c r="F239" s="2794"/>
      <c r="G239" s="2794"/>
      <c r="H239" s="2794"/>
      <c r="J239" s="2794"/>
      <c r="K239" s="2794"/>
      <c r="L239" s="2794"/>
      <c r="M239" s="2794"/>
      <c r="N239" s="2794"/>
      <c r="O239" s="2794"/>
      <c r="Q239" s="2794"/>
      <c r="R239" s="2794"/>
      <c r="S239" s="2794"/>
      <c r="T239" s="2794"/>
      <c r="U239" s="2794"/>
      <c r="V239" s="2794"/>
      <c r="X239" s="2794"/>
      <c r="Y239" s="2794"/>
      <c r="Z239" s="2794"/>
      <c r="AA239" s="2794"/>
      <c r="AB239" s="2794"/>
      <c r="AC239" s="2794"/>
    </row>
    <row r="240" spans="2:29" s="722" customFormat="1" x14ac:dyDescent="0.2">
      <c r="C240" s="1381"/>
      <c r="D240" s="1381"/>
      <c r="E240" s="1381"/>
      <c r="F240" s="1381"/>
      <c r="G240" s="1381"/>
      <c r="H240" s="1381"/>
      <c r="J240" s="1381"/>
      <c r="K240" s="1381"/>
      <c r="L240" s="1381"/>
      <c r="M240" s="1381"/>
      <c r="N240" s="1381"/>
      <c r="O240" s="1381"/>
      <c r="Q240" s="1381"/>
      <c r="R240" s="1381"/>
      <c r="S240" s="1381"/>
      <c r="T240" s="1381"/>
      <c r="U240" s="1381"/>
      <c r="V240" s="1381"/>
      <c r="X240" s="1381"/>
      <c r="Y240" s="1381"/>
      <c r="Z240" s="1381"/>
      <c r="AA240" s="1381"/>
      <c r="AB240" s="1381"/>
      <c r="AC240" s="1381"/>
    </row>
    <row r="241" spans="2:29" s="281" customFormat="1" x14ac:dyDescent="0.2">
      <c r="B241" s="623"/>
      <c r="C241" s="2794"/>
      <c r="D241" s="2794"/>
      <c r="E241" s="2794"/>
      <c r="F241" s="2794"/>
      <c r="G241" s="2794"/>
      <c r="H241" s="2794"/>
      <c r="J241" s="2794"/>
      <c r="K241" s="2794"/>
      <c r="L241" s="2794"/>
      <c r="M241" s="2794"/>
      <c r="N241" s="2794"/>
      <c r="O241" s="2794"/>
      <c r="Q241" s="2794"/>
      <c r="R241" s="2794"/>
      <c r="S241" s="2794"/>
      <c r="T241" s="2794"/>
      <c r="U241" s="2794"/>
      <c r="V241" s="2794"/>
      <c r="X241" s="2794"/>
      <c r="Y241" s="2794"/>
      <c r="Z241" s="2794"/>
      <c r="AA241" s="2794"/>
      <c r="AB241" s="2794"/>
      <c r="AC241" s="2794"/>
    </row>
    <row r="242" spans="2:29" s="281" customFormat="1" x14ac:dyDescent="0.2">
      <c r="B242" s="623"/>
      <c r="C242" s="2794"/>
      <c r="D242" s="2794"/>
      <c r="E242" s="2794"/>
      <c r="F242" s="2794"/>
      <c r="G242" s="2794"/>
      <c r="H242" s="2794"/>
      <c r="J242" s="2794"/>
      <c r="K242" s="2794"/>
      <c r="L242" s="2794"/>
      <c r="M242" s="2794"/>
      <c r="N242" s="2794"/>
      <c r="O242" s="2794"/>
      <c r="Q242" s="2794"/>
      <c r="R242" s="2794"/>
      <c r="S242" s="2794"/>
      <c r="T242" s="2794"/>
      <c r="U242" s="2794"/>
      <c r="V242" s="2794"/>
      <c r="X242" s="2794"/>
      <c r="Y242" s="2794"/>
      <c r="Z242" s="2794"/>
      <c r="AA242" s="2794"/>
      <c r="AB242" s="2794"/>
      <c r="AC242" s="2794"/>
    </row>
    <row r="243" spans="2:29" s="281" customFormat="1" x14ac:dyDescent="0.2">
      <c r="B243" s="623"/>
      <c r="C243" s="2794"/>
      <c r="D243" s="2794"/>
      <c r="E243" s="2794"/>
      <c r="F243" s="2794"/>
      <c r="G243" s="2794"/>
      <c r="H243" s="2794"/>
      <c r="J243" s="2794"/>
      <c r="K243" s="2794"/>
      <c r="L243" s="2794"/>
      <c r="M243" s="2794"/>
      <c r="N243" s="2794"/>
      <c r="O243" s="2794"/>
      <c r="Q243" s="2794"/>
      <c r="R243" s="2794"/>
      <c r="S243" s="2794"/>
      <c r="T243" s="2794"/>
      <c r="U243" s="2794"/>
      <c r="V243" s="2794"/>
      <c r="X243" s="2794"/>
      <c r="Y243" s="2794"/>
      <c r="Z243" s="2794"/>
      <c r="AA243" s="2794"/>
      <c r="AB243" s="2794"/>
      <c r="AC243" s="2794"/>
    </row>
  </sheetData>
  <sheetProtection algorithmName="SHA-512" hashValue="pVGpaA1kFSKXyeWRVD1To7shWGOJtFm+Elp9KF+aNJTSrKa+PC1Y22zj7+9j6q+fldNvKdktm6bbLrQEj0QNXA==" saltValue="lbPLQoe8vejnHqqkHOqq3w==" spinCount="100000" sheet="1" objects="1" scenarios="1" selectLockedCells="1"/>
  <mergeCells count="876">
    <mergeCell ref="Z8:AB8"/>
    <mergeCell ref="Z42:AB42"/>
    <mergeCell ref="Z71:AB71"/>
    <mergeCell ref="Z100:AB100"/>
    <mergeCell ref="Z129:AB129"/>
    <mergeCell ref="Z158:AB158"/>
    <mergeCell ref="Z187:AB187"/>
    <mergeCell ref="Z216:AB216"/>
    <mergeCell ref="A212:A213"/>
    <mergeCell ref="C16:F16"/>
    <mergeCell ref="C18:F18"/>
    <mergeCell ref="C20:F20"/>
    <mergeCell ref="C22:F22"/>
    <mergeCell ref="C24:F24"/>
    <mergeCell ref="C26:F26"/>
    <mergeCell ref="C28:F28"/>
    <mergeCell ref="A32:B32"/>
    <mergeCell ref="C32:D32"/>
    <mergeCell ref="E32:G32"/>
    <mergeCell ref="A30:B30"/>
    <mergeCell ref="A34:B34"/>
    <mergeCell ref="C171:H171"/>
    <mergeCell ref="C167:H167"/>
    <mergeCell ref="Z215:AB215"/>
    <mergeCell ref="C199:H199"/>
    <mergeCell ref="J199:O199"/>
    <mergeCell ref="Q199:V199"/>
    <mergeCell ref="X199:AC199"/>
    <mergeCell ref="C200:H200"/>
    <mergeCell ref="J200:O200"/>
    <mergeCell ref="Q200:V200"/>
    <mergeCell ref="X200:AC200"/>
    <mergeCell ref="C198:H198"/>
    <mergeCell ref="Z186:AB186"/>
    <mergeCell ref="J184:O184"/>
    <mergeCell ref="Q184:V184"/>
    <mergeCell ref="X184:AC184"/>
    <mergeCell ref="Q183:V183"/>
    <mergeCell ref="X183:AC183"/>
    <mergeCell ref="J204:O204"/>
    <mergeCell ref="Q204:V204"/>
    <mergeCell ref="X204:AC204"/>
    <mergeCell ref="J198:O198"/>
    <mergeCell ref="Q198:V198"/>
    <mergeCell ref="X198:AC198"/>
    <mergeCell ref="J195:O195"/>
    <mergeCell ref="Q195:V195"/>
    <mergeCell ref="X195:AC195"/>
    <mergeCell ref="J192:O192"/>
    <mergeCell ref="Q192:V192"/>
    <mergeCell ref="X192:AC192"/>
    <mergeCell ref="J189:O189"/>
    <mergeCell ref="Q189:V189"/>
    <mergeCell ref="X189:AC189"/>
    <mergeCell ref="J10:M10"/>
    <mergeCell ref="J12:M12"/>
    <mergeCell ref="J14:M14"/>
    <mergeCell ref="J16:M16"/>
    <mergeCell ref="J18:M18"/>
    <mergeCell ref="J20:M20"/>
    <mergeCell ref="J22:M22"/>
    <mergeCell ref="J24:M24"/>
    <mergeCell ref="J26:M26"/>
    <mergeCell ref="J28:M28"/>
    <mergeCell ref="J32:K32"/>
    <mergeCell ref="L32:N32"/>
    <mergeCell ref="Q32:R32"/>
    <mergeCell ref="S32:U32"/>
    <mergeCell ref="Z32:AB32"/>
    <mergeCell ref="J93:O93"/>
    <mergeCell ref="Q93:V93"/>
    <mergeCell ref="X174:AC174"/>
    <mergeCell ref="Q171:V171"/>
    <mergeCell ref="X170:AC170"/>
    <mergeCell ref="J171:O171"/>
    <mergeCell ref="X171:AC171"/>
    <mergeCell ref="X94:AC94"/>
    <mergeCell ref="J97:O97"/>
    <mergeCell ref="Q97:V97"/>
    <mergeCell ref="J164:O164"/>
    <mergeCell ref="Q164:V164"/>
    <mergeCell ref="X164:AC164"/>
    <mergeCell ref="Q157:R157"/>
    <mergeCell ref="S157:U157"/>
    <mergeCell ref="X157:Y157"/>
    <mergeCell ref="X151:AC151"/>
    <mergeCell ref="X152:AC152"/>
    <mergeCell ref="AA5:AC5"/>
    <mergeCell ref="Z30:AB30"/>
    <mergeCell ref="Z34:AB34"/>
    <mergeCell ref="Z36:AB36"/>
    <mergeCell ref="Q10:T10"/>
    <mergeCell ref="Q12:T12"/>
    <mergeCell ref="Q14:T14"/>
    <mergeCell ref="Q16:T16"/>
    <mergeCell ref="Q18:T18"/>
    <mergeCell ref="Q20:T20"/>
    <mergeCell ref="Q22:T22"/>
    <mergeCell ref="Q24:T24"/>
    <mergeCell ref="Q26:T26"/>
    <mergeCell ref="Q28:T28"/>
    <mergeCell ref="Z7:AB7"/>
    <mergeCell ref="X10:AA10"/>
    <mergeCell ref="X12:AA12"/>
    <mergeCell ref="X14:AA14"/>
    <mergeCell ref="X16:AA16"/>
    <mergeCell ref="X24:AA24"/>
    <mergeCell ref="S7:U7"/>
    <mergeCell ref="S8:U8"/>
    <mergeCell ref="X20:AA20"/>
    <mergeCell ref="X7:Y7"/>
    <mergeCell ref="C237:H237"/>
    <mergeCell ref="J237:O237"/>
    <mergeCell ref="Q237:V237"/>
    <mergeCell ref="X237:AC237"/>
    <mergeCell ref="C242:H242"/>
    <mergeCell ref="J242:O242"/>
    <mergeCell ref="Q242:V242"/>
    <mergeCell ref="X242:AC242"/>
    <mergeCell ref="C243:H243"/>
    <mergeCell ref="J243:O243"/>
    <mergeCell ref="Q243:V243"/>
    <mergeCell ref="X243:AC243"/>
    <mergeCell ref="C238:H238"/>
    <mergeCell ref="J238:O238"/>
    <mergeCell ref="Q238:V238"/>
    <mergeCell ref="X238:AC238"/>
    <mergeCell ref="C239:H239"/>
    <mergeCell ref="J239:O239"/>
    <mergeCell ref="Q239:V239"/>
    <mergeCell ref="X239:AC239"/>
    <mergeCell ref="C241:H241"/>
    <mergeCell ref="J241:O241"/>
    <mergeCell ref="Q241:V241"/>
    <mergeCell ref="X241:AC241"/>
    <mergeCell ref="C234:H234"/>
    <mergeCell ref="J234:O234"/>
    <mergeCell ref="Q234:V234"/>
    <mergeCell ref="X234:AC234"/>
    <mergeCell ref="C235:H235"/>
    <mergeCell ref="J235:O235"/>
    <mergeCell ref="Q235:V235"/>
    <mergeCell ref="X235:AC235"/>
    <mergeCell ref="C236:H236"/>
    <mergeCell ref="J236:O236"/>
    <mergeCell ref="Q236:V236"/>
    <mergeCell ref="X236:AC236"/>
    <mergeCell ref="C231:H231"/>
    <mergeCell ref="J231:O231"/>
    <mergeCell ref="Q231:V231"/>
    <mergeCell ref="X231:AC231"/>
    <mergeCell ref="C232:H232"/>
    <mergeCell ref="J232:O232"/>
    <mergeCell ref="Q232:V232"/>
    <mergeCell ref="X232:AC232"/>
    <mergeCell ref="C233:H233"/>
    <mergeCell ref="J233:O233"/>
    <mergeCell ref="Q233:V233"/>
    <mergeCell ref="X233:AC233"/>
    <mergeCell ref="C228:H228"/>
    <mergeCell ref="J228:O228"/>
    <mergeCell ref="Q228:V228"/>
    <mergeCell ref="X228:AC228"/>
    <mergeCell ref="C229:H229"/>
    <mergeCell ref="J229:O229"/>
    <mergeCell ref="Q229:V229"/>
    <mergeCell ref="X229:AC229"/>
    <mergeCell ref="C230:H230"/>
    <mergeCell ref="J230:O230"/>
    <mergeCell ref="Q230:V230"/>
    <mergeCell ref="X230:AC230"/>
    <mergeCell ref="C225:H225"/>
    <mergeCell ref="J225:O225"/>
    <mergeCell ref="Q225:V225"/>
    <mergeCell ref="X225:AC225"/>
    <mergeCell ref="C226:H226"/>
    <mergeCell ref="J226:O226"/>
    <mergeCell ref="Q226:V226"/>
    <mergeCell ref="X226:AC226"/>
    <mergeCell ref="C227:H227"/>
    <mergeCell ref="J227:O227"/>
    <mergeCell ref="Q227:V227"/>
    <mergeCell ref="X227:AC227"/>
    <mergeCell ref="C222:H222"/>
    <mergeCell ref="J222:O222"/>
    <mergeCell ref="Q222:V222"/>
    <mergeCell ref="X222:AC222"/>
    <mergeCell ref="C223:H223"/>
    <mergeCell ref="J223:O223"/>
    <mergeCell ref="Q223:V223"/>
    <mergeCell ref="X223:AC223"/>
    <mergeCell ref="C224:H224"/>
    <mergeCell ref="J224:O224"/>
    <mergeCell ref="Q224:V224"/>
    <mergeCell ref="X224:AC224"/>
    <mergeCell ref="C219:H219"/>
    <mergeCell ref="J219:O219"/>
    <mergeCell ref="Q219:V219"/>
    <mergeCell ref="X219:AC219"/>
    <mergeCell ref="C220:H220"/>
    <mergeCell ref="J220:O220"/>
    <mergeCell ref="Q220:V220"/>
    <mergeCell ref="X220:AC220"/>
    <mergeCell ref="C221:H221"/>
    <mergeCell ref="J221:O221"/>
    <mergeCell ref="Q221:V221"/>
    <mergeCell ref="X221:AC221"/>
    <mergeCell ref="Q180:V180"/>
    <mergeCell ref="X180:AC180"/>
    <mergeCell ref="E216:G216"/>
    <mergeCell ref="L216:N216"/>
    <mergeCell ref="S216:U216"/>
    <mergeCell ref="C218:H218"/>
    <mergeCell ref="J218:O218"/>
    <mergeCell ref="Q218:V218"/>
    <mergeCell ref="X218:AC218"/>
    <mergeCell ref="J181:O181"/>
    <mergeCell ref="Q181:V181"/>
    <mergeCell ref="X181:AC181"/>
    <mergeCell ref="C215:D215"/>
    <mergeCell ref="E215:G215"/>
    <mergeCell ref="J215:K215"/>
    <mergeCell ref="L215:N215"/>
    <mergeCell ref="Q215:R215"/>
    <mergeCell ref="S215:U215"/>
    <mergeCell ref="X215:Y215"/>
    <mergeCell ref="C185:H185"/>
    <mergeCell ref="J185:O185"/>
    <mergeCell ref="Q185:V185"/>
    <mergeCell ref="X185:AC185"/>
    <mergeCell ref="C184:H184"/>
    <mergeCell ref="L99:N99"/>
    <mergeCell ref="Q99:R99"/>
    <mergeCell ref="S99:U99"/>
    <mergeCell ref="X99:Y99"/>
    <mergeCell ref="C178:H178"/>
    <mergeCell ref="J178:O178"/>
    <mergeCell ref="Q178:V178"/>
    <mergeCell ref="X178:AC178"/>
    <mergeCell ref="C179:H179"/>
    <mergeCell ref="J179:O179"/>
    <mergeCell ref="Q179:V179"/>
    <mergeCell ref="X179:AC179"/>
    <mergeCell ref="Q167:V167"/>
    <mergeCell ref="X167:AC167"/>
    <mergeCell ref="C168:H168"/>
    <mergeCell ref="J168:O168"/>
    <mergeCell ref="Q168:V168"/>
    <mergeCell ref="X168:AC168"/>
    <mergeCell ref="J169:O169"/>
    <mergeCell ref="Q169:V169"/>
    <mergeCell ref="X169:AC169"/>
    <mergeCell ref="C169:H169"/>
    <mergeCell ref="X155:AC155"/>
    <mergeCell ref="C156:H156"/>
    <mergeCell ref="C12:F12"/>
    <mergeCell ref="C14:F14"/>
    <mergeCell ref="X18:AA18"/>
    <mergeCell ref="L30:N30"/>
    <mergeCell ref="C175:H175"/>
    <mergeCell ref="J175:O175"/>
    <mergeCell ref="Q175:V175"/>
    <mergeCell ref="X175:AC175"/>
    <mergeCell ref="X172:AC172"/>
    <mergeCell ref="C173:H173"/>
    <mergeCell ref="J173:O173"/>
    <mergeCell ref="Q173:V173"/>
    <mergeCell ref="X173:AC173"/>
    <mergeCell ref="C174:H174"/>
    <mergeCell ref="J174:O174"/>
    <mergeCell ref="Q174:V174"/>
    <mergeCell ref="C170:H170"/>
    <mergeCell ref="J170:O170"/>
    <mergeCell ref="Q170:V170"/>
    <mergeCell ref="C172:H172"/>
    <mergeCell ref="J172:O172"/>
    <mergeCell ref="Q172:V172"/>
    <mergeCell ref="X97:AC97"/>
    <mergeCell ref="C95:H95"/>
    <mergeCell ref="Q209:V209"/>
    <mergeCell ref="X209:AC209"/>
    <mergeCell ref="C204:H204"/>
    <mergeCell ref="J161:O161"/>
    <mergeCell ref="Q161:V161"/>
    <mergeCell ref="X161:AC161"/>
    <mergeCell ref="C162:H162"/>
    <mergeCell ref="J162:O162"/>
    <mergeCell ref="Q162:V162"/>
    <mergeCell ref="X162:AC162"/>
    <mergeCell ref="C163:H163"/>
    <mergeCell ref="J163:O163"/>
    <mergeCell ref="Q163:V163"/>
    <mergeCell ref="X163:AC163"/>
    <mergeCell ref="J176:O176"/>
    <mergeCell ref="Q176:V176"/>
    <mergeCell ref="X176:AC176"/>
    <mergeCell ref="C177:H177"/>
    <mergeCell ref="J177:O177"/>
    <mergeCell ref="Q177:V177"/>
    <mergeCell ref="X177:AC177"/>
    <mergeCell ref="C176:H176"/>
    <mergeCell ref="X166:AC166"/>
    <mergeCell ref="J167:O167"/>
    <mergeCell ref="J207:O207"/>
    <mergeCell ref="Q207:V207"/>
    <mergeCell ref="X207:AC207"/>
    <mergeCell ref="C164:H164"/>
    <mergeCell ref="C161:H161"/>
    <mergeCell ref="C214:H214"/>
    <mergeCell ref="J214:O214"/>
    <mergeCell ref="Q214:V214"/>
    <mergeCell ref="X214:AC214"/>
    <mergeCell ref="C210:H210"/>
    <mergeCell ref="J210:O210"/>
    <mergeCell ref="Q210:V210"/>
    <mergeCell ref="X210:AC210"/>
    <mergeCell ref="C211:H211"/>
    <mergeCell ref="J211:O211"/>
    <mergeCell ref="Q211:V211"/>
    <mergeCell ref="X211:AC211"/>
    <mergeCell ref="C213:H213"/>
    <mergeCell ref="J213:O213"/>
    <mergeCell ref="Q213:V213"/>
    <mergeCell ref="X213:AC213"/>
    <mergeCell ref="X208:AC208"/>
    <mergeCell ref="C209:H209"/>
    <mergeCell ref="J209:O209"/>
    <mergeCell ref="C208:H208"/>
    <mergeCell ref="J208:O208"/>
    <mergeCell ref="Q208:V208"/>
    <mergeCell ref="J201:O201"/>
    <mergeCell ref="Q201:V201"/>
    <mergeCell ref="X201:AC201"/>
    <mergeCell ref="C202:H202"/>
    <mergeCell ref="J202:O202"/>
    <mergeCell ref="Q202:V202"/>
    <mergeCell ref="X202:AC202"/>
    <mergeCell ref="C203:H203"/>
    <mergeCell ref="J203:O203"/>
    <mergeCell ref="Q203:V203"/>
    <mergeCell ref="X203:AC203"/>
    <mergeCell ref="C201:H201"/>
    <mergeCell ref="C205:H205"/>
    <mergeCell ref="J205:O205"/>
    <mergeCell ref="Q205:V205"/>
    <mergeCell ref="X205:AC205"/>
    <mergeCell ref="C206:H206"/>
    <mergeCell ref="J206:O206"/>
    <mergeCell ref="Q206:V206"/>
    <mergeCell ref="X206:AC206"/>
    <mergeCell ref="C207:H207"/>
    <mergeCell ref="C196:H196"/>
    <mergeCell ref="J196:O196"/>
    <mergeCell ref="Q196:V196"/>
    <mergeCell ref="X196:AC196"/>
    <mergeCell ref="C197:H197"/>
    <mergeCell ref="J197:O197"/>
    <mergeCell ref="Q197:V197"/>
    <mergeCell ref="X197:AC197"/>
    <mergeCell ref="C195:H195"/>
    <mergeCell ref="C193:H193"/>
    <mergeCell ref="J193:O193"/>
    <mergeCell ref="Q193:V193"/>
    <mergeCell ref="X193:AC193"/>
    <mergeCell ref="C194:H194"/>
    <mergeCell ref="J194:O194"/>
    <mergeCell ref="Q194:V194"/>
    <mergeCell ref="X194:AC194"/>
    <mergeCell ref="C192:H192"/>
    <mergeCell ref="C190:H190"/>
    <mergeCell ref="J190:O190"/>
    <mergeCell ref="Q190:V190"/>
    <mergeCell ref="X190:AC190"/>
    <mergeCell ref="C191:H191"/>
    <mergeCell ref="J191:O191"/>
    <mergeCell ref="Q191:V191"/>
    <mergeCell ref="X191:AC191"/>
    <mergeCell ref="C189:H189"/>
    <mergeCell ref="J156:O156"/>
    <mergeCell ref="Q156:V156"/>
    <mergeCell ref="X156:AC156"/>
    <mergeCell ref="C186:D186"/>
    <mergeCell ref="E186:G186"/>
    <mergeCell ref="J186:K186"/>
    <mergeCell ref="L186:N186"/>
    <mergeCell ref="Q186:R186"/>
    <mergeCell ref="S186:U186"/>
    <mergeCell ref="X186:Y186"/>
    <mergeCell ref="E158:G158"/>
    <mergeCell ref="L158:N158"/>
    <mergeCell ref="S158:U158"/>
    <mergeCell ref="C160:H160"/>
    <mergeCell ref="J160:O160"/>
    <mergeCell ref="Q160:V160"/>
    <mergeCell ref="X160:AC160"/>
    <mergeCell ref="Z157:AB157"/>
    <mergeCell ref="C165:H165"/>
    <mergeCell ref="J165:O165"/>
    <mergeCell ref="Q165:V165"/>
    <mergeCell ref="X165:AC165"/>
    <mergeCell ref="C180:H180"/>
    <mergeCell ref="J180:O180"/>
    <mergeCell ref="E187:G187"/>
    <mergeCell ref="L187:N187"/>
    <mergeCell ref="S187:U187"/>
    <mergeCell ref="C157:D157"/>
    <mergeCell ref="E157:G157"/>
    <mergeCell ref="J157:K157"/>
    <mergeCell ref="L157:N157"/>
    <mergeCell ref="J151:O151"/>
    <mergeCell ref="Q151:V151"/>
    <mergeCell ref="C152:H152"/>
    <mergeCell ref="J152:O152"/>
    <mergeCell ref="Q152:V152"/>
    <mergeCell ref="C154:H154"/>
    <mergeCell ref="J154:O154"/>
    <mergeCell ref="Q154:V154"/>
    <mergeCell ref="C155:H155"/>
    <mergeCell ref="J155:O155"/>
    <mergeCell ref="Q155:V155"/>
    <mergeCell ref="C166:H166"/>
    <mergeCell ref="J166:O166"/>
    <mergeCell ref="Q166:V166"/>
    <mergeCell ref="C181:H181"/>
    <mergeCell ref="C183:H183"/>
    <mergeCell ref="J183:O183"/>
    <mergeCell ref="X154:AC154"/>
    <mergeCell ref="C148:H148"/>
    <mergeCell ref="J148:O148"/>
    <mergeCell ref="Q148:V148"/>
    <mergeCell ref="X148:AC148"/>
    <mergeCell ref="C149:H149"/>
    <mergeCell ref="J149:O149"/>
    <mergeCell ref="Q149:V149"/>
    <mergeCell ref="X149:AC149"/>
    <mergeCell ref="C150:H150"/>
    <mergeCell ref="J150:O150"/>
    <mergeCell ref="Q150:V150"/>
    <mergeCell ref="X150:AC150"/>
    <mergeCell ref="C151:H151"/>
    <mergeCell ref="C145:H145"/>
    <mergeCell ref="J145:O145"/>
    <mergeCell ref="Q145:V145"/>
    <mergeCell ref="X145:AC145"/>
    <mergeCell ref="C146:H146"/>
    <mergeCell ref="J146:O146"/>
    <mergeCell ref="Q146:V146"/>
    <mergeCell ref="X146:AC146"/>
    <mergeCell ref="C147:H147"/>
    <mergeCell ref="J147:O147"/>
    <mergeCell ref="Q147:V147"/>
    <mergeCell ref="X147:AC147"/>
    <mergeCell ref="C142:H142"/>
    <mergeCell ref="J142:O142"/>
    <mergeCell ref="Q142:V142"/>
    <mergeCell ref="X142:AC142"/>
    <mergeCell ref="C143:H143"/>
    <mergeCell ref="J143:O143"/>
    <mergeCell ref="Q143:V143"/>
    <mergeCell ref="X143:AC143"/>
    <mergeCell ref="C144:H144"/>
    <mergeCell ref="J144:O144"/>
    <mergeCell ref="Q144:V144"/>
    <mergeCell ref="X144:AC144"/>
    <mergeCell ref="C139:H139"/>
    <mergeCell ref="J139:O139"/>
    <mergeCell ref="Q139:V139"/>
    <mergeCell ref="X139:AC139"/>
    <mergeCell ref="C140:H140"/>
    <mergeCell ref="J140:O140"/>
    <mergeCell ref="Q140:V140"/>
    <mergeCell ref="X140:AC140"/>
    <mergeCell ref="C141:H141"/>
    <mergeCell ref="J141:O141"/>
    <mergeCell ref="Q141:V141"/>
    <mergeCell ref="X141:AC141"/>
    <mergeCell ref="C136:H136"/>
    <mergeCell ref="J136:O136"/>
    <mergeCell ref="Q136:V136"/>
    <mergeCell ref="X136:AC136"/>
    <mergeCell ref="C137:H137"/>
    <mergeCell ref="J137:O137"/>
    <mergeCell ref="Q137:V137"/>
    <mergeCell ref="X137:AC137"/>
    <mergeCell ref="C138:H138"/>
    <mergeCell ref="J138:O138"/>
    <mergeCell ref="Q138:V138"/>
    <mergeCell ref="X138:AC138"/>
    <mergeCell ref="C133:H133"/>
    <mergeCell ref="J133:O133"/>
    <mergeCell ref="Q133:V133"/>
    <mergeCell ref="X133:AC133"/>
    <mergeCell ref="C134:H134"/>
    <mergeCell ref="J134:O134"/>
    <mergeCell ref="Q134:V134"/>
    <mergeCell ref="X134:AC134"/>
    <mergeCell ref="C135:H135"/>
    <mergeCell ref="J135:O135"/>
    <mergeCell ref="Q135:V135"/>
    <mergeCell ref="X135:AC135"/>
    <mergeCell ref="E129:G129"/>
    <mergeCell ref="L129:N129"/>
    <mergeCell ref="S129:U129"/>
    <mergeCell ref="C131:H131"/>
    <mergeCell ref="J131:O131"/>
    <mergeCell ref="Q131:V131"/>
    <mergeCell ref="X131:AC131"/>
    <mergeCell ref="C132:H132"/>
    <mergeCell ref="J132:O132"/>
    <mergeCell ref="Q132:V132"/>
    <mergeCell ref="X132:AC132"/>
    <mergeCell ref="J123:O123"/>
    <mergeCell ref="Q123:V123"/>
    <mergeCell ref="X123:AC123"/>
    <mergeCell ref="C124:H124"/>
    <mergeCell ref="J124:O124"/>
    <mergeCell ref="Q124:V124"/>
    <mergeCell ref="X124:AC124"/>
    <mergeCell ref="C126:H126"/>
    <mergeCell ref="C128:D128"/>
    <mergeCell ref="E128:G128"/>
    <mergeCell ref="J128:K128"/>
    <mergeCell ref="L128:N128"/>
    <mergeCell ref="Q128:R128"/>
    <mergeCell ref="S128:U128"/>
    <mergeCell ref="X128:Y128"/>
    <mergeCell ref="C127:H127"/>
    <mergeCell ref="J127:O127"/>
    <mergeCell ref="Q127:V127"/>
    <mergeCell ref="X127:AC127"/>
    <mergeCell ref="Z128:AB128"/>
    <mergeCell ref="C118:H118"/>
    <mergeCell ref="J118:O118"/>
    <mergeCell ref="Q118:V118"/>
    <mergeCell ref="X118:AC118"/>
    <mergeCell ref="C119:H119"/>
    <mergeCell ref="J119:O119"/>
    <mergeCell ref="Q119:V119"/>
    <mergeCell ref="X119:AC119"/>
    <mergeCell ref="J126:O126"/>
    <mergeCell ref="Q126:V126"/>
    <mergeCell ref="X126:AC126"/>
    <mergeCell ref="C120:H120"/>
    <mergeCell ref="J120:O120"/>
    <mergeCell ref="Q120:V120"/>
    <mergeCell ref="X120:AC120"/>
    <mergeCell ref="C121:H121"/>
    <mergeCell ref="J121:O121"/>
    <mergeCell ref="Q121:V121"/>
    <mergeCell ref="X121:AC121"/>
    <mergeCell ref="C122:H122"/>
    <mergeCell ref="J122:O122"/>
    <mergeCell ref="Q122:V122"/>
    <mergeCell ref="X122:AC122"/>
    <mergeCell ref="C123:H123"/>
    <mergeCell ref="C115:H115"/>
    <mergeCell ref="J115:O115"/>
    <mergeCell ref="Q115:V115"/>
    <mergeCell ref="X115:AC115"/>
    <mergeCell ref="C116:H116"/>
    <mergeCell ref="J116:O116"/>
    <mergeCell ref="Q116:V116"/>
    <mergeCell ref="X116:AC116"/>
    <mergeCell ref="C117:H117"/>
    <mergeCell ref="J117:O117"/>
    <mergeCell ref="Q117:V117"/>
    <mergeCell ref="X117:AC117"/>
    <mergeCell ref="C112:H112"/>
    <mergeCell ref="J112:O112"/>
    <mergeCell ref="Q112:V112"/>
    <mergeCell ref="X112:AC112"/>
    <mergeCell ref="C113:H113"/>
    <mergeCell ref="J113:O113"/>
    <mergeCell ref="Q113:V113"/>
    <mergeCell ref="X113:AC113"/>
    <mergeCell ref="C114:H114"/>
    <mergeCell ref="J114:O114"/>
    <mergeCell ref="Q114:V114"/>
    <mergeCell ref="X114:AC114"/>
    <mergeCell ref="C109:H109"/>
    <mergeCell ref="J109:O109"/>
    <mergeCell ref="Q109:V109"/>
    <mergeCell ref="X109:AC109"/>
    <mergeCell ref="C110:H110"/>
    <mergeCell ref="J110:O110"/>
    <mergeCell ref="Q110:V110"/>
    <mergeCell ref="X110:AC110"/>
    <mergeCell ref="C111:H111"/>
    <mergeCell ref="J111:O111"/>
    <mergeCell ref="Q111:V111"/>
    <mergeCell ref="X111:AC111"/>
    <mergeCell ref="C106:H106"/>
    <mergeCell ref="J106:O106"/>
    <mergeCell ref="Q106:V106"/>
    <mergeCell ref="X106:AC106"/>
    <mergeCell ref="C107:H107"/>
    <mergeCell ref="J107:O107"/>
    <mergeCell ref="Q107:V107"/>
    <mergeCell ref="X107:AC107"/>
    <mergeCell ref="C108:H108"/>
    <mergeCell ref="J108:O108"/>
    <mergeCell ref="Q108:V108"/>
    <mergeCell ref="X108:AC108"/>
    <mergeCell ref="C103:H103"/>
    <mergeCell ref="J103:O103"/>
    <mergeCell ref="Q103:V103"/>
    <mergeCell ref="X103:AC103"/>
    <mergeCell ref="C104:H104"/>
    <mergeCell ref="J104:O104"/>
    <mergeCell ref="Q104:V104"/>
    <mergeCell ref="X104:AC104"/>
    <mergeCell ref="C105:H105"/>
    <mergeCell ref="J105:O105"/>
    <mergeCell ref="Q105:V105"/>
    <mergeCell ref="X105:AC105"/>
    <mergeCell ref="C102:H102"/>
    <mergeCell ref="J102:O102"/>
    <mergeCell ref="Q102:V102"/>
    <mergeCell ref="X102:AC102"/>
    <mergeCell ref="E100:G100"/>
    <mergeCell ref="L100:N100"/>
    <mergeCell ref="S100:U100"/>
    <mergeCell ref="C93:H93"/>
    <mergeCell ref="X93:AC93"/>
    <mergeCell ref="C94:H94"/>
    <mergeCell ref="J94:O94"/>
    <mergeCell ref="Q94:V94"/>
    <mergeCell ref="J95:O95"/>
    <mergeCell ref="Q95:V95"/>
    <mergeCell ref="X95:AC95"/>
    <mergeCell ref="C97:H97"/>
    <mergeCell ref="Z99:AB99"/>
    <mergeCell ref="C98:H98"/>
    <mergeCell ref="J98:O98"/>
    <mergeCell ref="Q98:V98"/>
    <mergeCell ref="X98:AC98"/>
    <mergeCell ref="C99:D99"/>
    <mergeCell ref="E99:G99"/>
    <mergeCell ref="J99:K99"/>
    <mergeCell ref="C92:H92"/>
    <mergeCell ref="J92:O92"/>
    <mergeCell ref="Q92:V92"/>
    <mergeCell ref="X92:AC92"/>
    <mergeCell ref="C87:H87"/>
    <mergeCell ref="J87:O87"/>
    <mergeCell ref="Q87:V87"/>
    <mergeCell ref="X87:AC87"/>
    <mergeCell ref="C88:H88"/>
    <mergeCell ref="J88:O88"/>
    <mergeCell ref="Q88:V88"/>
    <mergeCell ref="X88:AC88"/>
    <mergeCell ref="C89:H89"/>
    <mergeCell ref="J89:O89"/>
    <mergeCell ref="Q89:V89"/>
    <mergeCell ref="X89:AC89"/>
    <mergeCell ref="C90:H90"/>
    <mergeCell ref="J90:O90"/>
    <mergeCell ref="Q90:V90"/>
    <mergeCell ref="X90:AC90"/>
    <mergeCell ref="C91:H91"/>
    <mergeCell ref="J91:O91"/>
    <mergeCell ref="Q91:V91"/>
    <mergeCell ref="X91:AC91"/>
    <mergeCell ref="C85:H85"/>
    <mergeCell ref="J85:O85"/>
    <mergeCell ref="Q85:V85"/>
    <mergeCell ref="X85:AC85"/>
    <mergeCell ref="C86:H86"/>
    <mergeCell ref="J86:O86"/>
    <mergeCell ref="Q86:V86"/>
    <mergeCell ref="X86:AC86"/>
    <mergeCell ref="C83:H83"/>
    <mergeCell ref="J83:O83"/>
    <mergeCell ref="Q83:V83"/>
    <mergeCell ref="X83:AC83"/>
    <mergeCell ref="C84:H84"/>
    <mergeCell ref="J84:O84"/>
    <mergeCell ref="Q84:V84"/>
    <mergeCell ref="X84:AC84"/>
    <mergeCell ref="C81:H81"/>
    <mergeCell ref="J81:O81"/>
    <mergeCell ref="Q81:V81"/>
    <mergeCell ref="X81:AC81"/>
    <mergeCell ref="C82:H82"/>
    <mergeCell ref="J82:O82"/>
    <mergeCell ref="Q82:V82"/>
    <mergeCell ref="X82:AC82"/>
    <mergeCell ref="C79:H79"/>
    <mergeCell ref="J79:O79"/>
    <mergeCell ref="Q79:V79"/>
    <mergeCell ref="X79:AC79"/>
    <mergeCell ref="C80:H80"/>
    <mergeCell ref="J80:O80"/>
    <mergeCell ref="Q80:V80"/>
    <mergeCell ref="X80:AC80"/>
    <mergeCell ref="X77:AC77"/>
    <mergeCell ref="C78:H78"/>
    <mergeCell ref="J78:O78"/>
    <mergeCell ref="Q78:V78"/>
    <mergeCell ref="X78:AC78"/>
    <mergeCell ref="C75:H75"/>
    <mergeCell ref="J75:O75"/>
    <mergeCell ref="Q75:V75"/>
    <mergeCell ref="X75:AC75"/>
    <mergeCell ref="C76:H76"/>
    <mergeCell ref="J76:O76"/>
    <mergeCell ref="Q76:V76"/>
    <mergeCell ref="X76:AC76"/>
    <mergeCell ref="C45:H45"/>
    <mergeCell ref="E70:G70"/>
    <mergeCell ref="J70:K70"/>
    <mergeCell ref="L70:N70"/>
    <mergeCell ref="Q70:R70"/>
    <mergeCell ref="S70:U70"/>
    <mergeCell ref="C46:H46"/>
    <mergeCell ref="C77:H77"/>
    <mergeCell ref="J77:O77"/>
    <mergeCell ref="Q77:V77"/>
    <mergeCell ref="C73:H73"/>
    <mergeCell ref="J73:O73"/>
    <mergeCell ref="Q73:V73"/>
    <mergeCell ref="C47:H47"/>
    <mergeCell ref="C48:H48"/>
    <mergeCell ref="C49:H49"/>
    <mergeCell ref="C50:H50"/>
    <mergeCell ref="C62:H62"/>
    <mergeCell ref="C51:H51"/>
    <mergeCell ref="C52:H52"/>
    <mergeCell ref="C53:H53"/>
    <mergeCell ref="C54:H54"/>
    <mergeCell ref="C55:H55"/>
    <mergeCell ref="C56:H56"/>
    <mergeCell ref="X73:AC73"/>
    <mergeCell ref="C74:H74"/>
    <mergeCell ref="J74:O74"/>
    <mergeCell ref="Q74:V74"/>
    <mergeCell ref="X74:AC74"/>
    <mergeCell ref="X70:Y70"/>
    <mergeCell ref="E71:G71"/>
    <mergeCell ref="L71:N71"/>
    <mergeCell ref="S71:U71"/>
    <mergeCell ref="C70:D70"/>
    <mergeCell ref="Z70:AB70"/>
    <mergeCell ref="C30:D30"/>
    <mergeCell ref="E30:G30"/>
    <mergeCell ref="J30:K30"/>
    <mergeCell ref="C44:H44"/>
    <mergeCell ref="X36:Y36"/>
    <mergeCell ref="S36:U36"/>
    <mergeCell ref="J36:K36"/>
    <mergeCell ref="L36:N36"/>
    <mergeCell ref="Q36:R36"/>
    <mergeCell ref="C41:D41"/>
    <mergeCell ref="E41:G41"/>
    <mergeCell ref="J41:K41"/>
    <mergeCell ref="L41:N41"/>
    <mergeCell ref="Q41:R41"/>
    <mergeCell ref="S41:U41"/>
    <mergeCell ref="X41:Y41"/>
    <mergeCell ref="E42:G42"/>
    <mergeCell ref="L42:N42"/>
    <mergeCell ref="S42:U42"/>
    <mergeCell ref="Q7:R7"/>
    <mergeCell ref="C36:D36"/>
    <mergeCell ref="C7:D7"/>
    <mergeCell ref="E7:G7"/>
    <mergeCell ref="E8:G8"/>
    <mergeCell ref="X30:Y30"/>
    <mergeCell ref="C38:D38"/>
    <mergeCell ref="X22:AA22"/>
    <mergeCell ref="J7:K7"/>
    <mergeCell ref="L7:N7"/>
    <mergeCell ref="L8:N8"/>
    <mergeCell ref="X26:AA26"/>
    <mergeCell ref="C34:D34"/>
    <mergeCell ref="E34:G34"/>
    <mergeCell ref="J34:K34"/>
    <mergeCell ref="Q34:R34"/>
    <mergeCell ref="S34:U34"/>
    <mergeCell ref="E36:G36"/>
    <mergeCell ref="X34:Y34"/>
    <mergeCell ref="X32:Y32"/>
    <mergeCell ref="C10:F10"/>
    <mergeCell ref="L34:N34"/>
    <mergeCell ref="Q30:R30"/>
    <mergeCell ref="S30:U30"/>
    <mergeCell ref="C63:H63"/>
    <mergeCell ref="C64:H64"/>
    <mergeCell ref="C65:H65"/>
    <mergeCell ref="C66:H66"/>
    <mergeCell ref="C68:H68"/>
    <mergeCell ref="C57:H57"/>
    <mergeCell ref="C58:H58"/>
    <mergeCell ref="C59:H59"/>
    <mergeCell ref="C60:H60"/>
    <mergeCell ref="C61:H61"/>
    <mergeCell ref="C69:H69"/>
    <mergeCell ref="J44:O44"/>
    <mergeCell ref="J45:O45"/>
    <mergeCell ref="J46:O46"/>
    <mergeCell ref="J47:O47"/>
    <mergeCell ref="J48:O48"/>
    <mergeCell ref="J49:O49"/>
    <mergeCell ref="J50:O50"/>
    <mergeCell ref="J51:O51"/>
    <mergeCell ref="J52:O52"/>
    <mergeCell ref="J53:O53"/>
    <mergeCell ref="J54:O54"/>
    <mergeCell ref="J55:O55"/>
    <mergeCell ref="J56:O56"/>
    <mergeCell ref="J57:O57"/>
    <mergeCell ref="J58:O58"/>
    <mergeCell ref="J59:O59"/>
    <mergeCell ref="J60:O60"/>
    <mergeCell ref="J61:O61"/>
    <mergeCell ref="J62:O62"/>
    <mergeCell ref="J63:O63"/>
    <mergeCell ref="J64:O64"/>
    <mergeCell ref="J65:O65"/>
    <mergeCell ref="J66:O66"/>
    <mergeCell ref="J68:O68"/>
    <mergeCell ref="J69:O69"/>
    <mergeCell ref="Q44:V44"/>
    <mergeCell ref="Q45:V45"/>
    <mergeCell ref="Q46:V46"/>
    <mergeCell ref="Q47:V47"/>
    <mergeCell ref="Q48:V48"/>
    <mergeCell ref="Q49:V49"/>
    <mergeCell ref="Q50:V50"/>
    <mergeCell ref="Q51:V51"/>
    <mergeCell ref="Q52:V52"/>
    <mergeCell ref="Q53:V53"/>
    <mergeCell ref="Q54:V54"/>
    <mergeCell ref="Q55:V55"/>
    <mergeCell ref="Q56:V56"/>
    <mergeCell ref="Q57:V57"/>
    <mergeCell ref="Q58:V58"/>
    <mergeCell ref="Q59:V59"/>
    <mergeCell ref="Q66:V66"/>
    <mergeCell ref="Q68:V68"/>
    <mergeCell ref="Q69:V69"/>
    <mergeCell ref="Q60:V60"/>
    <mergeCell ref="Q61:V61"/>
    <mergeCell ref="Q62:V62"/>
    <mergeCell ref="Q63:V63"/>
    <mergeCell ref="Q64:V64"/>
    <mergeCell ref="Q65:V65"/>
    <mergeCell ref="X28:AA28"/>
    <mergeCell ref="X56:AC56"/>
    <mergeCell ref="X57:AC57"/>
    <mergeCell ref="X58:AC58"/>
    <mergeCell ref="Z41:AB41"/>
    <mergeCell ref="AE30:AH34"/>
    <mergeCell ref="AE36:AH36"/>
    <mergeCell ref="X65:AC65"/>
    <mergeCell ref="X66:AC66"/>
    <mergeCell ref="X68:AC68"/>
    <mergeCell ref="X69:AC69"/>
    <mergeCell ref="X59:AC59"/>
    <mergeCell ref="X60:AC60"/>
    <mergeCell ref="X61:AC61"/>
    <mergeCell ref="X62:AC62"/>
    <mergeCell ref="X44:AC44"/>
    <mergeCell ref="X45:AC45"/>
    <mergeCell ref="X46:AC46"/>
    <mergeCell ref="X47:AC47"/>
    <mergeCell ref="X48:AC48"/>
    <mergeCell ref="X49:AC49"/>
    <mergeCell ref="X50:AC50"/>
    <mergeCell ref="X51:AC51"/>
    <mergeCell ref="X52:AC52"/>
    <mergeCell ref="X53:AC53"/>
    <mergeCell ref="X54:AC54"/>
    <mergeCell ref="X55:AC55"/>
    <mergeCell ref="X63:AC63"/>
    <mergeCell ref="X64:AC64"/>
  </mergeCells>
  <phoneticPr fontId="9" type="noConversion"/>
  <conditionalFormatting sqref="C14 J14 Q14 X14">
    <cfRule type="iconSet" priority="294">
      <iconSet iconSet="3Signs" reverse="1">
        <cfvo type="percent" val="0"/>
        <cfvo type="formula" val="MIN($C$14,$J$14,$Q$14,$X$14)*1.1" gte="0"/>
        <cfvo type="formula" val="MIN($C$14,$J$14,$Q$14,$X$14)*1.2" gte="0"/>
      </iconSet>
    </cfRule>
  </conditionalFormatting>
  <conditionalFormatting sqref="C18 J18 Q18 X18">
    <cfRule type="iconSet" priority="290">
      <iconSet iconSet="3Signs" reverse="1">
        <cfvo type="percent" val="0"/>
        <cfvo type="formula" val="MIN($C$18,$J$18,$Q$18,$X$18)*1.25" gte="0"/>
        <cfvo type="formula" val="MIN($C$18,$J$18,$Q$18,$X$18)*1.5" gte="0"/>
      </iconSet>
    </cfRule>
  </conditionalFormatting>
  <conditionalFormatting sqref="C20 J20 Q20 X20">
    <cfRule type="iconSet" priority="282">
      <iconSet iconSet="3Signs" reverse="1">
        <cfvo type="percent" val="0"/>
        <cfvo type="formula" val="MIN($C$20,$J$20,$Q$20,$X$20)*1.25" gte="0"/>
        <cfvo type="formula" val="MIN($C$20,$J$20,$Q$20,$X$20)*1.5" gte="0"/>
      </iconSet>
    </cfRule>
  </conditionalFormatting>
  <conditionalFormatting sqref="C10 J10 Q10 X10">
    <cfRule type="iconSet" priority="233">
      <iconSet iconSet="3Signs" reverse="1">
        <cfvo type="percent" val="0"/>
        <cfvo type="formula" val="MIN($C$10,$J$10,$Q$10,$X$10)*1.25" gte="0"/>
        <cfvo type="formula" val="MIN($C$10,$J$10,$Q$10,$X$10)*1.5" gte="0"/>
      </iconSet>
    </cfRule>
  </conditionalFormatting>
  <conditionalFormatting sqref="C12 J12 Q12 X12">
    <cfRule type="iconSet" priority="232">
      <iconSet iconSet="3Signs" reverse="1">
        <cfvo type="percent" val="0"/>
        <cfvo type="formula" val="MIN($C$12,$J$12,$Q$12,$X$12)*1.1" gte="0"/>
        <cfvo type="formula" val="MIN($C$12,$J$12,$Q$12,$X$12)*1.2" gte="0"/>
      </iconSet>
    </cfRule>
  </conditionalFormatting>
  <conditionalFormatting sqref="C16 J16 Q16 X16">
    <cfRule type="iconSet" priority="226">
      <iconSet iconSet="3Signs" reverse="1">
        <cfvo type="percent" val="0"/>
        <cfvo type="formula" val="MIN($C$16,$J$16,$Q$16,$X$16)*1.25" gte="0"/>
        <cfvo type="formula" val="MIN($C$16,$J$16,$Q$16,$X$16)*1.5" gte="0"/>
      </iconSet>
    </cfRule>
  </conditionalFormatting>
  <conditionalFormatting sqref="C22:E22 J22:L22 Q22:S22 X22:AA22">
    <cfRule type="iconSet" priority="152">
      <iconSet iconSet="3Signs" reverse="1">
        <cfvo type="percent" val="0"/>
        <cfvo type="num" val="$AF$22"/>
        <cfvo type="num" val="$AF$22"/>
      </iconSet>
    </cfRule>
  </conditionalFormatting>
  <conditionalFormatting sqref="C30">
    <cfRule type="iconSet" priority="131">
      <iconSet iconSet="3Signs" showValue="0" reverse="1">
        <cfvo type="percent" val="0"/>
        <cfvo type="num" val="1.5"/>
        <cfvo type="num" val="2" gte="0"/>
      </iconSet>
    </cfRule>
  </conditionalFormatting>
  <conditionalFormatting sqref="C34">
    <cfRule type="iconSet" priority="125">
      <iconSet iconSet="3Signs" showValue="0" reverse="1">
        <cfvo type="percent" val="0"/>
        <cfvo type="num" val="1.5"/>
        <cfvo type="num" val="2" gte="0"/>
      </iconSet>
    </cfRule>
  </conditionalFormatting>
  <conditionalFormatting sqref="C36">
    <cfRule type="iconSet" priority="118">
      <iconSet iconSet="3Signs" showValue="0" reverse="1">
        <cfvo type="percent" val="0"/>
        <cfvo type="num" val="1.5"/>
        <cfvo type="num" val="2" gte="0"/>
      </iconSet>
    </cfRule>
  </conditionalFormatting>
  <conditionalFormatting sqref="J30">
    <cfRule type="iconSet" priority="116">
      <iconSet iconSet="3Signs" showValue="0" reverse="1">
        <cfvo type="percent" val="0"/>
        <cfvo type="num" val="1.5"/>
        <cfvo type="num" val="2" gte="0"/>
      </iconSet>
    </cfRule>
  </conditionalFormatting>
  <conditionalFormatting sqref="J34">
    <cfRule type="iconSet" priority="111">
      <iconSet iconSet="3Signs" showValue="0" reverse="1">
        <cfvo type="percent" val="0"/>
        <cfvo type="num" val="1.5"/>
        <cfvo type="num" val="2" gte="0"/>
      </iconSet>
    </cfRule>
  </conditionalFormatting>
  <conditionalFormatting sqref="J36">
    <cfRule type="iconSet" priority="106">
      <iconSet iconSet="3Signs" showValue="0" reverse="1">
        <cfvo type="percent" val="0"/>
        <cfvo type="num" val="1.5"/>
        <cfvo type="num" val="2" gte="0"/>
      </iconSet>
    </cfRule>
  </conditionalFormatting>
  <conditionalFormatting sqref="Q30">
    <cfRule type="iconSet" priority="103">
      <iconSet iconSet="3Signs" showValue="0" reverse="1">
        <cfvo type="percent" val="0"/>
        <cfvo type="num" val="1.5"/>
        <cfvo type="num" val="2" gte="0"/>
      </iconSet>
    </cfRule>
  </conditionalFormatting>
  <conditionalFormatting sqref="Q34">
    <cfRule type="iconSet" priority="88">
      <iconSet iconSet="3Signs" showValue="0" reverse="1">
        <cfvo type="percent" val="0"/>
        <cfvo type="num" val="1.5"/>
        <cfvo type="num" val="2" gte="0"/>
      </iconSet>
    </cfRule>
  </conditionalFormatting>
  <conditionalFormatting sqref="Q36">
    <cfRule type="iconSet" priority="83">
      <iconSet iconSet="3Signs" showValue="0" reverse="1">
        <cfvo type="percent" val="0"/>
        <cfvo type="num" val="1.5"/>
        <cfvo type="num" val="2" gte="0"/>
      </iconSet>
    </cfRule>
  </conditionalFormatting>
  <conditionalFormatting sqref="X30">
    <cfRule type="iconSet" priority="81">
      <iconSet iconSet="3Signs" showValue="0" reverse="1">
        <cfvo type="percent" val="0"/>
        <cfvo type="num" val="1.5"/>
        <cfvo type="num" val="2" gte="0"/>
      </iconSet>
    </cfRule>
  </conditionalFormatting>
  <conditionalFormatting sqref="X34">
    <cfRule type="iconSet" priority="76">
      <iconSet iconSet="3Signs" showValue="0" reverse="1">
        <cfvo type="percent" val="0"/>
        <cfvo type="num" val="1.5"/>
        <cfvo type="num" val="2" gte="0"/>
      </iconSet>
    </cfRule>
  </conditionalFormatting>
  <conditionalFormatting sqref="X36:Y36">
    <cfRule type="iconSet" priority="73">
      <iconSet iconSet="3Signs" showValue="0" reverse="1">
        <cfvo type="percent" val="0"/>
        <cfvo type="num" val="1.5"/>
        <cfvo type="num" val="2" gte="0"/>
      </iconSet>
    </cfRule>
  </conditionalFormatting>
  <conditionalFormatting sqref="C38:D38">
    <cfRule type="iconSet" priority="72">
      <iconSet iconSet="3Signs" showValue="0" reverse="1">
        <cfvo type="percent" val="0"/>
        <cfvo type="num" val="1.5"/>
        <cfvo type="num" val="3"/>
      </iconSet>
    </cfRule>
  </conditionalFormatting>
  <conditionalFormatting sqref="T38">
    <cfRule type="iconSet" priority="68">
      <iconSet iconSet="3Signs" showValue="0" reverse="1">
        <cfvo type="percent" val="0"/>
        <cfvo type="num" val="1.5"/>
        <cfvo type="num" val="3"/>
      </iconSet>
    </cfRule>
  </conditionalFormatting>
  <conditionalFormatting sqref="G10">
    <cfRule type="expression" dxfId="52" priority="66">
      <formula>(C10="")</formula>
    </cfRule>
  </conditionalFormatting>
  <conditionalFormatting sqref="N10">
    <cfRule type="expression" dxfId="51" priority="63">
      <formula>(J10="")</formula>
    </cfRule>
  </conditionalFormatting>
  <conditionalFormatting sqref="U10">
    <cfRule type="expression" dxfId="50" priority="62">
      <formula>(Q10="")</formula>
    </cfRule>
  </conditionalFormatting>
  <conditionalFormatting sqref="AB10">
    <cfRule type="expression" dxfId="49" priority="61">
      <formula>(X10="")</formula>
    </cfRule>
  </conditionalFormatting>
  <conditionalFormatting sqref="G12">
    <cfRule type="expression" dxfId="48" priority="60">
      <formula>(C12="")</formula>
    </cfRule>
  </conditionalFormatting>
  <conditionalFormatting sqref="N12">
    <cfRule type="expression" dxfId="47" priority="59">
      <formula>(J12="")</formula>
    </cfRule>
  </conditionalFormatting>
  <conditionalFormatting sqref="U12">
    <cfRule type="expression" dxfId="46" priority="58">
      <formula>(Q12="")</formula>
    </cfRule>
  </conditionalFormatting>
  <conditionalFormatting sqref="AB12">
    <cfRule type="expression" dxfId="45" priority="57">
      <formula>(X12="")</formula>
    </cfRule>
  </conditionalFormatting>
  <conditionalFormatting sqref="AB14">
    <cfRule type="expression" dxfId="44" priority="56">
      <formula>(X14="")</formula>
    </cfRule>
  </conditionalFormatting>
  <conditionalFormatting sqref="AB16">
    <cfRule type="expression" dxfId="43" priority="55">
      <formula>(X16="")</formula>
    </cfRule>
  </conditionalFormatting>
  <conditionalFormatting sqref="AB18">
    <cfRule type="expression" dxfId="42" priority="54">
      <formula>(X18="")</formula>
    </cfRule>
  </conditionalFormatting>
  <conditionalFormatting sqref="AB20">
    <cfRule type="expression" dxfId="41" priority="53">
      <formula>(X20="")</formula>
    </cfRule>
  </conditionalFormatting>
  <conditionalFormatting sqref="AB22">
    <cfRule type="expression" dxfId="40" priority="52">
      <formula>(X22="")</formula>
    </cfRule>
  </conditionalFormatting>
  <conditionalFormatting sqref="U22">
    <cfRule type="expression" dxfId="39" priority="45">
      <formula>(Q22="")</formula>
    </cfRule>
  </conditionalFormatting>
  <conditionalFormatting sqref="U20">
    <cfRule type="expression" dxfId="38" priority="44">
      <formula>(Q20="")</formula>
    </cfRule>
  </conditionalFormatting>
  <conditionalFormatting sqref="U18">
    <cfRule type="expression" dxfId="37" priority="43">
      <formula>(Q18="")</formula>
    </cfRule>
  </conditionalFormatting>
  <conditionalFormatting sqref="U16">
    <cfRule type="expression" dxfId="36" priority="42">
      <formula>(Q16="")</formula>
    </cfRule>
  </conditionalFormatting>
  <conditionalFormatting sqref="U14">
    <cfRule type="expression" dxfId="35" priority="41">
      <formula>(Q14="")</formula>
    </cfRule>
  </conditionalFormatting>
  <conditionalFormatting sqref="U12">
    <cfRule type="expression" dxfId="34" priority="40">
      <formula>(Q12="")</formula>
    </cfRule>
  </conditionalFormatting>
  <conditionalFormatting sqref="N14">
    <cfRule type="expression" dxfId="33" priority="39">
      <formula>(J14="")</formula>
    </cfRule>
  </conditionalFormatting>
  <conditionalFormatting sqref="N16">
    <cfRule type="expression" dxfId="32" priority="38">
      <formula>(J16="")</formula>
    </cfRule>
  </conditionalFormatting>
  <conditionalFormatting sqref="N18">
    <cfRule type="expression" dxfId="31" priority="37">
      <formula>(J18="")</formula>
    </cfRule>
  </conditionalFormatting>
  <conditionalFormatting sqref="N20">
    <cfRule type="expression" dxfId="30" priority="36">
      <formula>(J20="")</formula>
    </cfRule>
  </conditionalFormatting>
  <conditionalFormatting sqref="N22">
    <cfRule type="expression" dxfId="29" priority="35">
      <formula>(J22="")</formula>
    </cfRule>
  </conditionalFormatting>
  <conditionalFormatting sqref="N26">
    <cfRule type="expression" dxfId="28" priority="33">
      <formula>OR(J26=0,J26="")</formula>
    </cfRule>
  </conditionalFormatting>
  <conditionalFormatting sqref="G22">
    <cfRule type="expression" dxfId="27" priority="28">
      <formula>(C22="")</formula>
    </cfRule>
  </conditionalFormatting>
  <conditionalFormatting sqref="G20">
    <cfRule type="expression" dxfId="26" priority="27">
      <formula>(C20="")</formula>
    </cfRule>
  </conditionalFormatting>
  <conditionalFormatting sqref="G18">
    <cfRule type="expression" dxfId="25" priority="26">
      <formula>(C18="")</formula>
    </cfRule>
  </conditionalFormatting>
  <conditionalFormatting sqref="G16">
    <cfRule type="expression" dxfId="24" priority="25">
      <formula>(C16="")</formula>
    </cfRule>
  </conditionalFormatting>
  <conditionalFormatting sqref="G14">
    <cfRule type="expression" dxfId="23" priority="24">
      <formula>(C14="")</formula>
    </cfRule>
  </conditionalFormatting>
  <conditionalFormatting sqref="A22:B22">
    <cfRule type="expression" dxfId="22" priority="23">
      <formula>NOT($AF$22&gt;0)</formula>
    </cfRule>
  </conditionalFormatting>
  <conditionalFormatting sqref="N24">
    <cfRule type="expression" dxfId="21" priority="22">
      <formula>OR(J24=0,J24="")</formula>
    </cfRule>
  </conditionalFormatting>
  <conditionalFormatting sqref="N28">
    <cfRule type="expression" dxfId="20" priority="21">
      <formula>OR(J28=0,J28="")</formula>
    </cfRule>
  </conditionalFormatting>
  <conditionalFormatting sqref="U24">
    <cfRule type="expression" dxfId="19" priority="20">
      <formula>OR(Q24=0,Q24="")</formula>
    </cfRule>
  </conditionalFormatting>
  <conditionalFormatting sqref="U26">
    <cfRule type="expression" dxfId="18" priority="19">
      <formula>OR(Q26=0,Q26="")</formula>
    </cfRule>
  </conditionalFormatting>
  <conditionalFormatting sqref="U28">
    <cfRule type="expression" dxfId="17" priority="17">
      <formula>OR(Q28=0,Q28="")</formula>
    </cfRule>
  </conditionalFormatting>
  <conditionalFormatting sqref="G24">
    <cfRule type="expression" dxfId="16" priority="16">
      <formula>OR(C24=0,C24="")</formula>
    </cfRule>
  </conditionalFormatting>
  <conditionalFormatting sqref="G26">
    <cfRule type="expression" dxfId="15" priority="15">
      <formula>OR(C26=0,C26="")</formula>
    </cfRule>
  </conditionalFormatting>
  <conditionalFormatting sqref="G28">
    <cfRule type="expression" dxfId="14" priority="14">
      <formula>OR(C28=0,C28="")</formula>
    </cfRule>
  </conditionalFormatting>
  <conditionalFormatting sqref="AB24">
    <cfRule type="expression" dxfId="13" priority="13">
      <formula>OR(X24=0,X24="")</formula>
    </cfRule>
  </conditionalFormatting>
  <conditionalFormatting sqref="AB26">
    <cfRule type="expression" dxfId="12" priority="12">
      <formula>OR(X26=0,X26="")</formula>
    </cfRule>
  </conditionalFormatting>
  <conditionalFormatting sqref="AB28">
    <cfRule type="expression" dxfId="11" priority="11">
      <formula>OR(X28=0,X28="")</formula>
    </cfRule>
  </conditionalFormatting>
  <conditionalFormatting sqref="A24">
    <cfRule type="expression" dxfId="10" priority="10">
      <formula>SUM($C24,$J24,$Q24,$X24)=0</formula>
    </cfRule>
  </conditionalFormatting>
  <conditionalFormatting sqref="A26">
    <cfRule type="expression" dxfId="9" priority="6">
      <formula>SUM($C26,$J26,$Q26,$X26)=0</formula>
    </cfRule>
  </conditionalFormatting>
  <conditionalFormatting sqref="A28">
    <cfRule type="expression" dxfId="8" priority="5">
      <formula>SUM($C28,$J28,$Q28,$X28)=0</formula>
    </cfRule>
  </conditionalFormatting>
  <conditionalFormatting sqref="L38">
    <cfRule type="iconSet" priority="1135">
      <iconSet iconSet="3Signs" showValue="0" reverse="1">
        <cfvo type="percent" val="0"/>
        <cfvo type="num" val="1.5"/>
        <cfvo type="num" val="3"/>
      </iconSet>
    </cfRule>
  </conditionalFormatting>
  <conditionalFormatting sqref="C32">
    <cfRule type="iconSet" priority="4">
      <iconSet iconSet="3Signs" showValue="0" reverse="1">
        <cfvo type="percent" val="0"/>
        <cfvo type="num" val="1.5"/>
        <cfvo type="num" val="2" gte="0"/>
      </iconSet>
    </cfRule>
  </conditionalFormatting>
  <conditionalFormatting sqref="J32">
    <cfRule type="iconSet" priority="3">
      <iconSet iconSet="3Signs" showValue="0" reverse="1">
        <cfvo type="percent" val="0"/>
        <cfvo type="num" val="1.5"/>
        <cfvo type="num" val="2" gte="0"/>
      </iconSet>
    </cfRule>
  </conditionalFormatting>
  <conditionalFormatting sqref="Q32">
    <cfRule type="iconSet" priority="2">
      <iconSet iconSet="3Signs" showValue="0" reverse="1">
        <cfvo type="percent" val="0"/>
        <cfvo type="num" val="1.5"/>
        <cfvo type="num" val="2" gte="0"/>
      </iconSet>
    </cfRule>
  </conditionalFormatting>
  <conditionalFormatting sqref="X32">
    <cfRule type="iconSet" priority="1">
      <iconSet iconSet="3Signs" showValue="0" reverse="1">
        <cfvo type="percent" val="0"/>
        <cfvo type="num" val="1.5"/>
        <cfvo type="num" val="2" gte="0"/>
      </iconSet>
    </cfRule>
  </conditionalFormatting>
  <dataValidations count="1">
    <dataValidation type="whole" allowBlank="1" showInputMessage="1" showErrorMessage="1" sqref="C30:D30 C32:D32 C34:D34 C36:D36 J30:K30 J32:K32 J34:K34 J36:K36 Q30:R30 Q32:R32 Q34:R34 Q36:R36 X30:Y30 X32:Y32 X34:Y34 X36:Y36" xr:uid="{00000000-0002-0000-1000-000000000000}">
      <formula1>1</formula1>
      <formula2>3</formula2>
    </dataValidation>
  </dataValidations>
  <hyperlinks>
    <hyperlink ref="M2" location="Neu_in_Version" display="i" xr:uid="{00000000-0004-0000-1000-000000000000}"/>
  </hyperlinks>
  <printOptions horizontalCentered="1"/>
  <pageMargins left="0.59055118110236227" right="0.59055118110236227" top="0.59055118110236227" bottom="0.62992125984251968" header="0.59055118110236227" footer="0.31496062992125984"/>
  <pageSetup paperSize="9" fitToHeight="0" orientation="landscape" r:id="rId1"/>
  <headerFooter scaleWithDoc="0">
    <oddFooter>&amp;L&amp;8Druckdatum  &amp;D&amp;C&amp;8&amp;F/&amp;A&amp;R&amp;8Seite &amp;P / &amp;N</oddFooter>
  </headerFooter>
  <rowBreaks count="7" manualBreakCount="7">
    <brk id="40" max="24" man="1"/>
    <brk id="69" max="24" man="1"/>
    <brk id="98" max="24" man="1"/>
    <brk id="127" max="24" man="1"/>
    <brk id="156" max="24" man="1"/>
    <brk id="185" max="24" man="1"/>
    <brk id="214" max="24"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theme="8" tint="0.39997558519241921"/>
    <pageSetUpPr fitToPage="1"/>
  </sheetPr>
  <dimension ref="A1:BU113"/>
  <sheetViews>
    <sheetView showGridLines="0" showZeros="0" zoomScaleNormal="100" zoomScaleSheetLayoutView="100" workbookViewId="0">
      <pane ySplit="8" topLeftCell="A9" activePane="bottomLeft" state="frozen"/>
      <selection activeCell="A8" sqref="A8:N8"/>
      <selection pane="bottomLeft" activeCell="F2" sqref="F2"/>
    </sheetView>
  </sheetViews>
  <sheetFormatPr baseColWidth="10" defaultColWidth="9.28515625" defaultRowHeight="12.75" x14ac:dyDescent="0.2"/>
  <cols>
    <col min="1" max="1" width="10.7109375" style="22" customWidth="1"/>
    <col min="2" max="2" width="22.7109375" style="22" customWidth="1"/>
    <col min="3" max="3" width="10.28515625" style="22" customWidth="1"/>
    <col min="4" max="4" width="7.5703125" customWidth="1"/>
    <col min="5" max="5" width="7.5703125" style="722" customWidth="1"/>
    <col min="6" max="6" width="7.5703125" customWidth="1"/>
    <col min="7" max="7" width="7.5703125" style="722" customWidth="1"/>
    <col min="8" max="8" width="7.5703125" customWidth="1"/>
    <col min="9" max="9" width="7.5703125" style="722" customWidth="1"/>
    <col min="10" max="10" width="7.5703125" customWidth="1"/>
    <col min="11" max="11" width="7.5703125" style="722" customWidth="1"/>
    <col min="12" max="12" width="5.5703125" customWidth="1"/>
    <col min="13" max="13" width="8.5703125" style="97" customWidth="1"/>
    <col min="14" max="14" width="2.7109375" style="97" customWidth="1"/>
    <col min="15" max="20" width="11.7109375" style="97" customWidth="1"/>
    <col min="21" max="21" width="11" style="96" bestFit="1" customWidth="1"/>
  </cols>
  <sheetData>
    <row r="1" spans="1:73" s="1584" customFormat="1" ht="54" customHeight="1" x14ac:dyDescent="0.2">
      <c r="D1" s="1556"/>
      <c r="E1" s="1556"/>
      <c r="F1" s="1556"/>
      <c r="G1" s="67"/>
      <c r="H1" s="67"/>
    </row>
    <row r="2" spans="1:73" s="1584" customFormat="1" ht="15" customHeight="1" x14ac:dyDescent="0.25">
      <c r="A2" s="1565" t="str">
        <f>CONCATENATE("Variantenvergleich Energiesysteme - Version ",Versionsinfo!$B$4)</f>
        <v>Variantenvergleich Energiesysteme - Version 3.0</v>
      </c>
      <c r="B2" s="716"/>
      <c r="C2" s="716"/>
      <c r="D2" s="717"/>
      <c r="E2" s="651"/>
      <c r="F2" s="652" t="s">
        <v>586</v>
      </c>
      <c r="H2" s="67"/>
      <c r="K2" s="1376"/>
    </row>
    <row r="3" spans="1:73" s="425" customFormat="1" ht="12.75" customHeight="1" x14ac:dyDescent="0.2">
      <c r="A3" s="1557" t="s">
        <v>781</v>
      </c>
      <c r="D3" s="427"/>
      <c r="E3" s="427"/>
      <c r="F3" s="427"/>
      <c r="G3" s="903">
        <f>Projektdaten!$C$8</f>
        <v>0</v>
      </c>
      <c r="H3" s="903"/>
      <c r="I3" s="903"/>
      <c r="J3" s="903"/>
      <c r="K3" s="903"/>
      <c r="L3" s="428"/>
      <c r="M3" s="428"/>
    </row>
    <row r="4" spans="1:73" s="425" customFormat="1" ht="16.5" customHeight="1" x14ac:dyDescent="0.2">
      <c r="A4" s="430"/>
      <c r="G4" s="903">
        <f>Projektdaten!$J$8</f>
        <v>0</v>
      </c>
      <c r="H4" s="903"/>
      <c r="I4" s="904"/>
      <c r="J4" s="905"/>
      <c r="K4" s="905"/>
    </row>
    <row r="5" spans="1:73" s="50" customFormat="1" ht="16.5" customHeight="1" x14ac:dyDescent="0.25">
      <c r="A5" s="1581" t="s">
        <v>717</v>
      </c>
      <c r="B5" s="601"/>
      <c r="G5" s="1435" t="str">
        <f>CONCATENATE("Version: ",Projektdaten!$F$13)</f>
        <v>Version: 1</v>
      </c>
      <c r="H5" s="1435"/>
      <c r="I5" s="1435"/>
      <c r="J5" s="2199">
        <f ca="1">Projektdaten!$F$15</f>
        <v>45372</v>
      </c>
      <c r="K5" s="2199"/>
      <c r="R5" s="1385"/>
      <c r="S5" s="902"/>
      <c r="T5" s="77"/>
      <c r="U5" s="123"/>
      <c r="V5" s="126"/>
      <c r="W5" s="1344"/>
      <c r="X5" s="127"/>
      <c r="Y5" s="123"/>
      <c r="Z5" s="123"/>
      <c r="AA5" s="123"/>
      <c r="AB5" s="123"/>
      <c r="AC5" s="123"/>
      <c r="AD5" s="123"/>
      <c r="AE5" s="123"/>
      <c r="AF5" s="123"/>
      <c r="AG5" s="123"/>
      <c r="AH5" s="123"/>
      <c r="AI5" s="123"/>
      <c r="AJ5" s="123"/>
      <c r="AK5" s="123"/>
      <c r="AL5" s="174"/>
      <c r="AM5" s="174"/>
      <c r="AN5" s="174"/>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c r="BN5" s="175"/>
      <c r="BO5" s="175"/>
      <c r="BP5" s="175"/>
      <c r="BQ5" s="175"/>
      <c r="BR5" s="175"/>
      <c r="BS5" s="175"/>
      <c r="BT5" s="175"/>
      <c r="BU5" s="175"/>
    </row>
    <row r="6" spans="1:73" s="32" customFormat="1" ht="13.5" customHeight="1" x14ac:dyDescent="0.2">
      <c r="A6" s="34"/>
      <c r="B6" s="34"/>
      <c r="C6" s="33"/>
      <c r="D6" s="33"/>
      <c r="E6" s="33"/>
      <c r="F6" s="50"/>
      <c r="G6" s="901"/>
      <c r="H6" s="1386"/>
      <c r="I6" s="33"/>
      <c r="J6" s="1386"/>
      <c r="K6" s="33"/>
      <c r="O6" s="1382"/>
      <c r="P6" s="34"/>
      <c r="Q6" s="34"/>
      <c r="R6" s="34"/>
      <c r="S6" s="34"/>
      <c r="T6" s="34"/>
      <c r="U6" s="123"/>
      <c r="V6" s="123"/>
      <c r="W6" s="123"/>
      <c r="X6" s="127"/>
      <c r="Y6" s="123"/>
      <c r="Z6" s="123"/>
      <c r="AA6" s="123"/>
      <c r="AB6" s="123"/>
      <c r="AC6" s="123"/>
      <c r="AD6" s="123"/>
      <c r="AE6" s="123"/>
      <c r="AF6" s="123"/>
      <c r="AG6" s="123"/>
      <c r="AH6" s="123"/>
      <c r="AI6" s="123"/>
      <c r="AJ6" s="123"/>
      <c r="AK6" s="123"/>
      <c r="AL6" s="174"/>
      <c r="AM6" s="174"/>
      <c r="AN6" s="174"/>
      <c r="AO6" s="175"/>
      <c r="AP6" s="175"/>
      <c r="AQ6" s="175"/>
      <c r="AR6" s="175"/>
      <c r="AS6" s="175"/>
      <c r="AT6" s="175"/>
      <c r="AU6" s="175"/>
      <c r="AV6" s="175"/>
      <c r="AW6" s="175"/>
      <c r="AX6" s="175"/>
      <c r="AY6" s="175"/>
      <c r="AZ6" s="175"/>
      <c r="BA6" s="175"/>
      <c r="BB6" s="175"/>
      <c r="BC6" s="175"/>
      <c r="BD6" s="175"/>
      <c r="BE6" s="175"/>
      <c r="BF6" s="175"/>
      <c r="BG6" s="175"/>
      <c r="BH6" s="175"/>
      <c r="BI6" s="175"/>
      <c r="BJ6" s="175"/>
      <c r="BK6" s="175"/>
      <c r="BL6" s="175"/>
      <c r="BM6" s="175"/>
      <c r="BN6" s="175"/>
      <c r="BO6" s="175"/>
      <c r="BP6" s="175"/>
      <c r="BQ6" s="175"/>
      <c r="BR6" s="175"/>
      <c r="BS6" s="175"/>
      <c r="BT6" s="175"/>
      <c r="BU6" s="175"/>
    </row>
    <row r="7" spans="1:73" ht="15" customHeight="1" x14ac:dyDescent="0.2">
      <c r="A7" s="1388" t="s">
        <v>790</v>
      </c>
      <c r="B7" s="1389"/>
      <c r="C7" s="1424"/>
      <c r="D7" s="2859">
        <v>1</v>
      </c>
      <c r="E7" s="2829"/>
      <c r="F7" s="2829">
        <v>2</v>
      </c>
      <c r="G7" s="2829"/>
      <c r="H7" s="2829">
        <v>3</v>
      </c>
      <c r="I7" s="2829"/>
      <c r="J7" s="2829">
        <v>4</v>
      </c>
      <c r="K7" s="2835"/>
      <c r="O7" s="1377"/>
      <c r="P7" s="1377"/>
      <c r="Q7" s="1377"/>
      <c r="S7" s="1377"/>
    </row>
    <row r="8" spans="1:73" ht="27" customHeight="1" x14ac:dyDescent="0.2">
      <c r="A8" s="1425"/>
      <c r="B8" s="1426"/>
      <c r="C8" s="1427"/>
      <c r="D8" s="2813">
        <f>EV_Var1!$C$7</f>
        <v>0</v>
      </c>
      <c r="E8" s="2814"/>
      <c r="F8" s="2817">
        <f>EV_Var2!$C$7</f>
        <v>0</v>
      </c>
      <c r="G8" s="2814"/>
      <c r="H8" s="2817">
        <f>EV_Var3!$C$7</f>
        <v>0</v>
      </c>
      <c r="I8" s="2814"/>
      <c r="J8" s="2817">
        <f>EV_Var4!$C$7</f>
        <v>0</v>
      </c>
      <c r="K8" s="2836"/>
      <c r="O8" s="1377"/>
      <c r="P8" s="1377"/>
    </row>
    <row r="9" spans="1:73" s="1" customFormat="1" ht="12" customHeight="1" x14ac:dyDescent="0.2">
      <c r="A9" s="1390"/>
      <c r="B9" s="1391"/>
      <c r="C9" s="1391"/>
      <c r="D9" s="2862"/>
      <c r="E9" s="2863"/>
      <c r="F9" s="2830"/>
      <c r="G9" s="2830"/>
      <c r="H9" s="2830"/>
      <c r="I9" s="2830"/>
      <c r="J9" s="2830"/>
      <c r="K9" s="2832"/>
      <c r="M9" s="95"/>
      <c r="N9" s="95"/>
      <c r="O9" s="95"/>
      <c r="P9" s="95"/>
      <c r="Q9" s="95"/>
      <c r="R9" s="95"/>
      <c r="S9" s="95"/>
      <c r="T9" s="95"/>
      <c r="U9" s="94"/>
    </row>
    <row r="10" spans="1:73" s="1" customFormat="1" ht="12.75" customHeight="1" x14ac:dyDescent="0.2">
      <c r="A10" s="1392" t="s">
        <v>0</v>
      </c>
      <c r="B10" s="1393"/>
      <c r="C10" s="1393" t="s">
        <v>2</v>
      </c>
      <c r="D10" s="2839">
        <f>IF(ISTEXT(D$8),WR_Var1!$E$39,0)</f>
        <v>0</v>
      </c>
      <c r="E10" s="2823"/>
      <c r="F10" s="2823">
        <f>IF(ISTEXT(F$8),WR_Var2!$E$39,0)</f>
        <v>0</v>
      </c>
      <c r="G10" s="2823"/>
      <c r="H10" s="2823">
        <f>IF(ISTEXT(H$8),WR_Var3!$E$39,0)</f>
        <v>0</v>
      </c>
      <c r="I10" s="2823"/>
      <c r="J10" s="2823">
        <f>IF(ISTEXT(J$8),WR_Var4!$E$39,0)</f>
        <v>0</v>
      </c>
      <c r="K10" s="2824"/>
      <c r="N10" s="95"/>
      <c r="O10" s="1375" t="s">
        <v>576</v>
      </c>
      <c r="P10" s="95"/>
      <c r="Q10" s="95"/>
      <c r="R10" s="95"/>
      <c r="S10" s="95"/>
      <c r="T10" s="95"/>
      <c r="U10" s="94"/>
    </row>
    <row r="11" spans="1:73" s="1" customFormat="1" ht="12" customHeight="1" x14ac:dyDescent="0.2">
      <c r="A11" s="1390"/>
      <c r="B11" s="1391"/>
      <c r="C11" s="1391"/>
      <c r="D11" s="2860">
        <f>-D12</f>
        <v>0</v>
      </c>
      <c r="E11" s="2831"/>
      <c r="F11" s="2831">
        <f t="shared" ref="F11" si="0">-F12</f>
        <v>0</v>
      </c>
      <c r="G11" s="2831"/>
      <c r="H11" s="2831">
        <f t="shared" ref="H11" si="1">-H12</f>
        <v>0</v>
      </c>
      <c r="I11" s="2831"/>
      <c r="J11" s="2831">
        <f t="shared" ref="J11" si="2">-J12</f>
        <v>0</v>
      </c>
      <c r="K11" s="2833"/>
      <c r="M11" s="95"/>
      <c r="N11" s="95"/>
      <c r="O11" s="95"/>
      <c r="P11" s="95"/>
      <c r="Q11" s="399"/>
      <c r="R11" s="95"/>
      <c r="S11" s="95"/>
      <c r="T11" s="95"/>
      <c r="U11" s="94"/>
    </row>
    <row r="12" spans="1:73" s="1" customFormat="1" ht="12.75" customHeight="1" x14ac:dyDescent="0.2">
      <c r="A12" s="1392" t="s">
        <v>91</v>
      </c>
      <c r="B12" s="1393"/>
      <c r="C12" s="1393" t="s">
        <v>2</v>
      </c>
      <c r="D12" s="2861">
        <f>SUM(D13:E15)</f>
        <v>0</v>
      </c>
      <c r="E12" s="2827"/>
      <c r="F12" s="2827">
        <f t="shared" ref="F12" si="3">SUM(F13:G15)</f>
        <v>0</v>
      </c>
      <c r="G12" s="2827"/>
      <c r="H12" s="2827">
        <f t="shared" ref="H12" si="4">SUM(H13:I15)</f>
        <v>0</v>
      </c>
      <c r="I12" s="2827"/>
      <c r="J12" s="2827">
        <f t="shared" ref="J12" si="5">SUM(J13:K15)</f>
        <v>0</v>
      </c>
      <c r="K12" s="2828"/>
      <c r="N12" s="95"/>
      <c r="O12" s="1375" t="s">
        <v>485</v>
      </c>
      <c r="P12" s="95"/>
      <c r="Q12" s="95"/>
      <c r="R12" s="95"/>
      <c r="S12" s="95"/>
      <c r="T12" s="95"/>
      <c r="U12" s="94"/>
    </row>
    <row r="13" spans="1:73" s="1" customFormat="1" ht="12.75" customHeight="1" x14ac:dyDescent="0.2">
      <c r="A13" s="1394" t="s">
        <v>718</v>
      </c>
      <c r="B13" s="1395"/>
      <c r="C13" s="1396" t="s">
        <v>2</v>
      </c>
      <c r="D13" s="2840">
        <f>IF(ISTEXT(D$8),WR_Var1!$E44,0)</f>
        <v>0</v>
      </c>
      <c r="E13" s="2825"/>
      <c r="F13" s="2825">
        <f>IF(ISTEXT(F$8),WR_Var2!$E44,0)</f>
        <v>0</v>
      </c>
      <c r="G13" s="2825"/>
      <c r="H13" s="2825">
        <f>IF(ISTEXT(H$8),WR_Var3!$E44,0)</f>
        <v>0</v>
      </c>
      <c r="I13" s="2825"/>
      <c r="J13" s="2825">
        <f>IF(ISTEXT(J$8),WR_Var4!$E44,0)</f>
        <v>0</v>
      </c>
      <c r="K13" s="2826"/>
      <c r="M13" s="95"/>
      <c r="N13" s="95"/>
      <c r="O13" s="95"/>
      <c r="P13" s="95"/>
      <c r="Q13" s="95"/>
      <c r="R13" s="95"/>
      <c r="S13" s="95"/>
      <c r="T13" s="95"/>
      <c r="U13" s="94"/>
    </row>
    <row r="14" spans="1:73" s="1" customFormat="1" ht="12.75" customHeight="1" x14ac:dyDescent="0.2">
      <c r="A14" s="1394" t="s">
        <v>473</v>
      </c>
      <c r="B14" s="1395"/>
      <c r="C14" s="1396" t="s">
        <v>2</v>
      </c>
      <c r="D14" s="2840">
        <f>IF(ISTEXT(D$8),WR_Var1!$E45,0)</f>
        <v>0</v>
      </c>
      <c r="E14" s="2825"/>
      <c r="F14" s="2825">
        <f>IF(ISTEXT(F$8),WR_Var2!$E45,0)</f>
        <v>0</v>
      </c>
      <c r="G14" s="2825"/>
      <c r="H14" s="2825">
        <f>IF(ISTEXT(H$8),WR_Var3!$E45,0)</f>
        <v>0</v>
      </c>
      <c r="I14" s="2825"/>
      <c r="J14" s="2825">
        <f>IF(ISTEXT(J$8),WR_Var4!$E45,0)</f>
        <v>0</v>
      </c>
      <c r="K14" s="2826"/>
      <c r="M14" s="95"/>
      <c r="N14" s="95"/>
      <c r="O14" s="95"/>
      <c r="P14" s="95"/>
      <c r="Q14" s="95"/>
      <c r="R14" s="95"/>
      <c r="S14" s="95"/>
      <c r="T14" s="1384"/>
      <c r="U14" s="94"/>
    </row>
    <row r="15" spans="1:73" s="1" customFormat="1" ht="12.75" customHeight="1" x14ac:dyDescent="0.2">
      <c r="A15" s="1394" t="s">
        <v>474</v>
      </c>
      <c r="B15" s="1395"/>
      <c r="C15" s="1396" t="s">
        <v>2</v>
      </c>
      <c r="D15" s="2840">
        <f>IF(ISTEXT(D$8),WR_Var1!$E46,0)</f>
        <v>0</v>
      </c>
      <c r="E15" s="2825"/>
      <c r="F15" s="2825">
        <f>IF(ISTEXT(F$8),WR_Var2!$E46,0)</f>
        <v>0</v>
      </c>
      <c r="G15" s="2825"/>
      <c r="H15" s="2825">
        <f>IF(ISTEXT(H$8),WR_Var3!$E46,0)</f>
        <v>0</v>
      </c>
      <c r="I15" s="2825"/>
      <c r="J15" s="2825">
        <f>IF(ISTEXT(J$8),WR_Var4!$E46,0)</f>
        <v>0</v>
      </c>
      <c r="K15" s="2826"/>
      <c r="M15" s="95"/>
      <c r="N15" s="95"/>
      <c r="O15" s="399"/>
      <c r="P15" s="95"/>
      <c r="Q15" s="95"/>
      <c r="R15" s="95"/>
      <c r="S15" s="95"/>
      <c r="T15" s="95"/>
      <c r="U15" s="94"/>
    </row>
    <row r="16" spans="1:73" s="1" customFormat="1" ht="12" customHeight="1" x14ac:dyDescent="0.2">
      <c r="A16" s="1397"/>
      <c r="B16" s="638"/>
      <c r="C16" s="638"/>
      <c r="D16" s="2837"/>
      <c r="E16" s="2838"/>
      <c r="F16" s="2821"/>
      <c r="G16" s="2821"/>
      <c r="H16" s="2821"/>
      <c r="I16" s="2821"/>
      <c r="J16" s="2821"/>
      <c r="K16" s="2822"/>
      <c r="M16" s="95"/>
      <c r="N16" s="95"/>
      <c r="O16" s="95"/>
      <c r="P16" s="95"/>
      <c r="Q16" s="95"/>
      <c r="R16" s="95"/>
      <c r="S16" s="95"/>
      <c r="T16" s="95"/>
      <c r="U16" s="94"/>
    </row>
    <row r="17" spans="1:21" s="1" customFormat="1" ht="12.75" customHeight="1" x14ac:dyDescent="0.2">
      <c r="A17" s="1392" t="s">
        <v>39</v>
      </c>
      <c r="B17" s="1393"/>
      <c r="C17" s="1393" t="s">
        <v>3</v>
      </c>
      <c r="D17" s="2839">
        <f>SUM(D18:E21)</f>
        <v>0</v>
      </c>
      <c r="E17" s="2823"/>
      <c r="F17" s="2823">
        <f t="shared" ref="F17" si="6">SUM(F18:G21)</f>
        <v>0</v>
      </c>
      <c r="G17" s="2823"/>
      <c r="H17" s="2823">
        <f t="shared" ref="H17" si="7">SUM(H18:I21)</f>
        <v>0</v>
      </c>
      <c r="I17" s="2823"/>
      <c r="J17" s="2823">
        <f t="shared" ref="J17" si="8">SUM(J18:K21)</f>
        <v>0</v>
      </c>
      <c r="K17" s="2824"/>
      <c r="M17" s="95"/>
      <c r="N17" s="95"/>
      <c r="P17" s="95"/>
      <c r="Q17" s="95"/>
      <c r="R17" s="95"/>
      <c r="S17" s="95"/>
      <c r="T17" s="95"/>
      <c r="U17" s="94"/>
    </row>
    <row r="18" spans="1:21" s="1" customFormat="1" ht="12.75" customHeight="1" x14ac:dyDescent="0.2">
      <c r="A18" s="1394" t="s">
        <v>724</v>
      </c>
      <c r="B18" s="1396"/>
      <c r="C18" s="1396" t="s">
        <v>3</v>
      </c>
      <c r="D18" s="2818">
        <f>IF(ISTEXT(D$8),WR_Var1!$G$88,0)</f>
        <v>0</v>
      </c>
      <c r="E18" s="2819"/>
      <c r="F18" s="2819">
        <f>IF(ISTEXT(F$8),WR_Var2!$G$88,0)</f>
        <v>0</v>
      </c>
      <c r="G18" s="2819"/>
      <c r="H18" s="2819">
        <f>IF(ISTEXT(H$8),WR_Var3!$G$88,0)</f>
        <v>0</v>
      </c>
      <c r="I18" s="2819"/>
      <c r="J18" s="2819">
        <f>IF(ISTEXT(J$8),WR_Var4!$G$88,0)</f>
        <v>0</v>
      </c>
      <c r="K18" s="2820"/>
      <c r="M18" s="95"/>
      <c r="N18" s="95"/>
      <c r="O18" s="1375"/>
      <c r="P18" s="95"/>
      <c r="Q18" s="95"/>
      <c r="R18" s="95"/>
      <c r="S18" s="95"/>
      <c r="T18" s="95"/>
      <c r="U18" s="94"/>
    </row>
    <row r="19" spans="1:21" s="1" customFormat="1" ht="12.75" customHeight="1" x14ac:dyDescent="0.2">
      <c r="A19" s="1394" t="s">
        <v>722</v>
      </c>
      <c r="B19" s="1396"/>
      <c r="C19" s="1396" t="s">
        <v>3</v>
      </c>
      <c r="D19" s="2818">
        <f>IF(ISTEXT(D$8),WR_Var1!$G$89,0)</f>
        <v>0</v>
      </c>
      <c r="E19" s="2819"/>
      <c r="F19" s="2819">
        <f>IF(ISTEXT(F$8),WR_Var2!$G$89,0)</f>
        <v>0</v>
      </c>
      <c r="G19" s="2819"/>
      <c r="H19" s="2819">
        <f>IF(ISTEXT(H$8),WR_Var3!$G$89,0)</f>
        <v>0</v>
      </c>
      <c r="I19" s="2819"/>
      <c r="J19" s="2819">
        <f>IF(ISTEXT(J$8),WR_Var4!$G$89,0)</f>
        <v>0</v>
      </c>
      <c r="K19" s="2820"/>
      <c r="L19" s="95"/>
      <c r="M19" s="95"/>
      <c r="N19" s="94"/>
      <c r="O19" s="1375"/>
    </row>
    <row r="20" spans="1:21" s="1" customFormat="1" ht="12.75" customHeight="1" x14ac:dyDescent="0.2">
      <c r="A20" s="1394" t="s">
        <v>30</v>
      </c>
      <c r="B20" s="1396"/>
      <c r="C20" s="1396" t="s">
        <v>3</v>
      </c>
      <c r="D20" s="2818">
        <f>IF(ISTEXT(D$8),WR_Var1!$G$108,0)</f>
        <v>0</v>
      </c>
      <c r="E20" s="2819"/>
      <c r="F20" s="2819">
        <f>IF(ISTEXT(F$8),WR_Var2!$G$108,0)</f>
        <v>0</v>
      </c>
      <c r="G20" s="2819"/>
      <c r="H20" s="2819">
        <f>IF(ISTEXT(H$8),WR_Var3!$G$108,0)</f>
        <v>0</v>
      </c>
      <c r="I20" s="2819"/>
      <c r="J20" s="2819">
        <f>IF(ISTEXT(J$8),WR_Var4!$G$108,0)</f>
        <v>0</v>
      </c>
      <c r="K20" s="2820"/>
      <c r="L20" s="95"/>
      <c r="M20" s="95"/>
      <c r="N20" s="94"/>
      <c r="O20" s="1375"/>
    </row>
    <row r="21" spans="1:21" s="1" customFormat="1" ht="12.75" customHeight="1" x14ac:dyDescent="0.2">
      <c r="A21" s="1394" t="s">
        <v>638</v>
      </c>
      <c r="B21" s="1396"/>
      <c r="C21" s="1396" t="s">
        <v>3</v>
      </c>
      <c r="D21" s="2818">
        <f>IF(ISTEXT(D$8),WR_Var1!$J$109,0)</f>
        <v>0</v>
      </c>
      <c r="E21" s="2819"/>
      <c r="F21" s="2819">
        <f>IF(ISTEXT(F$8),WR_Var2!$J$109,0)</f>
        <v>0</v>
      </c>
      <c r="G21" s="2819"/>
      <c r="H21" s="2819">
        <f>IF(ISTEXT(H$8),WR_Var3!$J$109,0)</f>
        <v>0</v>
      </c>
      <c r="I21" s="2819"/>
      <c r="J21" s="2819">
        <f>IF(ISTEXT(J$8),WR_Var4!$J$109,0)</f>
        <v>0</v>
      </c>
      <c r="K21" s="2820"/>
      <c r="L21" s="95"/>
      <c r="M21" s="95"/>
      <c r="N21" s="94"/>
      <c r="O21" s="1375"/>
    </row>
    <row r="22" spans="1:21" s="1" customFormat="1" ht="12" customHeight="1" x14ac:dyDescent="0.2">
      <c r="A22" s="1397"/>
      <c r="B22" s="638"/>
      <c r="C22" s="638"/>
      <c r="D22" s="2837"/>
      <c r="E22" s="2838"/>
      <c r="F22" s="2821"/>
      <c r="G22" s="2821"/>
      <c r="H22" s="2821"/>
      <c r="I22" s="2821"/>
      <c r="J22" s="2821"/>
      <c r="K22" s="2822"/>
      <c r="M22" s="95"/>
      <c r="N22" s="95"/>
      <c r="O22" s="95"/>
      <c r="P22" s="95"/>
      <c r="Q22" s="95"/>
      <c r="R22" s="95"/>
      <c r="S22" s="95"/>
      <c r="T22" s="95"/>
      <c r="U22" s="94"/>
    </row>
    <row r="23" spans="1:21" s="1" customFormat="1" ht="12.75" customHeight="1" x14ac:dyDescent="0.2">
      <c r="A23" s="1392" t="s">
        <v>719</v>
      </c>
      <c r="B23" s="1393"/>
      <c r="C23" s="1393" t="s">
        <v>3</v>
      </c>
      <c r="D23" s="2839">
        <f>SUM(D24:E27)</f>
        <v>0</v>
      </c>
      <c r="E23" s="2823"/>
      <c r="F23" s="2823">
        <f t="shared" ref="F23" si="9">SUM(F24:G27)</f>
        <v>0</v>
      </c>
      <c r="G23" s="2823"/>
      <c r="H23" s="2823">
        <f t="shared" ref="H23" si="10">SUM(H24:I27)</f>
        <v>0</v>
      </c>
      <c r="I23" s="2823"/>
      <c r="J23" s="2823">
        <f t="shared" ref="J23" si="11">SUM(J24:K27)</f>
        <v>0</v>
      </c>
      <c r="K23" s="2824"/>
      <c r="M23" s="95"/>
      <c r="N23" s="95"/>
      <c r="O23" s="95"/>
      <c r="P23" s="95"/>
      <c r="Q23" s="95"/>
      <c r="R23" s="95"/>
      <c r="S23" s="95"/>
      <c r="T23" s="95"/>
      <c r="U23" s="94"/>
    </row>
    <row r="24" spans="1:21" s="1" customFormat="1" ht="12.75" customHeight="1" x14ac:dyDescent="0.2">
      <c r="A24" s="1394" t="s">
        <v>724</v>
      </c>
      <c r="B24" s="1396"/>
      <c r="C24" s="1396" t="s">
        <v>3</v>
      </c>
      <c r="D24" s="2818">
        <f>IF(ISTEXT(D$8),WR_Var1!$L$88,0)</f>
        <v>0</v>
      </c>
      <c r="E24" s="2819"/>
      <c r="F24" s="2819">
        <f>IF(ISTEXT(F$8),WR_Var2!$L$88,0)</f>
        <v>0</v>
      </c>
      <c r="G24" s="2819"/>
      <c r="H24" s="2819">
        <f>IF(ISTEXT(H$8),WR_Var3!$L$88,0)</f>
        <v>0</v>
      </c>
      <c r="I24" s="2819"/>
      <c r="J24" s="2819">
        <f>IF(ISTEXT(J$8),WR_Var4!$L$88,0)</f>
        <v>0</v>
      </c>
      <c r="K24" s="2820"/>
      <c r="M24" s="95"/>
      <c r="N24" s="95"/>
      <c r="O24" s="1375" t="s">
        <v>637</v>
      </c>
      <c r="P24" s="95"/>
      <c r="Q24" s="95"/>
      <c r="R24" s="95"/>
      <c r="S24" s="95"/>
      <c r="T24" s="95"/>
      <c r="U24" s="94"/>
    </row>
    <row r="25" spans="1:21" s="1" customFormat="1" ht="12.75" customHeight="1" x14ac:dyDescent="0.2">
      <c r="A25" s="1394" t="s">
        <v>722</v>
      </c>
      <c r="B25" s="1396"/>
      <c r="C25" s="1396" t="s">
        <v>3</v>
      </c>
      <c r="D25" s="2818">
        <f>IF(ISTEXT(D$8),WR_Var1!$L$89,0)</f>
        <v>0</v>
      </c>
      <c r="E25" s="2819"/>
      <c r="F25" s="2819">
        <f>IF(ISTEXT(F$8),WR_Var2!$L$89,0)</f>
        <v>0</v>
      </c>
      <c r="G25" s="2819"/>
      <c r="H25" s="2819">
        <f>IF(ISTEXT(H$8),WR_Var3!$L$89,0)</f>
        <v>0</v>
      </c>
      <c r="I25" s="2819"/>
      <c r="J25" s="2819">
        <f>IF(ISTEXT(J$8),WR_Var4!$L$89,0)</f>
        <v>0</v>
      </c>
      <c r="K25" s="2820"/>
      <c r="L25" s="95"/>
      <c r="M25" s="95"/>
      <c r="N25" s="94"/>
      <c r="O25" s="1375" t="s">
        <v>572</v>
      </c>
    </row>
    <row r="26" spans="1:21" s="1" customFormat="1" ht="12.75" customHeight="1" x14ac:dyDescent="0.2">
      <c r="A26" s="1394" t="s">
        <v>30</v>
      </c>
      <c r="B26" s="1396"/>
      <c r="C26" s="1396" t="s">
        <v>3</v>
      </c>
      <c r="D26" s="2818">
        <f>IF(ISTEXT(D$8),WR_Var1!$L$108,0)</f>
        <v>0</v>
      </c>
      <c r="E26" s="2819"/>
      <c r="F26" s="2819">
        <f>IF(ISTEXT(F$8),WR_Var2!$L$108,0)</f>
        <v>0</v>
      </c>
      <c r="G26" s="2819"/>
      <c r="H26" s="2819">
        <f>IF(ISTEXT(H$8),WR_Var3!$L$108,0)</f>
        <v>0</v>
      </c>
      <c r="I26" s="2819"/>
      <c r="J26" s="2819">
        <f>IF(ISTEXT(J$8),WR_Var4!$L$108,0)</f>
        <v>0</v>
      </c>
      <c r="K26" s="2820"/>
      <c r="L26" s="95"/>
      <c r="M26" s="95"/>
      <c r="N26" s="94"/>
      <c r="O26" s="1375" t="s">
        <v>417</v>
      </c>
    </row>
    <row r="27" spans="1:21" s="1" customFormat="1" ht="12.75" customHeight="1" x14ac:dyDescent="0.2">
      <c r="A27" s="1394" t="s">
        <v>638</v>
      </c>
      <c r="B27" s="1396"/>
      <c r="C27" s="1396" t="s">
        <v>3</v>
      </c>
      <c r="D27" s="2818">
        <f>IF(ISTEXT(D$8),WR_Var1!$L$109,0)</f>
        <v>0</v>
      </c>
      <c r="E27" s="2819"/>
      <c r="F27" s="2819">
        <f>IF(ISTEXT(F$8),WR_Var2!$L$109,0)</f>
        <v>0</v>
      </c>
      <c r="G27" s="2819"/>
      <c r="H27" s="2819">
        <f>IF(ISTEXT(H$8),WR_Var3!$L$109,0)</f>
        <v>0</v>
      </c>
      <c r="I27" s="2819"/>
      <c r="J27" s="2819">
        <f>IF(ISTEXT(J$8),WR_Var4!$L$109,0)</f>
        <v>0</v>
      </c>
      <c r="K27" s="2820"/>
      <c r="L27" s="95"/>
      <c r="M27" s="95"/>
      <c r="N27" s="94"/>
      <c r="O27" s="1375" t="s">
        <v>638</v>
      </c>
    </row>
    <row r="28" spans="1:21" s="1" customFormat="1" ht="12.75" customHeight="1" x14ac:dyDescent="0.2">
      <c r="A28" s="1398" t="s">
        <v>720</v>
      </c>
      <c r="B28" s="1399"/>
      <c r="C28" s="1399" t="s">
        <v>723</v>
      </c>
      <c r="D28" s="2852">
        <f>IF(ISTEXT(D$8),WR_Var1!$E$83,0)</f>
        <v>0</v>
      </c>
      <c r="E28" s="2853"/>
      <c r="F28" s="2853">
        <f>IF(ISTEXT(F$8),WR_Var2!$E$83,0)</f>
        <v>0</v>
      </c>
      <c r="G28" s="2853"/>
      <c r="H28" s="2853">
        <f>IF(ISTEXT(H$8),WR_Var3!$E$83,0)</f>
        <v>0</v>
      </c>
      <c r="I28" s="2853"/>
      <c r="J28" s="2853">
        <f>IF(ISTEXT(J$8),WR_Var4!$E$83,0)</f>
        <v>0</v>
      </c>
      <c r="K28" s="2854"/>
      <c r="L28" s="95"/>
      <c r="M28" s="95"/>
      <c r="N28" s="94"/>
    </row>
    <row r="29" spans="1:21" s="1" customFormat="1" ht="12" customHeight="1" x14ac:dyDescent="0.2">
      <c r="A29" s="1390"/>
      <c r="B29" s="1391"/>
      <c r="C29" s="1391"/>
      <c r="D29" s="2834"/>
      <c r="E29" s="2821"/>
      <c r="F29" s="2821"/>
      <c r="G29" s="2821"/>
      <c r="H29" s="2821"/>
      <c r="I29" s="2821"/>
      <c r="J29" s="2821"/>
      <c r="K29" s="2822"/>
      <c r="M29" s="95"/>
      <c r="N29" s="95"/>
      <c r="O29" s="399"/>
      <c r="P29" s="95"/>
      <c r="Q29" s="95"/>
      <c r="R29" s="95"/>
      <c r="S29" s="95"/>
      <c r="T29" s="95"/>
      <c r="U29" s="94"/>
    </row>
    <row r="30" spans="1:21" s="1" customFormat="1" ht="12.75" customHeight="1" x14ac:dyDescent="0.2">
      <c r="A30" s="1392" t="s">
        <v>44</v>
      </c>
      <c r="B30" s="1393"/>
      <c r="C30" s="1393" t="s">
        <v>4</v>
      </c>
      <c r="D30" s="2839">
        <f>SUM(D31:D41)</f>
        <v>0</v>
      </c>
      <c r="E30" s="2823"/>
      <c r="F30" s="2823">
        <f t="shared" ref="F30:J30" si="12">SUM(F31:F41)</f>
        <v>0</v>
      </c>
      <c r="G30" s="2823"/>
      <c r="H30" s="2823">
        <f t="shared" si="12"/>
        <v>0</v>
      </c>
      <c r="I30" s="2823"/>
      <c r="J30" s="2823">
        <f t="shared" si="12"/>
        <v>0</v>
      </c>
      <c r="K30" s="2824"/>
      <c r="L30" s="95"/>
      <c r="M30" s="95"/>
      <c r="N30" s="94"/>
    </row>
    <row r="31" spans="1:21" s="1" customFormat="1" ht="12.75" customHeight="1" x14ac:dyDescent="0.2">
      <c r="A31" s="1400" t="s">
        <v>24</v>
      </c>
      <c r="B31" s="1401"/>
      <c r="C31" s="1396" t="s">
        <v>4</v>
      </c>
      <c r="D31" s="2818">
        <f xml:space="preserve"> IF(ISTEXT(D$8), EV_Var1!$E$68,0)</f>
        <v>0</v>
      </c>
      <c r="E31" s="2819"/>
      <c r="F31" s="2819">
        <f xml:space="preserve"> IF(ISTEXT(F$8), EV_Var2!$E$68,0)</f>
        <v>0</v>
      </c>
      <c r="G31" s="2819"/>
      <c r="H31" s="2819">
        <f xml:space="preserve"> IF(ISTEXT(H$8), EV_Var3!$E$68,0)</f>
        <v>0</v>
      </c>
      <c r="I31" s="2819"/>
      <c r="J31" s="2819">
        <f xml:space="preserve"> IF(ISTEXT(J$8), EV_Var4!$E$68,0)</f>
        <v>0</v>
      </c>
      <c r="K31" s="2820"/>
      <c r="L31" s="95"/>
      <c r="M31" s="95"/>
      <c r="N31" s="94"/>
    </row>
    <row r="32" spans="1:21" s="1" customFormat="1" ht="12.75" customHeight="1" x14ac:dyDescent="0.2">
      <c r="A32" s="1402" t="s">
        <v>43</v>
      </c>
      <c r="B32" s="1403"/>
      <c r="C32" s="1396" t="s">
        <v>4</v>
      </c>
      <c r="D32" s="2818">
        <f xml:space="preserve"> IF(ISTEXT(D$8), SUMIF(EV_Var1!$A$11:$B$54,$A32,EV_Var1!$E$11:$E$54) + IF(EV_Var1!$A$60=$A32,EV_Var1!$E$60*IF(D$45,1-D$45/SUM(EV_Var1!$M$59,EV_Var1!$M$61),1)) + IF(EV_Var1!$A$61=$A32,EV_Var1!$E$61*IF(D$45,1-D$45/SUM(EV_Var1!$M$59,EV_Var1!$M$61),1)),0)</f>
        <v>0</v>
      </c>
      <c r="E32" s="2819"/>
      <c r="F32" s="2819">
        <f xml:space="preserve"> IF(ISTEXT(F$8), SUMIF(EV_Var2!$A$11:$B$54,$A32,EV_Var2!$E$11:$E$54) + IF(EV_Var2!$A$60=$A32,EV_Var2!$E$60*IF(F$45,1-F$45/SUM(EV_Var2!$M$59,EV_Var2!$M$61),1)) + IF(EV_Var2!$A$61=$A32,EV_Var2!$E$61*IF(F$45,1-F$45/SUM(EV_Var2!$M$59,EV_Var2!$M$61),1)),0)</f>
        <v>0</v>
      </c>
      <c r="G32" s="2819"/>
      <c r="H32" s="2819">
        <f xml:space="preserve"> IF(ISTEXT(H$8), SUMIF(EV_Var3!$A$11:$B$54,$A32,EV_Var3!$E$11:$E$54) + IF(EV_Var3!$A$60=$A32,EV_Var3!$E$60*IF(H$45,1-H$45/SUM(EV_Var3!$M$59,EV_Var3!$M$61),1)) + IF(EV_Var3!$A$61=$A32,EV_Var3!$E$61*IF(H$45,1-H$45/SUM(EV_Var3!$M$59,EV_Var3!$M$61),1)),0)</f>
        <v>0</v>
      </c>
      <c r="I32" s="2819"/>
      <c r="J32" s="2819">
        <f xml:space="preserve"> IF(ISTEXT(J$8), SUMIF(EV_Var4!$A$11:$B$54,$A32,EV_Var4!$E$11:$E$54) + IF(EV_Var4!$A$60=$A32,EV_Var4!$E$60*IF(J$45,1-J$45/SUM(EV_Var4!$M$59,EV_Var4!$M$61),1)) + IF(EV_Var4!$A$61=$A32,EV_Var4!$E$61*IF(J$45,1-J$45/SUM(EV_Var4!$M$59,EV_Var4!$M$61),1)),0)</f>
        <v>0</v>
      </c>
      <c r="K32" s="2820"/>
      <c r="L32" s="95"/>
      <c r="M32" s="95"/>
      <c r="N32" s="94"/>
    </row>
    <row r="33" spans="1:15" s="1" customFormat="1" ht="12.75" customHeight="1" x14ac:dyDescent="0.2">
      <c r="A33" s="1402" t="s">
        <v>14</v>
      </c>
      <c r="B33" s="1403"/>
      <c r="C33" s="1396" t="s">
        <v>4</v>
      </c>
      <c r="D33" s="2818">
        <f xml:space="preserve"> IF(ISTEXT(D$8), SUMIF(EV_Var1!$A$11:$B$54,$A33,EV_Var1!$E$11:$E$54) + IF(EV_Var1!$A$60=$A33,EV_Var1!$E$60*IF(D$45,1-D$45/SUM(EV_Var1!$M$59,EV_Var1!$M$61),1)) + IF(EV_Var1!$A$61=$A33,EV_Var1!$E$61*IF(D$45,1-D$45/SUM(EV_Var1!$M$59,EV_Var1!$M$61),1)),0)</f>
        <v>0</v>
      </c>
      <c r="E33" s="2819"/>
      <c r="F33" s="2819">
        <f xml:space="preserve"> IF(ISTEXT(F$8), SUMIF(EV_Var2!$A$11:$B$54,$A33,EV_Var2!$E$11:$E$54) + IF(EV_Var2!$A$60=$A33,EV_Var2!$E$60*IF(F$45,1-F$45/SUM(EV_Var2!$M$59,EV_Var2!$M$61),1)) + IF(EV_Var2!$A$61=$A33,EV_Var2!$E$61*IF(F$45,1-F$45/SUM(EV_Var2!$M$59,EV_Var2!$M$61),1)),0)</f>
        <v>0</v>
      </c>
      <c r="G33" s="2819"/>
      <c r="H33" s="2819">
        <f xml:space="preserve"> IF(ISTEXT(H$8), SUMIF(EV_Var3!$A$11:$B$54,$A33,EV_Var3!$E$11:$E$54) + IF(EV_Var3!$A$60=$A33,EV_Var3!$E$60*IF(H$45,1-H$45/SUM(EV_Var3!$M$59,EV_Var3!$M$61),1)) + IF(EV_Var3!$A$61=$A33,EV_Var3!$E$61*IF(H$45,1-H$45/SUM(EV_Var3!$M$59,EV_Var3!$M$61),1)),0)</f>
        <v>0</v>
      </c>
      <c r="I33" s="2819"/>
      <c r="J33" s="2819">
        <f xml:space="preserve"> IF(ISTEXT(J$8), SUMIF(EV_Var4!$A$11:$B$54,$A33,EV_Var4!$E$11:$E$54) + IF(EV_Var4!$A$60=$A33,EV_Var4!$E$60*IF(J$45,1-J$45/SUM(EV_Var4!$M$59,EV_Var4!$M$61),1)) + IF(EV_Var4!$A$61=$A33,EV_Var4!$E$61*IF(J$45,1-J$45/SUM(EV_Var4!$M$59,EV_Var4!$M$61),1)),0)</f>
        <v>0</v>
      </c>
      <c r="K33" s="2820"/>
      <c r="L33" s="95"/>
      <c r="M33" s="95"/>
      <c r="N33" s="94"/>
    </row>
    <row r="34" spans="1:15" s="1" customFormat="1" ht="12.75" customHeight="1" x14ac:dyDescent="0.2">
      <c r="A34" s="1402" t="s">
        <v>34</v>
      </c>
      <c r="B34" s="1403"/>
      <c r="C34" s="1396" t="s">
        <v>4</v>
      </c>
      <c r="D34" s="2818">
        <f xml:space="preserve"> IF(ISTEXT(D$8), SUMIF(EV_Var1!$A$11:$B$54,$A34,EV_Var1!$E$11:$E$54) + IF(EV_Var1!$A$60=$A34,EV_Var1!$E$60*IF(D$45,1-D$45/SUM(EV_Var1!$M$59,EV_Var1!$M$61),1)) + IF(EV_Var1!$A$61=$A34,EV_Var1!$E$61*IF(D$45,1-D$45/SUM(EV_Var1!$M$59,EV_Var1!$M$61),1)),0)</f>
        <v>0</v>
      </c>
      <c r="E34" s="2819"/>
      <c r="F34" s="2819">
        <f xml:space="preserve"> IF(ISTEXT(F$8), SUMIF(EV_Var2!$A$11:$B$54,$A34,EV_Var2!$E$11:$E$54) + IF(EV_Var2!$A$60=$A34,EV_Var2!$E$60*IF(F$45,1-F$45/SUM(EV_Var2!$M$59,EV_Var2!$M$61),1)) + IF(EV_Var2!$A$61=$A34,EV_Var2!$E$61*IF(F$45,1-F$45/SUM(EV_Var2!$M$59,EV_Var2!$M$61),1)),0)</f>
        <v>0</v>
      </c>
      <c r="G34" s="2819"/>
      <c r="H34" s="2819">
        <f xml:space="preserve">  IF(ISTEXT(H$8), SUMIF(EV_Var3!$A$11:$B$54,$A34,EV_Var3!$E$11:$E$54) + IF(EV_Var3!$A$60=$A34,EV_Var3!$E$60*IF(H$45,1-H$45/SUM(EV_Var3!$M$59,EV_Var3!$M$61),1)) + IF(EV_Var3!$A$61=$A34,EV_Var3!$E$61*IF(H$45,1-H$45/SUM(EV_Var3!$M$59,EV_Var3!$M$61),1)),0)</f>
        <v>0</v>
      </c>
      <c r="I34" s="2819"/>
      <c r="J34" s="2819">
        <f xml:space="preserve"> IF(ISTEXT(J$8), SUMIF(EV_Var4!$A$11:$B$54,$A34,EV_Var4!$E$11:$E$54) + IF(EV_Var4!$A$60=$A34,EV_Var4!$E$60*IF(J$45,1-J$45/SUM(EV_Var4!$M$59,EV_Var4!$M$61),1)) + IF(EV_Var4!$A$61=$A34,EV_Var4!$E$61*IF(J$45,1-J$45/SUM(EV_Var4!$M$59,EV_Var4!$M$61),1)),0)</f>
        <v>0</v>
      </c>
      <c r="K34" s="2820"/>
      <c r="L34" s="95"/>
      <c r="M34" s="95"/>
      <c r="N34" s="94"/>
    </row>
    <row r="35" spans="1:15" s="1" customFormat="1" ht="12.75" customHeight="1" x14ac:dyDescent="0.2">
      <c r="A35" s="1402" t="s">
        <v>15</v>
      </c>
      <c r="B35" s="1403"/>
      <c r="C35" s="1396" t="s">
        <v>4</v>
      </c>
      <c r="D35" s="2818">
        <f xml:space="preserve"> IF(ISTEXT(D$8), SUMIF(EV_Var1!$A$11:$B$54,$A35,EV_Var1!$E$11:$E$54) + IF(EV_Var1!$A$60=$A35,EV_Var1!$E$60*IF(D$45,1-D$45/SUM(EV_Var1!$M$59,EV_Var1!$M$61),1)) + IF(EV_Var1!$A$61=$A35,EV_Var1!$E$61*IF(D$45,1-D$45/SUM(EV_Var1!$M$59,EV_Var1!$M$61),1)),0)</f>
        <v>0</v>
      </c>
      <c r="E35" s="2819"/>
      <c r="F35" s="2819">
        <f xml:space="preserve"> IF(ISTEXT(F$8), SUMIF(EV_Var2!$A$11:$B$54,$A35,EV_Var2!$E$11:$E$54) + IF(EV_Var2!$A$60=$A35,EV_Var2!$E$60*IF(F$45,1-F$45/SUM(EV_Var2!$M$59,EV_Var2!$M$61),1)) + IF(EV_Var2!$A$61=$A35,EV_Var2!$E$61*IF(F$45,1-F$45/SUM(EV_Var2!$M$59,EV_Var2!$M$61),1)),0)</f>
        <v>0</v>
      </c>
      <c r="G35" s="2819"/>
      <c r="H35" s="2819">
        <f xml:space="preserve">  IF(ISTEXT(H$8), SUMIF(EV_Var3!$A$11:$B$54,$A35,EV_Var3!$E$11:$E$54) + IF(EV_Var3!$A$60=$A35,EV_Var3!$E$60*IF(H$45,1-H$45/SUM(EV_Var3!$M$59,EV_Var3!$M$61),1)) + IF(EV_Var3!$A$61=$A35,EV_Var3!$E$61*IF(H$45,1-H$45/SUM(EV_Var3!$M$59,EV_Var3!$M$61),1)),0)</f>
        <v>0</v>
      </c>
      <c r="I35" s="2819"/>
      <c r="J35" s="2819">
        <f xml:space="preserve"> IF(ISTEXT(J$8), SUMIF(EV_Var4!$A$11:$B$54,$A35,EV_Var4!$E$11:$E$54) + IF(EV_Var4!$A$60=$A35,EV_Var4!$E$60*IF(J$45,1-J$45/SUM(EV_Var4!$M$59,EV_Var4!$M$61),1)) + IF(EV_Var4!$A$61=$A35,EV_Var4!$E$61*IF(J$45,1-J$45/SUM(EV_Var4!$M$59,EV_Var4!$M$61),1)),0)</f>
        <v>0</v>
      </c>
      <c r="K35" s="2820"/>
      <c r="L35" s="95"/>
      <c r="M35" s="95"/>
      <c r="N35" s="94"/>
    </row>
    <row r="36" spans="1:15" s="1" customFormat="1" ht="12.75" customHeight="1" x14ac:dyDescent="0.2">
      <c r="A36" s="1402" t="s">
        <v>32</v>
      </c>
      <c r="B36" s="1403"/>
      <c r="C36" s="1396" t="s">
        <v>4</v>
      </c>
      <c r="D36" s="2818">
        <f xml:space="preserve"> IF(ISTEXT(D$8), SUMIF(EV_Var1!$A$11:$B$54,$A36,EV_Var1!$E$11:$E$54) + IF(EV_Var1!$A$60=$A36,EV_Var1!$E$60*IF(D$45,1-D$45/SUM(EV_Var1!$M$59,EV_Var1!$M$61),1)) + IF(EV_Var1!$A$61=$A36,EV_Var1!$E$61*IF(D$45,1-D$45/SUM(EV_Var1!$M$59,EV_Var1!$M$61),1)),0)</f>
        <v>0</v>
      </c>
      <c r="E36" s="2819"/>
      <c r="F36" s="2819">
        <f xml:space="preserve"> IF(ISTEXT(F$8), SUMIF(EV_Var2!$A$11:$B$54,$A36,EV_Var2!$E$11:$E$54) + IF(EV_Var2!$A$60=$A36,EV_Var2!$E$60*IF(F$45,1-F$45/SUM(EV_Var2!$M$59,EV_Var2!$M$61),1)) + IF(EV_Var2!$A$61=$A36,EV_Var2!$E$61*IF(F$45,1-F$45/SUM(EV_Var2!$M$59,EV_Var2!$M$61),1)),0)</f>
        <v>0</v>
      </c>
      <c r="G36" s="2819"/>
      <c r="H36" s="2819">
        <f xml:space="preserve"> IF(ISTEXT(H$8), SUMIF(EV_Var3!$A$11:$B$54,$A36,EV_Var3!$E$11:$E$54) + IF(EV_Var3!$A$60=$A36,EV_Var3!$E$60*IF(H$45,1-H$45/SUM(EV_Var3!$M$59,EV_Var3!$M$61),1)) + IF(EV_Var3!$A$61=$A36,EV_Var3!$E$61*IF(H$45,1-H$45/SUM(EV_Var3!$M$59,EV_Var3!$M$61),1)),0)</f>
        <v>0</v>
      </c>
      <c r="I36" s="2819"/>
      <c r="J36" s="2819">
        <f xml:space="preserve"> IF(ISTEXT(J$8), SUMIF(EV_Var4!$A$11:$B$54,$A36,EV_Var4!$E$11:$E$54) + IF(EV_Var4!$A$60=$A36,EV_Var4!$E$60*IF(J$45,1-J$45/SUM(EV_Var4!$M$59,EV_Var4!$M$61),1)) + IF(EV_Var4!$A$61=$A36,EV_Var4!$E$61*IF(J$45,1-J$45/SUM(EV_Var4!$M$59,EV_Var4!$M$61),1)),0)</f>
        <v>0</v>
      </c>
      <c r="K36" s="2820"/>
      <c r="L36" s="95"/>
      <c r="M36" s="95"/>
      <c r="N36" s="94"/>
    </row>
    <row r="37" spans="1:15" s="1" customFormat="1" ht="12.75" customHeight="1" x14ac:dyDescent="0.2">
      <c r="A37" s="1404" t="str">
        <f>Grunddaten!C51</f>
        <v>Brennstoff XY</v>
      </c>
      <c r="B37" s="1405"/>
      <c r="C37" s="1396" t="s">
        <v>4</v>
      </c>
      <c r="D37" s="2818">
        <f xml:space="preserve"> IF(ISTEXT(D$8), SUMIF(EV_Var1!$A$11:$B$54,$A37,EV_Var1!$E$11:$E$54) + IF(EV_Var1!$A$60=$A37,EV_Var1!$E$60*IF(D$45,1-D$45/SUM(EV_Var1!$M$59,EV_Var1!$M$61),1)) + IF(EV_Var1!$A$61=$A37,EV_Var1!$E$61*IF(D$45,1-D$45/SUM(EV_Var1!$M$59,EV_Var1!$M$61),1)),0)</f>
        <v>0</v>
      </c>
      <c r="E37" s="2819"/>
      <c r="F37" s="2819">
        <f xml:space="preserve"> IF(ISTEXT(F$8), SUMIF(EV_Var2!$A$11:$B$54,$A37,EV_Var2!$E$11:$E$54) + IF(EV_Var2!$A$60=$A37,EV_Var2!$E$60*IF(F$45,1-F$45/SUM(EV_Var2!$M$59,EV_Var2!$M$61),1)) + IF(EV_Var2!$A$61=$A37,EV_Var2!$E$61*IF(F$45,1-F$45/SUM(EV_Var2!$M$59,EV_Var2!$M$61),1)),0)</f>
        <v>0</v>
      </c>
      <c r="G37" s="2819"/>
      <c r="H37" s="2819">
        <f xml:space="preserve"> IF(ISTEXT(H$8), SUMIF(EV_Var3!$A$11:$B$54,$A37,EV_Var3!$E$11:$E$54) + IF(EV_Var3!$A$60=$A37,EV_Var3!$E$60*IF(H$45,1-H$45/SUM(EV_Var3!$M$59,EV_Var3!$M$61),1)) + IF(EV_Var3!$A$61=$A37,EV_Var3!$E$61*IF(H$45,1-H$45/SUM(EV_Var3!$M$59,EV_Var3!$M$61),1)),0)</f>
        <v>0</v>
      </c>
      <c r="I37" s="2819"/>
      <c r="J37" s="2819">
        <f xml:space="preserve"> IF(ISTEXT(J$8), SUMIF(EV_Var4!$A$11:$B$54,$A37,EV_Var4!$E$11:$E$54) + IF(EV_Var4!$A$60=$A37,EV_Var4!$E$60*IF(J$45,1-J$45/SUM(EV_Var4!$M$59,EV_Var4!$M$61),1)) + IF(EV_Var4!$A$61=$A37,EV_Var4!$E$61*IF(J$45,1-J$45/SUM(EV_Var4!$M$59,EV_Var4!$M$61),1)),0)</f>
        <v>0</v>
      </c>
      <c r="K37" s="2820"/>
      <c r="L37" s="95"/>
      <c r="M37" s="95"/>
      <c r="N37" s="94"/>
    </row>
    <row r="38" spans="1:15" s="1" customFormat="1" ht="12.75" customHeight="1" x14ac:dyDescent="0.2">
      <c r="A38" s="1402" t="s">
        <v>35</v>
      </c>
      <c r="B38" s="1403"/>
      <c r="C38" s="1396" t="s">
        <v>4</v>
      </c>
      <c r="D38" s="2818">
        <f xml:space="preserve"> IF(ISTEXT(D$8), SUMIF(EV_Var1!$A$11:$B$74,$A38,EV_Var1!$E$11:$E$74), 0)</f>
        <v>0</v>
      </c>
      <c r="E38" s="2819"/>
      <c r="F38" s="2819">
        <f xml:space="preserve"> IF(ISTEXT(F$8), SUMIF(EV_Var2!$A$11:$B$74,$A38,EV_Var2!$E$11:$E$74), 0)</f>
        <v>0</v>
      </c>
      <c r="G38" s="2819"/>
      <c r="H38" s="2819">
        <f xml:space="preserve"> IF( ISTEXT(H$8), SUMIF(EV_Var3!$A$11:$B$74,$A38,EV_Var3!$E$11:$E$74), 0)</f>
        <v>0</v>
      </c>
      <c r="I38" s="2819"/>
      <c r="J38" s="2819">
        <f xml:space="preserve"> IF( ISTEXT(J$8), SUMIF(EV_Var4!$A$11:$B$74,$A38,EV_Var4!$E$11:$E$74), 0)</f>
        <v>0</v>
      </c>
      <c r="K38" s="2820"/>
      <c r="L38" s="95"/>
      <c r="M38" s="95"/>
      <c r="N38" s="94"/>
    </row>
    <row r="39" spans="1:15" s="1" customFormat="1" ht="12.75" customHeight="1" x14ac:dyDescent="0.2">
      <c r="A39" s="1400" t="s">
        <v>94</v>
      </c>
      <c r="B39" s="1401"/>
      <c r="C39" s="1396" t="s">
        <v>4</v>
      </c>
      <c r="D39" s="2818">
        <f>IF(ISTEXT(D$8), EV_Var1!$M$16+SUMIF(EV_Var1!$A$11:$B$74,EV_Var1!$X$13,EV_Var1!$E$11:$E$74)+SUMIF(EV_Var1!$A$11:$B$74,EV_Var1!$X$14,EV_Var1!$E$11:$E$74)+SUMIF(EV_Var1!$A$11:$B$74,EV_Var1!$X$15,EV_Var1!$E$11:$E$74)+SUMIF(EV_Var1!$A$11:$B$74,EV_Var1!$X$16,EV_Var1!$E$11:$E$74)+(EV_Var1!$M$71-D$46), 0)</f>
        <v>0</v>
      </c>
      <c r="E39" s="2819"/>
      <c r="F39" s="2819">
        <f>IF(ISTEXT(F$8), EV_Var2!$M$16+SUMIF(EV_Var2!$A$11:$B$74,EV_Var2!$X$13,EV_Var2!$E$11:$E$74)+SUMIF(EV_Var2!$A$11:$B$74,EV_Var2!$X$14,EV_Var2!$E$11:$E$74)+SUMIF(EV_Var2!$A$11:$B$74,EV_Var2!$X$15,EV_Var2!$E$11:$E$74)+SUMIF(EV_Var2!$A$11:$B$74,EV_Var2!$X$16,EV_Var2!$E$11:$E$74)+(EV_Var2!$M$71-F$46), 0)</f>
        <v>0</v>
      </c>
      <c r="G39" s="2819"/>
      <c r="H39" s="2819">
        <f>IF( ISTEXT(H$8), EV_Var3!$M$16+SUMIF(EV_Var3!$A$11:$B$74,EV_Var3!$X$13,EV_Var3!$E$11:$E$74)+SUMIF(EV_Var3!$A$11:$B$74,EV_Var3!$X$14,EV_Var3!$E$11:$E$74)+SUMIF(EV_Var3!$A$11:$B$74,EV_Var3!$X$15,EV_Var3!$E$11:$E$74)+SUMIF(EV_Var3!$A$11:$B$74,EV_Var3!$X$16,EV_Var3!$E$11:$E$74)+(EV_Var3!$M$71-H$46), 0)</f>
        <v>0</v>
      </c>
      <c r="I39" s="2819"/>
      <c r="J39" s="2819">
        <f>IF( ISTEXT(J$8), EV_Var4!$M$16+SUMIF(EV_Var4!$A$11:$B$74,EV_Var4!$X$13,EV_Var4!$E$11:$E$74)+SUMIF(EV_Var4!$A$11:$B$74,EV_Var4!$X$14,EV_Var4!$E$11:$E$74)+SUMIF(EV_Var4!$A$11:$B$74,EV_Var4!$X$15,EV_Var4!$E$11:$E$74)+SUMIF(EV_Var4!$A$11:$B$74,EV_Var4!$X$16,EV_Var4!$E$11:$E$74)+(EV_Var4!$M$71-J$46), 0)</f>
        <v>0</v>
      </c>
      <c r="K39" s="2820"/>
      <c r="L39" s="95"/>
      <c r="M39" s="95"/>
      <c r="N39" s="94"/>
    </row>
    <row r="40" spans="1:15" s="1" customFormat="1" ht="12.75" customHeight="1" x14ac:dyDescent="0.2">
      <c r="A40" s="1404" t="str">
        <f>Grunddaten!C55</f>
        <v>Wärmeverbund XY</v>
      </c>
      <c r="B40" s="1405"/>
      <c r="C40" s="1396" t="s">
        <v>4</v>
      </c>
      <c r="D40" s="2818">
        <f xml:space="preserve"> IF(ISTEXT(D$8), SUMIF(EV_Var1!$A$11:$B$74,$A40,EV_Var1!$E$11:$E$74),0)</f>
        <v>0</v>
      </c>
      <c r="E40" s="2819"/>
      <c r="F40" s="2819">
        <f xml:space="preserve"> IF(ISTEXT(F$8), SUMIF(EV_Var2!$A$11:$B$74,$A40,EV_Var2!$E$11:$E$74),0)</f>
        <v>0</v>
      </c>
      <c r="G40" s="2819"/>
      <c r="H40" s="2819">
        <f xml:space="preserve"> IF(ISTEXT(H$8), SUMIF(EV_Var3!$A$11:$B$74,$A40,EV_Var3!$E$11:$E$74),0)</f>
        <v>0</v>
      </c>
      <c r="I40" s="2819"/>
      <c r="J40" s="2819">
        <f xml:space="preserve"> IF(ISTEXT(J$8), SUMIF(EV_Var4!$A$11:$B$74,$A40,EV_Var4!$E$11:$E$74),0)</f>
        <v>0</v>
      </c>
      <c r="K40" s="2820"/>
      <c r="L40" s="95"/>
      <c r="M40" s="95"/>
      <c r="N40" s="94"/>
    </row>
    <row r="41" spans="1:15" s="1" customFormat="1" ht="12.75" customHeight="1" x14ac:dyDescent="0.2">
      <c r="A41" s="1404" t="str">
        <f>Grunddaten!C56</f>
        <v>Kälteverbund XY</v>
      </c>
      <c r="B41" s="1405"/>
      <c r="C41" s="1396" t="s">
        <v>4</v>
      </c>
      <c r="D41" s="2818">
        <f xml:space="preserve"> IF(ISTEXT(D$8), SUMIF(EV_Var1!$A$11:$B$74,$A41,EV_Var1!$E$11:$E$74),0)</f>
        <v>0</v>
      </c>
      <c r="E41" s="2819"/>
      <c r="F41" s="2819">
        <f xml:space="preserve"> IF(ISTEXT(F$8), SUMIF(EV_Var2!$A$11:$B$74,$A41,EV_Var2!$E$11:$E$74),0)</f>
        <v>0</v>
      </c>
      <c r="G41" s="2819"/>
      <c r="H41" s="2819">
        <f xml:space="preserve"> IF(ISTEXT(H$8), SUMIF(EV_Var3!$A$11:$B$74,$A41,EV_Var3!$E$11:$E$74),0)</f>
        <v>0</v>
      </c>
      <c r="I41" s="2819"/>
      <c r="J41" s="2819">
        <f xml:space="preserve"> IF(ISTEXT(J$8), SUMIF(EV_Var4!$A$11:$B$74,$A41,EV_Var4!$E$11:$E$74),0)</f>
        <v>0</v>
      </c>
      <c r="K41" s="2820"/>
      <c r="L41" s="95"/>
      <c r="M41" s="95"/>
      <c r="N41" s="94"/>
    </row>
    <row r="42" spans="1:15" s="1" customFormat="1" ht="12" customHeight="1" x14ac:dyDescent="0.2">
      <c r="A42" s="1397"/>
      <c r="B42" s="638"/>
      <c r="C42" s="638"/>
      <c r="D42" s="2834"/>
      <c r="E42" s="2821"/>
      <c r="F42" s="2821"/>
      <c r="G42" s="2821"/>
      <c r="H42" s="2821"/>
      <c r="I42" s="2821"/>
      <c r="J42" s="2821"/>
      <c r="K42" s="2822"/>
      <c r="L42" s="95"/>
      <c r="M42" s="95"/>
      <c r="N42" s="94"/>
    </row>
    <row r="43" spans="1:15" s="1" customFormat="1" ht="12.75" customHeight="1" x14ac:dyDescent="0.2">
      <c r="A43" s="1392" t="s">
        <v>243</v>
      </c>
      <c r="B43" s="1393"/>
      <c r="C43" s="1393" t="s">
        <v>4</v>
      </c>
      <c r="D43" s="2839">
        <f>EV_Var1!M74</f>
        <v>0</v>
      </c>
      <c r="E43" s="2823"/>
      <c r="F43" s="2823">
        <f>EV_Var2!M74</f>
        <v>0</v>
      </c>
      <c r="G43" s="2823"/>
      <c r="H43" s="2823">
        <f>EV_Var3!M74</f>
        <v>0</v>
      </c>
      <c r="I43" s="2823"/>
      <c r="J43" s="2823">
        <f>EV_Var4!M74</f>
        <v>0</v>
      </c>
      <c r="K43" s="2824"/>
      <c r="L43" s="95"/>
      <c r="M43" s="95"/>
      <c r="N43" s="94"/>
    </row>
    <row r="44" spans="1:15" s="1" customFormat="1" ht="12.75" customHeight="1" x14ac:dyDescent="0.2">
      <c r="A44" s="1406" t="s">
        <v>540</v>
      </c>
      <c r="B44" s="1407" t="s">
        <v>541</v>
      </c>
      <c r="C44" s="1396"/>
      <c r="D44" s="2849">
        <f>IF(EV_Var1!$A$61="",EV_Var1!$A$60,EV_Var1!$A$61)</f>
        <v>0</v>
      </c>
      <c r="E44" s="2841"/>
      <c r="F44" s="2841">
        <f>IF(EV_Var2!$A$61="",EV_Var2!$A$60,EV_Var2!$A$61)</f>
        <v>0</v>
      </c>
      <c r="G44" s="2841"/>
      <c r="H44" s="2841">
        <f>IF(EV_Var3!$A$61="",EV_Var3!$A$60,EV_Var3!$A$61)</f>
        <v>0</v>
      </c>
      <c r="I44" s="2841"/>
      <c r="J44" s="2841">
        <f>IF(EV_Var4!$A$61="",EV_Var4!$A$60,EV_Var4!$A$61)</f>
        <v>0</v>
      </c>
      <c r="K44" s="2842"/>
      <c r="L44" s="95"/>
      <c r="M44" s="95"/>
      <c r="N44" s="94"/>
    </row>
    <row r="45" spans="1:15" s="1" customFormat="1" ht="12.75" customHeight="1" x14ac:dyDescent="0.2">
      <c r="A45" s="1408"/>
      <c r="B45" s="1407" t="s">
        <v>243</v>
      </c>
      <c r="C45" s="1396" t="s">
        <v>4</v>
      </c>
      <c r="D45" s="2818">
        <f>IF(AND(D$43&gt;0,EV_Var1!$M$61&gt;0),MIN(EV_Var1!$M$61,EV_Var1!$M$74),0)</f>
        <v>0</v>
      </c>
      <c r="E45" s="2819"/>
      <c r="F45" s="2819">
        <f>IF(AND(F$43&gt;0,EV_Var2!$M$61&gt;0),MIN(EV_Var2!$M$61,EV_Var2!$M$74),0)</f>
        <v>0</v>
      </c>
      <c r="G45" s="2819"/>
      <c r="H45" s="2819">
        <f>IF(AND(H$43&gt;0,EV_Var3!$M$61&gt;0),MIN(EV_Var3!$M$61,EV_Var3!$M$74),0)</f>
        <v>0</v>
      </c>
      <c r="I45" s="2819"/>
      <c r="J45" s="2819">
        <f>IF(AND(J$43&gt;0,EV_Var4!$M$61&gt;0),MIN(EV_Var4!$M$61,EV_Var4!$M$74),0)</f>
        <v>0</v>
      </c>
      <c r="K45" s="2820"/>
      <c r="L45" s="95"/>
      <c r="M45" s="95"/>
      <c r="N45" s="94"/>
    </row>
    <row r="46" spans="1:15" s="1" customFormat="1" ht="12.75" customHeight="1" x14ac:dyDescent="0.2">
      <c r="A46" s="1406" t="s">
        <v>542</v>
      </c>
      <c r="B46" s="1407" t="s">
        <v>243</v>
      </c>
      <c r="C46" s="1396" t="s">
        <v>4</v>
      </c>
      <c r="D46" s="2850">
        <f>EV_Var1!$M$74-D$45</f>
        <v>0</v>
      </c>
      <c r="E46" s="2843"/>
      <c r="F46" s="2843">
        <f>EV_Var2!$M$74-F$45</f>
        <v>0</v>
      </c>
      <c r="G46" s="2843"/>
      <c r="H46" s="2843">
        <f>EV_Var3!$M$74-H$45</f>
        <v>0</v>
      </c>
      <c r="I46" s="2843"/>
      <c r="J46" s="2843">
        <f>EV_Var4!$M$74-J$45</f>
        <v>0</v>
      </c>
      <c r="K46" s="2844"/>
      <c r="L46" s="95"/>
      <c r="M46" s="95"/>
      <c r="N46" s="94"/>
      <c r="O46" s="622"/>
    </row>
    <row r="47" spans="1:15" s="1" customFormat="1" ht="12.75" customHeight="1" x14ac:dyDescent="0.2">
      <c r="A47" s="1409" t="s">
        <v>574</v>
      </c>
      <c r="B47" s="1401"/>
      <c r="C47" s="1396" t="s">
        <v>4</v>
      </c>
      <c r="D47" s="2850">
        <f>IF(OR(D$44=Grunddaten!$C$49,D$44=Grunddaten!$C$50),D$45,0)</f>
        <v>0</v>
      </c>
      <c r="E47" s="2843"/>
      <c r="F47" s="2843">
        <f>IF(OR(F$44=Grunddaten!$C$49,F$44=Grunddaten!$C$50),F$45,0)</f>
        <v>0</v>
      </c>
      <c r="G47" s="2843"/>
      <c r="H47" s="2843">
        <f>IF(OR(H$44=Grunddaten!$C$49,H$44=Grunddaten!$C$50),H$45,0)</f>
        <v>0</v>
      </c>
      <c r="I47" s="2843"/>
      <c r="J47" s="2843">
        <f>IF(OR(J$44=Grunddaten!$C$49,J$44=Grunddaten!$C$50),J$45,0)</f>
        <v>0</v>
      </c>
      <c r="K47" s="2844"/>
      <c r="L47" s="95"/>
      <c r="M47" s="95"/>
      <c r="N47" s="94"/>
    </row>
    <row r="48" spans="1:15" s="1" customFormat="1" ht="12.75" customHeight="1" x14ac:dyDescent="0.2">
      <c r="A48" s="1409" t="s">
        <v>575</v>
      </c>
      <c r="B48" s="1401"/>
      <c r="C48" s="1396" t="s">
        <v>4</v>
      </c>
      <c r="D48" s="2818">
        <f>D43-D47</f>
        <v>0</v>
      </c>
      <c r="E48" s="2819"/>
      <c r="F48" s="2819">
        <f t="shared" ref="F48:J48" si="13">F43-F47</f>
        <v>0</v>
      </c>
      <c r="G48" s="2819"/>
      <c r="H48" s="2819">
        <f t="shared" si="13"/>
        <v>0</v>
      </c>
      <c r="I48" s="2819"/>
      <c r="J48" s="2819">
        <f t="shared" si="13"/>
        <v>0</v>
      </c>
      <c r="K48" s="2820"/>
      <c r="L48" s="95"/>
      <c r="M48" s="95"/>
      <c r="N48" s="94"/>
    </row>
    <row r="49" spans="1:21" s="1" customFormat="1" ht="12" customHeight="1" x14ac:dyDescent="0.2">
      <c r="A49" s="1397"/>
      <c r="B49" s="638"/>
      <c r="C49" s="638"/>
      <c r="D49" s="2834"/>
      <c r="E49" s="2821"/>
      <c r="F49" s="2821"/>
      <c r="G49" s="2821"/>
      <c r="H49" s="2821"/>
      <c r="I49" s="2821"/>
      <c r="J49" s="2821"/>
      <c r="K49" s="2822"/>
      <c r="M49" s="95"/>
      <c r="N49" s="95"/>
      <c r="O49" s="95"/>
      <c r="P49" s="95"/>
      <c r="Q49" s="95"/>
      <c r="R49" s="95"/>
      <c r="S49" s="95"/>
      <c r="T49" s="95"/>
      <c r="U49" s="94"/>
    </row>
    <row r="50" spans="1:21" s="1" customFormat="1" ht="12.75" customHeight="1" x14ac:dyDescent="0.2">
      <c r="A50" s="1392" t="s">
        <v>134</v>
      </c>
      <c r="B50" s="1393"/>
      <c r="C50" s="1393" t="s">
        <v>4</v>
      </c>
      <c r="D50" s="2839">
        <f>SUM(D51:D59)</f>
        <v>0</v>
      </c>
      <c r="E50" s="2823"/>
      <c r="F50" s="2823">
        <f>SUM(F51:F59)</f>
        <v>146.30000000000001</v>
      </c>
      <c r="G50" s="2823"/>
      <c r="H50" s="2823">
        <f>SUM(H51:H59)</f>
        <v>0</v>
      </c>
      <c r="I50" s="2823"/>
      <c r="J50" s="2823">
        <f>SUM(J51:J59)</f>
        <v>0</v>
      </c>
      <c r="K50" s="2824"/>
      <c r="L50" s="94"/>
    </row>
    <row r="51" spans="1:21" s="1" customFormat="1" ht="12.75" customHeight="1" x14ac:dyDescent="0.2">
      <c r="A51" s="1410" t="s">
        <v>123</v>
      </c>
      <c r="B51" s="1411"/>
      <c r="C51" s="1396" t="s">
        <v>4</v>
      </c>
      <c r="D51" s="2818">
        <f>(EV_Var1!$H$20+EV_Var1!$H$24+EV_Var1!$H$28+EV_Var1!$H$33+EV_Var1!$H$37)*Grunddaten!$O$101</f>
        <v>0</v>
      </c>
      <c r="E51" s="2819"/>
      <c r="F51" s="2819">
        <f>(EV_Var2!$H$20+EV_Var2!$H$24+EV_Var2!$H$28+EV_Var2!$H$33+EV_Var2!$H$37)*Grunddaten!$O$101</f>
        <v>0</v>
      </c>
      <c r="G51" s="2819"/>
      <c r="H51" s="2819">
        <f>(EV_Var3!$H$20+EV_Var3!$H$24+EV_Var3!$H$33+EV_Var3!$H$37+EV_Var3!$H$28)*Grunddaten!$O$101</f>
        <v>0</v>
      </c>
      <c r="I51" s="2819"/>
      <c r="J51" s="2819">
        <f>(EV_Var4!$H$20+EV_Var4!$H$24+EV_Var4!$H$33+EV_Var4!$H$37+EV_Var4!$H$28)*Grunddaten!$O$101</f>
        <v>0</v>
      </c>
      <c r="K51" s="2820"/>
      <c r="L51" s="94"/>
    </row>
    <row r="52" spans="1:21" s="1" customFormat="1" ht="12.75" customHeight="1" x14ac:dyDescent="0.2">
      <c r="A52" s="1412" t="s">
        <v>500</v>
      </c>
      <c r="B52" s="1413"/>
      <c r="C52" s="1396" t="s">
        <v>4</v>
      </c>
      <c r="D52" s="2818">
        <f>IF(OR(EV_Var1!$A$32=EV_Var1!$X$13,EV_Var1!$A$32=EV_Var1!$X$14),EV_Var1!$H$33*Grunddaten!$O$102,0)+IF(OR(EV_Var1!$A$36=EV_Var1!$X$13,EV_Var1!$A$36=EV_Var1!$X$14),EV_Var1!$H$37*Grunddaten!$O$102,0)+IF(OR(EV_Var1!$A$27=EV_Var1!$X$13,EV_Var1!$A$27=EV_Var1!$X$14),EV_Var1!$H$28*Grunddaten!$O$102,0)</f>
        <v>0</v>
      </c>
      <c r="E52" s="2819"/>
      <c r="F52" s="2819">
        <f>IF(OR(EV_Var2!$A$32=EV_Var2!$X$13,EV_Var2!$A$32=EV_Var2!$X$14),EV_Var2!$H$33*Grunddaten!$O$102,0)+IF(OR(EV_Var2!$A$36=EV_Var2!$X$13,EV_Var2!$A$36=EV_Var2!$X$14),EV_Var2!$H$37*Grunddaten!$O$102,0)+IF(OR(EV_Var2!$A$27=EV_Var2!$X$13,EV_Var2!$A$27=EV_Var2!$X$14),EV_Var2!$H$28*Grunddaten!$O$102,0)</f>
        <v>0</v>
      </c>
      <c r="G52" s="2819"/>
      <c r="H52" s="2819">
        <f>IF(OR(EV_Var3!$A$32=EV_Var3!$X$13,EV_Var3!$A$32=EV_Var3!$X$14),EV_Var3!$H$33*Grunddaten!$O$102,0)+IF(OR(EV_Var3!$A$36=EV_Var3!$X$13,EV_Var3!$A$36=EV_Var3!$X$14),EV_Var3!$H$37*Grunddaten!$O$102,0)+IF(OR(EV_Var3!$A$27=EV_Var3!$X$13,EV_Var3!$A$27=EV_Var3!$X$14),EV_Var3!$H$28*Grunddaten!$O$102,0)</f>
        <v>0</v>
      </c>
      <c r="I52" s="2819"/>
      <c r="J52" s="2819">
        <f>IF(OR(EV_Var4!$A$32=EV_Var4!$X$13,EV_Var4!$A$32=EV_Var4!$X$14),EV_Var4!$H$33*Grunddaten!$O$102,0)+IF(OR(EV_Var4!$A$36=EV_Var4!$X$13,EV_Var4!$A$36=EV_Var4!$X$14),EV_Var4!$H$37*Grunddaten!$O$102,0)+IF(OR(EV_Var4!$A$27=EV_Var4!$X$13,EV_Var4!$A$27=EV_Var4!$X$14),EV_Var4!$H$28*Grunddaten!$O$102,0)</f>
        <v>0</v>
      </c>
      <c r="K52" s="2820"/>
      <c r="L52" s="94"/>
    </row>
    <row r="53" spans="1:21" s="1" customFormat="1" ht="12.75" customHeight="1" x14ac:dyDescent="0.2">
      <c r="A53" s="1410" t="s">
        <v>72</v>
      </c>
      <c r="B53" s="1411"/>
      <c r="C53" s="1396" t="s">
        <v>4</v>
      </c>
      <c r="D53" s="2818">
        <f>EV_Var1!$H$16*Grunddaten!$O$103</f>
        <v>0</v>
      </c>
      <c r="E53" s="2819"/>
      <c r="F53" s="2819">
        <f>EV_Var2!$H$16*Grunddaten!$O$103</f>
        <v>0</v>
      </c>
      <c r="G53" s="2819"/>
      <c r="H53" s="2819">
        <f>EV_Var3!$H$16*Grunddaten!$O$103</f>
        <v>0</v>
      </c>
      <c r="I53" s="2819"/>
      <c r="J53" s="2819">
        <f>EV_Var4!$H$16*Grunddaten!$O$103</f>
        <v>0</v>
      </c>
      <c r="K53" s="2820"/>
      <c r="L53" s="94"/>
    </row>
    <row r="54" spans="1:21" s="1" customFormat="1" ht="12.75" customHeight="1" x14ac:dyDescent="0.2">
      <c r="A54" s="1414" t="s">
        <v>127</v>
      </c>
      <c r="B54" s="1415"/>
      <c r="C54" s="1396" t="s">
        <v>4</v>
      </c>
      <c r="D54" s="2818">
        <f>(EV_Var1!$H$41+EV_Var1!$H$45+EV_Var1!$H$49)*Grunddaten!$O$101</f>
        <v>0</v>
      </c>
      <c r="E54" s="2819"/>
      <c r="F54" s="2819">
        <f>(EV_Var2!$H$41+EV_Var2!$H$45+EV_Var2!$H$49)*Grunddaten!$O$101</f>
        <v>0</v>
      </c>
      <c r="G54" s="2819"/>
      <c r="H54" s="2819">
        <f>(EV_Var3!$H$41+EV_Var3!$H$45+EV_Var3!$H$49)*Grunddaten!$O$101</f>
        <v>0</v>
      </c>
      <c r="I54" s="2819"/>
      <c r="J54" s="2819">
        <f>(EV_Var4!$H$41+EV_Var4!$H$45+EV_Var4!$H$49)*Grunddaten!$O$101</f>
        <v>0</v>
      </c>
      <c r="K54" s="2820"/>
      <c r="L54" s="94"/>
    </row>
    <row r="55" spans="1:21" s="1" customFormat="1" ht="12.75" customHeight="1" x14ac:dyDescent="0.2">
      <c r="A55" s="1404" t="s">
        <v>146</v>
      </c>
      <c r="B55" s="1405"/>
      <c r="C55" s="1396" t="s">
        <v>4</v>
      </c>
      <c r="D55" s="2818">
        <f>EV_Var1!$H$60 * Grunddaten!$O$101 * IF(D$45,1-D$45/SUM(EV_Var1!$M$59,EV_Var1!$M$61),1)</f>
        <v>0</v>
      </c>
      <c r="E55" s="2819"/>
      <c r="F55" s="2819">
        <f>EV_Var2!$H$60 * Grunddaten!$O$101 * IF(F$45,1-F$45/SUM(EV_Var2!$M$59,EV_Var2!$M$61),1)</f>
        <v>0</v>
      </c>
      <c r="G55" s="2819"/>
      <c r="H55" s="2819">
        <f>EV_Var3!$H$60 * Grunddaten!$O$101 * IF(H$45,1-H$45/SUM(EV_Var3!$M$59,EV_Var3!$M$61),1)</f>
        <v>0</v>
      </c>
      <c r="I55" s="2819"/>
      <c r="J55" s="2819">
        <f>EV_Var4!$H$60 * Grunddaten!$O$101 * IF(J$45,1-J$45/SUM(EV_Var4!$M$59,EV_Var4!$M$61),1)</f>
        <v>0</v>
      </c>
      <c r="K55" s="2820"/>
      <c r="L55" s="94"/>
    </row>
    <row r="56" spans="1:21" s="1" customFormat="1" ht="12.75" customHeight="1" x14ac:dyDescent="0.2">
      <c r="A56" s="1410" t="s">
        <v>84</v>
      </c>
      <c r="B56" s="1411"/>
      <c r="C56" s="1396" t="s">
        <v>4</v>
      </c>
      <c r="D56" s="2818">
        <f xml:space="preserve"> EV_Var1!$H$71 * Grunddaten!$O$100 * IF(D$46,1-D$46/EV_Var1!$M$71,1)</f>
        <v>0</v>
      </c>
      <c r="E56" s="2819"/>
      <c r="F56" s="2819">
        <f xml:space="preserve"> EV_Var2!$H$71 * Grunddaten!$O$100 * IF(F$46,1-F$46/EV_Var2!$M$71,1)</f>
        <v>146.30000000000001</v>
      </c>
      <c r="G56" s="2819"/>
      <c r="H56" s="2819">
        <f xml:space="preserve"> EV_Var3!$H$71 * Grunddaten!$O$100 * IF(H$46,1-H$46/EV_Var3!$M$71,1)</f>
        <v>0</v>
      </c>
      <c r="I56" s="2819"/>
      <c r="J56" s="2819">
        <f xml:space="preserve"> EV_Var4!$H$71 * Grunddaten!$O$100 * IF(J$46,1-J$46/EV_Var4!$M$71,1)</f>
        <v>0</v>
      </c>
      <c r="K56" s="2820"/>
      <c r="L56" s="94"/>
    </row>
    <row r="57" spans="1:21" s="1" customFormat="1" ht="12.75" customHeight="1" x14ac:dyDescent="0.2">
      <c r="A57" s="1416" t="s">
        <v>124</v>
      </c>
      <c r="B57" s="1417"/>
      <c r="C57" s="1396" t="s">
        <v>4</v>
      </c>
      <c r="D57" s="2818">
        <f>EV_Var1!$C$83*Grunddaten!$O$97+2*EV_Var1!$I$83*Grunddaten!$O$99+2*(EV_Var1!$N$83+EV_Var1!$S$83)*Grunddaten!$O$98</f>
        <v>0</v>
      </c>
      <c r="E57" s="2819"/>
      <c r="F57" s="2819">
        <f>EV_Var2!$C$83*Grunddaten!$O$97+2*EV_Var2!$I$83*Grunddaten!$O$99+2*(EV_Var2!$N$83+EV_Var2!$S$83)*Grunddaten!$O$98</f>
        <v>0</v>
      </c>
      <c r="G57" s="2819"/>
      <c r="H57" s="2819">
        <f>EV_Var3!$C$83*Grunddaten!$O$97+2*EV_Var3!$I$83*Grunddaten!$O$99+2*(EV_Var3!$N$83+EV_Var3!$S$83)*Grunddaten!$O$98</f>
        <v>0</v>
      </c>
      <c r="I57" s="2819"/>
      <c r="J57" s="2819">
        <f>EV_Var4!$C$83*Grunddaten!$O$97+2*EV_Var4!$I$83*Grunddaten!$O$99+2*(EV_Var4!$N$83+EV_Var4!$S$83)*Grunddaten!$O$98</f>
        <v>0</v>
      </c>
      <c r="K57" s="2820"/>
      <c r="L57" s="94"/>
    </row>
    <row r="58" spans="1:21" s="1" customFormat="1" ht="12.75" customHeight="1" x14ac:dyDescent="0.2">
      <c r="A58" s="1414" t="s">
        <v>125</v>
      </c>
      <c r="B58" s="1415"/>
      <c r="C58" s="1396" t="s">
        <v>4</v>
      </c>
      <c r="D58" s="2818">
        <f>EV_Var1!$C$84*Grunddaten!$O$97+2*EV_Var1!$I$84*Grunddaten!$O$99+2*(EV_Var1!$N$84+EV_Var1!$S$84)*Grunddaten!$O$98</f>
        <v>0</v>
      </c>
      <c r="E58" s="2819"/>
      <c r="F58" s="2819">
        <f>EV_Var2!$C$84*Grunddaten!$O$97+2*EV_Var2!$I$84*Grunddaten!$O$99+2*(EV_Var2!$N$84+EV_Var2!$S$84)*Grunddaten!$O$98</f>
        <v>0</v>
      </c>
      <c r="G58" s="2819"/>
      <c r="H58" s="2819">
        <f>EV_Var3!$C$84*Grunddaten!$O$97+2*EV_Var3!$I$84*Grunddaten!$O$99+2*(EV_Var3!$N$84+EV_Var3!$S$84)*Grunddaten!$O$98</f>
        <v>0</v>
      </c>
      <c r="I58" s="2819"/>
      <c r="J58" s="2819">
        <f>EV_Var4!$C$84*Grunddaten!$O$97+2*EV_Var4!$I$84*Grunddaten!$O$99+2*(EV_Var4!$N$84+EV_Var4!$S$84)*Grunddaten!$O$98</f>
        <v>0</v>
      </c>
      <c r="K58" s="2820"/>
      <c r="L58" s="94"/>
    </row>
    <row r="59" spans="1:21" s="1" customFormat="1" ht="12.75" customHeight="1" x14ac:dyDescent="0.2">
      <c r="A59" s="1414" t="s">
        <v>126</v>
      </c>
      <c r="B59" s="1415"/>
      <c r="C59" s="1396" t="s">
        <v>4</v>
      </c>
      <c r="D59" s="2818">
        <f>EV_Var1!$C$85*Grunddaten!$O$97+2*EV_Var1!$I$85*Grunddaten!$O$99+2*(EV_Var1!$N$85+EV_Var1!$S$85)*Grunddaten!$O$98</f>
        <v>0</v>
      </c>
      <c r="E59" s="2819"/>
      <c r="F59" s="2819">
        <f>EV_Var2!$C$85*Grunddaten!$O$97+2*EV_Var2!$I$85*Grunddaten!$O$99+2*(EV_Var2!$N$85+EV_Var2!$S$85)*Grunddaten!$O$98</f>
        <v>0</v>
      </c>
      <c r="G59" s="2819"/>
      <c r="H59" s="2819">
        <f>EV_Var3!$C$85*Grunddaten!$O$97+2*EV_Var3!$I$85*Grunddaten!$O$99+2*(EV_Var3!$N$85+EV_Var3!$S$85)*Grunddaten!$O$98</f>
        <v>0</v>
      </c>
      <c r="I59" s="2819"/>
      <c r="J59" s="2819">
        <f>EV_Var4!$C$85*Grunddaten!$O$97+2*EV_Var4!$I$85*Grunddaten!$O$99+2*(EV_Var4!$N$85+EV_Var4!$S$85)*Grunddaten!$O$98</f>
        <v>0</v>
      </c>
      <c r="K59" s="2820"/>
      <c r="L59" s="94"/>
    </row>
    <row r="60" spans="1:21" s="1" customFormat="1" ht="12" customHeight="1" x14ac:dyDescent="0.2">
      <c r="A60" s="1418"/>
      <c r="B60" s="1419"/>
      <c r="C60" s="1391"/>
      <c r="D60" s="2834"/>
      <c r="E60" s="2821"/>
      <c r="F60" s="2821"/>
      <c r="G60" s="2821"/>
      <c r="H60" s="2821"/>
      <c r="I60" s="2821"/>
      <c r="J60" s="2821"/>
      <c r="K60" s="2822"/>
      <c r="L60" s="94"/>
    </row>
    <row r="61" spans="1:21" s="1" customFormat="1" ht="12.75" customHeight="1" x14ac:dyDescent="0.2">
      <c r="A61" s="1392" t="s">
        <v>135</v>
      </c>
      <c r="B61" s="1393"/>
      <c r="C61" s="1393" t="s">
        <v>93</v>
      </c>
      <c r="D61" s="2839">
        <f>SUM(D62:D70)</f>
        <v>0</v>
      </c>
      <c r="E61" s="2823"/>
      <c r="F61" s="2823">
        <f>SUM(F62:F70)</f>
        <v>40.149999999999991</v>
      </c>
      <c r="G61" s="2823"/>
      <c r="H61" s="2823">
        <f>SUM(H62:H70)</f>
        <v>0</v>
      </c>
      <c r="I61" s="2823"/>
      <c r="J61" s="2823">
        <f>SUM(J62:J70)</f>
        <v>0</v>
      </c>
      <c r="K61" s="2824"/>
      <c r="L61" s="94"/>
    </row>
    <row r="62" spans="1:21" s="1" customFormat="1" ht="12.75" customHeight="1" x14ac:dyDescent="0.2">
      <c r="A62" s="1410" t="s">
        <v>123</v>
      </c>
      <c r="B62" s="1411"/>
      <c r="C62" s="1396" t="s">
        <v>96</v>
      </c>
      <c r="D62" s="2818">
        <f>(EV_Var1!$H$20+EV_Var1!$H$24+EV_Var1!$H$28+EV_Var1!$H$33+EV_Var1!$H$37)*Grunddaten!$R$101</f>
        <v>0</v>
      </c>
      <c r="E62" s="2819"/>
      <c r="F62" s="2819">
        <f>(EV_Var2!$H$20+EV_Var2!$H$24+EV_Var2!$H$28+EV_Var2!$H$33+EV_Var2!$H$37)*Grunddaten!$R$101</f>
        <v>0</v>
      </c>
      <c r="G62" s="2819"/>
      <c r="H62" s="2819">
        <f>(EV_Var3!$H$20+EV_Var3!$H$24+EV_Var3!$H$28+EV_Var3!$H$33+EV_Var3!$H$37)*Grunddaten!$R$101</f>
        <v>0</v>
      </c>
      <c r="I62" s="2819"/>
      <c r="J62" s="2819">
        <f>(EV_Var4!$H$20+EV_Var4!$H$24+EV_Var4!$H$28+EV_Var4!$H$33+EV_Var4!$H$37)*Grunddaten!$R$101</f>
        <v>0</v>
      </c>
      <c r="K62" s="2820"/>
      <c r="L62" s="94"/>
    </row>
    <row r="63" spans="1:21" s="1" customFormat="1" ht="12.75" customHeight="1" x14ac:dyDescent="0.2">
      <c r="A63" s="1412" t="s">
        <v>500</v>
      </c>
      <c r="B63" s="1413"/>
      <c r="C63" s="1396" t="s">
        <v>96</v>
      </c>
      <c r="D63" s="2818">
        <f>IF(OR(EV_Var1!$A$32=EV_Var1!$X$13,EV_Var1!$A$32=EV_Var1!$X$14),EV_Var1!$H$33*Grunddaten!$R$102,0)+IF(OR(EV_Var1!$A$36=EV_Var1!$X$13,EV_Var1!$A$36=EV_Var1!$X$14),EV_Var1!$H$37*Grunddaten!$R$102,0)+IF(OR(EV_Var1!$A$27=EV_Var1!$X$13,EV_Var1!$A$27=EV_Var1!$X$14),EV_Var1!$H$28*Grunddaten!$R$102,0)</f>
        <v>0</v>
      </c>
      <c r="E63" s="2819"/>
      <c r="F63" s="2819">
        <f>IF(OR(EV_Var2!$A$32=EV_Var2!$X$13,EV_Var2!$A$32=EV_Var2!$X$14),EV_Var2!$H$33*Grunddaten!$R$102,0)+IF(OR(EV_Var2!$A$36=EV_Var2!$X$13,EV_Var2!$A$36=EV_Var2!$X$14),EV_Var2!$H$37*Grunddaten!$R$102,0)+IF(OR(EV_Var2!$A$27=EV_Var2!$X$13,EV_Var2!$A$27=EV_Var2!$X$14),EV_Var2!$H$28*Grunddaten!$R$102,0)</f>
        <v>0</v>
      </c>
      <c r="G63" s="2819"/>
      <c r="H63" s="2819">
        <f>IF(OR(EV_Var3!$A$32=EV_Var3!$X$13,EV_Var3!$A$32=EV_Var3!$X$14),EV_Var3!$H$33*Grunddaten!$R$102,0)+IF(OR(EV_Var3!$A$36=EV_Var3!$X$13,EV_Var3!$A$36=EV_Var3!$X$14),EV_Var3!$H$37*Grunddaten!$R$102,0)+IF(OR(EV_Var3!$A$27=EV_Var3!$X$13,EV_Var3!$A$27=EV_Var3!$X$14),EV_Var3!$H$28*Grunddaten!$R$102,0)</f>
        <v>0</v>
      </c>
      <c r="I63" s="2819"/>
      <c r="J63" s="2819">
        <f>IF(OR(EV_Var4!$A$32=EV_Var4!$X$13,EV_Var4!$A$32=EV_Var4!$X$14),EV_Var4!$H$33*Grunddaten!$R$102,0)+IF(OR(EV_Var4!$A$36=EV_Var4!$X$13,EV_Var4!$A$36=EV_Var4!$X$14),EV_Var4!$H$37*Grunddaten!$R$102,0)+IF(OR(EV_Var4!$A$27=EV_Var4!$X$13,EV_Var4!$A$27=EV_Var4!$X$14),EV_Var4!$H$28*Grunddaten!$R$102,0)</f>
        <v>0</v>
      </c>
      <c r="K63" s="2820"/>
      <c r="L63" s="94"/>
    </row>
    <row r="64" spans="1:21" s="1" customFormat="1" ht="12.75" customHeight="1" x14ac:dyDescent="0.2">
      <c r="A64" s="1410" t="s">
        <v>72</v>
      </c>
      <c r="B64" s="1411"/>
      <c r="C64" s="1396" t="s">
        <v>96</v>
      </c>
      <c r="D64" s="2818">
        <f>EV_Var1!$H$16*Grunddaten!$R$103</f>
        <v>0</v>
      </c>
      <c r="E64" s="2819"/>
      <c r="F64" s="2819">
        <f>EV_Var2!$H$16*Grunddaten!$R$103</f>
        <v>0</v>
      </c>
      <c r="G64" s="2819"/>
      <c r="H64" s="2819">
        <f>EV_Var3!$H$16*Grunddaten!$R$103</f>
        <v>0</v>
      </c>
      <c r="I64" s="2819"/>
      <c r="J64" s="2819">
        <f>EV_Var4!$H$16*Grunddaten!$R$103</f>
        <v>0</v>
      </c>
      <c r="K64" s="2820"/>
      <c r="L64" s="94"/>
    </row>
    <row r="65" spans="1:22" s="1" customFormat="1" ht="12.75" customHeight="1" x14ac:dyDescent="0.2">
      <c r="A65" s="1414" t="s">
        <v>127</v>
      </c>
      <c r="B65" s="1415"/>
      <c r="C65" s="1396" t="s">
        <v>96</v>
      </c>
      <c r="D65" s="2818">
        <f>(EV_Var1!$H$41+EV_Var1!$H$45+EV_Var1!$H$49)*Grunddaten!$R$101</f>
        <v>0</v>
      </c>
      <c r="E65" s="2819"/>
      <c r="F65" s="2819">
        <f>(EV_Var2!$H$41+EV_Var2!$H$45+EV_Var2!$H$49)*Grunddaten!$R$101</f>
        <v>0</v>
      </c>
      <c r="G65" s="2819"/>
      <c r="H65" s="2819">
        <f>(EV_Var3!$H$41+EV_Var3!$H$45+EV_Var3!$H$49)*Grunddaten!$R$101</f>
        <v>0</v>
      </c>
      <c r="I65" s="2819"/>
      <c r="J65" s="2819">
        <f>(EV_Var4!$H$41+EV_Var4!$H$45+EV_Var4!$H$49)*Grunddaten!$R$101</f>
        <v>0</v>
      </c>
      <c r="K65" s="2820"/>
      <c r="L65" s="94"/>
    </row>
    <row r="66" spans="1:22" s="1" customFormat="1" ht="12.75" customHeight="1" x14ac:dyDescent="0.2">
      <c r="A66" s="1404" t="s">
        <v>146</v>
      </c>
      <c r="B66" s="1405"/>
      <c r="C66" s="1396" t="s">
        <v>96</v>
      </c>
      <c r="D66" s="2818">
        <f xml:space="preserve"> EV_Var1!$H$60 * Grunddaten!$R$101 * IF(D$45,1-D$45/SUM(EV_Var1!$M$59,EV_Var1!$M$61),1)</f>
        <v>0</v>
      </c>
      <c r="E66" s="2819"/>
      <c r="F66" s="2819">
        <f xml:space="preserve"> EV_Var2!$H$60 * Grunddaten!$R$101 * IF(F$45,1-F$45/SUM(EV_Var2!$M$59,EV_Var2!$M$61),1)</f>
        <v>0</v>
      </c>
      <c r="G66" s="2819"/>
      <c r="H66" s="2819">
        <f xml:space="preserve"> EV_Var3!$H$60 * Grunddaten!$R$101 * IF(H$45,1-H$45/SUM(EV_Var3!$M$59,EV_Var3!$M$61),1)</f>
        <v>0</v>
      </c>
      <c r="I66" s="2819"/>
      <c r="J66" s="2819">
        <f xml:space="preserve"> EV_Var4!$H$60 * Grunddaten!$R$101 * IF(J$45,1-J$45/SUM(EV_Var4!$M$59,EV_Var4!$M$61),1)</f>
        <v>0</v>
      </c>
      <c r="K66" s="2820"/>
      <c r="L66" s="94"/>
    </row>
    <row r="67" spans="1:22" s="1" customFormat="1" ht="12.75" customHeight="1" x14ac:dyDescent="0.2">
      <c r="A67" s="1410" t="s">
        <v>84</v>
      </c>
      <c r="B67" s="1411"/>
      <c r="C67" s="1396" t="s">
        <v>96</v>
      </c>
      <c r="D67" s="2818">
        <f xml:space="preserve"> EV_Var1!$H$71 * Grunddaten!$R$100 * IF(D$46,1-D$46/EV_Var1!$M$71,1)</f>
        <v>0</v>
      </c>
      <c r="E67" s="2819"/>
      <c r="F67" s="2819">
        <f xml:space="preserve"> EV_Var2!$H$71 * Grunddaten!$R$100 * IF(F$46,1-F$46/EV_Var2!$M$71,1)</f>
        <v>40.149999999999991</v>
      </c>
      <c r="G67" s="2819"/>
      <c r="H67" s="2819">
        <f xml:space="preserve"> EV_Var3!$H$71 * Grunddaten!$R$100 * IF(H$46,1-H$46/EV_Var3!$M$71,1)</f>
        <v>0</v>
      </c>
      <c r="I67" s="2819"/>
      <c r="J67" s="2819">
        <f xml:space="preserve"> EV_Var4!$H$71 * Grunddaten!$R$100 * IF(J$46,1-J$46/EV_Var4!$M$71,1)</f>
        <v>0</v>
      </c>
      <c r="K67" s="2820"/>
      <c r="L67" s="94"/>
    </row>
    <row r="68" spans="1:22" s="1" customFormat="1" ht="12.75" customHeight="1" x14ac:dyDescent="0.2">
      <c r="A68" s="1416" t="s">
        <v>124</v>
      </c>
      <c r="B68" s="1417"/>
      <c r="C68" s="1396" t="s">
        <v>96</v>
      </c>
      <c r="D68" s="2818">
        <f>EV_Var1!$C$83*Grunddaten!$R$97+2*EV_Var1!$I$83*Grunddaten!$R$99+2*(EV_Var1!$N$83+EV_Var1!$S$83)*Grunddaten!$R$98</f>
        <v>0</v>
      </c>
      <c r="E68" s="2819"/>
      <c r="F68" s="2819">
        <f>EV_Var2!$C$83*Grunddaten!$R$97+2*EV_Var2!$I$83*Grunddaten!$R$99+2*(EV_Var2!$N$83+EV_Var2!$S$83)*Grunddaten!$R$98</f>
        <v>0</v>
      </c>
      <c r="G68" s="2819"/>
      <c r="H68" s="2819">
        <f>EV_Var3!$C$83*Grunddaten!$R$97+2*EV_Var3!$I$83*Grunddaten!$R$99+2*(EV_Var3!$N$83+EV_Var3!$S$83)*Grunddaten!$R$98</f>
        <v>0</v>
      </c>
      <c r="I68" s="2819"/>
      <c r="J68" s="2819">
        <f>EV_Var4!$C$83*Grunddaten!$R$97+2*EV_Var4!$I$83*Grunddaten!$R$99+2*(EV_Var4!$N$83+EV_Var4!$S$83)*Grunddaten!$R$98</f>
        <v>0</v>
      </c>
      <c r="K68" s="2820"/>
      <c r="L68" s="94"/>
    </row>
    <row r="69" spans="1:22" s="1" customFormat="1" ht="12.75" customHeight="1" x14ac:dyDescent="0.2">
      <c r="A69" s="1414" t="s">
        <v>125</v>
      </c>
      <c r="B69" s="1415"/>
      <c r="C69" s="1396" t="s">
        <v>96</v>
      </c>
      <c r="D69" s="2818">
        <f>EV_Var1!$C$84*Grunddaten!$R$97+2*EV_Var1!$I$84*Grunddaten!$R$99+2*(EV_Var1!$N$84+EV_Var1!$S$84)*Grunddaten!$R$98</f>
        <v>0</v>
      </c>
      <c r="E69" s="2819"/>
      <c r="F69" s="2819">
        <f>EV_Var2!$C$84*Grunddaten!$R$97+2*EV_Var2!$I$84*Grunddaten!$R$99+2*(EV_Var2!$N$84+EV_Var2!$S$84)*Grunddaten!$R$98</f>
        <v>0</v>
      </c>
      <c r="G69" s="2819"/>
      <c r="H69" s="2819">
        <f>EV_Var3!$C$84*Grunddaten!$R$97+2*EV_Var3!$I$84*Grunddaten!$R$99+2*(EV_Var3!$N$84+EV_Var3!$S$84)*Grunddaten!$R$98</f>
        <v>0</v>
      </c>
      <c r="I69" s="2819"/>
      <c r="J69" s="2819">
        <f>EV_Var4!$C$84*Grunddaten!$R$97+2*EV_Var4!$I$84*Grunddaten!$R$99+2*(EV_Var4!$N$84+EV_Var4!$S$84)*Grunddaten!$R$98</f>
        <v>0</v>
      </c>
      <c r="K69" s="2820"/>
      <c r="L69" s="94"/>
    </row>
    <row r="70" spans="1:22" s="1" customFormat="1" ht="12.75" customHeight="1" x14ac:dyDescent="0.2">
      <c r="A70" s="1414" t="s">
        <v>126</v>
      </c>
      <c r="B70" s="1415"/>
      <c r="C70" s="1396" t="s">
        <v>96</v>
      </c>
      <c r="D70" s="2818">
        <f>EV_Var1!$C$85*Grunddaten!$R$97+2*EV_Var1!$I$85*Grunddaten!$R$99+2*(EV_Var1!$N$85+EV_Var1!$S$85)*Grunddaten!$R$98</f>
        <v>0</v>
      </c>
      <c r="E70" s="2819"/>
      <c r="F70" s="2819">
        <f>EV_Var2!$C$85*Grunddaten!$R$97+2*EV_Var2!$I$85*Grunddaten!$R$99+2*(EV_Var2!$N$85+EV_Var2!$S$85)*Grunddaten!$R$98</f>
        <v>0</v>
      </c>
      <c r="G70" s="2819"/>
      <c r="H70" s="2819">
        <f>EV_Var3!$C$85*Grunddaten!$R$97+2*EV_Var3!$I$85*Grunddaten!$R$99+2*(EV_Var3!$N$85+EV_Var3!$S$85)*Grunddaten!$R$98</f>
        <v>0</v>
      </c>
      <c r="I70" s="2819"/>
      <c r="J70" s="2819">
        <f>EV_Var4!$C$85*Grunddaten!$R$97+2*EV_Var4!$I$85*Grunddaten!$R$99+2*(EV_Var4!$N$85+EV_Var4!$S$85)*Grunddaten!$R$98</f>
        <v>0</v>
      </c>
      <c r="K70" s="2820"/>
      <c r="L70" s="94"/>
    </row>
    <row r="71" spans="1:22" s="1" customFormat="1" ht="12" customHeight="1" x14ac:dyDescent="0.2">
      <c r="A71" s="1418"/>
      <c r="B71" s="1419"/>
      <c r="C71" s="1391"/>
      <c r="D71" s="2834"/>
      <c r="E71" s="2821"/>
      <c r="F71" s="2821"/>
      <c r="G71" s="2821"/>
      <c r="H71" s="2821"/>
      <c r="I71" s="2821"/>
      <c r="J71" s="2821"/>
      <c r="K71" s="2822"/>
      <c r="L71" s="94"/>
    </row>
    <row r="72" spans="1:22" s="1" customFormat="1" ht="12.75" customHeight="1" x14ac:dyDescent="0.2">
      <c r="A72" s="1392" t="s">
        <v>136</v>
      </c>
      <c r="B72" s="1393"/>
      <c r="C72" s="1393" t="s">
        <v>141</v>
      </c>
      <c r="D72" s="2839">
        <f>SUM(D73:D81)</f>
        <v>0</v>
      </c>
      <c r="E72" s="2823"/>
      <c r="F72" s="2823">
        <f>SUM(F73:F81)</f>
        <v>91300</v>
      </c>
      <c r="G72" s="2823"/>
      <c r="H72" s="2823">
        <f>SUM(H73:H81)</f>
        <v>0</v>
      </c>
      <c r="I72" s="2823"/>
      <c r="J72" s="2823">
        <f>SUM(J73:J81)</f>
        <v>0</v>
      </c>
      <c r="K72" s="2824"/>
      <c r="L72" s="94"/>
    </row>
    <row r="73" spans="1:22" s="1" customFormat="1" ht="12.75" customHeight="1" x14ac:dyDescent="0.2">
      <c r="A73" s="1410" t="s">
        <v>123</v>
      </c>
      <c r="B73" s="1411"/>
      <c r="C73" s="1396" t="s">
        <v>141</v>
      </c>
      <c r="D73" s="2818">
        <f>(EV_Var1!$H$20+EV_Var1!$H$24+EV_Var1!$H$28+EV_Var1!$H$33+EV_Var1!$H$37)*Grunddaten!$U$101</f>
        <v>0</v>
      </c>
      <c r="E73" s="2819"/>
      <c r="F73" s="2819">
        <f>(EV_Var2!$H$20+EV_Var2!$H$24+EV_Var2!$H$28+EV_Var2!$H$33+EV_Var2!$H$37)*Grunddaten!$U$101</f>
        <v>0</v>
      </c>
      <c r="G73" s="2819"/>
      <c r="H73" s="2819">
        <f>(EV_Var3!$H$20+EV_Var3!$H$24+EV_Var3!$H$28+EV_Var3!$H$33+EV_Var3!$H$37)*Grunddaten!$U$101</f>
        <v>0</v>
      </c>
      <c r="I73" s="2819"/>
      <c r="J73" s="2819">
        <f>(EV_Var4!$H$20+EV_Var4!$H$24+EV_Var4!$H$28+EV_Var4!$H$33+EV_Var4!$H$37)*Grunddaten!$U$101</f>
        <v>0</v>
      </c>
      <c r="K73" s="2820"/>
      <c r="L73" s="94"/>
    </row>
    <row r="74" spans="1:22" s="1" customFormat="1" ht="12.75" customHeight="1" x14ac:dyDescent="0.2">
      <c r="A74" s="1412" t="s">
        <v>500</v>
      </c>
      <c r="B74" s="1413"/>
      <c r="C74" s="1396" t="s">
        <v>141</v>
      </c>
      <c r="D74" s="2818">
        <f>IF(OR(EV_Var1!$A$32=EV_Var1!$X$13,EV_Var1!$A$32=EV_Var1!$X$14),EV_Var1!$H$33*Grunddaten!$U$102,0)+IF(OR(EV_Var1!$A$36=EV_Var1!$X$13,EV_Var1!$A$36=EV_Var1!$X$14),EV_Var1!$H$37*Grunddaten!$U$102,0)+IF(OR(EV_Var1!$A$27=EV_Var1!$X$13,EV_Var1!$A$27=EV_Var1!$X$14),EV_Var1!$H$28*Grunddaten!$U$102,0)</f>
        <v>0</v>
      </c>
      <c r="E74" s="2819"/>
      <c r="F74" s="2819">
        <f>IF(OR(EV_Var2!$A$32=EV_Var2!$X$13,EV_Var2!$A$32=EV_Var2!$X$14),EV_Var2!$H$33*Grunddaten!$U$102,0)+IF(OR(EV_Var2!$A$36=EV_Var2!$X$13,EV_Var2!$A$36=EV_Var2!$X$14),EV_Var2!$H$37*Grunddaten!$U$102,0)+IF(OR(EV_Var2!$A$27=EV_Var2!$X$13,EV_Var2!$A$27=EV_Var2!$X$14),EV_Var2!$H$28*Grunddaten!$U$102,0)</f>
        <v>0</v>
      </c>
      <c r="G74" s="2819"/>
      <c r="H74" s="2819">
        <f>IF(OR(EV_Var3!$A$32=EV_Var3!$X$13,EV_Var3!$A$32=EV_Var3!$X$14),EV_Var3!$H$33*Grunddaten!$U$102,0)+IF(OR(EV_Var3!$A$36=EV_Var3!$X$13,EV_Var3!$A$36=EV_Var3!$X$14),EV_Var3!$H$37*Grunddaten!$U$102,0)+IF(OR(EV_Var3!$A$27=EV_Var3!$X$13,EV_Var3!$A$27=EV_Var3!$X$14),EV_Var3!$H$28*Grunddaten!$U$102,0)</f>
        <v>0</v>
      </c>
      <c r="I74" s="2819"/>
      <c r="J74" s="2819">
        <f>IF(OR(EV_Var4!$A$32=EV_Var4!$X$13,EV_Var4!$A$32=EV_Var4!$X$14),EV_Var4!$H$33*Grunddaten!$U$102,0)+IF(OR(EV_Var4!$A$36=EV_Var4!$X$13,EV_Var4!$A$36=EV_Var4!$X$14),EV_Var4!$H$37*Grunddaten!$U$102,0)+IF(OR(EV_Var4!$A$27=EV_Var4!$X$13,EV_Var4!$A$27=EV_Var4!$X$14),EV_Var4!$H$28*Grunddaten!$U$102,0)</f>
        <v>0</v>
      </c>
      <c r="K74" s="2820"/>
      <c r="L74" s="94"/>
    </row>
    <row r="75" spans="1:22" s="1" customFormat="1" ht="12.75" customHeight="1" x14ac:dyDescent="0.2">
      <c r="A75" s="1410" t="s">
        <v>72</v>
      </c>
      <c r="B75" s="1411"/>
      <c r="C75" s="1396" t="s">
        <v>141</v>
      </c>
      <c r="D75" s="2818">
        <f>EV_Var1!$H$16*Grunddaten!$U$103</f>
        <v>0</v>
      </c>
      <c r="E75" s="2819"/>
      <c r="F75" s="2819">
        <f>EV_Var2!$H$16*Grunddaten!$U$103</f>
        <v>0</v>
      </c>
      <c r="G75" s="2819"/>
      <c r="H75" s="2819">
        <f>EV_Var3!$H$16*Grunddaten!$U$103</f>
        <v>0</v>
      </c>
      <c r="I75" s="2819"/>
      <c r="J75" s="2819">
        <f>EV_Var4!$H$16*Grunddaten!$U$103</f>
        <v>0</v>
      </c>
      <c r="K75" s="2820"/>
      <c r="L75" s="94"/>
      <c r="O75"/>
      <c r="P75"/>
      <c r="Q75"/>
      <c r="R75"/>
      <c r="S75"/>
      <c r="T75"/>
      <c r="U75"/>
      <c r="V75"/>
    </row>
    <row r="76" spans="1:22" s="1" customFormat="1" ht="12.75" customHeight="1" x14ac:dyDescent="0.2">
      <c r="A76" s="1414" t="s">
        <v>127</v>
      </c>
      <c r="B76" s="1415"/>
      <c r="C76" s="1396" t="s">
        <v>141</v>
      </c>
      <c r="D76" s="2818">
        <f>(EV_Var1!$H$41+EV_Var1!$H$45+EV_Var1!$H$49)*Grunddaten!$U$101</f>
        <v>0</v>
      </c>
      <c r="E76" s="2819"/>
      <c r="F76" s="2819">
        <f>(EV_Var2!$H$41+EV_Var2!$H$45+EV_Var2!$H$49)*Grunddaten!$U$101</f>
        <v>0</v>
      </c>
      <c r="G76" s="2819"/>
      <c r="H76" s="2819">
        <f>(EV_Var3!$H$41+EV_Var3!$H$45+EV_Var3!$H$49)*Grunddaten!$U$101</f>
        <v>0</v>
      </c>
      <c r="I76" s="2819"/>
      <c r="J76" s="2819">
        <f>(EV_Var4!$H$41+EV_Var4!$H$45+EV_Var4!$H$49)*Grunddaten!$U$101</f>
        <v>0</v>
      </c>
      <c r="K76" s="2820"/>
      <c r="L76" s="94"/>
      <c r="O76"/>
      <c r="P76"/>
      <c r="Q76"/>
      <c r="R76"/>
      <c r="S76"/>
      <c r="T76"/>
      <c r="U76"/>
      <c r="V76"/>
    </row>
    <row r="77" spans="1:22" s="1" customFormat="1" ht="12.75" customHeight="1" x14ac:dyDescent="0.2">
      <c r="A77" s="1404" t="s">
        <v>146</v>
      </c>
      <c r="B77" s="1405"/>
      <c r="C77" s="1396" t="s">
        <v>141</v>
      </c>
      <c r="D77" s="2818">
        <f xml:space="preserve"> EV_Var1!$H$60 * Grunddaten!$U$101 * IF(D$45,1-D$45/SUM(EV_Var1!$M$59,EV_Var1!$M$61),1)</f>
        <v>0</v>
      </c>
      <c r="E77" s="2819"/>
      <c r="F77" s="2819">
        <f xml:space="preserve"> EV_Var2!$H$60 * Grunddaten!$U$101 * IF(F$45,1-F$45/SUM(EV_Var2!$M$59,EV_Var2!$M$61),1)</f>
        <v>0</v>
      </c>
      <c r="G77" s="2819"/>
      <c r="H77" s="2819">
        <f xml:space="preserve"> EV_Var3!$H$60 * Grunddaten!$U$101 * IF(H$45,1-H$45/SUM(EV_Var3!$M$59,EV_Var3!$M$61),1)</f>
        <v>0</v>
      </c>
      <c r="I77" s="2819"/>
      <c r="J77" s="2819">
        <f xml:space="preserve"> EV_Var4!$H$60 * Grunddaten!$U$101 * IF(J$45,1-J$45/SUM(EV_Var4!$M$59,EV_Var4!$M$61),1)</f>
        <v>0</v>
      </c>
      <c r="K77" s="2820"/>
      <c r="L77" s="94"/>
      <c r="O77"/>
      <c r="P77"/>
      <c r="Q77"/>
      <c r="R77"/>
      <c r="S77"/>
      <c r="T77"/>
      <c r="U77"/>
      <c r="V77"/>
    </row>
    <row r="78" spans="1:22" s="1" customFormat="1" ht="12.75" customHeight="1" x14ac:dyDescent="0.2">
      <c r="A78" s="1410" t="s">
        <v>84</v>
      </c>
      <c r="B78" s="1411"/>
      <c r="C78" s="1396" t="s">
        <v>141</v>
      </c>
      <c r="D78" s="2818">
        <f xml:space="preserve"> EV_Var1!$H$71 * Grunddaten!$U$100 * IF(D$46,1-D$46/EV_Var1!$M$71,1)</f>
        <v>0</v>
      </c>
      <c r="E78" s="2819"/>
      <c r="F78" s="2819">
        <f xml:space="preserve"> EV_Var2!$H$71 * Grunddaten!$U$100 * IF(F$46,1-F$46/EV_Var2!$M$71,1)</f>
        <v>91300</v>
      </c>
      <c r="G78" s="2819"/>
      <c r="H78" s="2819">
        <f xml:space="preserve"> EV_Var3!$H$71 * Grunddaten!$U$100 * IF(H$46,1-H$46/EV_Var3!$M$71,1)</f>
        <v>0</v>
      </c>
      <c r="I78" s="2819"/>
      <c r="J78" s="2819">
        <f xml:space="preserve"> EV_Var4!$H$71 * Grunddaten!$U$100 * IF(J$46,1-J$46/EV_Var4!$M$71,1)</f>
        <v>0</v>
      </c>
      <c r="K78" s="2820"/>
      <c r="L78" s="94"/>
      <c r="O78"/>
      <c r="P78"/>
      <c r="Q78"/>
      <c r="R78"/>
      <c r="S78"/>
      <c r="T78"/>
      <c r="U78"/>
      <c r="V78"/>
    </row>
    <row r="79" spans="1:22" s="1" customFormat="1" ht="12.75" customHeight="1" x14ac:dyDescent="0.2">
      <c r="A79" s="1416" t="s">
        <v>124</v>
      </c>
      <c r="B79" s="1417"/>
      <c r="C79" s="1396" t="s">
        <v>141</v>
      </c>
      <c r="D79" s="2818">
        <f>EV_Var1!$C$83*Grunddaten!$U$97+2*EV_Var1!$I$83*Grunddaten!$U$99+2*(EV_Var1!$N$83+EV_Var1!$S$83)*Grunddaten!$U$98</f>
        <v>0</v>
      </c>
      <c r="E79" s="2819"/>
      <c r="F79" s="2819">
        <f>EV_Var2!$C$83*Grunddaten!$U$97+2*EV_Var2!$I$83*Grunddaten!$U$99+2*(EV_Var2!$N$83+EV_Var2!$S$83)*Grunddaten!$U$98</f>
        <v>0</v>
      </c>
      <c r="G79" s="2819"/>
      <c r="H79" s="2819">
        <f>EV_Var3!$C$83*Grunddaten!$U$97+2*EV_Var3!$I$83*Grunddaten!$U$99+2*(EV_Var3!$N$83+EV_Var3!$S$83)*Grunddaten!$U$98</f>
        <v>0</v>
      </c>
      <c r="I79" s="2819"/>
      <c r="J79" s="2819">
        <f>EV_Var4!$C$83*Grunddaten!$U$97+2*EV_Var4!$I$83*Grunddaten!$U$99+2*(EV_Var4!$N$83+EV_Var4!$S$83)*Grunddaten!$U$98</f>
        <v>0</v>
      </c>
      <c r="K79" s="2820"/>
      <c r="L79" s="94"/>
      <c r="O79"/>
      <c r="P79"/>
      <c r="Q79"/>
      <c r="R79"/>
      <c r="S79"/>
      <c r="T79"/>
      <c r="U79"/>
      <c r="V79"/>
    </row>
    <row r="80" spans="1:22" s="1" customFormat="1" ht="12.75" customHeight="1" x14ac:dyDescent="0.2">
      <c r="A80" s="1414" t="s">
        <v>125</v>
      </c>
      <c r="B80" s="1415"/>
      <c r="C80" s="1396" t="s">
        <v>141</v>
      </c>
      <c r="D80" s="2818">
        <f>EV_Var1!$C$84*Grunddaten!$U$97+2*EV_Var1!$I$84*Grunddaten!$U$99+2*(EV_Var1!$N$84+EV_Var1!$S$84)*Grunddaten!$U$98</f>
        <v>0</v>
      </c>
      <c r="E80" s="2819"/>
      <c r="F80" s="2819">
        <f>EV_Var2!$C$84*Grunddaten!$U$97+2*EV_Var2!$I$84*Grunddaten!$U$99+2*(EV_Var2!$N$84+EV_Var2!$S$84)*Grunddaten!$U$98</f>
        <v>0</v>
      </c>
      <c r="G80" s="2819"/>
      <c r="H80" s="2819">
        <f>EV_Var3!$C$84*Grunddaten!$U$97+2*EV_Var3!$I$84*Grunddaten!$U$99+2*(EV_Var3!$N$84+EV_Var3!$S$84)*Grunddaten!$U$98</f>
        <v>0</v>
      </c>
      <c r="I80" s="2819"/>
      <c r="J80" s="2819">
        <f>EV_Var4!$C$84*Grunddaten!$U$97+2*EV_Var4!$I$84*Grunddaten!$U$99+2*(EV_Var4!$N$84+EV_Var4!$S$84)*Grunddaten!$U$98</f>
        <v>0</v>
      </c>
      <c r="K80" s="2820"/>
      <c r="M80" s="97"/>
      <c r="N80" s="97"/>
      <c r="O80"/>
      <c r="P80"/>
      <c r="Q80"/>
      <c r="R80"/>
      <c r="S80"/>
      <c r="T80"/>
      <c r="U80"/>
      <c r="V80"/>
    </row>
    <row r="81" spans="1:22" s="1" customFormat="1" ht="12.75" customHeight="1" x14ac:dyDescent="0.2">
      <c r="A81" s="1414" t="s">
        <v>126</v>
      </c>
      <c r="B81" s="1415"/>
      <c r="C81" s="1396" t="s">
        <v>141</v>
      </c>
      <c r="D81" s="2818">
        <f>EV_Var1!$C$85*Grunddaten!$U$97+2*EV_Var1!$I$85*Grunddaten!$U$99+2*(EV_Var1!$N$85+EV_Var1!$S$85)*Grunddaten!$U$98</f>
        <v>0</v>
      </c>
      <c r="E81" s="2819"/>
      <c r="F81" s="2819">
        <f>EV_Var2!$C$85*Grunddaten!$U$97+2*EV_Var2!$I$85*Grunddaten!$U$99+2*(EV_Var2!$N$85+EV_Var2!$S$85)*Grunddaten!$U$98</f>
        <v>0</v>
      </c>
      <c r="G81" s="2819"/>
      <c r="H81" s="2819">
        <f>EV_Var3!$C$85*Grunddaten!$U$97+2*EV_Var3!$I$85*Grunddaten!$U$99+2*(EV_Var3!$N$85+EV_Var3!$S$85)*Grunddaten!$U$98</f>
        <v>0</v>
      </c>
      <c r="I81" s="2819"/>
      <c r="J81" s="2819">
        <f>EV_Var4!$C$85*Grunddaten!$U$97+2*EV_Var4!$I$85*Grunddaten!$U$99+2*(EV_Var4!$N$85+EV_Var4!$S$85)*Grunddaten!$U$98</f>
        <v>0</v>
      </c>
      <c r="K81" s="2820"/>
      <c r="M81" s="97"/>
      <c r="N81" s="97"/>
      <c r="O81"/>
      <c r="P81"/>
      <c r="Q81"/>
      <c r="R81"/>
      <c r="S81"/>
      <c r="T81"/>
      <c r="U81"/>
      <c r="V81"/>
    </row>
    <row r="82" spans="1:22" s="1" customFormat="1" ht="12" customHeight="1" x14ac:dyDescent="0.2">
      <c r="A82" s="1418"/>
      <c r="B82" s="1419"/>
      <c r="C82" s="1391"/>
      <c r="D82" s="2834"/>
      <c r="E82" s="2821"/>
      <c r="F82" s="2821"/>
      <c r="G82" s="2821"/>
      <c r="H82" s="2821"/>
      <c r="I82" s="2821"/>
      <c r="J82" s="2821"/>
      <c r="K82" s="2822"/>
      <c r="M82" s="97"/>
      <c r="N82" s="97"/>
      <c r="O82"/>
      <c r="P82"/>
      <c r="Q82"/>
      <c r="R82"/>
      <c r="S82"/>
      <c r="T82"/>
      <c r="U82"/>
      <c r="V82"/>
    </row>
    <row r="83" spans="1:22" s="1" customFormat="1" ht="12.75" customHeight="1" x14ac:dyDescent="0.2">
      <c r="A83" s="1392" t="s">
        <v>1</v>
      </c>
      <c r="B83" s="1393"/>
      <c r="C83" s="1393" t="s">
        <v>4</v>
      </c>
      <c r="D83" s="2839">
        <f>SUM(D84:D87)</f>
        <v>0</v>
      </c>
      <c r="E83" s="2823"/>
      <c r="F83" s="2823">
        <f>SUM(F84:F87)</f>
        <v>146.30000000000001</v>
      </c>
      <c r="G83" s="2823"/>
      <c r="H83" s="2823">
        <f>SUM(H84:H87)</f>
        <v>0</v>
      </c>
      <c r="I83" s="2823"/>
      <c r="J83" s="2823">
        <f>SUM(J84:J87)</f>
        <v>0</v>
      </c>
      <c r="K83" s="2824"/>
      <c r="M83" s="97"/>
      <c r="N83" s="97"/>
      <c r="O83"/>
      <c r="P83"/>
      <c r="Q83"/>
      <c r="R83"/>
      <c r="S83"/>
      <c r="T83"/>
      <c r="U83"/>
      <c r="V83"/>
    </row>
    <row r="84" spans="1:22" s="1" customFormat="1" ht="12.75" customHeight="1" x14ac:dyDescent="0.2">
      <c r="A84" s="1394" t="s">
        <v>137</v>
      </c>
      <c r="B84" s="1396"/>
      <c r="C84" s="1396" t="s">
        <v>4</v>
      </c>
      <c r="D84" s="2818">
        <f>D50</f>
        <v>0</v>
      </c>
      <c r="E84" s="2819"/>
      <c r="F84" s="2819">
        <f>F50</f>
        <v>146.30000000000001</v>
      </c>
      <c r="G84" s="2819"/>
      <c r="H84" s="2819">
        <f>H50</f>
        <v>0</v>
      </c>
      <c r="I84" s="2819"/>
      <c r="J84" s="2819">
        <f>J50</f>
        <v>0</v>
      </c>
      <c r="K84" s="2820"/>
      <c r="M84" s="97"/>
      <c r="N84" s="97"/>
      <c r="O84"/>
      <c r="P84"/>
      <c r="Q84"/>
      <c r="R84"/>
      <c r="S84"/>
      <c r="T84"/>
      <c r="U84"/>
      <c r="V84"/>
    </row>
    <row r="85" spans="1:22" s="1" customFormat="1" ht="12.75" customHeight="1" x14ac:dyDescent="0.2">
      <c r="A85" s="1394" t="s">
        <v>165</v>
      </c>
      <c r="B85" s="1396"/>
      <c r="C85" s="1396" t="s">
        <v>4</v>
      </c>
      <c r="D85" s="2818">
        <f>D$31*VLOOKUP(Projektdaten!$H$20,Grunddaten!$C$17:$AD$44,21,FALSE) + D$32*Grunddaten!$W$50 + D$33*Grunddaten!$W$49 + D$34*VLOOKUP(Projektdaten!$H$24,Grunddaten!$C$47:$AD$48,21,FALSE) + D$35*Grunddaten!$W$46 + D$36*Grunddaten!$W$45 + D$37*Grunddaten!$W$51 + D$38*VLOOKUP(Projektdaten!$H$22,Grunddaten!$C$52:$AD$54,21,FALSE) + D$40*Grunddaten!$W$55+ D$41*Grunddaten!$W$56</f>
        <v>0</v>
      </c>
      <c r="E85" s="2819"/>
      <c r="F85" s="2819">
        <f>F$31*VLOOKUP(Projektdaten!$H$20,Grunddaten!$C$17:$AD$44,21,FALSE) + F$32*Grunddaten!$W$50 + F$33*Grunddaten!$W$49 + F$34*VLOOKUP(Projektdaten!$H$24,Grunddaten!$C$47:$AD$48,21,FALSE) + F$35*Grunddaten!$W$46 + F$36*Grunddaten!$W$45 + F$37*Grunddaten!$W$51 + F$38*VLOOKUP(Projektdaten!$H$22,Grunddaten!$C$52:$AD$54,21,FALSE) + F$40*Grunddaten!$W$55+ F$41*Grunddaten!$W$56</f>
        <v>0</v>
      </c>
      <c r="G85" s="2819"/>
      <c r="H85" s="2819">
        <f>H$31*VLOOKUP(Projektdaten!$H$20,Grunddaten!$C$17:$AD$44,21,FALSE) + H$32*Grunddaten!$W$50 + H$33*Grunddaten!$W$49 + H$34*VLOOKUP(Projektdaten!$H$24,Grunddaten!$C$47:$AD$48,21,FALSE) + H$35*Grunddaten!$W$46 + H$36*Grunddaten!$W$45 + H$37*Grunddaten!$W$51 + H$38*VLOOKUP(Projektdaten!$H$22,Grunddaten!$C$52:$AD$54,21,FALSE) + H$40*Grunddaten!$W$55+ H$41*Grunddaten!$W$56</f>
        <v>0</v>
      </c>
      <c r="I85" s="2819"/>
      <c r="J85" s="2819">
        <f>J$31*VLOOKUP(Projektdaten!$H$20,Grunddaten!$C$17:$AD$44,21,FALSE) + J$32*Grunddaten!$W$50 + J$33*Grunddaten!$W$49 + J$34*VLOOKUP(Projektdaten!$H$24,Grunddaten!$C$47:$AD$48,21,FALSE) + J$35*Grunddaten!$W$46 + J$36*Grunddaten!$W$45 + J$37*Grunddaten!$W$51 + J$38*VLOOKUP(Projektdaten!$H$22,Grunddaten!$C$52:$AD$54,21,FALSE) + J$40*Grunddaten!$W$55+ J$41*Grunddaten!$W$56</f>
        <v>0</v>
      </c>
      <c r="K85" s="2820"/>
      <c r="M85" s="97"/>
      <c r="N85" s="97"/>
      <c r="O85" s="493"/>
      <c r="P85" s="493"/>
      <c r="Q85" s="493"/>
      <c r="R85" s="493"/>
      <c r="S85"/>
      <c r="T85"/>
      <c r="U85"/>
      <c r="V85"/>
    </row>
    <row r="86" spans="1:22" s="1" customFormat="1" ht="12.75" customHeight="1" x14ac:dyDescent="0.2">
      <c r="A86" s="1394" t="s">
        <v>166</v>
      </c>
      <c r="B86" s="1396"/>
      <c r="C86" s="1396" t="s">
        <v>4</v>
      </c>
      <c r="D86" s="2818">
        <f>D$31*VLOOKUP(Projektdaten!$H$20,Grunddaten!$C$17:$AD$44,23,FALSE) + D$32*Grunddaten!$Y$50 + D$33*Grunddaten!$Y$49 + D$34*VLOOKUP(Projektdaten!$H$24,Grunddaten!$C$47:$AD$48,23,FALSE) + D$35*Grunddaten!$Y$46 + D$36*Grunddaten!$Y$45 + D$37*Grunddaten!$Y$51 + D$38*VLOOKUP(Projektdaten!$H$22,Grunddaten!$C$52:$AD$54,23,FALSE) + D$40*Grunddaten!$Y$55+ D$41*Grunddaten!$Y$56</f>
        <v>0</v>
      </c>
      <c r="E86" s="2819"/>
      <c r="F86" s="2819">
        <f>F$31*VLOOKUP(Projektdaten!$H$20,Grunddaten!$C$17:$AD$44,23,FALSE) + F$32*Grunddaten!$Y$50 + F$33*Grunddaten!$Y$49 + F$34*VLOOKUP(Projektdaten!$H$24,Grunddaten!$C$47:$AD$48,23,FALSE) + F$35*Grunddaten!$Y$46 + F$36*Grunddaten!$Y$45 + F$37*Grunddaten!$Y$51 + F$38*VLOOKUP(Projektdaten!$H$22,Grunddaten!$C$52:$AD$54,23,FALSE) + F$40*Grunddaten!$Y$55+ F$41*Grunddaten!$Y$56</f>
        <v>0</v>
      </c>
      <c r="G86" s="2819"/>
      <c r="H86" s="2819">
        <f>H$31*VLOOKUP(Projektdaten!$H$20,Grunddaten!$C$17:$AD$44,23,FALSE) + H$32*Grunddaten!$Y$50 + H$33*Grunddaten!$Y$49 + H$34*VLOOKUP(Projektdaten!$H$24,Grunddaten!$C$47:$AD$48,23,FALSE) + H$35*Grunddaten!$Y$46 + H$36*Grunddaten!$Y$45 + H$37*Grunddaten!$Y$51 + H$38*VLOOKUP(Projektdaten!$H$22,Grunddaten!$C$52:$AD$54,23,FALSE) + H$40*Grunddaten!$Y$55+ H$41*Grunddaten!$Y$56</f>
        <v>0</v>
      </c>
      <c r="I86" s="2819"/>
      <c r="J86" s="2819">
        <f>J$31*VLOOKUP(Projektdaten!$H$20,Grunddaten!$C$17:$AD$44,23,FALSE) + J$32*Grunddaten!$Y$50 + J$33*Grunddaten!$Y$49 + J$34*VLOOKUP(Projektdaten!$H$24,Grunddaten!$C$47:$AD$48,23,FALSE) + J$35*Grunddaten!$Y$46 + J$36*Grunddaten!$Y$45 + J$37*Grunddaten!$Y$51 + J$38*VLOOKUP(Projektdaten!$H$22,Grunddaten!$C$52:$AD$54,23,FALSE) + J$40*Grunddaten!$Y$55+ J$41*Grunddaten!$Y$56</f>
        <v>0</v>
      </c>
      <c r="K86" s="2820"/>
      <c r="M86" s="97"/>
      <c r="N86" s="97"/>
      <c r="O86" s="494"/>
      <c r="P86" s="494"/>
      <c r="Q86" s="494"/>
      <c r="R86" s="494"/>
      <c r="S86"/>
      <c r="T86"/>
      <c r="U86"/>
      <c r="V86"/>
    </row>
    <row r="87" spans="1:22" s="1" customFormat="1" ht="12.75" customHeight="1" x14ac:dyDescent="0.2">
      <c r="A87" s="1394" t="s">
        <v>167</v>
      </c>
      <c r="B87" s="1396"/>
      <c r="C87" s="1396" t="s">
        <v>4</v>
      </c>
      <c r="D87" s="2818">
        <f>D39</f>
        <v>0</v>
      </c>
      <c r="E87" s="2819"/>
      <c r="F87" s="2819">
        <f t="shared" ref="F87:J87" si="14">F39</f>
        <v>0</v>
      </c>
      <c r="G87" s="2819"/>
      <c r="H87" s="2819">
        <f t="shared" si="14"/>
        <v>0</v>
      </c>
      <c r="I87" s="2819"/>
      <c r="J87" s="2819">
        <f t="shared" si="14"/>
        <v>0</v>
      </c>
      <c r="K87" s="2820"/>
      <c r="M87" s="97"/>
      <c r="N87" s="97"/>
      <c r="O87"/>
      <c r="P87"/>
      <c r="Q87"/>
      <c r="R87"/>
      <c r="S87"/>
      <c r="T87"/>
      <c r="U87"/>
      <c r="V87"/>
    </row>
    <row r="88" spans="1:22" s="1" customFormat="1" ht="12" customHeight="1" x14ac:dyDescent="0.2">
      <c r="A88" s="1397"/>
      <c r="B88" s="638"/>
      <c r="C88" s="638"/>
      <c r="D88" s="2834"/>
      <c r="E88" s="2821"/>
      <c r="F88" s="2821"/>
      <c r="G88" s="2821"/>
      <c r="H88" s="2821"/>
      <c r="I88" s="2821"/>
      <c r="J88" s="2821"/>
      <c r="K88" s="2822"/>
      <c r="M88" s="97"/>
      <c r="N88" s="97"/>
      <c r="O88"/>
      <c r="P88"/>
      <c r="Q88"/>
      <c r="R88"/>
      <c r="S88"/>
      <c r="T88"/>
      <c r="U88"/>
      <c r="V88"/>
    </row>
    <row r="89" spans="1:22" s="1" customFormat="1" ht="12.75" customHeight="1" x14ac:dyDescent="0.2">
      <c r="A89" s="1392" t="s">
        <v>5</v>
      </c>
      <c r="B89" s="1393"/>
      <c r="C89" s="1393" t="s">
        <v>93</v>
      </c>
      <c r="D89" s="2839">
        <f>SUM(D90:D91)</f>
        <v>0</v>
      </c>
      <c r="E89" s="2823"/>
      <c r="F89" s="2823">
        <f>SUM(F90:F91)</f>
        <v>40.149999999999991</v>
      </c>
      <c r="G89" s="2823"/>
      <c r="H89" s="2823">
        <f>SUM(H90:H91)</f>
        <v>0</v>
      </c>
      <c r="I89" s="2823"/>
      <c r="J89" s="2823">
        <f>SUM(J90:J91)</f>
        <v>0</v>
      </c>
      <c r="K89" s="2824"/>
      <c r="M89" s="97"/>
      <c r="N89"/>
      <c r="O89"/>
      <c r="P89"/>
      <c r="Q89"/>
      <c r="R89"/>
      <c r="S89"/>
      <c r="T89"/>
      <c r="U89"/>
      <c r="V89"/>
    </row>
    <row r="90" spans="1:22" s="1" customFormat="1" ht="12.75" customHeight="1" x14ac:dyDescent="0.2">
      <c r="A90" s="1394" t="s">
        <v>138</v>
      </c>
      <c r="B90" s="1396"/>
      <c r="C90" s="1396" t="s">
        <v>96</v>
      </c>
      <c r="D90" s="2818">
        <f>D61</f>
        <v>0</v>
      </c>
      <c r="E90" s="2819"/>
      <c r="F90" s="2819">
        <f>F61</f>
        <v>40.149999999999991</v>
      </c>
      <c r="G90" s="2819"/>
      <c r="H90" s="2819">
        <f>H61</f>
        <v>0</v>
      </c>
      <c r="I90" s="2819"/>
      <c r="J90" s="2819">
        <f>J61</f>
        <v>0</v>
      </c>
      <c r="K90" s="2820"/>
      <c r="M90" s="97"/>
      <c r="N90"/>
      <c r="O90"/>
      <c r="P90"/>
      <c r="Q90"/>
      <c r="R90"/>
      <c r="S90"/>
      <c r="T90"/>
      <c r="U90"/>
    </row>
    <row r="91" spans="1:22" s="1" customFormat="1" ht="12.75" customHeight="1" x14ac:dyDescent="0.2">
      <c r="A91" s="1394" t="s">
        <v>139</v>
      </c>
      <c r="B91" s="1396"/>
      <c r="C91" s="1396" t="s">
        <v>96</v>
      </c>
      <c r="D91" s="2818">
        <f>D$31*VLOOKUP(Projektdaten!$H$20,Grunddaten!$C$17:$AD$44,25,FALSE) + D$32*Grunddaten!$AA$50 + D$33*Grunddaten!$AA$49 + D$34*VLOOKUP(Projektdaten!$H$24,Grunddaten!$C$47:$AD$48,25,FALSE) + D$35*Grunddaten!$AA$46 + D$36*Grunddaten!$AA$45 + D$37*Grunddaten!$AA$51 + D$38*VLOOKUP(Projektdaten!$H$22,Grunddaten!$C$52:$AD$54,25,FALSE) + D$40*Grunddaten!$AA$55+ D$41*Grunddaten!$AA$56</f>
        <v>0</v>
      </c>
      <c r="E91" s="2819"/>
      <c r="F91" s="2819">
        <f>F$31*VLOOKUP(Projektdaten!$H$20,Grunddaten!$C$17:$AD$44,25,FALSE) + F$32*Grunddaten!$AA$50 + F$33*Grunddaten!$AA$49 + F$34*VLOOKUP(Projektdaten!$H$24,Grunddaten!$C$47:$AD$48,25,FALSE) + F$35*Grunddaten!$AA$46 + F$36*Grunddaten!$AA$45 + F$37*Grunddaten!$AA$51 + F$38*VLOOKUP(Projektdaten!$H$22,Grunddaten!$C$52:$AD$54,25,FALSE) + F$40*Grunddaten!$AA$55+ F$41*Grunddaten!$AA$56</f>
        <v>0</v>
      </c>
      <c r="G91" s="2819"/>
      <c r="H91" s="2819">
        <f>H$31*VLOOKUP(Projektdaten!$H$20,Grunddaten!$C$17:$AD$44,25,FALSE) + H$32*Grunddaten!$AA$50 + H$33*Grunddaten!$AA$49 + H$34*VLOOKUP(Projektdaten!$H$24,Grunddaten!$C$47:$AD$48,25,FALSE) + H$35*Grunddaten!$AA$46 + H$36*Grunddaten!$AA$45 + H$37*Grunddaten!$AA$51 + H$38*VLOOKUP(Projektdaten!$H$22,Grunddaten!$C$52:$AD$54,25,FALSE) + H$40*Grunddaten!$AA$55+ H$41*Grunddaten!$AA$56</f>
        <v>0</v>
      </c>
      <c r="I91" s="2819"/>
      <c r="J91" s="2819">
        <f>J$31*VLOOKUP(Projektdaten!$H$20,Grunddaten!$C$17:$AD$44,25,FALSE) + J$32*Grunddaten!$AA$50 + J$33*Grunddaten!$AA$49 + J$34*VLOOKUP(Projektdaten!$H$24,Grunddaten!$C$47:$AD$48,25,FALSE) + J$35*Grunddaten!$AA$46 + J$36*Grunddaten!$AA$45 + J$37*Grunddaten!$AA$51 + J$38*VLOOKUP(Projektdaten!$H$22,Grunddaten!$C$52:$AD$54,25,FALSE) + J$40*Grunddaten!$AA$55+ J$41*Grunddaten!$AA$56</f>
        <v>0</v>
      </c>
      <c r="K91" s="2820"/>
      <c r="M91" s="97"/>
      <c r="N91"/>
      <c r="O91"/>
      <c r="P91"/>
      <c r="Q91"/>
      <c r="R91"/>
      <c r="S91"/>
      <c r="T91"/>
      <c r="U91"/>
    </row>
    <row r="92" spans="1:22" s="1" customFormat="1" ht="12" customHeight="1" x14ac:dyDescent="0.2">
      <c r="A92" s="1397"/>
      <c r="B92" s="638"/>
      <c r="C92" s="638"/>
      <c r="D92" s="2834"/>
      <c r="E92" s="2821"/>
      <c r="F92" s="2821"/>
      <c r="G92" s="2821"/>
      <c r="H92" s="2821"/>
      <c r="I92" s="2821"/>
      <c r="J92" s="2821"/>
      <c r="K92" s="2822"/>
      <c r="M92" s="97"/>
      <c r="N92"/>
      <c r="O92"/>
      <c r="P92"/>
      <c r="Q92"/>
      <c r="R92"/>
      <c r="S92"/>
      <c r="T92"/>
      <c r="U92"/>
    </row>
    <row r="93" spans="1:22" s="1" customFormat="1" ht="12.75" customHeight="1" x14ac:dyDescent="0.2">
      <c r="A93" s="1392" t="s">
        <v>140</v>
      </c>
      <c r="B93" s="1393"/>
      <c r="C93" s="1393" t="s">
        <v>141</v>
      </c>
      <c r="D93" s="2839">
        <f>SUM(D94:D95)</f>
        <v>0</v>
      </c>
      <c r="E93" s="2823"/>
      <c r="F93" s="2823">
        <f>SUM(F94:F95)</f>
        <v>91300</v>
      </c>
      <c r="G93" s="2823"/>
      <c r="H93" s="2823">
        <f>SUM(H94:H95)</f>
        <v>0</v>
      </c>
      <c r="I93" s="2823"/>
      <c r="J93" s="2823">
        <f>SUM(J94:J95)</f>
        <v>0</v>
      </c>
      <c r="K93" s="2824"/>
      <c r="M93" s="97"/>
      <c r="N93"/>
      <c r="O93"/>
      <c r="P93"/>
      <c r="Q93"/>
      <c r="R93"/>
      <c r="S93"/>
      <c r="T93"/>
      <c r="U93" s="94"/>
    </row>
    <row r="94" spans="1:22" s="1" customFormat="1" ht="12.75" customHeight="1" x14ac:dyDescent="0.2">
      <c r="A94" s="1394" t="s">
        <v>138</v>
      </c>
      <c r="B94" s="1396"/>
      <c r="C94" s="1396" t="s">
        <v>141</v>
      </c>
      <c r="D94" s="2818">
        <f>D72</f>
        <v>0</v>
      </c>
      <c r="E94" s="2819"/>
      <c r="F94" s="2819">
        <f>F72</f>
        <v>91300</v>
      </c>
      <c r="G94" s="2819"/>
      <c r="H94" s="2819">
        <f>H72</f>
        <v>0</v>
      </c>
      <c r="I94" s="2819"/>
      <c r="J94" s="2819">
        <f>J72</f>
        <v>0</v>
      </c>
      <c r="K94" s="2820"/>
      <c r="M94" s="97"/>
      <c r="N94"/>
      <c r="O94"/>
      <c r="P94"/>
      <c r="Q94"/>
      <c r="R94"/>
      <c r="S94"/>
      <c r="T94"/>
      <c r="U94" s="94"/>
    </row>
    <row r="95" spans="1:22" ht="12.75" customHeight="1" x14ac:dyDescent="0.2">
      <c r="A95" s="1394" t="s">
        <v>139</v>
      </c>
      <c r="B95" s="1396"/>
      <c r="C95" s="1396" t="s">
        <v>141</v>
      </c>
      <c r="D95" s="2818">
        <f>D$31*VLOOKUP(Projektdaten!$H$20,Grunddaten!$C$17:$AD$44,27,FALSE) + D$32*Grunddaten!$AC$50 + D$33*Grunddaten!$AC$49 + D$34*VLOOKUP(Projektdaten!$H$24,Grunddaten!$C$47:$AD$48,27,FALSE) + D$35*Grunddaten!$AC$46 + D$36*Grunddaten!$AC$45 + D$37*Grunddaten!$AC$51 + D$38*VLOOKUP(Projektdaten!$H$22,Grunddaten!$C$52:$AD$54,27,FALSE) + D$40*Grunddaten!$AC$55+ D$41*Grunddaten!$AC$56</f>
        <v>0</v>
      </c>
      <c r="E95" s="2819"/>
      <c r="F95" s="2819">
        <f>F$31*VLOOKUP(Projektdaten!$H$20,Grunddaten!$C$17:$AD$44,27,FALSE) + F$32*Grunddaten!$AC$50 + F$33*Grunddaten!$AC$49 + F$34*VLOOKUP(Projektdaten!$H$24,Grunddaten!$C$47:$AD$48,27,FALSE) + F$35*Grunddaten!$AC$46 + F$36*Grunddaten!$AC$45 + F$37*Grunddaten!$AC$51 + F$38*VLOOKUP(Projektdaten!$H$22,Grunddaten!$C$52:$AD$54,27,FALSE) + F$40*Grunddaten!$AC$55+ F$41*Grunddaten!$AC$56</f>
        <v>0</v>
      </c>
      <c r="G95" s="2819"/>
      <c r="H95" s="2819">
        <f>H$31*VLOOKUP(Projektdaten!$H$20,Grunddaten!$C$17:$AD$44,27,FALSE) + H$32*Grunddaten!$AC$50 + H$33*Grunddaten!$AC$49 + H$34*VLOOKUP(Projektdaten!$H$24,Grunddaten!$C$47:$AD$48,27,FALSE) + H$35*Grunddaten!$AC$46 + H$36*Grunddaten!$AC$45 + H$37*Grunddaten!$AC$51 + H$38*VLOOKUP(Projektdaten!$H$22,Grunddaten!$C$52:$AD$54,27,FALSE) + H$40*Grunddaten!$AC$55+ H$41*Grunddaten!$AC$56</f>
        <v>0</v>
      </c>
      <c r="I95" s="2819"/>
      <c r="J95" s="2819">
        <f>J$31*VLOOKUP(Projektdaten!$H$20,Grunddaten!$C$17:$AD$44,27,FALSE) + J$32*Grunddaten!$AC$50 + J$33*Grunddaten!$AC$49 + J$34*VLOOKUP(Projektdaten!$H$24,Grunddaten!$C$47:$AD$48,27,FALSE) + J$35*Grunddaten!$AC$46 + J$36*Grunddaten!$AC$45 + J$37*Grunddaten!$AC$51 + J$38*VLOOKUP(Projektdaten!$H$22,Grunddaten!$C$52:$AD$54,27,FALSE) + J$40*Grunddaten!$AC$55+ J$41*Grunddaten!$AC$56</f>
        <v>0</v>
      </c>
      <c r="K95" s="2820"/>
      <c r="N95"/>
      <c r="O95"/>
      <c r="P95"/>
      <c r="Q95"/>
      <c r="R95"/>
      <c r="S95"/>
      <c r="T95"/>
    </row>
    <row r="96" spans="1:22" s="1" customFormat="1" ht="12" customHeight="1" x14ac:dyDescent="0.2">
      <c r="A96" s="1397"/>
      <c r="B96" s="638"/>
      <c r="C96" s="638"/>
      <c r="D96" s="2834"/>
      <c r="E96" s="2821"/>
      <c r="F96" s="2821"/>
      <c r="G96" s="2821"/>
      <c r="H96" s="2821"/>
      <c r="I96" s="2821"/>
      <c r="J96" s="2821"/>
      <c r="K96" s="2822"/>
      <c r="L96" s="95"/>
      <c r="M96" s="95"/>
      <c r="N96" s="94"/>
    </row>
    <row r="97" spans="1:21" s="1" customFormat="1" ht="12.75" customHeight="1" x14ac:dyDescent="0.2">
      <c r="A97" s="1518" t="s">
        <v>758</v>
      </c>
      <c r="B97" s="1393"/>
      <c r="C97" s="1393" t="s">
        <v>4</v>
      </c>
      <c r="D97" s="2839">
        <f>SUM(D98:D104)</f>
        <v>0</v>
      </c>
      <c r="E97" s="2823"/>
      <c r="F97" s="2823">
        <f t="shared" ref="F97:J97" si="15">SUM(F98:F104)</f>
        <v>0</v>
      </c>
      <c r="G97" s="2823"/>
      <c r="H97" s="2823">
        <f t="shared" si="15"/>
        <v>0</v>
      </c>
      <c r="I97" s="2823"/>
      <c r="J97" s="2823">
        <f t="shared" si="15"/>
        <v>0</v>
      </c>
      <c r="K97" s="2824"/>
      <c r="L97" s="95"/>
      <c r="M97" s="95"/>
      <c r="N97" s="94"/>
    </row>
    <row r="98" spans="1:21" s="1" customFormat="1" ht="12.75" customHeight="1" x14ac:dyDescent="0.2">
      <c r="A98" s="1400" t="s">
        <v>24</v>
      </c>
      <c r="B98" s="1401"/>
      <c r="C98" s="1396" t="s">
        <v>4</v>
      </c>
      <c r="D98" s="2818">
        <f>(Projektdaten!$K$35-Projektdaten!$K$45+EV_Var1!$M$63+EV_Var1!$M$66)*Grunddaten!$AE$17</f>
        <v>0</v>
      </c>
      <c r="E98" s="2819"/>
      <c r="F98" s="2819">
        <f>(Projektdaten!$K$35-Projektdaten!$K$45+EV_Var2!$M$63+EV_Var2!$M$66)*Grunddaten!$AE$17</f>
        <v>0</v>
      </c>
      <c r="G98" s="2819"/>
      <c r="H98" s="2819">
        <f>(Projektdaten!$K$35-Projektdaten!$K$45+EV_Var3!$M$63+EV_Var3!$M$66)*Grunddaten!$AE$17</f>
        <v>0</v>
      </c>
      <c r="I98" s="2819"/>
      <c r="J98" s="2819">
        <f>(Projektdaten!$K$35-Projektdaten!$K$45+EV_Var4!$M$63+EV_Var4!$M$66)*Grunddaten!$AE$17</f>
        <v>0</v>
      </c>
      <c r="K98" s="2820"/>
      <c r="L98" s="95"/>
      <c r="M98" s="95"/>
      <c r="N98" s="94"/>
    </row>
    <row r="99" spans="1:21" s="1" customFormat="1" ht="12.75" customHeight="1" x14ac:dyDescent="0.2">
      <c r="A99" s="1409" t="s">
        <v>692</v>
      </c>
      <c r="B99" s="1401"/>
      <c r="C99" s="1396" t="s">
        <v>4</v>
      </c>
      <c r="D99" s="2818">
        <f>SUM(D$32:D$34)*Grunddaten!$AE$47</f>
        <v>0</v>
      </c>
      <c r="E99" s="2819"/>
      <c r="F99" s="2819">
        <f>SUM(F$32:F$34)*Grunddaten!$AE$47</f>
        <v>0</v>
      </c>
      <c r="G99" s="2819"/>
      <c r="H99" s="2819">
        <f>SUM(H$32:H$34)*Grunddaten!$AE$47</f>
        <v>0</v>
      </c>
      <c r="I99" s="2819"/>
      <c r="J99" s="2819">
        <f>SUM(J$32:J$34)*Grunddaten!$AE$47</f>
        <v>0</v>
      </c>
      <c r="K99" s="2820"/>
      <c r="L99" s="95"/>
      <c r="M99" s="95"/>
      <c r="N99" s="94"/>
    </row>
    <row r="100" spans="1:21" s="1" customFormat="1" ht="12.75" customHeight="1" x14ac:dyDescent="0.2">
      <c r="A100" s="1400" t="s">
        <v>35</v>
      </c>
      <c r="B100" s="1401"/>
      <c r="C100" s="1396" t="s">
        <v>4</v>
      </c>
      <c r="D100" s="2850">
        <f>D38*Grunddaten!$AE$52</f>
        <v>0</v>
      </c>
      <c r="E100" s="2843"/>
      <c r="F100" s="2843">
        <f>F38*Grunddaten!$AE$52</f>
        <v>0</v>
      </c>
      <c r="G100" s="2843"/>
      <c r="H100" s="2843">
        <f>H38*Grunddaten!$AE$52</f>
        <v>0</v>
      </c>
      <c r="I100" s="2843"/>
      <c r="J100" s="2843">
        <f>J38*Grunddaten!$AE$52</f>
        <v>0</v>
      </c>
      <c r="K100" s="2844"/>
      <c r="L100" s="95"/>
      <c r="M100" s="95"/>
      <c r="N100" s="94"/>
    </row>
    <row r="101" spans="1:21" s="1" customFormat="1" ht="12.75" customHeight="1" x14ac:dyDescent="0.2">
      <c r="A101" s="1409" t="s">
        <v>693</v>
      </c>
      <c r="B101" s="1401"/>
      <c r="C101" s="1396" t="s">
        <v>4</v>
      </c>
      <c r="D101" s="2818">
        <f>SUM(D$35:D$36)*Grunddaten!$AE$45</f>
        <v>0</v>
      </c>
      <c r="E101" s="2819"/>
      <c r="F101" s="2819">
        <f>SUM(F$35:F$36)*Grunddaten!$AE$45</f>
        <v>0</v>
      </c>
      <c r="G101" s="2819"/>
      <c r="H101" s="2819">
        <f>SUM(H$35:H$36)*Grunddaten!$AE$45</f>
        <v>0</v>
      </c>
      <c r="I101" s="2819"/>
      <c r="J101" s="2819">
        <f>SUM(J$35:J$36)*Grunddaten!$AE$45</f>
        <v>0</v>
      </c>
      <c r="K101" s="2820"/>
      <c r="L101" s="95"/>
      <c r="M101" s="95"/>
      <c r="N101" s="94"/>
    </row>
    <row r="102" spans="1:21" s="1" customFormat="1" ht="12.75" customHeight="1" x14ac:dyDescent="0.2">
      <c r="A102" s="1400" t="str">
        <f>Grunddaten!$C$51</f>
        <v>Brennstoff XY</v>
      </c>
      <c r="B102" s="1401"/>
      <c r="C102" s="1396" t="s">
        <v>4</v>
      </c>
      <c r="D102" s="2818">
        <f>D$37*Grunddaten!$AE$51</f>
        <v>0</v>
      </c>
      <c r="E102" s="2819"/>
      <c r="F102" s="2819">
        <f>F$37*Grunddaten!$AE$51</f>
        <v>0</v>
      </c>
      <c r="G102" s="2819"/>
      <c r="H102" s="2819">
        <f>H$37*Grunddaten!$AE$51</f>
        <v>0</v>
      </c>
      <c r="I102" s="2819"/>
      <c r="J102" s="2819">
        <f>J$37*Grunddaten!$AE$51</f>
        <v>0</v>
      </c>
      <c r="K102" s="2820"/>
      <c r="L102" s="95"/>
      <c r="M102" s="95"/>
      <c r="N102" s="94"/>
    </row>
    <row r="103" spans="1:21" s="1" customFormat="1" ht="12.75" customHeight="1" x14ac:dyDescent="0.2">
      <c r="A103" s="1400" t="str">
        <f>Grunddaten!$C$55</f>
        <v>Wärmeverbund XY</v>
      </c>
      <c r="B103" s="1401"/>
      <c r="C103" s="1396" t="s">
        <v>4</v>
      </c>
      <c r="D103" s="2818">
        <f>D$40*Grunddaten!$AE$55</f>
        <v>0</v>
      </c>
      <c r="E103" s="2819"/>
      <c r="F103" s="2819">
        <f>F$40*Grunddaten!$AE$55</f>
        <v>0</v>
      </c>
      <c r="G103" s="2819"/>
      <c r="H103" s="2819">
        <f>H$40*Grunddaten!$AE$55</f>
        <v>0</v>
      </c>
      <c r="I103" s="2819"/>
      <c r="J103" s="2819">
        <f>J$40*Grunddaten!$AE$55</f>
        <v>0</v>
      </c>
      <c r="K103" s="2820"/>
      <c r="L103" s="95"/>
      <c r="M103" s="95"/>
      <c r="N103" s="94"/>
    </row>
    <row r="104" spans="1:21" s="1" customFormat="1" ht="12.75" customHeight="1" x14ac:dyDescent="0.2">
      <c r="A104" s="1400" t="str">
        <f>Grunddaten!$C$56</f>
        <v>Kälteverbund XY</v>
      </c>
      <c r="B104" s="1401"/>
      <c r="C104" s="1396" t="s">
        <v>4</v>
      </c>
      <c r="D104" s="2818">
        <f>D$41*Grunddaten!$AE$56</f>
        <v>0</v>
      </c>
      <c r="E104" s="2819"/>
      <c r="F104" s="2819">
        <f>F$41*Grunddaten!$AE$56</f>
        <v>0</v>
      </c>
      <c r="G104" s="2819"/>
      <c r="H104" s="2819">
        <f>H$41*Grunddaten!$AE$56</f>
        <v>0</v>
      </c>
      <c r="I104" s="2819"/>
      <c r="J104" s="2819">
        <f>J$41*Grunddaten!$AE$56</f>
        <v>0</v>
      </c>
      <c r="K104" s="2820"/>
      <c r="L104" s="95"/>
      <c r="M104" s="95"/>
      <c r="N104" s="94"/>
    </row>
    <row r="105" spans="1:21" s="1" customFormat="1" ht="6" customHeight="1" x14ac:dyDescent="0.2">
      <c r="A105" s="1400"/>
      <c r="B105" s="1401"/>
      <c r="C105" s="1396"/>
      <c r="D105" s="2818"/>
      <c r="E105" s="2819"/>
      <c r="F105" s="2819"/>
      <c r="G105" s="2819"/>
      <c r="H105" s="2819"/>
      <c r="I105" s="2819"/>
      <c r="J105" s="2819"/>
      <c r="K105" s="2820"/>
      <c r="M105" s="98"/>
      <c r="N105" s="95"/>
      <c r="O105" s="95"/>
      <c r="P105" s="95"/>
      <c r="Q105" s="95"/>
      <c r="R105" s="95"/>
      <c r="S105" s="95"/>
      <c r="T105" s="95"/>
      <c r="U105" s="94"/>
    </row>
    <row r="106" spans="1:21" s="1" customFormat="1" ht="12.75" customHeight="1" x14ac:dyDescent="0.2">
      <c r="A106" s="1520" t="str">
        <f>CONCATENATE("Grenzwert ",Projektdaten!K50)</f>
        <v xml:space="preserve">Grenzwert </v>
      </c>
      <c r="B106" s="1401"/>
      <c r="C106" s="1396" t="s">
        <v>4</v>
      </c>
      <c r="D106" s="2818">
        <f>IF(ISBLANK(Projektdaten!D54),0,VLOOKUP(Projektdaten!D54,Grunddaten!A108:J118,N106,FALSE))*Projektdaten!H54 + IF(ISBLANK(Projektdaten!D56),0,VLOOKUP(Projektdaten!D56,Grunddaten!A108:J118,N106,FALSE))*Projektdaten!H56 + IF(ISBLANK(Projektdaten!D58),0,VLOOKUP(Projektdaten!D58,Grunddaten!A108:J118,N106,FALSE))*Projektdaten!H58 + IF(ISBLANK(Projektdaten!D60),0,VLOOKUP(Projektdaten!D60,Grunddaten!A108:J118,N106,FALSE))*Projektdaten!H60</f>
        <v>0</v>
      </c>
      <c r="E106" s="2819"/>
      <c r="F106" s="2819">
        <f>$D106</f>
        <v>0</v>
      </c>
      <c r="G106" s="2819"/>
      <c r="H106" s="2819">
        <f>$D106</f>
        <v>0</v>
      </c>
      <c r="I106" s="2819"/>
      <c r="J106" s="2819">
        <f>$D106</f>
        <v>0</v>
      </c>
      <c r="K106" s="2820"/>
      <c r="L106" s="1374"/>
      <c r="M106" s="158" t="s">
        <v>117</v>
      </c>
      <c r="N106" s="159">
        <f>IF(Projektdaten!K50=Grunddaten!E106,5,0)+IF(Projektdaten!K50=Grunddaten!H106,8,0)</f>
        <v>0</v>
      </c>
      <c r="O106" s="95"/>
      <c r="P106" s="95"/>
      <c r="Q106" s="95"/>
      <c r="R106" s="95"/>
      <c r="S106" s="95"/>
      <c r="T106" s="95"/>
      <c r="U106" s="94"/>
    </row>
    <row r="107" spans="1:21" s="1" customFormat="1" ht="12" customHeight="1" x14ac:dyDescent="0.2">
      <c r="A107" s="1390"/>
      <c r="B107" s="1391"/>
      <c r="C107" s="1391"/>
      <c r="D107" s="2837"/>
      <c r="E107" s="2838"/>
      <c r="F107" s="2821"/>
      <c r="G107" s="2821"/>
      <c r="H107" s="2821"/>
      <c r="I107" s="2821"/>
      <c r="J107" s="2821"/>
      <c r="K107" s="2822"/>
      <c r="L107" s="95"/>
      <c r="M107" s="95"/>
      <c r="N107" s="94"/>
      <c r="O107" s="21"/>
    </row>
    <row r="108" spans="1:21" s="1" customFormat="1" ht="12.75" customHeight="1" x14ac:dyDescent="0.2">
      <c r="A108" s="1420" t="s">
        <v>725</v>
      </c>
      <c r="B108" s="1421"/>
      <c r="C108" s="1393" t="s">
        <v>414</v>
      </c>
      <c r="D108" s="2851">
        <f>IF(ISTEXT(D$8),WR_Var1!$L$119,0)</f>
        <v>0</v>
      </c>
      <c r="E108" s="2847"/>
      <c r="F108" s="2847">
        <f>IF(ISTEXT(F$8),WR_Var2!$L$119,0)</f>
        <v>0</v>
      </c>
      <c r="G108" s="2847"/>
      <c r="H108" s="2847">
        <f>IF(ISTEXT(H$8),WR_Var3!$L$119,0)</f>
        <v>0</v>
      </c>
      <c r="I108" s="2847"/>
      <c r="J108" s="2847">
        <f>IF(ISTEXT(J$8),WR_Var4!$L$119,0)</f>
        <v>0</v>
      </c>
      <c r="K108" s="2848"/>
      <c r="M108" s="95"/>
      <c r="N108" s="95"/>
      <c r="O108" s="399"/>
      <c r="P108" s="95"/>
      <c r="Q108" s="95"/>
      <c r="R108" s="95"/>
      <c r="S108" s="95"/>
      <c r="T108" s="95"/>
      <c r="U108" s="94"/>
    </row>
    <row r="109" spans="1:21" s="1" customFormat="1" ht="12.75" customHeight="1" x14ac:dyDescent="0.2">
      <c r="A109" s="1394" t="s">
        <v>407</v>
      </c>
      <c r="B109" s="1396"/>
      <c r="C109" s="1396" t="s">
        <v>414</v>
      </c>
      <c r="D109" s="2855">
        <f>IF(ISTEXT(D$8),WR_Var1!$L116,0)</f>
        <v>0</v>
      </c>
      <c r="E109" s="2856"/>
      <c r="F109" s="2856">
        <f>IF(ISTEXT(F$8),WR_Var2!$L116,0)</f>
        <v>0</v>
      </c>
      <c r="G109" s="2856"/>
      <c r="H109" s="2856">
        <f>IF(ISTEXT(H$8),WR_Var3!$L116,0)</f>
        <v>0</v>
      </c>
      <c r="I109" s="2856"/>
      <c r="J109" s="2856">
        <f>IF(ISTEXT(J$8),WR_Var4!$L116,0)</f>
        <v>0</v>
      </c>
      <c r="K109" s="2858"/>
      <c r="M109" s="95"/>
      <c r="N109" s="95"/>
      <c r="O109" s="95"/>
      <c r="P109" s="95"/>
      <c r="Q109" s="95"/>
      <c r="R109" s="95"/>
      <c r="S109" s="95"/>
      <c r="T109" s="95"/>
      <c r="U109" s="94"/>
    </row>
    <row r="110" spans="1:21" s="1" customFormat="1" ht="12.75" customHeight="1" x14ac:dyDescent="0.2">
      <c r="A110" s="1394" t="s">
        <v>408</v>
      </c>
      <c r="B110" s="1396"/>
      <c r="C110" s="1396" t="s">
        <v>414</v>
      </c>
      <c r="D110" s="2855">
        <f>IF(ISTEXT(D$8),WR_Var1!$L117,0)</f>
        <v>0</v>
      </c>
      <c r="E110" s="2856"/>
      <c r="F110" s="2856">
        <f>IF(ISTEXT(F$8),WR_Var2!$L117,0)</f>
        <v>0</v>
      </c>
      <c r="G110" s="2856"/>
      <c r="H110" s="2856">
        <f>IF(ISTEXT(H$8),WR_Var3!$L117,0)</f>
        <v>0</v>
      </c>
      <c r="I110" s="2856"/>
      <c r="J110" s="2856">
        <f>IF(ISTEXT(J$8),WR_Var4!$L117,0)</f>
        <v>0</v>
      </c>
      <c r="K110" s="2858"/>
      <c r="L110" s="95"/>
      <c r="M110" s="95"/>
      <c r="N110" s="94"/>
      <c r="Q110" s="1383"/>
      <c r="S110" s="21"/>
    </row>
    <row r="111" spans="1:21" s="1" customFormat="1" ht="12.75" customHeight="1" x14ac:dyDescent="0.2">
      <c r="A111" s="1422" t="s">
        <v>24</v>
      </c>
      <c r="B111" s="1423"/>
      <c r="C111" s="1423" t="s">
        <v>414</v>
      </c>
      <c r="D111" s="2857">
        <f>IF(ISTEXT(D$8),WR_Var1!$L118,0)</f>
        <v>0</v>
      </c>
      <c r="E111" s="2845"/>
      <c r="F111" s="2845">
        <f>IF(ISTEXT(F$8),WR_Var2!$L118,0)</f>
        <v>0</v>
      </c>
      <c r="G111" s="2845"/>
      <c r="H111" s="2845">
        <f>IF(ISTEXT(H$8),WR_Var3!$L118,0)</f>
        <v>0</v>
      </c>
      <c r="I111" s="2845"/>
      <c r="J111" s="2845">
        <f>IF(ISTEXT(J$8),WR_Var4!$L118,0)</f>
        <v>0</v>
      </c>
      <c r="K111" s="2846"/>
      <c r="L111" s="95"/>
      <c r="M111" s="95"/>
      <c r="N111" s="94"/>
      <c r="Q111" s="2815"/>
      <c r="R111" s="2816"/>
    </row>
    <row r="112" spans="1:21" s="1" customFormat="1" ht="12" customHeight="1" x14ac:dyDescent="0.2">
      <c r="A112" s="21"/>
      <c r="B112" s="21"/>
      <c r="C112" s="21"/>
      <c r="D112" s="2810"/>
      <c r="E112" s="2810"/>
      <c r="F112" s="2810"/>
      <c r="G112" s="2810"/>
      <c r="H112" s="2810"/>
      <c r="I112" s="2810"/>
      <c r="J112" s="2810"/>
      <c r="K112" s="2810"/>
      <c r="L112" s="95"/>
      <c r="M112" s="95"/>
      <c r="N112" s="94"/>
    </row>
    <row r="113" spans="1:21" s="1" customFormat="1" ht="12.75" customHeight="1" x14ac:dyDescent="0.2">
      <c r="A113" s="2811" t="str">
        <f>CONCATENATE("* ",Grunddaten!$U$10)</f>
        <v>* Förderbeiträge berücksichtigen</v>
      </c>
      <c r="B113" s="2811"/>
      <c r="C113" s="2811"/>
      <c r="D113" s="2812"/>
      <c r="E113" s="2812"/>
      <c r="F113" s="2812"/>
      <c r="G113" s="2812"/>
      <c r="H113" s="2812"/>
      <c r="I113" s="2812"/>
      <c r="J113" s="2812"/>
      <c r="K113" s="2812"/>
      <c r="M113" s="95"/>
      <c r="N113" s="95"/>
      <c r="O113" s="1387"/>
      <c r="P113" s="95"/>
      <c r="Q113" s="95"/>
      <c r="R113" s="95"/>
      <c r="S113" s="95"/>
      <c r="T113" s="95"/>
      <c r="U113" s="94"/>
    </row>
  </sheetData>
  <sheetProtection algorithmName="SHA-512" hashValue="jQD8TqLN0wVA3O0J6N+fIXlVMZ9ZRV+HMF6DIjezhiWMabB6XXct+hzu+dGOPvceCT72fja6gjLpkFp6RY+vIg==" saltValue="j3GVR2LtV+KSk76MqKVRjg==" spinCount="100000" sheet="1" objects="1" scenarios="1" selectLockedCells="1"/>
  <mergeCells count="431">
    <mergeCell ref="J5:K5"/>
    <mergeCell ref="F28:G28"/>
    <mergeCell ref="H28:I28"/>
    <mergeCell ref="J28:K28"/>
    <mergeCell ref="D109:E109"/>
    <mergeCell ref="D110:E110"/>
    <mergeCell ref="D111:E111"/>
    <mergeCell ref="F108:G108"/>
    <mergeCell ref="F109:G109"/>
    <mergeCell ref="F110:G110"/>
    <mergeCell ref="F111:G111"/>
    <mergeCell ref="H107:I107"/>
    <mergeCell ref="H108:I108"/>
    <mergeCell ref="H109:I109"/>
    <mergeCell ref="H110:I110"/>
    <mergeCell ref="H111:I111"/>
    <mergeCell ref="J109:K109"/>
    <mergeCell ref="J110:K110"/>
    <mergeCell ref="D7:E7"/>
    <mergeCell ref="D10:E10"/>
    <mergeCell ref="D11:E11"/>
    <mergeCell ref="D12:E12"/>
    <mergeCell ref="D22:E22"/>
    <mergeCell ref="D9:E9"/>
    <mergeCell ref="D23:E23"/>
    <mergeCell ref="D24:E24"/>
    <mergeCell ref="D13:E13"/>
    <mergeCell ref="D21:E21"/>
    <mergeCell ref="D25:E25"/>
    <mergeCell ref="D26:E26"/>
    <mergeCell ref="D27:E27"/>
    <mergeCell ref="D107:E107"/>
    <mergeCell ref="D108:E108"/>
    <mergeCell ref="D28:E28"/>
    <mergeCell ref="D35:E35"/>
    <mergeCell ref="D36:E36"/>
    <mergeCell ref="D37:E37"/>
    <mergeCell ref="D38:E38"/>
    <mergeCell ref="D39:E39"/>
    <mergeCell ref="D30:E30"/>
    <mergeCell ref="D31:E31"/>
    <mergeCell ref="D32:E32"/>
    <mergeCell ref="D33:E33"/>
    <mergeCell ref="D34:E34"/>
    <mergeCell ref="D99:E99"/>
    <mergeCell ref="D100:E100"/>
    <mergeCell ref="D104:E104"/>
    <mergeCell ref="D105:E105"/>
    <mergeCell ref="D106:E106"/>
    <mergeCell ref="D42:E42"/>
    <mergeCell ref="D43:E43"/>
    <mergeCell ref="D101:E101"/>
    <mergeCell ref="D102:E102"/>
    <mergeCell ref="D103:E103"/>
    <mergeCell ref="D40:E40"/>
    <mergeCell ref="D41:E41"/>
    <mergeCell ref="D96:E96"/>
    <mergeCell ref="D97:E97"/>
    <mergeCell ref="D98:E98"/>
    <mergeCell ref="D44:E44"/>
    <mergeCell ref="D49:E49"/>
    <mergeCell ref="D50:E50"/>
    <mergeCell ref="D51:E51"/>
    <mergeCell ref="D52:E52"/>
    <mergeCell ref="D53:E53"/>
    <mergeCell ref="D45:E45"/>
    <mergeCell ref="D46:E46"/>
    <mergeCell ref="D47:E47"/>
    <mergeCell ref="D48:E48"/>
    <mergeCell ref="D59:E59"/>
    <mergeCell ref="D60:E60"/>
    <mergeCell ref="D61:E61"/>
    <mergeCell ref="D62:E62"/>
    <mergeCell ref="D63:E63"/>
    <mergeCell ref="D54:E54"/>
    <mergeCell ref="D55:E55"/>
    <mergeCell ref="D56:E56"/>
    <mergeCell ref="D57:E57"/>
    <mergeCell ref="D58:E58"/>
    <mergeCell ref="F107:G107"/>
    <mergeCell ref="D89:E89"/>
    <mergeCell ref="D90:E90"/>
    <mergeCell ref="D91:E91"/>
    <mergeCell ref="D94:E94"/>
    <mergeCell ref="D95:E95"/>
    <mergeCell ref="F103:G103"/>
    <mergeCell ref="F104:G104"/>
    <mergeCell ref="F105:G105"/>
    <mergeCell ref="F106:G106"/>
    <mergeCell ref="F98:G98"/>
    <mergeCell ref="F99:G99"/>
    <mergeCell ref="F100:G100"/>
    <mergeCell ref="F101:G101"/>
    <mergeCell ref="F102:G102"/>
    <mergeCell ref="F96:G96"/>
    <mergeCell ref="F97:G97"/>
    <mergeCell ref="D92:E92"/>
    <mergeCell ref="D93:E93"/>
    <mergeCell ref="D84:E84"/>
    <mergeCell ref="D85:E85"/>
    <mergeCell ref="D86:E86"/>
    <mergeCell ref="D87:E87"/>
    <mergeCell ref="D88:E88"/>
    <mergeCell ref="D79:E79"/>
    <mergeCell ref="D80:E80"/>
    <mergeCell ref="D81:E81"/>
    <mergeCell ref="D82:E82"/>
    <mergeCell ref="D83:E83"/>
    <mergeCell ref="F41:G41"/>
    <mergeCell ref="F68:G68"/>
    <mergeCell ref="F54:G54"/>
    <mergeCell ref="F55:G55"/>
    <mergeCell ref="F9:G9"/>
    <mergeCell ref="F10:G10"/>
    <mergeCell ref="F11:G11"/>
    <mergeCell ref="F12:G12"/>
    <mergeCell ref="F22:G22"/>
    <mergeCell ref="F23:G23"/>
    <mergeCell ref="F24:G24"/>
    <mergeCell ref="F25:G25"/>
    <mergeCell ref="F26:G26"/>
    <mergeCell ref="F34:G34"/>
    <mergeCell ref="F35:G35"/>
    <mergeCell ref="F36:G36"/>
    <mergeCell ref="F37:G37"/>
    <mergeCell ref="F38:G38"/>
    <mergeCell ref="F56:G56"/>
    <mergeCell ref="F57:G57"/>
    <mergeCell ref="F48:G48"/>
    <mergeCell ref="F49:G49"/>
    <mergeCell ref="F50:G50"/>
    <mergeCell ref="F51:G51"/>
    <mergeCell ref="D77:E77"/>
    <mergeCell ref="D78:E78"/>
    <mergeCell ref="D69:E69"/>
    <mergeCell ref="D70:E70"/>
    <mergeCell ref="D71:E71"/>
    <mergeCell ref="D72:E72"/>
    <mergeCell ref="D73:E73"/>
    <mergeCell ref="D64:E64"/>
    <mergeCell ref="D65:E65"/>
    <mergeCell ref="D66:E66"/>
    <mergeCell ref="D67:E67"/>
    <mergeCell ref="D68:E68"/>
    <mergeCell ref="D74:E74"/>
    <mergeCell ref="D75:E75"/>
    <mergeCell ref="D76:E76"/>
    <mergeCell ref="F52:G52"/>
    <mergeCell ref="H12:I12"/>
    <mergeCell ref="H22:I22"/>
    <mergeCell ref="H23:I23"/>
    <mergeCell ref="H24:I24"/>
    <mergeCell ref="H20:I20"/>
    <mergeCell ref="H25:I25"/>
    <mergeCell ref="H26:I26"/>
    <mergeCell ref="H27:I27"/>
    <mergeCell ref="H50:I50"/>
    <mergeCell ref="H51:I51"/>
    <mergeCell ref="F20:G20"/>
    <mergeCell ref="F21:G21"/>
    <mergeCell ref="H21:I21"/>
    <mergeCell ref="F27:G27"/>
    <mergeCell ref="F42:G42"/>
    <mergeCell ref="F30:G30"/>
    <mergeCell ref="F31:G31"/>
    <mergeCell ref="F32:G32"/>
    <mergeCell ref="F33:G33"/>
    <mergeCell ref="F39:G39"/>
    <mergeCell ref="F40:G40"/>
    <mergeCell ref="F47:G47"/>
    <mergeCell ref="H38:I38"/>
    <mergeCell ref="H96:I96"/>
    <mergeCell ref="F88:G88"/>
    <mergeCell ref="F83:G83"/>
    <mergeCell ref="F84:G84"/>
    <mergeCell ref="F85:G85"/>
    <mergeCell ref="F86:G86"/>
    <mergeCell ref="F87:G87"/>
    <mergeCell ref="F78:G78"/>
    <mergeCell ref="F79:G79"/>
    <mergeCell ref="F80:G80"/>
    <mergeCell ref="F81:G81"/>
    <mergeCell ref="F82:G82"/>
    <mergeCell ref="F89:G89"/>
    <mergeCell ref="F90:G90"/>
    <mergeCell ref="F91:G91"/>
    <mergeCell ref="F92:G92"/>
    <mergeCell ref="F93:G93"/>
    <mergeCell ref="F94:G94"/>
    <mergeCell ref="F95:G95"/>
    <mergeCell ref="H92:I92"/>
    <mergeCell ref="H102:I102"/>
    <mergeCell ref="H103:I103"/>
    <mergeCell ref="H104:I104"/>
    <mergeCell ref="H105:I105"/>
    <mergeCell ref="H97:I97"/>
    <mergeCell ref="H98:I98"/>
    <mergeCell ref="H99:I99"/>
    <mergeCell ref="H100:I100"/>
    <mergeCell ref="H101:I101"/>
    <mergeCell ref="F58:G58"/>
    <mergeCell ref="F59:G59"/>
    <mergeCell ref="F60:G60"/>
    <mergeCell ref="F61:G61"/>
    <mergeCell ref="F73:G73"/>
    <mergeCell ref="F74:G74"/>
    <mergeCell ref="F75:G75"/>
    <mergeCell ref="F76:G76"/>
    <mergeCell ref="F77:G77"/>
    <mergeCell ref="F69:G69"/>
    <mergeCell ref="F70:G70"/>
    <mergeCell ref="F71:G71"/>
    <mergeCell ref="F72:G72"/>
    <mergeCell ref="F63:G63"/>
    <mergeCell ref="F64:G64"/>
    <mergeCell ref="F65:G65"/>
    <mergeCell ref="F66:G66"/>
    <mergeCell ref="F67:G67"/>
    <mergeCell ref="H39:I39"/>
    <mergeCell ref="H40:I40"/>
    <mergeCell ref="H41:I41"/>
    <mergeCell ref="H47:I47"/>
    <mergeCell ref="H48:I48"/>
    <mergeCell ref="H49:I49"/>
    <mergeCell ref="H106:I106"/>
    <mergeCell ref="H52:I52"/>
    <mergeCell ref="H53:I53"/>
    <mergeCell ref="H54:I54"/>
    <mergeCell ref="H93:I93"/>
    <mergeCell ref="H94:I94"/>
    <mergeCell ref="H95:I95"/>
    <mergeCell ref="H87:I87"/>
    <mergeCell ref="H88:I88"/>
    <mergeCell ref="H89:I89"/>
    <mergeCell ref="H90:I90"/>
    <mergeCell ref="H91:I91"/>
    <mergeCell ref="H82:I82"/>
    <mergeCell ref="H83:I83"/>
    <mergeCell ref="H84:I84"/>
    <mergeCell ref="H85:I85"/>
    <mergeCell ref="H86:I86"/>
    <mergeCell ref="H67:I67"/>
    <mergeCell ref="H32:I32"/>
    <mergeCell ref="H65:I65"/>
    <mergeCell ref="H66:I66"/>
    <mergeCell ref="H57:I57"/>
    <mergeCell ref="H58:I58"/>
    <mergeCell ref="H59:I59"/>
    <mergeCell ref="H60:I60"/>
    <mergeCell ref="H61:I61"/>
    <mergeCell ref="F62:G62"/>
    <mergeCell ref="F53:G53"/>
    <mergeCell ref="H33:I33"/>
    <mergeCell ref="H34:I34"/>
    <mergeCell ref="H35:I35"/>
    <mergeCell ref="H36:I36"/>
    <mergeCell ref="H37:I37"/>
    <mergeCell ref="H42:I42"/>
    <mergeCell ref="H43:I43"/>
    <mergeCell ref="H44:I44"/>
    <mergeCell ref="H45:I45"/>
    <mergeCell ref="H46:I46"/>
    <mergeCell ref="F43:G43"/>
    <mergeCell ref="F44:G44"/>
    <mergeCell ref="F45:G45"/>
    <mergeCell ref="F46:G46"/>
    <mergeCell ref="H68:I68"/>
    <mergeCell ref="H69:I69"/>
    <mergeCell ref="H70:I70"/>
    <mergeCell ref="H71:I71"/>
    <mergeCell ref="H64:I64"/>
    <mergeCell ref="H72:I72"/>
    <mergeCell ref="H55:I55"/>
    <mergeCell ref="H56:I56"/>
    <mergeCell ref="H62:I62"/>
    <mergeCell ref="H63:I63"/>
    <mergeCell ref="H77:I77"/>
    <mergeCell ref="H78:I78"/>
    <mergeCell ref="H79:I79"/>
    <mergeCell ref="H80:I80"/>
    <mergeCell ref="H81:I81"/>
    <mergeCell ref="H73:I73"/>
    <mergeCell ref="H74:I74"/>
    <mergeCell ref="H75:I75"/>
    <mergeCell ref="H76:I76"/>
    <mergeCell ref="J35:K35"/>
    <mergeCell ref="J111:K111"/>
    <mergeCell ref="J30:K30"/>
    <mergeCell ref="J26:K26"/>
    <mergeCell ref="J27:K27"/>
    <mergeCell ref="J107:K107"/>
    <mergeCell ref="J108:K108"/>
    <mergeCell ref="J36:K36"/>
    <mergeCell ref="J41:K41"/>
    <mergeCell ref="J96:K96"/>
    <mergeCell ref="J97:K97"/>
    <mergeCell ref="J98:K98"/>
    <mergeCell ref="J99:K99"/>
    <mergeCell ref="J37:K37"/>
    <mergeCell ref="J38:K38"/>
    <mergeCell ref="J39:K39"/>
    <mergeCell ref="J40:K40"/>
    <mergeCell ref="J45:K45"/>
    <mergeCell ref="J46:K46"/>
    <mergeCell ref="J47:K47"/>
    <mergeCell ref="J105:K105"/>
    <mergeCell ref="J106:K106"/>
    <mergeCell ref="J42:K42"/>
    <mergeCell ref="J43:K43"/>
    <mergeCell ref="J44:K44"/>
    <mergeCell ref="J100:K100"/>
    <mergeCell ref="J101:K101"/>
    <mergeCell ref="J102:K102"/>
    <mergeCell ref="J103:K103"/>
    <mergeCell ref="J104:K104"/>
    <mergeCell ref="J94:K94"/>
    <mergeCell ref="J85:K85"/>
    <mergeCell ref="J86:K86"/>
    <mergeCell ref="J87:K87"/>
    <mergeCell ref="J88:K88"/>
    <mergeCell ref="J89:K89"/>
    <mergeCell ref="J80:K80"/>
    <mergeCell ref="J81:K81"/>
    <mergeCell ref="J82:K82"/>
    <mergeCell ref="J83:K83"/>
    <mergeCell ref="J84:K84"/>
    <mergeCell ref="J74:K74"/>
    <mergeCell ref="J90:K90"/>
    <mergeCell ref="J91:K91"/>
    <mergeCell ref="J92:K92"/>
    <mergeCell ref="J93:K93"/>
    <mergeCell ref="J75:K75"/>
    <mergeCell ref="J76:K76"/>
    <mergeCell ref="J77:K77"/>
    <mergeCell ref="J78:K78"/>
    <mergeCell ref="J64:K64"/>
    <mergeCell ref="J73:K73"/>
    <mergeCell ref="J67:K67"/>
    <mergeCell ref="J68:K68"/>
    <mergeCell ref="J69:K69"/>
    <mergeCell ref="J63:K63"/>
    <mergeCell ref="D15:E15"/>
    <mergeCell ref="F15:G15"/>
    <mergeCell ref="H15:I15"/>
    <mergeCell ref="J15:K15"/>
    <mergeCell ref="J55:K55"/>
    <mergeCell ref="J56:K56"/>
    <mergeCell ref="J57:K57"/>
    <mergeCell ref="J58:K58"/>
    <mergeCell ref="J59:K59"/>
    <mergeCell ref="J50:K50"/>
    <mergeCell ref="J51:K51"/>
    <mergeCell ref="J52:K52"/>
    <mergeCell ref="J53:K53"/>
    <mergeCell ref="J54:K54"/>
    <mergeCell ref="J48:K48"/>
    <mergeCell ref="J49:K49"/>
    <mergeCell ref="D29:E29"/>
    <mergeCell ref="F29:G29"/>
    <mergeCell ref="J32:K32"/>
    <mergeCell ref="J33:K33"/>
    <mergeCell ref="J34:K34"/>
    <mergeCell ref="F7:G7"/>
    <mergeCell ref="J7:K7"/>
    <mergeCell ref="J8:K8"/>
    <mergeCell ref="D16:E16"/>
    <mergeCell ref="F16:G16"/>
    <mergeCell ref="H16:I16"/>
    <mergeCell ref="J16:K16"/>
    <mergeCell ref="D17:E17"/>
    <mergeCell ref="F17:G17"/>
    <mergeCell ref="H17:I17"/>
    <mergeCell ref="J17:K17"/>
    <mergeCell ref="F13:G13"/>
    <mergeCell ref="H13:I13"/>
    <mergeCell ref="J13:K13"/>
    <mergeCell ref="D14:E14"/>
    <mergeCell ref="F14:G14"/>
    <mergeCell ref="H14:I14"/>
    <mergeCell ref="J22:K22"/>
    <mergeCell ref="J23:K23"/>
    <mergeCell ref="H7:I7"/>
    <mergeCell ref="H8:I8"/>
    <mergeCell ref="H9:I9"/>
    <mergeCell ref="H10:I10"/>
    <mergeCell ref="H11:I11"/>
    <mergeCell ref="H29:I29"/>
    <mergeCell ref="J29:K29"/>
    <mergeCell ref="J31:K31"/>
    <mergeCell ref="J21:K21"/>
    <mergeCell ref="J24:K24"/>
    <mergeCell ref="J25:K25"/>
    <mergeCell ref="J9:K9"/>
    <mergeCell ref="J10:K10"/>
    <mergeCell ref="J11:K11"/>
    <mergeCell ref="J20:K20"/>
    <mergeCell ref="H30:I30"/>
    <mergeCell ref="H31:I31"/>
    <mergeCell ref="D8:E8"/>
    <mergeCell ref="Q111:R111"/>
    <mergeCell ref="F8:G8"/>
    <mergeCell ref="D18:E18"/>
    <mergeCell ref="F18:G18"/>
    <mergeCell ref="H18:I18"/>
    <mergeCell ref="J18:K18"/>
    <mergeCell ref="D19:E19"/>
    <mergeCell ref="F19:G19"/>
    <mergeCell ref="H19:I19"/>
    <mergeCell ref="J19:K19"/>
    <mergeCell ref="D20:E20"/>
    <mergeCell ref="J95:K95"/>
    <mergeCell ref="J79:K79"/>
    <mergeCell ref="J70:K70"/>
    <mergeCell ref="J71:K71"/>
    <mergeCell ref="J72:K72"/>
    <mergeCell ref="J65:K65"/>
    <mergeCell ref="J66:K66"/>
    <mergeCell ref="J60:K60"/>
    <mergeCell ref="J61:K61"/>
    <mergeCell ref="J62:K62"/>
    <mergeCell ref="J14:K14"/>
    <mergeCell ref="J12:K12"/>
    <mergeCell ref="D112:E112"/>
    <mergeCell ref="F112:G112"/>
    <mergeCell ref="H112:I112"/>
    <mergeCell ref="J112:K112"/>
    <mergeCell ref="A113:C113"/>
    <mergeCell ref="D113:E113"/>
    <mergeCell ref="F113:G113"/>
    <mergeCell ref="H113:I113"/>
    <mergeCell ref="J113:K113"/>
  </mergeCells>
  <phoneticPr fontId="9" type="noConversion"/>
  <hyperlinks>
    <hyperlink ref="F2" location="Neu_in_Version" display="i" xr:uid="{00000000-0004-0000-1100-000000000000}"/>
  </hyperlinks>
  <printOptions horizontalCentered="1"/>
  <pageMargins left="0.55118110236220474" right="0.51181102362204722" top="0.39370078740157483" bottom="0.62992125984251968" header="0.39370078740157483" footer="0.31496062992125984"/>
  <pageSetup paperSize="9" scale="88" fitToHeight="0" orientation="portrait" r:id="rId1"/>
  <headerFooter scaleWithDoc="0">
    <oddFooter>&amp;L&amp;8Druckdatum  &amp;D&amp;C&amp;8&amp;F/&amp;A&amp;R&amp;8Seite &amp;P / &amp;N</oddFooter>
  </headerFooter>
  <rowBreaks count="1" manualBreakCount="1">
    <brk id="60" max="10"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pageSetUpPr fitToPage="1"/>
  </sheetPr>
  <dimension ref="A1:Q148"/>
  <sheetViews>
    <sheetView showGridLines="0" tabSelected="1" zoomScaleNormal="100" zoomScaleSheetLayoutView="100" workbookViewId="0">
      <selection activeCell="A84" sqref="A84"/>
    </sheetView>
  </sheetViews>
  <sheetFormatPr baseColWidth="10" defaultColWidth="9.28515625" defaultRowHeight="12.75" x14ac:dyDescent="0.2"/>
  <cols>
    <col min="1" max="2" width="9.28515625" style="82" customWidth="1"/>
    <col min="3" max="4" width="9.28515625" style="82"/>
    <col min="5" max="5" width="10.140625" style="82" bestFit="1" customWidth="1"/>
    <col min="6" max="9" width="9.28515625" style="82"/>
    <col min="10" max="10" width="9.5703125" style="82" customWidth="1"/>
    <col min="11" max="16384" width="9.28515625" style="82"/>
  </cols>
  <sheetData>
    <row r="1" spans="1:17" s="1554" customFormat="1" ht="54" customHeight="1" x14ac:dyDescent="0.2">
      <c r="A1" s="1557"/>
      <c r="D1" s="1556"/>
      <c r="E1" s="1556"/>
      <c r="F1" s="1556"/>
      <c r="G1" s="1556"/>
      <c r="H1" s="67"/>
      <c r="I1" s="67"/>
      <c r="J1" s="67"/>
      <c r="K1" s="67"/>
      <c r="L1" s="67"/>
      <c r="M1" s="67"/>
      <c r="N1" s="67"/>
      <c r="O1" s="67"/>
      <c r="P1" s="67"/>
      <c r="Q1" s="67"/>
    </row>
    <row r="2" spans="1:17" s="1554" customFormat="1" ht="15" customHeight="1" x14ac:dyDescent="0.25">
      <c r="A2" s="1558" t="str">
        <f>CONCATENATE("Variantenvergleich Energiesysteme - Version ",Versionsinfo!$B$4)</f>
        <v>Variantenvergleich Energiesysteme - Version 3.0</v>
      </c>
      <c r="B2" s="69"/>
      <c r="C2" s="69"/>
      <c r="D2" s="69"/>
      <c r="E2" s="69"/>
      <c r="F2" s="651"/>
      <c r="G2" s="652" t="s">
        <v>586</v>
      </c>
      <c r="H2" s="719"/>
      <c r="I2" s="719"/>
      <c r="J2" s="719"/>
      <c r="K2" s="67"/>
      <c r="L2" s="67"/>
      <c r="M2" s="67"/>
      <c r="N2" s="67"/>
      <c r="O2" s="67"/>
      <c r="P2" s="67"/>
      <c r="Q2" s="67"/>
    </row>
    <row r="3" spans="1:17" ht="12.75" customHeight="1" x14ac:dyDescent="0.2">
      <c r="A3" s="1557" t="s">
        <v>781</v>
      </c>
      <c r="H3" s="719"/>
      <c r="I3" s="719"/>
      <c r="J3" s="719"/>
      <c r="K3" s="67"/>
      <c r="L3" s="67"/>
      <c r="M3" s="67"/>
      <c r="N3" s="67"/>
      <c r="O3" s="67"/>
      <c r="P3" s="67"/>
      <c r="Q3" s="67"/>
    </row>
    <row r="4" spans="1:17" ht="18" customHeight="1" x14ac:dyDescent="0.2">
      <c r="A4" s="411"/>
    </row>
    <row r="5" spans="1:17" ht="18" customHeight="1" x14ac:dyDescent="0.2">
      <c r="A5" s="1563" t="s">
        <v>695</v>
      </c>
    </row>
    <row r="6" spans="1:17" s="1555" customFormat="1" ht="12" customHeight="1" x14ac:dyDescent="0.2">
      <c r="A6" s="1563"/>
    </row>
    <row r="7" spans="1:17" ht="18" customHeight="1" x14ac:dyDescent="0.25">
      <c r="A7" s="1647" t="s">
        <v>157</v>
      </c>
      <c r="B7" s="1647"/>
      <c r="C7" s="1647"/>
      <c r="D7" s="1647"/>
      <c r="E7" s="1647"/>
      <c r="F7" s="1647"/>
      <c r="G7" s="1647"/>
      <c r="H7" s="1647"/>
      <c r="I7" s="1647"/>
      <c r="J7" s="1647"/>
    </row>
    <row r="8" spans="1:17" ht="27.75" customHeight="1" x14ac:dyDescent="0.2">
      <c r="A8" s="1701" t="s">
        <v>158</v>
      </c>
      <c r="B8" s="1701"/>
      <c r="C8" s="1701"/>
      <c r="D8" s="1701"/>
      <c r="E8" s="1701"/>
      <c r="F8" s="1701"/>
      <c r="G8" s="1701"/>
      <c r="H8" s="1701"/>
      <c r="I8" s="1701"/>
      <c r="J8" s="1701"/>
    </row>
    <row r="9" spans="1:17" ht="12.75" customHeight="1" x14ac:dyDescent="0.2"/>
    <row r="10" spans="1:17" s="53" customFormat="1" ht="78" customHeight="1" x14ac:dyDescent="0.2">
      <c r="A10" s="86" t="s">
        <v>156</v>
      </c>
      <c r="C10" s="1669" t="s">
        <v>731</v>
      </c>
      <c r="D10" s="1669"/>
      <c r="E10" s="1669"/>
      <c r="F10" s="1669"/>
      <c r="G10" s="1669"/>
      <c r="H10" s="1669"/>
      <c r="I10" s="1669"/>
      <c r="J10" s="1669"/>
    </row>
    <row r="11" spans="1:17" ht="9.75" customHeight="1" x14ac:dyDescent="0.2"/>
    <row r="12" spans="1:17" s="53" customFormat="1" ht="91.5" customHeight="1" x14ac:dyDescent="0.2">
      <c r="A12" s="86" t="s">
        <v>159</v>
      </c>
      <c r="C12" s="1669" t="s">
        <v>160</v>
      </c>
      <c r="D12" s="1669"/>
      <c r="E12" s="1669"/>
      <c r="F12" s="1669"/>
      <c r="G12" s="1669"/>
      <c r="H12" s="1669"/>
      <c r="I12" s="1669"/>
      <c r="J12" s="1669"/>
    </row>
    <row r="13" spans="1:17" ht="179.25" customHeight="1" x14ac:dyDescent="0.2">
      <c r="C13" s="1696"/>
      <c r="D13" s="1696"/>
      <c r="E13" s="1696"/>
      <c r="F13" s="1696"/>
      <c r="G13" s="1696"/>
      <c r="H13" s="1696"/>
      <c r="I13" s="1696"/>
      <c r="J13" s="1696"/>
    </row>
    <row r="14" spans="1:17" ht="9.75" customHeight="1" x14ac:dyDescent="0.2"/>
    <row r="15" spans="1:17" s="53" customFormat="1" ht="15.75" customHeight="1" x14ac:dyDescent="0.2">
      <c r="A15" s="86" t="s">
        <v>163</v>
      </c>
      <c r="C15" s="1697" t="s">
        <v>164</v>
      </c>
      <c r="D15" s="1697"/>
      <c r="E15" s="1697"/>
      <c r="F15" s="1697"/>
      <c r="G15" s="1697"/>
      <c r="H15" s="1697"/>
      <c r="I15" s="1697"/>
      <c r="J15" s="1697"/>
    </row>
    <row r="16" spans="1:17" s="53" customFormat="1" ht="27.75" customHeight="1" x14ac:dyDescent="0.2">
      <c r="C16" s="1692" t="s">
        <v>556</v>
      </c>
      <c r="D16" s="1692"/>
      <c r="E16" s="1692"/>
      <c r="F16" s="1692"/>
      <c r="G16" s="1692"/>
      <c r="H16" s="1692"/>
      <c r="I16" s="1692"/>
      <c r="J16" s="1692"/>
    </row>
    <row r="17" spans="1:15" s="53" customFormat="1" ht="54" customHeight="1" x14ac:dyDescent="0.2">
      <c r="C17" s="1695" t="s">
        <v>623</v>
      </c>
      <c r="D17" s="1692"/>
      <c r="E17" s="1692"/>
      <c r="F17" s="1692"/>
      <c r="G17" s="1692"/>
      <c r="H17" s="1692"/>
      <c r="I17" s="1692"/>
      <c r="J17" s="1692"/>
    </row>
    <row r="18" spans="1:15" s="53" customFormat="1" ht="27.75" customHeight="1" x14ac:dyDescent="0.2">
      <c r="C18" s="1695" t="s">
        <v>558</v>
      </c>
      <c r="D18" s="1692"/>
      <c r="E18" s="1692"/>
      <c r="F18" s="1692"/>
      <c r="G18" s="1692"/>
      <c r="H18" s="1692"/>
      <c r="I18" s="1692"/>
      <c r="J18" s="1692"/>
    </row>
    <row r="19" spans="1:15" s="53" customFormat="1" ht="15.75" customHeight="1" x14ac:dyDescent="0.2">
      <c r="C19" s="1695" t="s">
        <v>559</v>
      </c>
      <c r="D19" s="1692"/>
      <c r="E19" s="1692"/>
      <c r="F19" s="1692"/>
      <c r="G19" s="1692"/>
      <c r="H19" s="1692"/>
      <c r="I19" s="1692"/>
      <c r="J19" s="1692"/>
      <c r="L19" s="90"/>
    </row>
    <row r="20" spans="1:15" s="53" customFormat="1" ht="15.75" customHeight="1" x14ac:dyDescent="0.2">
      <c r="C20" s="1695" t="s">
        <v>669</v>
      </c>
      <c r="D20" s="1692"/>
      <c r="E20" s="1692"/>
      <c r="F20" s="1692"/>
      <c r="G20" s="1692"/>
      <c r="H20" s="1692"/>
      <c r="I20" s="1692"/>
      <c r="J20" s="1692"/>
    </row>
    <row r="21" spans="1:15" s="53" customFormat="1" ht="27.75" customHeight="1" x14ac:dyDescent="0.2">
      <c r="C21" s="1695" t="s">
        <v>799</v>
      </c>
      <c r="D21" s="1692"/>
      <c r="E21" s="1692"/>
      <c r="F21" s="1692"/>
      <c r="G21" s="1692"/>
      <c r="H21" s="1692"/>
      <c r="I21" s="1692"/>
      <c r="J21" s="1692"/>
    </row>
    <row r="22" spans="1:15" s="53" customFormat="1" ht="15.75" customHeight="1" x14ac:dyDescent="0.2">
      <c r="C22" s="1695" t="s">
        <v>501</v>
      </c>
      <c r="D22" s="1692"/>
      <c r="E22" s="1692"/>
      <c r="F22" s="1692"/>
      <c r="G22" s="1692"/>
      <c r="H22" s="1692"/>
      <c r="I22" s="1692"/>
      <c r="J22" s="1692"/>
    </row>
    <row r="23" spans="1:15" s="53" customFormat="1" ht="27" customHeight="1" x14ac:dyDescent="0.2">
      <c r="A23" s="86"/>
      <c r="C23" s="1669" t="s">
        <v>168</v>
      </c>
      <c r="D23" s="1669"/>
      <c r="E23" s="1669"/>
      <c r="F23" s="1669"/>
      <c r="G23" s="1669"/>
      <c r="H23" s="1669"/>
      <c r="I23" s="1669"/>
      <c r="J23" s="1669"/>
    </row>
    <row r="24" spans="1:15" s="53" customFormat="1" ht="9.75" customHeight="1" x14ac:dyDescent="0.2">
      <c r="A24" s="86"/>
      <c r="C24" s="89"/>
      <c r="D24" s="89"/>
      <c r="E24" s="89"/>
      <c r="F24" s="89"/>
      <c r="G24" s="89"/>
      <c r="H24" s="89"/>
      <c r="I24" s="89"/>
      <c r="J24" s="89"/>
    </row>
    <row r="25" spans="1:15" ht="15" customHeight="1" x14ac:dyDescent="0.2">
      <c r="A25" s="88" t="s">
        <v>161</v>
      </c>
      <c r="B25" s="1"/>
      <c r="C25" s="1671" t="s">
        <v>170</v>
      </c>
      <c r="D25" s="1671"/>
      <c r="E25" s="1671" t="s">
        <v>171</v>
      </c>
      <c r="F25" s="1671"/>
      <c r="G25" s="1671"/>
      <c r="H25" s="1671" t="s">
        <v>169</v>
      </c>
      <c r="I25" s="1671"/>
      <c r="J25" s="1671"/>
    </row>
    <row r="26" spans="1:15" s="53" customFormat="1" ht="14.25" customHeight="1" x14ac:dyDescent="0.2">
      <c r="C26" s="1645" t="s">
        <v>97</v>
      </c>
      <c r="D26" s="1646"/>
      <c r="E26" s="1677" t="s">
        <v>173</v>
      </c>
      <c r="F26" s="1678"/>
      <c r="G26" s="1679"/>
      <c r="H26" s="1636" t="s">
        <v>797</v>
      </c>
      <c r="I26" s="1637"/>
      <c r="J26" s="1638"/>
    </row>
    <row r="27" spans="1:15" ht="27.75" customHeight="1" x14ac:dyDescent="0.2">
      <c r="C27" s="1634"/>
      <c r="D27" s="1635"/>
      <c r="E27" s="1680"/>
      <c r="F27" s="1681"/>
      <c r="G27" s="1682"/>
      <c r="H27" s="1663" t="s">
        <v>172</v>
      </c>
      <c r="I27" s="1664"/>
      <c r="J27" s="1664"/>
    </row>
    <row r="28" spans="1:15" s="157" customFormat="1" ht="41.25" customHeight="1" x14ac:dyDescent="0.2">
      <c r="C28" s="155"/>
      <c r="D28" s="156"/>
      <c r="E28" s="1680"/>
      <c r="F28" s="1681"/>
      <c r="G28" s="1682"/>
      <c r="H28" s="1663" t="s">
        <v>732</v>
      </c>
      <c r="I28" s="1664"/>
      <c r="J28" s="1664"/>
      <c r="O28" s="722"/>
    </row>
    <row r="29" spans="1:15" ht="27.75" customHeight="1" x14ac:dyDescent="0.2">
      <c r="C29" s="1702"/>
      <c r="D29" s="1703"/>
      <c r="E29" s="1680"/>
      <c r="F29" s="1681"/>
      <c r="G29" s="1682"/>
      <c r="H29" s="1663" t="s">
        <v>183</v>
      </c>
      <c r="I29" s="1664"/>
      <c r="J29" s="1664"/>
    </row>
    <row r="30" spans="1:15" ht="27.75" customHeight="1" x14ac:dyDescent="0.2">
      <c r="C30" s="1656"/>
      <c r="D30" s="1657"/>
      <c r="E30" s="1698"/>
      <c r="F30" s="1699"/>
      <c r="G30" s="1700"/>
      <c r="H30" s="1665" t="s">
        <v>798</v>
      </c>
      <c r="I30" s="1666"/>
      <c r="J30" s="1666"/>
      <c r="L30" s="58"/>
    </row>
    <row r="31" spans="1:15" s="53" customFormat="1" ht="14.25" customHeight="1" x14ac:dyDescent="0.2">
      <c r="C31" s="1648" t="s">
        <v>214</v>
      </c>
      <c r="D31" s="1649"/>
      <c r="E31" s="1677" t="s">
        <v>734</v>
      </c>
      <c r="F31" s="1678"/>
      <c r="G31" s="1679"/>
      <c r="H31" s="1636" t="s">
        <v>650</v>
      </c>
      <c r="I31" s="1637"/>
      <c r="J31" s="1638"/>
    </row>
    <row r="32" spans="1:15" s="53" customFormat="1" ht="39.75" customHeight="1" x14ac:dyDescent="0.2">
      <c r="C32" s="648"/>
      <c r="D32" s="649"/>
      <c r="E32" s="1680"/>
      <c r="F32" s="1681"/>
      <c r="G32" s="1682"/>
      <c r="H32" s="1639"/>
      <c r="I32" s="1640"/>
      <c r="J32" s="1641"/>
    </row>
    <row r="33" spans="3:10" s="621" customFormat="1" ht="54.75" customHeight="1" x14ac:dyDescent="0.2">
      <c r="C33" s="619"/>
      <c r="D33" s="620"/>
      <c r="E33" s="1650"/>
      <c r="F33" s="1651"/>
      <c r="G33" s="1652"/>
      <c r="H33" s="1663" t="s">
        <v>560</v>
      </c>
      <c r="I33" s="1664"/>
      <c r="J33" s="1664"/>
    </row>
    <row r="34" spans="3:10" s="621" customFormat="1" ht="27.75" customHeight="1" x14ac:dyDescent="0.2">
      <c r="C34" s="619"/>
      <c r="D34" s="620"/>
      <c r="E34" s="1650"/>
      <c r="F34" s="1651"/>
      <c r="G34" s="1652"/>
      <c r="H34" s="1663" t="s">
        <v>644</v>
      </c>
      <c r="I34" s="1664"/>
      <c r="J34" s="1664"/>
    </row>
    <row r="35" spans="3:10" s="83" customFormat="1" ht="27.75" customHeight="1" x14ac:dyDescent="0.2">
      <c r="C35" s="1656"/>
      <c r="D35" s="1657"/>
      <c r="E35" s="1653"/>
      <c r="F35" s="1654"/>
      <c r="G35" s="1655"/>
      <c r="H35" s="1665" t="s">
        <v>733</v>
      </c>
      <c r="I35" s="1666"/>
      <c r="J35" s="1666"/>
    </row>
    <row r="36" spans="3:10" s="53" customFormat="1" ht="14.25" customHeight="1" x14ac:dyDescent="0.2">
      <c r="C36" s="1667" t="s">
        <v>175</v>
      </c>
      <c r="D36" s="1668"/>
      <c r="E36" s="1660" t="s">
        <v>174</v>
      </c>
      <c r="F36" s="1660"/>
      <c r="G36" s="1660"/>
      <c r="H36" s="1636" t="s">
        <v>180</v>
      </c>
      <c r="I36" s="1637"/>
      <c r="J36" s="1638"/>
    </row>
    <row r="37" spans="3:10" s="53" customFormat="1" ht="12" customHeight="1" x14ac:dyDescent="0.2">
      <c r="C37" s="1634"/>
      <c r="D37" s="1635"/>
      <c r="E37" s="1661"/>
      <c r="F37" s="1661"/>
      <c r="G37" s="1661"/>
      <c r="H37" s="1639"/>
      <c r="I37" s="1640"/>
      <c r="J37" s="1641"/>
    </row>
    <row r="38" spans="3:10" s="83" customFormat="1" ht="27.75" customHeight="1" x14ac:dyDescent="0.2">
      <c r="C38" s="1634"/>
      <c r="D38" s="1635"/>
      <c r="E38" s="1661"/>
      <c r="F38" s="1661"/>
      <c r="G38" s="1661"/>
      <c r="H38" s="1663" t="s">
        <v>176</v>
      </c>
      <c r="I38" s="1664"/>
      <c r="J38" s="1664"/>
    </row>
    <row r="39" spans="3:10" s="621" customFormat="1" ht="27" customHeight="1" x14ac:dyDescent="0.2">
      <c r="C39" s="1634"/>
      <c r="D39" s="1635"/>
      <c r="E39" s="1661"/>
      <c r="F39" s="1661"/>
      <c r="G39" s="1661"/>
      <c r="H39" s="1663" t="s">
        <v>552</v>
      </c>
      <c r="I39" s="1664"/>
      <c r="J39" s="1664"/>
    </row>
    <row r="40" spans="3:10" s="83" customFormat="1" ht="27.75" customHeight="1" x14ac:dyDescent="0.2">
      <c r="C40" s="1656"/>
      <c r="D40" s="1657"/>
      <c r="E40" s="1662"/>
      <c r="F40" s="1662"/>
      <c r="G40" s="1662"/>
      <c r="H40" s="1665" t="s">
        <v>177</v>
      </c>
      <c r="I40" s="1666"/>
      <c r="J40" s="1666"/>
    </row>
    <row r="41" spans="3:10" s="53" customFormat="1" ht="14.25" customHeight="1" x14ac:dyDescent="0.2">
      <c r="C41" s="1658" t="s">
        <v>179</v>
      </c>
      <c r="D41" s="1659"/>
      <c r="E41" s="1660" t="s">
        <v>626</v>
      </c>
      <c r="F41" s="1660"/>
      <c r="G41" s="1660"/>
      <c r="H41" s="1636" t="s">
        <v>181</v>
      </c>
      <c r="I41" s="1637"/>
      <c r="J41" s="1638"/>
    </row>
    <row r="42" spans="3:10" s="53" customFormat="1" ht="25.5" customHeight="1" x14ac:dyDescent="0.2">
      <c r="C42" s="1634"/>
      <c r="D42" s="1635"/>
      <c r="E42" s="1661"/>
      <c r="F42" s="1661"/>
      <c r="G42" s="1661"/>
      <c r="H42" s="1639"/>
      <c r="I42" s="1640"/>
      <c r="J42" s="1641"/>
    </row>
    <row r="43" spans="3:10" s="83" customFormat="1" ht="27" customHeight="1" x14ac:dyDescent="0.2">
      <c r="C43" s="1634"/>
      <c r="D43" s="1635"/>
      <c r="E43" s="1661"/>
      <c r="F43" s="1661"/>
      <c r="G43" s="1661"/>
      <c r="H43" s="1663" t="s">
        <v>639</v>
      </c>
      <c r="I43" s="1664"/>
      <c r="J43" s="1664"/>
    </row>
    <row r="44" spans="3:10" s="83" customFormat="1" ht="15.75" customHeight="1" x14ac:dyDescent="0.2">
      <c r="C44" s="1656"/>
      <c r="D44" s="1657"/>
      <c r="E44" s="1662"/>
      <c r="F44" s="1662"/>
      <c r="G44" s="1662"/>
      <c r="H44" s="1665" t="s">
        <v>553</v>
      </c>
      <c r="I44" s="1666"/>
      <c r="J44" s="1666"/>
    </row>
    <row r="45" spans="3:10" s="53" customFormat="1" ht="14.25" customHeight="1" x14ac:dyDescent="0.2">
      <c r="C45" s="1690" t="s">
        <v>502</v>
      </c>
      <c r="D45" s="1691"/>
      <c r="E45" s="1660" t="s">
        <v>503</v>
      </c>
      <c r="F45" s="1660"/>
      <c r="G45" s="1660"/>
      <c r="H45" s="1636" t="s">
        <v>181</v>
      </c>
      <c r="I45" s="1637"/>
      <c r="J45" s="1638"/>
    </row>
    <row r="46" spans="3:10" s="53" customFormat="1" ht="24.75" customHeight="1" x14ac:dyDescent="0.2">
      <c r="C46" s="1634"/>
      <c r="D46" s="1635"/>
      <c r="E46" s="1661"/>
      <c r="F46" s="1661"/>
      <c r="G46" s="1661"/>
      <c r="H46" s="1639"/>
      <c r="I46" s="1640"/>
      <c r="J46" s="1641"/>
    </row>
    <row r="47" spans="3:10" s="578" customFormat="1" ht="27" customHeight="1" x14ac:dyDescent="0.2">
      <c r="C47" s="1634"/>
      <c r="D47" s="1635"/>
      <c r="E47" s="1661"/>
      <c r="F47" s="1661"/>
      <c r="G47" s="1661"/>
      <c r="H47" s="1663" t="s">
        <v>639</v>
      </c>
      <c r="I47" s="1664"/>
      <c r="J47" s="1664"/>
    </row>
    <row r="48" spans="3:10" s="53" customFormat="1" ht="14.25" customHeight="1" x14ac:dyDescent="0.2">
      <c r="C48" s="1672" t="s">
        <v>163</v>
      </c>
      <c r="D48" s="1673"/>
      <c r="E48" s="1660" t="s">
        <v>203</v>
      </c>
      <c r="F48" s="1660"/>
      <c r="G48" s="1660"/>
      <c r="H48" s="1636" t="s">
        <v>561</v>
      </c>
      <c r="I48" s="1637"/>
      <c r="J48" s="1638"/>
    </row>
    <row r="49" spans="1:10" s="53" customFormat="1" ht="12.75" customHeight="1" x14ac:dyDescent="0.2">
      <c r="C49" s="1693"/>
      <c r="D49" s="1694"/>
      <c r="E49" s="1661"/>
      <c r="F49" s="1661"/>
      <c r="G49" s="1661"/>
      <c r="H49" s="1639"/>
      <c r="I49" s="1640"/>
      <c r="J49" s="1641"/>
    </row>
    <row r="50" spans="1:10" s="91" customFormat="1" ht="41.25" customHeight="1" x14ac:dyDescent="0.2">
      <c r="C50" s="1634"/>
      <c r="D50" s="1635"/>
      <c r="E50" s="1661"/>
      <c r="F50" s="1661"/>
      <c r="G50" s="1661"/>
      <c r="H50" s="1663" t="s">
        <v>184</v>
      </c>
      <c r="I50" s="1664"/>
      <c r="J50" s="1664"/>
    </row>
    <row r="51" spans="1:10" s="91" customFormat="1" ht="41.25" customHeight="1" x14ac:dyDescent="0.2">
      <c r="C51" s="1656"/>
      <c r="D51" s="1657"/>
      <c r="E51" s="1662"/>
      <c r="F51" s="1662"/>
      <c r="G51" s="1662"/>
      <c r="H51" s="1665" t="s">
        <v>185</v>
      </c>
      <c r="I51" s="1666"/>
      <c r="J51" s="1666"/>
    </row>
    <row r="52" spans="1:10" s="53" customFormat="1" ht="14.25" customHeight="1" x14ac:dyDescent="0.2">
      <c r="C52" s="1684" t="s">
        <v>95</v>
      </c>
      <c r="D52" s="1685"/>
      <c r="E52" s="1660" t="s">
        <v>736</v>
      </c>
      <c r="F52" s="1660"/>
      <c r="G52" s="1660"/>
      <c r="H52" s="1686" t="s">
        <v>186</v>
      </c>
      <c r="I52" s="1686"/>
      <c r="J52" s="1686"/>
    </row>
    <row r="53" spans="1:10" s="91" customFormat="1" ht="54" customHeight="1" x14ac:dyDescent="0.2">
      <c r="C53" s="1656"/>
      <c r="D53" s="1657"/>
      <c r="E53" s="1662"/>
      <c r="F53" s="1662"/>
      <c r="G53" s="1662"/>
      <c r="H53" s="1687" t="s">
        <v>696</v>
      </c>
      <c r="I53" s="1688"/>
      <c r="J53" s="1689"/>
    </row>
    <row r="54" spans="1:10" ht="7.5" customHeight="1" x14ac:dyDescent="0.2"/>
    <row r="55" spans="1:10" s="53" customFormat="1" ht="12.75" customHeight="1" x14ac:dyDescent="0.2">
      <c r="A55" s="86"/>
      <c r="C55" s="87" t="s">
        <v>627</v>
      </c>
    </row>
    <row r="56" spans="1:10" s="53" customFormat="1" ht="27" customHeight="1" x14ac:dyDescent="0.2">
      <c r="A56" s="86"/>
      <c r="C56" s="1692" t="s">
        <v>735</v>
      </c>
      <c r="D56" s="1692"/>
      <c r="E56" s="1692"/>
      <c r="F56" s="1692"/>
      <c r="G56" s="1692"/>
      <c r="H56" s="1692"/>
      <c r="I56" s="1692"/>
      <c r="J56" s="1692"/>
    </row>
    <row r="57" spans="1:10" s="110" customFormat="1" x14ac:dyDescent="0.2"/>
    <row r="58" spans="1:10" s="110" customFormat="1" ht="26.25" customHeight="1" x14ac:dyDescent="0.2">
      <c r="A58" s="86" t="s">
        <v>193</v>
      </c>
      <c r="B58" s="53"/>
      <c r="C58" s="1669" t="s">
        <v>202</v>
      </c>
      <c r="D58" s="1670"/>
      <c r="E58" s="1670"/>
      <c r="F58" s="1670"/>
      <c r="G58" s="1670"/>
      <c r="H58" s="1670"/>
      <c r="I58" s="1670"/>
      <c r="J58" s="1670"/>
    </row>
    <row r="59" spans="1:10" s="110" customFormat="1" ht="7.5" customHeight="1" x14ac:dyDescent="0.2"/>
    <row r="60" spans="1:10" x14ac:dyDescent="0.2">
      <c r="C60" s="104" t="s">
        <v>189</v>
      </c>
      <c r="D60" s="105"/>
      <c r="E60" s="105"/>
      <c r="F60" s="105"/>
      <c r="G60" s="58" t="s">
        <v>190</v>
      </c>
    </row>
    <row r="61" spans="1:10" x14ac:dyDescent="0.2">
      <c r="C61" s="106" t="s">
        <v>191</v>
      </c>
      <c r="D61" s="107"/>
      <c r="E61" s="107"/>
      <c r="F61" s="107"/>
      <c r="G61" s="108" t="s">
        <v>192</v>
      </c>
      <c r="H61" s="109"/>
      <c r="I61" s="109"/>
      <c r="J61" s="109"/>
    </row>
    <row r="62" spans="1:10" x14ac:dyDescent="0.2">
      <c r="C62" s="58" t="s">
        <v>194</v>
      </c>
    </row>
    <row r="63" spans="1:10" ht="7.5" customHeight="1" x14ac:dyDescent="0.2"/>
    <row r="64" spans="1:10" x14ac:dyDescent="0.2">
      <c r="C64" s="102" t="s">
        <v>196</v>
      </c>
      <c r="D64" s="103"/>
      <c r="E64" s="103"/>
      <c r="F64" s="103"/>
      <c r="G64" s="103"/>
      <c r="H64" s="103"/>
      <c r="I64" s="103"/>
    </row>
    <row r="66" spans="1:10" ht="9" customHeight="1" x14ac:dyDescent="0.2"/>
    <row r="67" spans="1:10" s="110" customFormat="1" x14ac:dyDescent="0.2"/>
    <row r="68" spans="1:10" s="110" customFormat="1" ht="52.5" customHeight="1" x14ac:dyDescent="0.2">
      <c r="A68" s="1683" t="s">
        <v>199</v>
      </c>
      <c r="B68" s="1683"/>
      <c r="C68" s="1669" t="s">
        <v>200</v>
      </c>
      <c r="D68" s="1670"/>
      <c r="E68" s="1670"/>
      <c r="F68" s="1670"/>
      <c r="G68" s="1670"/>
      <c r="H68" s="1670"/>
      <c r="I68" s="1670"/>
      <c r="J68" s="1670"/>
    </row>
    <row r="69" spans="1:10" s="110" customFormat="1" ht="7.5" customHeight="1" x14ac:dyDescent="0.2"/>
    <row r="70" spans="1:10" ht="39" customHeight="1" x14ac:dyDescent="0.2">
      <c r="C70" s="1669" t="s">
        <v>201</v>
      </c>
      <c r="D70" s="1670"/>
      <c r="E70" s="1670"/>
      <c r="F70" s="1670"/>
      <c r="G70" s="1670"/>
      <c r="H70" s="1670"/>
      <c r="I70" s="1670"/>
      <c r="J70" s="1670"/>
    </row>
    <row r="71" spans="1:10" ht="7.5" customHeight="1" x14ac:dyDescent="0.2"/>
    <row r="72" spans="1:10" s="110" customFormat="1" ht="26.25" customHeight="1" x14ac:dyDescent="0.2">
      <c r="C72" s="1669" t="s">
        <v>697</v>
      </c>
      <c r="D72" s="1670"/>
      <c r="E72" s="1670"/>
      <c r="F72" s="1670"/>
      <c r="G72" s="1670"/>
      <c r="H72" s="1670"/>
      <c r="I72" s="1670"/>
      <c r="J72" s="1670"/>
    </row>
    <row r="73" spans="1:10" s="722" customFormat="1" ht="14.25" customHeight="1" x14ac:dyDescent="0.2"/>
    <row r="74" spans="1:10" s="722" customFormat="1" x14ac:dyDescent="0.2">
      <c r="A74" s="68" t="s">
        <v>737</v>
      </c>
      <c r="C74" s="1671" t="s">
        <v>170</v>
      </c>
      <c r="D74" s="1671"/>
      <c r="E74" s="1671" t="s">
        <v>153</v>
      </c>
      <c r="F74" s="1671"/>
      <c r="G74" s="1671"/>
      <c r="H74" s="1671"/>
      <c r="I74" s="1671"/>
      <c r="J74" s="1671"/>
    </row>
    <row r="75" spans="1:10" s="722" customFormat="1" ht="12.75" customHeight="1" x14ac:dyDescent="0.2">
      <c r="C75" s="1645" t="s">
        <v>97</v>
      </c>
      <c r="D75" s="1646"/>
      <c r="E75" s="1639" t="s">
        <v>800</v>
      </c>
      <c r="F75" s="1640"/>
      <c r="G75" s="1640"/>
      <c r="H75" s="1640"/>
      <c r="I75" s="1640"/>
      <c r="J75" s="1641"/>
    </row>
    <row r="76" spans="1:10" s="1590" customFormat="1" ht="14.25" customHeight="1" x14ac:dyDescent="0.2">
      <c r="C76" s="1487"/>
      <c r="D76" s="1488"/>
      <c r="E76" s="1639"/>
      <c r="F76" s="1640"/>
      <c r="G76" s="1640"/>
      <c r="H76" s="1640"/>
      <c r="I76" s="1640"/>
      <c r="J76" s="1641"/>
    </row>
    <row r="77" spans="1:10" s="722" customFormat="1" ht="39" customHeight="1" x14ac:dyDescent="0.2">
      <c r="C77" s="1496"/>
      <c r="D77" s="1497"/>
      <c r="E77" s="1639" t="s">
        <v>739</v>
      </c>
      <c r="F77" s="1640"/>
      <c r="G77" s="1640"/>
      <c r="H77" s="1640"/>
      <c r="I77" s="1640"/>
      <c r="J77" s="1641"/>
    </row>
    <row r="78" spans="1:10" s="722" customFormat="1" ht="66.75" customHeight="1" x14ac:dyDescent="0.2">
      <c r="C78" s="1498"/>
      <c r="D78" s="1499"/>
      <c r="E78" s="1642" t="s">
        <v>760</v>
      </c>
      <c r="F78" s="1643"/>
      <c r="G78" s="1643"/>
      <c r="H78" s="1643"/>
      <c r="I78" s="1643"/>
      <c r="J78" s="1644"/>
    </row>
    <row r="79" spans="1:10" s="722" customFormat="1" ht="12.75" customHeight="1" x14ac:dyDescent="0.2">
      <c r="C79" s="1648" t="s">
        <v>214</v>
      </c>
      <c r="D79" s="1649"/>
      <c r="E79" s="1636" t="s">
        <v>738</v>
      </c>
      <c r="F79" s="1637"/>
      <c r="G79" s="1637"/>
      <c r="H79" s="1637"/>
      <c r="I79" s="1637"/>
      <c r="J79" s="1638"/>
    </row>
    <row r="80" spans="1:10" s="722" customFormat="1" ht="27.75" customHeight="1" x14ac:dyDescent="0.2">
      <c r="C80" s="1487"/>
      <c r="D80" s="1488"/>
      <c r="E80" s="1639"/>
      <c r="F80" s="1640"/>
      <c r="G80" s="1640"/>
      <c r="H80" s="1640"/>
      <c r="I80" s="1640"/>
      <c r="J80" s="1641"/>
    </row>
    <row r="81" spans="1:10" s="722" customFormat="1" ht="12.75" customHeight="1" x14ac:dyDescent="0.2">
      <c r="C81" s="1658" t="s">
        <v>178</v>
      </c>
      <c r="D81" s="1659"/>
      <c r="E81" s="1636" t="s">
        <v>741</v>
      </c>
      <c r="F81" s="1637"/>
      <c r="G81" s="1637"/>
      <c r="H81" s="1637"/>
      <c r="I81" s="1637"/>
      <c r="J81" s="1638"/>
    </row>
    <row r="82" spans="1:10" s="722" customFormat="1" ht="15" customHeight="1" x14ac:dyDescent="0.2">
      <c r="C82" s="1485"/>
      <c r="D82" s="1486"/>
      <c r="E82" s="1642"/>
      <c r="F82" s="1643"/>
      <c r="G82" s="1643"/>
      <c r="H82" s="1643"/>
      <c r="I82" s="1643"/>
      <c r="J82" s="1644"/>
    </row>
    <row r="83" spans="1:10" s="722" customFormat="1" ht="13.5" customHeight="1" x14ac:dyDescent="0.2">
      <c r="C83" s="1672" t="s">
        <v>163</v>
      </c>
      <c r="D83" s="1673"/>
      <c r="E83" s="1636" t="s">
        <v>740</v>
      </c>
      <c r="F83" s="1637"/>
      <c r="G83" s="1637"/>
      <c r="H83" s="1637"/>
      <c r="I83" s="1637"/>
      <c r="J83" s="1638"/>
    </row>
    <row r="84" spans="1:10" s="722" customFormat="1" ht="27.75" customHeight="1" x14ac:dyDescent="0.2">
      <c r="A84" s="653"/>
      <c r="C84" s="1489"/>
      <c r="D84" s="1490"/>
      <c r="E84" s="1674"/>
      <c r="F84" s="1675"/>
      <c r="G84" s="1675"/>
      <c r="H84" s="1675"/>
      <c r="I84" s="1675"/>
      <c r="J84" s="1676"/>
    </row>
    <row r="85" spans="1:10" s="703" customFormat="1" ht="14.25" hidden="1" customHeight="1" x14ac:dyDescent="0.2"/>
    <row r="86" spans="1:10" s="703" customFormat="1" hidden="1" x14ac:dyDescent="0.2">
      <c r="A86" s="68" t="s">
        <v>682</v>
      </c>
      <c r="C86" s="1671" t="s">
        <v>170</v>
      </c>
      <c r="D86" s="1671"/>
      <c r="E86" s="1671" t="s">
        <v>153</v>
      </c>
      <c r="F86" s="1671"/>
      <c r="G86" s="1671"/>
      <c r="H86" s="1671"/>
      <c r="I86" s="1671"/>
      <c r="J86" s="1671"/>
    </row>
    <row r="87" spans="1:10" s="713" customFormat="1" hidden="1" x14ac:dyDescent="0.2">
      <c r="C87" s="1645" t="s">
        <v>97</v>
      </c>
      <c r="D87" s="1646"/>
      <c r="E87" s="1639" t="s">
        <v>691</v>
      </c>
      <c r="F87" s="1640"/>
      <c r="G87" s="1640"/>
      <c r="H87" s="1640"/>
      <c r="I87" s="1640"/>
      <c r="J87" s="1641"/>
    </row>
    <row r="88" spans="1:10" s="713" customFormat="1" ht="13.5" hidden="1" customHeight="1" x14ac:dyDescent="0.2">
      <c r="C88" s="711"/>
      <c r="D88" s="712"/>
      <c r="E88" s="1639"/>
      <c r="F88" s="1640"/>
      <c r="G88" s="1640"/>
      <c r="H88" s="1640"/>
      <c r="I88" s="1640"/>
      <c r="J88" s="1641"/>
    </row>
    <row r="89" spans="1:10" s="703" customFormat="1" ht="13.5" hidden="1" customHeight="1" x14ac:dyDescent="0.2">
      <c r="C89" s="1648" t="s">
        <v>214</v>
      </c>
      <c r="D89" s="1649"/>
      <c r="E89" s="1636" t="s">
        <v>659</v>
      </c>
      <c r="F89" s="1637"/>
      <c r="G89" s="1637"/>
      <c r="H89" s="1637"/>
      <c r="I89" s="1637"/>
      <c r="J89" s="1638"/>
    </row>
    <row r="90" spans="1:10" s="713" customFormat="1" ht="13.5" hidden="1" customHeight="1" x14ac:dyDescent="0.2">
      <c r="C90" s="714"/>
      <c r="D90" s="715"/>
      <c r="E90" s="1639" t="s">
        <v>660</v>
      </c>
      <c r="F90" s="1640"/>
      <c r="G90" s="1640"/>
      <c r="H90" s="1640"/>
      <c r="I90" s="1640"/>
      <c r="J90" s="1641"/>
    </row>
    <row r="91" spans="1:10" s="703" customFormat="1" ht="27" hidden="1" customHeight="1" x14ac:dyDescent="0.2">
      <c r="C91" s="701"/>
      <c r="D91" s="702"/>
      <c r="E91" s="1639" t="s">
        <v>690</v>
      </c>
      <c r="F91" s="1640"/>
      <c r="G91" s="1640"/>
      <c r="H91" s="1640"/>
      <c r="I91" s="1640"/>
      <c r="J91" s="1641"/>
    </row>
    <row r="92" spans="1:10" s="703" customFormat="1" ht="12.75" hidden="1" customHeight="1" x14ac:dyDescent="0.2">
      <c r="C92" s="1690" t="s">
        <v>502</v>
      </c>
      <c r="D92" s="1691"/>
      <c r="E92" s="1636" t="s">
        <v>683</v>
      </c>
      <c r="F92" s="1637"/>
      <c r="G92" s="1637"/>
      <c r="H92" s="1637"/>
      <c r="I92" s="1637"/>
      <c r="J92" s="1638"/>
    </row>
    <row r="93" spans="1:10" s="703" customFormat="1" ht="12.75" hidden="1" customHeight="1" x14ac:dyDescent="0.2">
      <c r="C93" s="701"/>
      <c r="D93" s="702"/>
      <c r="E93" s="1639"/>
      <c r="F93" s="1640"/>
      <c r="G93" s="1640"/>
      <c r="H93" s="1640"/>
      <c r="I93" s="1640"/>
      <c r="J93" s="1641"/>
    </row>
    <row r="94" spans="1:10" s="703" customFormat="1" ht="27" hidden="1" customHeight="1" x14ac:dyDescent="0.2">
      <c r="C94" s="699"/>
      <c r="D94" s="700"/>
      <c r="E94" s="1642" t="s">
        <v>684</v>
      </c>
      <c r="F94" s="1643"/>
      <c r="G94" s="1643"/>
      <c r="H94" s="1643"/>
      <c r="I94" s="1643"/>
      <c r="J94" s="1644"/>
    </row>
    <row r="95" spans="1:10" s="676" customFormat="1" ht="14.25" hidden="1" customHeight="1" x14ac:dyDescent="0.2"/>
    <row r="96" spans="1:10" s="676" customFormat="1" hidden="1" x14ac:dyDescent="0.2">
      <c r="A96" s="68" t="s">
        <v>658</v>
      </c>
      <c r="C96" s="1671" t="s">
        <v>170</v>
      </c>
      <c r="D96" s="1671"/>
      <c r="E96" s="1671" t="s">
        <v>153</v>
      </c>
      <c r="F96" s="1671"/>
      <c r="G96" s="1671"/>
      <c r="H96" s="1671"/>
      <c r="I96" s="1671"/>
      <c r="J96" s="1671"/>
    </row>
    <row r="97" spans="1:10" s="676" customFormat="1" ht="13.5" hidden="1" customHeight="1" x14ac:dyDescent="0.2">
      <c r="C97" s="1648" t="s">
        <v>214</v>
      </c>
      <c r="D97" s="1649"/>
      <c r="E97" s="1636" t="s">
        <v>659</v>
      </c>
      <c r="F97" s="1637"/>
      <c r="G97" s="1637"/>
      <c r="H97" s="1637"/>
      <c r="I97" s="1637"/>
      <c r="J97" s="1638"/>
    </row>
    <row r="98" spans="1:10" s="676" customFormat="1" hidden="1" x14ac:dyDescent="0.2">
      <c r="C98" s="674"/>
      <c r="D98" s="675"/>
      <c r="E98" s="1639" t="s">
        <v>660</v>
      </c>
      <c r="F98" s="1640"/>
      <c r="G98" s="1640"/>
      <c r="H98" s="1640"/>
      <c r="I98" s="1640"/>
      <c r="J98" s="1641"/>
    </row>
    <row r="99" spans="1:10" s="692" customFormat="1" hidden="1" x14ac:dyDescent="0.2">
      <c r="C99" s="690"/>
      <c r="D99" s="691"/>
      <c r="E99" s="1639" t="s">
        <v>665</v>
      </c>
      <c r="F99" s="1640"/>
      <c r="G99" s="1640"/>
      <c r="H99" s="1640"/>
      <c r="I99" s="1640"/>
      <c r="J99" s="1641"/>
    </row>
    <row r="100" spans="1:10" s="676" customFormat="1" ht="14.25" hidden="1" customHeight="1" x14ac:dyDescent="0.2">
      <c r="C100" s="672"/>
      <c r="D100" s="673"/>
      <c r="E100" s="1642" t="s">
        <v>661</v>
      </c>
      <c r="F100" s="1643"/>
      <c r="G100" s="1643"/>
      <c r="H100" s="1643"/>
      <c r="I100" s="1643"/>
      <c r="J100" s="1644"/>
    </row>
    <row r="101" spans="1:10" s="676" customFormat="1" ht="12.75" hidden="1" customHeight="1" x14ac:dyDescent="0.2">
      <c r="C101" s="1667" t="s">
        <v>175</v>
      </c>
      <c r="D101" s="1668"/>
      <c r="E101" s="1636" t="s">
        <v>664</v>
      </c>
      <c r="F101" s="1637"/>
      <c r="G101" s="1637"/>
      <c r="H101" s="1637"/>
      <c r="I101" s="1637"/>
      <c r="J101" s="1638"/>
    </row>
    <row r="102" spans="1:10" s="676" customFormat="1" ht="40.5" hidden="1" customHeight="1" x14ac:dyDescent="0.2">
      <c r="C102" s="672"/>
      <c r="D102" s="673"/>
      <c r="E102" s="1642"/>
      <c r="F102" s="1643"/>
      <c r="G102" s="1643"/>
      <c r="H102" s="1643"/>
      <c r="I102" s="1643"/>
      <c r="J102" s="1644"/>
    </row>
    <row r="103" spans="1:10" s="692" customFormat="1" ht="12.75" hidden="1" customHeight="1" x14ac:dyDescent="0.2">
      <c r="C103" s="1704" t="s">
        <v>179</v>
      </c>
      <c r="D103" s="1705"/>
      <c r="E103" s="1706" t="s">
        <v>666</v>
      </c>
      <c r="F103" s="1707"/>
      <c r="G103" s="1707"/>
      <c r="H103" s="1707"/>
      <c r="I103" s="1707"/>
      <c r="J103" s="1708"/>
    </row>
    <row r="104" spans="1:10" ht="14.25" hidden="1" customHeight="1" x14ac:dyDescent="0.2"/>
    <row r="105" spans="1:10" hidden="1" x14ac:dyDescent="0.2">
      <c r="A105" s="68" t="s">
        <v>585</v>
      </c>
      <c r="C105" s="1671" t="s">
        <v>170</v>
      </c>
      <c r="D105" s="1671"/>
      <c r="E105" s="1671" t="s">
        <v>153</v>
      </c>
      <c r="F105" s="1671"/>
      <c r="G105" s="1671"/>
      <c r="H105" s="1671"/>
      <c r="I105" s="1671"/>
      <c r="J105" s="1671"/>
    </row>
    <row r="106" spans="1:10" hidden="1" x14ac:dyDescent="0.2">
      <c r="C106" s="1645" t="s">
        <v>97</v>
      </c>
      <c r="D106" s="1646"/>
      <c r="E106" s="1639" t="s">
        <v>587</v>
      </c>
      <c r="F106" s="1640"/>
      <c r="G106" s="1640"/>
      <c r="H106" s="1640"/>
      <c r="I106" s="1640"/>
      <c r="J106" s="1641"/>
    </row>
    <row r="107" spans="1:10" ht="13.5" hidden="1" customHeight="1" x14ac:dyDescent="0.2">
      <c r="C107" s="646"/>
      <c r="D107" s="647"/>
      <c r="E107" s="1639"/>
      <c r="F107" s="1640"/>
      <c r="G107" s="1640"/>
      <c r="H107" s="1640"/>
      <c r="I107" s="1640"/>
      <c r="J107" s="1641"/>
    </row>
    <row r="108" spans="1:10" ht="12.75" hidden="1" customHeight="1" x14ac:dyDescent="0.2">
      <c r="C108" s="646"/>
      <c r="D108" s="647"/>
      <c r="E108" s="1639" t="s">
        <v>588</v>
      </c>
      <c r="F108" s="1640"/>
      <c r="G108" s="1640"/>
      <c r="H108" s="1640"/>
      <c r="I108" s="1640"/>
      <c r="J108" s="1641"/>
    </row>
    <row r="109" spans="1:10" hidden="1" x14ac:dyDescent="0.2">
      <c r="C109" s="646"/>
      <c r="D109" s="647"/>
      <c r="E109" s="1712" t="s">
        <v>643</v>
      </c>
      <c r="F109" s="1713"/>
      <c r="G109" s="1713"/>
      <c r="H109" s="1713"/>
      <c r="I109" s="1713"/>
      <c r="J109" s="1714"/>
    </row>
    <row r="110" spans="1:10" ht="15" hidden="1" customHeight="1" x14ac:dyDescent="0.2">
      <c r="C110" s="644"/>
      <c r="D110" s="645"/>
      <c r="E110" s="1709" t="s">
        <v>589</v>
      </c>
      <c r="F110" s="1710"/>
      <c r="G110" s="1710"/>
      <c r="H110" s="1710"/>
      <c r="I110" s="1710"/>
      <c r="J110" s="1711"/>
    </row>
    <row r="111" spans="1:10" ht="13.5" hidden="1" customHeight="1" x14ac:dyDescent="0.2">
      <c r="C111" s="1648" t="s">
        <v>214</v>
      </c>
      <c r="D111" s="1649"/>
      <c r="E111" s="1636" t="s">
        <v>590</v>
      </c>
      <c r="F111" s="1637"/>
      <c r="G111" s="1637"/>
      <c r="H111" s="1637"/>
      <c r="I111" s="1637"/>
      <c r="J111" s="1638"/>
    </row>
    <row r="112" spans="1:10" s="650" customFormat="1" hidden="1" x14ac:dyDescent="0.2">
      <c r="C112" s="646"/>
      <c r="D112" s="647"/>
      <c r="E112" s="1639" t="s">
        <v>591</v>
      </c>
      <c r="F112" s="1640"/>
      <c r="G112" s="1640"/>
      <c r="H112" s="1640"/>
      <c r="I112" s="1640"/>
      <c r="J112" s="1641"/>
    </row>
    <row r="113" spans="3:10" s="650" customFormat="1" ht="13.5" hidden="1" customHeight="1" x14ac:dyDescent="0.2">
      <c r="C113" s="646"/>
      <c r="D113" s="647"/>
      <c r="E113" s="1639" t="s">
        <v>592</v>
      </c>
      <c r="F113" s="1640"/>
      <c r="G113" s="1640"/>
      <c r="H113" s="1640"/>
      <c r="I113" s="1640"/>
      <c r="J113" s="1641"/>
    </row>
    <row r="114" spans="3:10" s="650" customFormat="1" ht="39.75" hidden="1" customHeight="1" x14ac:dyDescent="0.2">
      <c r="C114" s="646"/>
      <c r="D114" s="647"/>
      <c r="E114" s="1639" t="s">
        <v>593</v>
      </c>
      <c r="F114" s="1640"/>
      <c r="G114" s="1640"/>
      <c r="H114" s="1640"/>
      <c r="I114" s="1640"/>
      <c r="J114" s="1641"/>
    </row>
    <row r="115" spans="3:10" ht="27" hidden="1" customHeight="1" x14ac:dyDescent="0.2">
      <c r="C115" s="646"/>
      <c r="D115" s="647"/>
      <c r="E115" s="1639" t="s">
        <v>594</v>
      </c>
      <c r="F115" s="1640"/>
      <c r="G115" s="1640"/>
      <c r="H115" s="1640"/>
      <c r="I115" s="1640"/>
      <c r="J115" s="1641"/>
    </row>
    <row r="116" spans="3:10" ht="27" hidden="1" customHeight="1" x14ac:dyDescent="0.2">
      <c r="C116" s="646"/>
      <c r="D116" s="647"/>
      <c r="E116" s="1639" t="s">
        <v>598</v>
      </c>
      <c r="F116" s="1640"/>
      <c r="G116" s="1640"/>
      <c r="H116" s="1640"/>
      <c r="I116" s="1640"/>
      <c r="J116" s="1641"/>
    </row>
    <row r="117" spans="3:10" ht="13.5" hidden="1" customHeight="1" x14ac:dyDescent="0.2">
      <c r="C117" s="646"/>
      <c r="D117" s="647"/>
      <c r="E117" s="1639" t="s">
        <v>595</v>
      </c>
      <c r="F117" s="1640"/>
      <c r="G117" s="1640"/>
      <c r="H117" s="1640"/>
      <c r="I117" s="1640"/>
      <c r="J117" s="1641"/>
    </row>
    <row r="118" spans="3:10" ht="14.25" hidden="1" customHeight="1" x14ac:dyDescent="0.2">
      <c r="C118" s="644"/>
      <c r="D118" s="645"/>
      <c r="E118" s="1642" t="s">
        <v>596</v>
      </c>
      <c r="F118" s="1643"/>
      <c r="G118" s="1643"/>
      <c r="H118" s="1643"/>
      <c r="I118" s="1643"/>
      <c r="J118" s="1644"/>
    </row>
    <row r="119" spans="3:10" s="650" customFormat="1" ht="12.75" hidden="1" customHeight="1" x14ac:dyDescent="0.2">
      <c r="C119" s="1667" t="s">
        <v>175</v>
      </c>
      <c r="D119" s="1668"/>
      <c r="E119" s="1636" t="s">
        <v>597</v>
      </c>
      <c r="F119" s="1637"/>
      <c r="G119" s="1637"/>
      <c r="H119" s="1637"/>
      <c r="I119" s="1637"/>
      <c r="J119" s="1638"/>
    </row>
    <row r="120" spans="3:10" s="650" customFormat="1" ht="13.5" hidden="1" customHeight="1" x14ac:dyDescent="0.2">
      <c r="C120" s="646"/>
      <c r="D120" s="647"/>
      <c r="E120" s="1639"/>
      <c r="F120" s="1640"/>
      <c r="G120" s="1640"/>
      <c r="H120" s="1640"/>
      <c r="I120" s="1640"/>
      <c r="J120" s="1641"/>
    </row>
    <row r="121" spans="3:10" s="650" customFormat="1" ht="39.75" hidden="1" customHeight="1" x14ac:dyDescent="0.2">
      <c r="C121" s="646"/>
      <c r="D121" s="647"/>
      <c r="E121" s="1639" t="s">
        <v>599</v>
      </c>
      <c r="F121" s="1640"/>
      <c r="G121" s="1640"/>
      <c r="H121" s="1640"/>
      <c r="I121" s="1640"/>
      <c r="J121" s="1641"/>
    </row>
    <row r="122" spans="3:10" s="650" customFormat="1" ht="39.75" hidden="1" customHeight="1" x14ac:dyDescent="0.2">
      <c r="C122" s="646"/>
      <c r="D122" s="647"/>
      <c r="E122" s="1639" t="s">
        <v>600</v>
      </c>
      <c r="F122" s="1640"/>
      <c r="G122" s="1640"/>
      <c r="H122" s="1640"/>
      <c r="I122" s="1640"/>
      <c r="J122" s="1641"/>
    </row>
    <row r="123" spans="3:10" s="650" customFormat="1" ht="27" hidden="1" customHeight="1" x14ac:dyDescent="0.2">
      <c r="C123" s="646"/>
      <c r="D123" s="647"/>
      <c r="E123" s="1639" t="s">
        <v>602</v>
      </c>
      <c r="F123" s="1640"/>
      <c r="G123" s="1640"/>
      <c r="H123" s="1640"/>
      <c r="I123" s="1640"/>
      <c r="J123" s="1641"/>
    </row>
    <row r="124" spans="3:10" s="650" customFormat="1" ht="27" hidden="1" customHeight="1" x14ac:dyDescent="0.2">
      <c r="C124" s="646"/>
      <c r="D124" s="647"/>
      <c r="E124" s="1639" t="s">
        <v>601</v>
      </c>
      <c r="F124" s="1640"/>
      <c r="G124" s="1640"/>
      <c r="H124" s="1640"/>
      <c r="I124" s="1640"/>
      <c r="J124" s="1641"/>
    </row>
    <row r="125" spans="3:10" s="650" customFormat="1" ht="27" hidden="1" customHeight="1" x14ac:dyDescent="0.2">
      <c r="C125" s="646"/>
      <c r="D125" s="647"/>
      <c r="E125" s="1639" t="s">
        <v>603</v>
      </c>
      <c r="F125" s="1640"/>
      <c r="G125" s="1640"/>
      <c r="H125" s="1640"/>
      <c r="I125" s="1640"/>
      <c r="J125" s="1641"/>
    </row>
    <row r="126" spans="3:10" s="650" customFormat="1" ht="27.75" hidden="1" customHeight="1" x14ac:dyDescent="0.2">
      <c r="C126" s="644"/>
      <c r="D126" s="645"/>
      <c r="E126" s="1642" t="s">
        <v>604</v>
      </c>
      <c r="F126" s="1643"/>
      <c r="G126" s="1643"/>
      <c r="H126" s="1643"/>
      <c r="I126" s="1643"/>
      <c r="J126" s="1644"/>
    </row>
    <row r="127" spans="3:10" s="650" customFormat="1" ht="12.75" hidden="1" customHeight="1" x14ac:dyDescent="0.2">
      <c r="C127" s="1658" t="s">
        <v>179</v>
      </c>
      <c r="D127" s="1659"/>
      <c r="E127" s="1636" t="s">
        <v>607</v>
      </c>
      <c r="F127" s="1637"/>
      <c r="G127" s="1637"/>
      <c r="H127" s="1637"/>
      <c r="I127" s="1637"/>
      <c r="J127" s="1638"/>
    </row>
    <row r="128" spans="3:10" s="650" customFormat="1" ht="13.5" hidden="1" customHeight="1" x14ac:dyDescent="0.2">
      <c r="C128" s="646"/>
      <c r="D128" s="647"/>
      <c r="E128" s="1639"/>
      <c r="F128" s="1640"/>
      <c r="G128" s="1640"/>
      <c r="H128" s="1640"/>
      <c r="I128" s="1640"/>
      <c r="J128" s="1641"/>
    </row>
    <row r="129" spans="3:10" s="650" customFormat="1" ht="40.5" hidden="1" customHeight="1" x14ac:dyDescent="0.2">
      <c r="C129" s="646"/>
      <c r="D129" s="647"/>
      <c r="E129" s="1639" t="s">
        <v>640</v>
      </c>
      <c r="F129" s="1640"/>
      <c r="G129" s="1640"/>
      <c r="H129" s="1640"/>
      <c r="I129" s="1640"/>
      <c r="J129" s="1641"/>
    </row>
    <row r="130" spans="3:10" s="650" customFormat="1" ht="39.75" hidden="1" customHeight="1" x14ac:dyDescent="0.2">
      <c r="C130" s="646"/>
      <c r="D130" s="647"/>
      <c r="E130" s="1639" t="s">
        <v>628</v>
      </c>
      <c r="F130" s="1640"/>
      <c r="G130" s="1640"/>
      <c r="H130" s="1640"/>
      <c r="I130" s="1640"/>
      <c r="J130" s="1641"/>
    </row>
    <row r="131" spans="3:10" s="650" customFormat="1" ht="39.75" hidden="1" customHeight="1" x14ac:dyDescent="0.2">
      <c r="C131" s="646"/>
      <c r="D131" s="647"/>
      <c r="E131" s="1639" t="s">
        <v>605</v>
      </c>
      <c r="F131" s="1640"/>
      <c r="G131" s="1640"/>
      <c r="H131" s="1640"/>
      <c r="I131" s="1640"/>
      <c r="J131" s="1641"/>
    </row>
    <row r="132" spans="3:10" s="650" customFormat="1" ht="39.75" hidden="1" customHeight="1" x14ac:dyDescent="0.2">
      <c r="C132" s="646"/>
      <c r="D132" s="647"/>
      <c r="E132" s="1639" t="s">
        <v>615</v>
      </c>
      <c r="F132" s="1640"/>
      <c r="G132" s="1640"/>
      <c r="H132" s="1640"/>
      <c r="I132" s="1640"/>
      <c r="J132" s="1641"/>
    </row>
    <row r="133" spans="3:10" s="650" customFormat="1" ht="66" hidden="1" customHeight="1" x14ac:dyDescent="0.2">
      <c r="C133" s="644"/>
      <c r="D133" s="645"/>
      <c r="E133" s="1642" t="s">
        <v>606</v>
      </c>
      <c r="F133" s="1643"/>
      <c r="G133" s="1643"/>
      <c r="H133" s="1643"/>
      <c r="I133" s="1643"/>
      <c r="J133" s="1644"/>
    </row>
    <row r="134" spans="3:10" s="650" customFormat="1" ht="12.75" hidden="1" customHeight="1" x14ac:dyDescent="0.2">
      <c r="C134" s="1690" t="s">
        <v>502</v>
      </c>
      <c r="D134" s="1691"/>
      <c r="E134" s="1715" t="s">
        <v>610</v>
      </c>
      <c r="F134" s="1716"/>
      <c r="G134" s="1716"/>
      <c r="H134" s="1716"/>
      <c r="I134" s="1716"/>
      <c r="J134" s="1717"/>
    </row>
    <row r="135" spans="3:10" s="650" customFormat="1" ht="27" hidden="1" customHeight="1" x14ac:dyDescent="0.2">
      <c r="C135" s="646"/>
      <c r="D135" s="647"/>
      <c r="E135" s="1718"/>
      <c r="F135" s="1719"/>
      <c r="G135" s="1719"/>
      <c r="H135" s="1719"/>
      <c r="I135" s="1719"/>
      <c r="J135" s="1720"/>
    </row>
    <row r="136" spans="3:10" s="650" customFormat="1" ht="27" hidden="1" customHeight="1" x14ac:dyDescent="0.2">
      <c r="C136" s="646"/>
      <c r="D136" s="647"/>
      <c r="E136" s="1639" t="s">
        <v>611</v>
      </c>
      <c r="F136" s="1640"/>
      <c r="G136" s="1640"/>
      <c r="H136" s="1640"/>
      <c r="I136" s="1640"/>
      <c r="J136" s="1641"/>
    </row>
    <row r="137" spans="3:10" s="650" customFormat="1" ht="27" hidden="1" customHeight="1" x14ac:dyDescent="0.2">
      <c r="C137" s="646"/>
      <c r="D137" s="647"/>
      <c r="E137" s="1639" t="s">
        <v>625</v>
      </c>
      <c r="F137" s="1640"/>
      <c r="G137" s="1640"/>
      <c r="H137" s="1640"/>
      <c r="I137" s="1640"/>
      <c r="J137" s="1641"/>
    </row>
    <row r="138" spans="3:10" s="650" customFormat="1" ht="13.5" hidden="1" customHeight="1" x14ac:dyDescent="0.2">
      <c r="C138" s="646"/>
      <c r="D138" s="647"/>
      <c r="E138" s="1639" t="s">
        <v>608</v>
      </c>
      <c r="F138" s="1640"/>
      <c r="G138" s="1640"/>
      <c r="H138" s="1640"/>
      <c r="I138" s="1640"/>
      <c r="J138" s="1641"/>
    </row>
    <row r="139" spans="3:10" s="650" customFormat="1" ht="14.25" hidden="1" customHeight="1" x14ac:dyDescent="0.2">
      <c r="C139" s="644"/>
      <c r="D139" s="645"/>
      <c r="E139" s="1642" t="s">
        <v>609</v>
      </c>
      <c r="F139" s="1643"/>
      <c r="G139" s="1643"/>
      <c r="H139" s="1643"/>
      <c r="I139" s="1643"/>
      <c r="J139" s="1644"/>
    </row>
    <row r="140" spans="3:10" s="650" customFormat="1" ht="12.75" hidden="1" customHeight="1" x14ac:dyDescent="0.2">
      <c r="C140" s="1658" t="s">
        <v>178</v>
      </c>
      <c r="D140" s="1659"/>
      <c r="E140" s="1636" t="s">
        <v>613</v>
      </c>
      <c r="F140" s="1637"/>
      <c r="G140" s="1637"/>
      <c r="H140" s="1637"/>
      <c r="I140" s="1637"/>
      <c r="J140" s="1638"/>
    </row>
    <row r="141" spans="3:10" s="650" customFormat="1" ht="14.25" hidden="1" customHeight="1" x14ac:dyDescent="0.2">
      <c r="C141" s="646"/>
      <c r="D141" s="647"/>
      <c r="E141" s="1639"/>
      <c r="F141" s="1640"/>
      <c r="G141" s="1640"/>
      <c r="H141" s="1640"/>
      <c r="I141" s="1640"/>
      <c r="J141" s="1641"/>
    </row>
    <row r="142" spans="3:10" s="650" customFormat="1" ht="14.25" hidden="1" customHeight="1" x14ac:dyDescent="0.2">
      <c r="C142" s="644"/>
      <c r="D142" s="645"/>
      <c r="E142" s="1642" t="s">
        <v>612</v>
      </c>
      <c r="F142" s="1643"/>
      <c r="G142" s="1643"/>
      <c r="H142" s="1643"/>
      <c r="I142" s="1643"/>
      <c r="J142" s="1644"/>
    </row>
    <row r="143" spans="3:10" s="650" customFormat="1" ht="12.75" hidden="1" customHeight="1" x14ac:dyDescent="0.2">
      <c r="C143" s="1672" t="s">
        <v>163</v>
      </c>
      <c r="D143" s="1673"/>
      <c r="E143" s="1636" t="s">
        <v>619</v>
      </c>
      <c r="F143" s="1637"/>
      <c r="G143" s="1637"/>
      <c r="H143" s="1637"/>
      <c r="I143" s="1637"/>
      <c r="J143" s="1638"/>
    </row>
    <row r="144" spans="3:10" s="650" customFormat="1" ht="12.75" hidden="1" customHeight="1" x14ac:dyDescent="0.2">
      <c r="C144" s="646"/>
      <c r="D144" s="647"/>
      <c r="E144" s="1712" t="s">
        <v>616</v>
      </c>
      <c r="F144" s="1640"/>
      <c r="G144" s="1640"/>
      <c r="H144" s="1640"/>
      <c r="I144" s="1640"/>
      <c r="J144" s="1641"/>
    </row>
    <row r="145" spans="3:10" s="650" customFormat="1" ht="14.25" hidden="1" customHeight="1" x14ac:dyDescent="0.2">
      <c r="C145" s="646"/>
      <c r="D145" s="647"/>
      <c r="E145" s="1712" t="s">
        <v>617</v>
      </c>
      <c r="F145" s="1640"/>
      <c r="G145" s="1640"/>
      <c r="H145" s="1640"/>
      <c r="I145" s="1640"/>
      <c r="J145" s="1641"/>
    </row>
    <row r="146" spans="3:10" s="650" customFormat="1" ht="27" hidden="1" customHeight="1" x14ac:dyDescent="0.2">
      <c r="C146" s="644"/>
      <c r="D146" s="645"/>
      <c r="E146" s="1642" t="s">
        <v>618</v>
      </c>
      <c r="F146" s="1643"/>
      <c r="G146" s="1643"/>
      <c r="H146" s="1643"/>
      <c r="I146" s="1643"/>
      <c r="J146" s="1644"/>
    </row>
    <row r="147" spans="3:10" s="650" customFormat="1" ht="12.75" hidden="1" customHeight="1" x14ac:dyDescent="0.2">
      <c r="C147" s="1684" t="s">
        <v>95</v>
      </c>
      <c r="D147" s="1685"/>
      <c r="E147" s="1636" t="s">
        <v>620</v>
      </c>
      <c r="F147" s="1637"/>
      <c r="G147" s="1637"/>
      <c r="H147" s="1637"/>
      <c r="I147" s="1637"/>
      <c r="J147" s="1638"/>
    </row>
    <row r="148" spans="3:10" s="650" customFormat="1" ht="52.5" hidden="1" customHeight="1" x14ac:dyDescent="0.2">
      <c r="C148" s="644"/>
      <c r="D148" s="645"/>
      <c r="E148" s="1642"/>
      <c r="F148" s="1643"/>
      <c r="G148" s="1643"/>
      <c r="H148" s="1643"/>
      <c r="I148" s="1643"/>
      <c r="J148" s="1644"/>
    </row>
  </sheetData>
  <sheetProtection algorithmName="SHA-512" hashValue="3OySDeB5IgzeEawdVN26h0pKH/nIqBKEk/q9VSjRuxnsshPbnGiSWZ7CVvtT5cjT8s8BQj8pKIYyUCiCVP5Tog==" saltValue="kGOkii6dAJ8j3b8NklOyxQ==" spinCount="100000" sheet="1" objects="1" scenarios="1" selectLockedCells="1"/>
  <mergeCells count="159">
    <mergeCell ref="E138:J138"/>
    <mergeCell ref="E133:J133"/>
    <mergeCell ref="C134:D134"/>
    <mergeCell ref="E137:J137"/>
    <mergeCell ref="E136:J136"/>
    <mergeCell ref="E134:J135"/>
    <mergeCell ref="E147:J148"/>
    <mergeCell ref="E146:J146"/>
    <mergeCell ref="C147:D147"/>
    <mergeCell ref="C143:D143"/>
    <mergeCell ref="E143:J143"/>
    <mergeCell ref="E144:J144"/>
    <mergeCell ref="E145:J145"/>
    <mergeCell ref="E142:J142"/>
    <mergeCell ref="E139:J139"/>
    <mergeCell ref="C140:D140"/>
    <mergeCell ref="E140:J141"/>
    <mergeCell ref="E129:J129"/>
    <mergeCell ref="E130:J130"/>
    <mergeCell ref="E131:J131"/>
    <mergeCell ref="E132:J132"/>
    <mergeCell ref="E127:J128"/>
    <mergeCell ref="E123:J123"/>
    <mergeCell ref="E125:J125"/>
    <mergeCell ref="E126:J126"/>
    <mergeCell ref="C127:D127"/>
    <mergeCell ref="C119:D119"/>
    <mergeCell ref="E121:J121"/>
    <mergeCell ref="E122:J122"/>
    <mergeCell ref="E124:J124"/>
    <mergeCell ref="E119:J120"/>
    <mergeCell ref="E118:J118"/>
    <mergeCell ref="E111:J111"/>
    <mergeCell ref="E115:J115"/>
    <mergeCell ref="E112:J112"/>
    <mergeCell ref="E113:J113"/>
    <mergeCell ref="E114:J114"/>
    <mergeCell ref="E110:J110"/>
    <mergeCell ref="C111:D111"/>
    <mergeCell ref="E116:J116"/>
    <mergeCell ref="E117:J117"/>
    <mergeCell ref="C106:D106"/>
    <mergeCell ref="E106:J107"/>
    <mergeCell ref="E108:J108"/>
    <mergeCell ref="E109:J109"/>
    <mergeCell ref="C105:D105"/>
    <mergeCell ref="E105:J105"/>
    <mergeCell ref="E100:J100"/>
    <mergeCell ref="C101:D101"/>
    <mergeCell ref="E101:J102"/>
    <mergeCell ref="E99:J99"/>
    <mergeCell ref="C103:D103"/>
    <mergeCell ref="E103:J103"/>
    <mergeCell ref="C86:D86"/>
    <mergeCell ref="E86:J86"/>
    <mergeCell ref="C89:D89"/>
    <mergeCell ref="C96:D96"/>
    <mergeCell ref="E96:J96"/>
    <mergeCell ref="C97:D97"/>
    <mergeCell ref="E97:J97"/>
    <mergeCell ref="E98:J98"/>
    <mergeCell ref="E91:J91"/>
    <mergeCell ref="C92:D92"/>
    <mergeCell ref="E92:J93"/>
    <mergeCell ref="E94:J94"/>
    <mergeCell ref="E90:J90"/>
    <mergeCell ref="E89:J89"/>
    <mergeCell ref="H27:J27"/>
    <mergeCell ref="H28:J28"/>
    <mergeCell ref="C17:J17"/>
    <mergeCell ref="C13:J13"/>
    <mergeCell ref="C15:J15"/>
    <mergeCell ref="E26:G30"/>
    <mergeCell ref="A8:J8"/>
    <mergeCell ref="C10:J10"/>
    <mergeCell ref="C12:J12"/>
    <mergeCell ref="C16:J16"/>
    <mergeCell ref="C23:J23"/>
    <mergeCell ref="C18:J18"/>
    <mergeCell ref="C19:J19"/>
    <mergeCell ref="C21:J21"/>
    <mergeCell ref="C20:J20"/>
    <mergeCell ref="C22:J22"/>
    <mergeCell ref="C29:D29"/>
    <mergeCell ref="C30:D30"/>
    <mergeCell ref="E25:G25"/>
    <mergeCell ref="H25:J25"/>
    <mergeCell ref="C25:D25"/>
    <mergeCell ref="C26:D26"/>
    <mergeCell ref="C27:D27"/>
    <mergeCell ref="H26:J26"/>
    <mergeCell ref="A68:B68"/>
    <mergeCell ref="C52:D52"/>
    <mergeCell ref="E52:G53"/>
    <mergeCell ref="H52:J52"/>
    <mergeCell ref="C53:D53"/>
    <mergeCell ref="H53:J53"/>
    <mergeCell ref="C45:D45"/>
    <mergeCell ref="E45:G47"/>
    <mergeCell ref="H45:J46"/>
    <mergeCell ref="C46:D46"/>
    <mergeCell ref="C47:D47"/>
    <mergeCell ref="H47:J47"/>
    <mergeCell ref="C56:J56"/>
    <mergeCell ref="C58:J58"/>
    <mergeCell ref="C68:J68"/>
    <mergeCell ref="C48:D48"/>
    <mergeCell ref="E48:G51"/>
    <mergeCell ref="C50:D50"/>
    <mergeCell ref="H50:J50"/>
    <mergeCell ref="C51:D51"/>
    <mergeCell ref="H51:J51"/>
    <mergeCell ref="H48:J49"/>
    <mergeCell ref="C49:D49"/>
    <mergeCell ref="H30:J30"/>
    <mergeCell ref="E36:G40"/>
    <mergeCell ref="C38:D38"/>
    <mergeCell ref="H38:J38"/>
    <mergeCell ref="C40:D40"/>
    <mergeCell ref="H40:J40"/>
    <mergeCell ref="C39:D39"/>
    <mergeCell ref="H39:J39"/>
    <mergeCell ref="H31:J32"/>
    <mergeCell ref="H35:J35"/>
    <mergeCell ref="E31:G32"/>
    <mergeCell ref="E81:J82"/>
    <mergeCell ref="C74:D74"/>
    <mergeCell ref="E74:J74"/>
    <mergeCell ref="C75:D75"/>
    <mergeCell ref="C79:D79"/>
    <mergeCell ref="C83:D83"/>
    <mergeCell ref="E83:J84"/>
    <mergeCell ref="E77:J77"/>
    <mergeCell ref="E79:J80"/>
    <mergeCell ref="E75:J76"/>
    <mergeCell ref="C42:D42"/>
    <mergeCell ref="H41:J42"/>
    <mergeCell ref="E78:J78"/>
    <mergeCell ref="C87:D87"/>
    <mergeCell ref="E87:J88"/>
    <mergeCell ref="A7:J7"/>
    <mergeCell ref="C31:D31"/>
    <mergeCell ref="E33:G35"/>
    <mergeCell ref="C35:D35"/>
    <mergeCell ref="C41:D41"/>
    <mergeCell ref="E41:G44"/>
    <mergeCell ref="C43:D43"/>
    <mergeCell ref="H43:J43"/>
    <mergeCell ref="C44:D44"/>
    <mergeCell ref="H44:J44"/>
    <mergeCell ref="C36:D36"/>
    <mergeCell ref="H34:J34"/>
    <mergeCell ref="H33:J33"/>
    <mergeCell ref="H36:J37"/>
    <mergeCell ref="C70:J70"/>
    <mergeCell ref="C37:D37"/>
    <mergeCell ref="H29:J29"/>
    <mergeCell ref="C72:J72"/>
    <mergeCell ref="C81:D81"/>
  </mergeCells>
  <hyperlinks>
    <hyperlink ref="C36:D36" location="EV_Var1!A1" display="EV_Var1 /..2 /..3 /..4" xr:uid="{00000000-0004-0000-0100-000000000000}"/>
    <hyperlink ref="C41:D41" location="WR_Var1!Druckbereich" display="WR_Var1 /..2 /..3 /..4" xr:uid="{00000000-0004-0000-0100-000001000000}"/>
    <hyperlink ref="C31:D31" location="Grunddaten!A1" display="Grunddaten" xr:uid="{00000000-0004-0000-0100-000002000000}"/>
    <hyperlink ref="C48:D48" location="Ergebnisse!A1" display="Ergebnisse" xr:uid="{00000000-0004-0000-0100-000003000000}"/>
    <hyperlink ref="C52:D52" location="Berechnungen!A1" display="Berechnungen" xr:uid="{00000000-0004-0000-0100-000004000000}"/>
    <hyperlink ref="C26:D26" location="Projektdaten!A1" display="Projektdaten" xr:uid="{00000000-0004-0000-0100-000005000000}"/>
    <hyperlink ref="C45:D45" location="DK_Var1!Druckbereich" display="DK_Var1 /..2 /..3 /..4" xr:uid="{00000000-0004-0000-0100-000006000000}"/>
    <hyperlink ref="C106:D106" location="Projektdaten!A1" display="Projektdaten" xr:uid="{00000000-0004-0000-0100-000007000000}"/>
    <hyperlink ref="C111:D111" location="Grunddaten!A1" display="Grunddaten" xr:uid="{00000000-0004-0000-0100-000008000000}"/>
    <hyperlink ref="C119:D119" location="EV_Var1!A1" display="EV_Var1 /..2 /..3 /..4" xr:uid="{00000000-0004-0000-0100-000009000000}"/>
    <hyperlink ref="C127:D127" location="WR_Var1!Druckbereich" display="WR_Var1 /..2 /..3 /..4" xr:uid="{00000000-0004-0000-0100-00000A000000}"/>
    <hyperlink ref="C134:D134" location="DK_Var1!Druckbereich" display="DK_Var1 /..2 /..3 /..4" xr:uid="{00000000-0004-0000-0100-00000B000000}"/>
    <hyperlink ref="C140:D140" location="WR_Übersicht!A1" display="WR_Übersicht" xr:uid="{00000000-0004-0000-0100-00000C000000}"/>
    <hyperlink ref="C143:D143" location="Ergebnisse!A1" display="Ergebnisse" xr:uid="{00000000-0004-0000-0100-00000D000000}"/>
    <hyperlink ref="C147:D147" location="Berechnungen!A1" display="Berechnungen" xr:uid="{00000000-0004-0000-0100-00000E000000}"/>
    <hyperlink ref="C97:D97" location="Grunddaten!A1" display="Grunddaten" xr:uid="{00000000-0004-0000-0100-00000F000000}"/>
    <hyperlink ref="C101:D101" location="EV_Var1!A1" display="EV_Var1 /..2 /..3 /..4" xr:uid="{00000000-0004-0000-0100-000010000000}"/>
    <hyperlink ref="C103:D103" location="WR_Var1!Druckbereich" display="WR_Var1 /..2 /..3 /..4" xr:uid="{00000000-0004-0000-0100-000011000000}"/>
    <hyperlink ref="C89:D89" location="Grunddaten!A1" display="Grunddaten" xr:uid="{00000000-0004-0000-0100-000012000000}"/>
    <hyperlink ref="C92:D92" location="DK_Var1!Druckbereich" display="DK_Var1 /..2 /..3 /..4" xr:uid="{00000000-0004-0000-0100-000013000000}"/>
    <hyperlink ref="C87:D87" location="Projektdaten!A1" display="Projektdaten" xr:uid="{00000000-0004-0000-0100-000014000000}"/>
    <hyperlink ref="C79:D79" location="Grunddaten!A1" display="Grunddaten" xr:uid="{00000000-0004-0000-0100-000015000000}"/>
    <hyperlink ref="C75:D75" location="Projektdaten!A1" display="Projektdaten" xr:uid="{00000000-0004-0000-0100-000016000000}"/>
    <hyperlink ref="C83:D83" location="Ergebnisse!A1" display="Ergebnisse" xr:uid="{00000000-0004-0000-0100-000017000000}"/>
    <hyperlink ref="G2" location="Neu_in_Version" display="i" xr:uid="{00000000-0004-0000-0100-000018000000}"/>
  </hyperlinks>
  <printOptions horizontalCentered="1"/>
  <pageMargins left="0.62" right="0.63" top="0.39" bottom="0.78740157480314965" header="0.39370078740157483" footer="0.39370078740157483"/>
  <pageSetup paperSize="9" scale="96" fitToHeight="0" orientation="portrait" cellComments="asDisplayed" horizontalDpi="4294967295" verticalDpi="4294967295" r:id="rId1"/>
  <headerFooter scaleWithDoc="0">
    <oddHeader>&amp;C&amp;G</oddHeader>
    <oddFooter>&amp;L&amp;8Druckdatum  &amp;D&amp;C&amp;8&amp;F/&amp;A&amp;R&amp;8Seite &amp;P / &amp;N</oddFooter>
  </headerFooter>
  <rowBreaks count="1" manualBreakCount="1">
    <brk id="51" max="9" man="1"/>
  </row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pageSetUpPr fitToPage="1"/>
  </sheetPr>
  <dimension ref="A1:Z79"/>
  <sheetViews>
    <sheetView showGridLines="0" showZeros="0" zoomScaleNormal="100" zoomScaleSheetLayoutView="100" workbookViewId="0">
      <selection activeCell="C8" sqref="C8:G8"/>
    </sheetView>
  </sheetViews>
  <sheetFormatPr baseColWidth="10" defaultColWidth="9.28515625" defaultRowHeight="12.75" x14ac:dyDescent="0.2"/>
  <cols>
    <col min="1" max="1" width="1" style="122" customWidth="1"/>
    <col min="2" max="2" width="8.7109375" style="122" customWidth="1"/>
    <col min="3" max="3" width="7.7109375" style="122" customWidth="1"/>
    <col min="4" max="4" width="9.7109375" style="122" customWidth="1"/>
    <col min="5" max="5" width="5.140625" style="122" customWidth="1"/>
    <col min="6" max="6" width="5.28515625" style="724" customWidth="1"/>
    <col min="7" max="8" width="9.7109375" style="122" customWidth="1"/>
    <col min="9" max="9" width="5.28515625" style="122" customWidth="1"/>
    <col min="10" max="10" width="5.140625" style="724" customWidth="1"/>
    <col min="11" max="11" width="9.7109375" style="122" customWidth="1"/>
    <col min="12" max="12" width="8.7109375" style="122" customWidth="1"/>
    <col min="13" max="13" width="1" style="122" customWidth="1"/>
    <col min="14" max="14" width="8.7109375" style="122" customWidth="1"/>
    <col min="15" max="15" width="1" style="122" customWidth="1"/>
    <col min="16" max="16" width="4.28515625" style="122" customWidth="1"/>
    <col min="17" max="19" width="14.7109375" style="122" customWidth="1"/>
    <col min="20" max="22" width="15.7109375" style="122" customWidth="1"/>
    <col min="23" max="16384" width="9.28515625" style="122"/>
  </cols>
  <sheetData>
    <row r="1" spans="1:26" s="1555" customFormat="1" ht="54" customHeight="1" x14ac:dyDescent="0.2">
      <c r="D1" s="1556"/>
      <c r="E1" s="1556"/>
      <c r="F1" s="1556"/>
      <c r="G1" s="1556"/>
      <c r="H1" s="67"/>
      <c r="I1" s="67"/>
      <c r="J1" s="67"/>
      <c r="K1" s="67"/>
      <c r="L1" s="67"/>
      <c r="M1" s="67"/>
      <c r="N1" s="67"/>
      <c r="O1" s="67"/>
      <c r="P1" s="67"/>
      <c r="Q1" s="67"/>
    </row>
    <row r="2" spans="1:26" s="1555" customFormat="1" ht="15" customHeight="1" x14ac:dyDescent="0.25">
      <c r="A2" s="1558" t="str">
        <f>CONCATENATE("Variantenvergleich Energiesysteme - Version ",Versionsinfo!$B$4)</f>
        <v>Variantenvergleich Energiesysteme - Version 3.0</v>
      </c>
      <c r="B2" s="69"/>
      <c r="C2" s="69"/>
      <c r="D2" s="69"/>
      <c r="E2" s="69"/>
      <c r="H2" s="651"/>
      <c r="I2" s="652" t="s">
        <v>586</v>
      </c>
      <c r="J2" s="719"/>
      <c r="K2" s="67"/>
      <c r="L2" s="67"/>
      <c r="M2" s="67"/>
      <c r="N2" s="67"/>
      <c r="O2" s="67"/>
      <c r="P2" s="67"/>
      <c r="Q2" s="67"/>
    </row>
    <row r="3" spans="1:26" s="1555" customFormat="1" ht="12.75" customHeight="1" x14ac:dyDescent="0.2">
      <c r="A3" s="1557" t="s">
        <v>781</v>
      </c>
      <c r="H3" s="719"/>
      <c r="I3" s="719"/>
      <c r="J3" s="719"/>
      <c r="K3" s="67"/>
      <c r="L3" s="67"/>
      <c r="M3" s="67"/>
      <c r="N3" s="67"/>
      <c r="O3" s="67"/>
      <c r="P3" s="67"/>
      <c r="Q3" s="67"/>
    </row>
    <row r="4" spans="1:26" s="1555" customFormat="1" ht="16.5" customHeight="1" x14ac:dyDescent="0.2">
      <c r="A4" s="411"/>
    </row>
    <row r="5" spans="1:26" ht="16.5" customHeight="1" x14ac:dyDescent="0.25">
      <c r="A5" s="1564" t="s">
        <v>97</v>
      </c>
      <c r="J5" s="122"/>
      <c r="K5" s="1721"/>
      <c r="L5" s="1721"/>
      <c r="M5" s="1721"/>
      <c r="N5" s="1721"/>
      <c r="O5" s="1721"/>
      <c r="U5" s="850"/>
      <c r="V5" s="850"/>
      <c r="W5" s="850"/>
      <c r="X5" s="850"/>
      <c r="Y5" s="850"/>
      <c r="Z5" s="850"/>
    </row>
    <row r="6" spans="1:26" ht="12" customHeight="1" x14ac:dyDescent="0.2">
      <c r="B6" s="412"/>
      <c r="U6" s="850"/>
      <c r="V6" s="850"/>
      <c r="W6" s="850"/>
      <c r="X6" s="850"/>
      <c r="Y6" s="850"/>
      <c r="Z6" s="850"/>
    </row>
    <row r="7" spans="1:26" s="724" customFormat="1" ht="6" customHeight="1" x14ac:dyDescent="0.2">
      <c r="A7" s="164"/>
      <c r="B7" s="413"/>
      <c r="C7" s="164"/>
      <c r="D7" s="164"/>
      <c r="E7" s="164"/>
      <c r="F7" s="164"/>
      <c r="G7" s="164"/>
      <c r="H7" s="164"/>
      <c r="I7" s="164"/>
      <c r="J7" s="164"/>
      <c r="K7" s="164"/>
      <c r="L7" s="164"/>
      <c r="M7" s="164"/>
      <c r="N7" s="164"/>
      <c r="O7" s="164"/>
      <c r="U7" s="850"/>
      <c r="V7" s="850"/>
      <c r="W7" s="850"/>
      <c r="X7" s="850"/>
      <c r="Y7" s="850"/>
      <c r="Z7" s="850"/>
    </row>
    <row r="8" spans="1:26" x14ac:dyDescent="0.2">
      <c r="A8" s="164"/>
      <c r="B8" s="1592" t="s">
        <v>763</v>
      </c>
      <c r="C8" s="1722"/>
      <c r="D8" s="1722"/>
      <c r="E8" s="1722"/>
      <c r="F8" s="1722"/>
      <c r="G8" s="1722"/>
      <c r="H8" s="726"/>
      <c r="I8" s="727" t="s">
        <v>764</v>
      </c>
      <c r="J8" s="1722"/>
      <c r="K8" s="1722"/>
      <c r="L8" s="1722"/>
      <c r="M8" s="1722"/>
      <c r="N8" s="1722"/>
      <c r="O8" s="165"/>
      <c r="U8" s="850"/>
      <c r="V8" s="850"/>
      <c r="W8" s="850"/>
      <c r="X8" s="850"/>
      <c r="Y8" s="850"/>
      <c r="Z8" s="850"/>
    </row>
    <row r="9" spans="1:26" ht="6" customHeight="1" x14ac:dyDescent="0.2">
      <c r="A9" s="164"/>
      <c r="B9" s="413"/>
      <c r="C9" s="164"/>
      <c r="D9" s="164"/>
      <c r="E9" s="164"/>
      <c r="F9" s="164"/>
      <c r="G9" s="164"/>
      <c r="H9" s="164"/>
      <c r="I9" s="164"/>
      <c r="J9" s="164"/>
      <c r="K9" s="164"/>
      <c r="L9" s="164"/>
      <c r="M9" s="164"/>
      <c r="N9" s="164"/>
      <c r="O9" s="164"/>
      <c r="U9" s="850"/>
      <c r="V9" s="850"/>
      <c r="W9" s="850"/>
      <c r="X9" s="850"/>
      <c r="Y9" s="850"/>
      <c r="Z9" s="850"/>
    </row>
    <row r="10" spans="1:26" x14ac:dyDescent="0.2">
      <c r="B10" s="412"/>
      <c r="U10" s="850"/>
      <c r="V10" s="850"/>
      <c r="W10" s="850"/>
      <c r="X10" s="850"/>
      <c r="Y10" s="850"/>
      <c r="Z10" s="850"/>
    </row>
    <row r="11" spans="1:26" x14ac:dyDescent="0.2">
      <c r="B11" s="412"/>
      <c r="U11" s="850"/>
      <c r="V11" s="850"/>
      <c r="W11" s="850"/>
      <c r="X11" s="850"/>
      <c r="Y11" s="850"/>
      <c r="Z11" s="850"/>
    </row>
    <row r="12" spans="1:26" ht="6" customHeight="1" x14ac:dyDescent="0.2">
      <c r="A12" s="164"/>
      <c r="B12" s="413"/>
      <c r="C12" s="164"/>
      <c r="D12" s="164"/>
      <c r="E12" s="164"/>
      <c r="F12" s="164"/>
      <c r="G12" s="164"/>
      <c r="H12" s="164"/>
      <c r="I12" s="164"/>
      <c r="J12" s="164"/>
      <c r="K12" s="164"/>
      <c r="L12" s="164"/>
      <c r="M12" s="164"/>
      <c r="N12" s="164"/>
      <c r="O12" s="164"/>
      <c r="U12" s="850"/>
      <c r="V12" s="850"/>
      <c r="W12" s="850"/>
      <c r="X12" s="850"/>
      <c r="Y12" s="850"/>
      <c r="Z12" s="850"/>
    </row>
    <row r="13" spans="1:26" x14ac:dyDescent="0.2">
      <c r="A13" s="164"/>
      <c r="B13" s="1521" t="s">
        <v>98</v>
      </c>
      <c r="C13" s="726"/>
      <c r="D13" s="726"/>
      <c r="E13" s="1523" t="s">
        <v>765</v>
      </c>
      <c r="F13" s="1731">
        <v>1</v>
      </c>
      <c r="G13" s="1731"/>
      <c r="H13" s="1524" t="s">
        <v>775</v>
      </c>
      <c r="I13" s="1522"/>
      <c r="J13" s="1523" t="s">
        <v>766</v>
      </c>
      <c r="K13" s="1733"/>
      <c r="L13" s="1733"/>
      <c r="M13" s="1733"/>
      <c r="N13" s="1733"/>
      <c r="O13" s="164"/>
      <c r="U13" s="850"/>
      <c r="V13" s="850"/>
      <c r="W13" s="850"/>
      <c r="X13" s="850"/>
      <c r="Y13" s="850"/>
      <c r="Z13" s="850"/>
    </row>
    <row r="14" spans="1:26" ht="6" customHeight="1" x14ac:dyDescent="0.2">
      <c r="A14" s="164"/>
      <c r="B14" s="726"/>
      <c r="C14" s="726"/>
      <c r="D14" s="726"/>
      <c r="E14" s="726"/>
      <c r="F14" s="726"/>
      <c r="G14" s="726"/>
      <c r="H14" s="726"/>
      <c r="I14" s="726"/>
      <c r="J14" s="726"/>
      <c r="K14" s="726"/>
      <c r="L14" s="726"/>
      <c r="M14" s="726"/>
      <c r="N14" s="726"/>
      <c r="O14" s="164"/>
      <c r="U14" s="850"/>
      <c r="V14" s="850"/>
      <c r="W14" s="850"/>
      <c r="X14" s="850"/>
      <c r="Y14" s="850"/>
      <c r="Z14" s="850"/>
    </row>
    <row r="15" spans="1:26" x14ac:dyDescent="0.2">
      <c r="A15" s="164"/>
      <c r="B15" s="1522"/>
      <c r="C15" s="164"/>
      <c r="D15" s="164"/>
      <c r="E15" s="1523" t="s">
        <v>767</v>
      </c>
      <c r="F15" s="1732">
        <f ca="1">TODAY()</f>
        <v>45372</v>
      </c>
      <c r="G15" s="1732"/>
      <c r="H15" s="726"/>
      <c r="I15" s="1522"/>
      <c r="J15" s="1523" t="s">
        <v>768</v>
      </c>
      <c r="K15" s="1733"/>
      <c r="L15" s="1733"/>
      <c r="M15" s="1733"/>
      <c r="N15" s="1733"/>
      <c r="O15" s="164"/>
      <c r="U15" s="850"/>
      <c r="V15" s="850"/>
      <c r="W15" s="850"/>
      <c r="X15" s="850"/>
      <c r="Y15" s="850"/>
      <c r="Z15" s="850"/>
    </row>
    <row r="16" spans="1:26" ht="6" customHeight="1" x14ac:dyDescent="0.2">
      <c r="A16" s="164"/>
      <c r="B16" s="413"/>
      <c r="C16" s="164"/>
      <c r="D16" s="164"/>
      <c r="E16" s="164"/>
      <c r="F16" s="164"/>
      <c r="G16" s="164"/>
      <c r="H16" s="164"/>
      <c r="I16" s="164"/>
      <c r="J16" s="164"/>
      <c r="K16" s="164"/>
      <c r="L16" s="164"/>
      <c r="M16" s="164"/>
      <c r="N16" s="164"/>
      <c r="O16" s="164"/>
      <c r="U16" s="850"/>
      <c r="V16" s="850"/>
      <c r="W16" s="850"/>
      <c r="X16" s="850"/>
      <c r="Y16" s="850"/>
      <c r="Z16" s="850"/>
    </row>
    <row r="17" spans="1:26" x14ac:dyDescent="0.2">
      <c r="B17" s="412"/>
      <c r="U17" s="850"/>
      <c r="V17" s="850"/>
      <c r="W17" s="850"/>
      <c r="X17" s="850"/>
      <c r="Y17" s="850"/>
      <c r="Z17" s="850"/>
    </row>
    <row r="18" spans="1:26" x14ac:dyDescent="0.2">
      <c r="B18" s="412"/>
      <c r="U18" s="850"/>
      <c r="V18" s="850"/>
      <c r="W18" s="850"/>
      <c r="X18" s="850"/>
      <c r="Y18" s="850"/>
      <c r="Z18" s="850"/>
    </row>
    <row r="19" spans="1:26" ht="6" customHeight="1" x14ac:dyDescent="0.2">
      <c r="A19" s="164"/>
      <c r="B19" s="413"/>
      <c r="C19" s="164"/>
      <c r="D19" s="164"/>
      <c r="E19" s="164"/>
      <c r="F19" s="164"/>
      <c r="G19" s="164"/>
      <c r="H19" s="164"/>
      <c r="I19" s="164"/>
      <c r="J19" s="164"/>
      <c r="K19" s="164"/>
      <c r="L19" s="164"/>
      <c r="M19" s="164"/>
      <c r="N19" s="164"/>
      <c r="O19" s="164"/>
      <c r="U19" s="850"/>
      <c r="V19" s="850"/>
      <c r="W19" s="850"/>
      <c r="X19" s="850"/>
      <c r="Y19" s="850"/>
      <c r="Z19" s="850"/>
    </row>
    <row r="20" spans="1:26" s="412" customFormat="1" x14ac:dyDescent="0.2">
      <c r="A20" s="413"/>
      <c r="B20" s="414" t="s">
        <v>234</v>
      </c>
      <c r="C20" s="413"/>
      <c r="D20" s="164"/>
      <c r="E20" s="164"/>
      <c r="F20" s="164"/>
      <c r="G20" s="416" t="s">
        <v>772</v>
      </c>
      <c r="H20" s="1729" t="s">
        <v>708</v>
      </c>
      <c r="I20" s="1729"/>
      <c r="J20" s="1729"/>
      <c r="K20" s="1729"/>
      <c r="L20" s="1729"/>
      <c r="M20" s="1729"/>
      <c r="N20" s="1729"/>
      <c r="O20" s="413"/>
      <c r="P20" s="417"/>
    </row>
    <row r="21" spans="1:26" ht="6" customHeight="1" x14ac:dyDescent="0.2">
      <c r="A21" s="164"/>
      <c r="B21" s="413"/>
      <c r="C21" s="164"/>
      <c r="D21" s="164"/>
      <c r="E21" s="164"/>
      <c r="F21" s="164"/>
      <c r="G21" s="164"/>
      <c r="H21" s="164"/>
      <c r="I21" s="164"/>
      <c r="J21" s="164"/>
      <c r="K21" s="164"/>
      <c r="L21" s="164"/>
      <c r="M21" s="164"/>
      <c r="N21" s="164"/>
      <c r="O21" s="164"/>
      <c r="U21" s="850"/>
      <c r="V21" s="850"/>
      <c r="W21" s="850"/>
      <c r="X21" s="850"/>
      <c r="Y21" s="850"/>
      <c r="Z21" s="850"/>
    </row>
    <row r="22" spans="1:26" s="412" customFormat="1" x14ac:dyDescent="0.2">
      <c r="A22" s="413"/>
      <c r="B22" s="413"/>
      <c r="C22" s="413"/>
      <c r="D22" s="164"/>
      <c r="E22" s="164"/>
      <c r="F22" s="164"/>
      <c r="G22" s="416" t="s">
        <v>773</v>
      </c>
      <c r="H22" s="1729" t="s">
        <v>828</v>
      </c>
      <c r="I22" s="1729"/>
      <c r="J22" s="1729"/>
      <c r="K22" s="1729"/>
      <c r="L22" s="1729"/>
      <c r="M22" s="1729"/>
      <c r="N22" s="1729"/>
      <c r="O22" s="413"/>
      <c r="P22" s="417"/>
    </row>
    <row r="23" spans="1:26" s="412" customFormat="1" ht="6" customHeight="1" x14ac:dyDescent="0.2">
      <c r="A23" s="413"/>
      <c r="B23" s="413"/>
      <c r="C23" s="413"/>
      <c r="D23" s="164"/>
      <c r="E23" s="164"/>
      <c r="F23" s="164"/>
      <c r="G23" s="416"/>
      <c r="H23" s="416"/>
      <c r="I23" s="416"/>
      <c r="J23" s="416"/>
      <c r="K23" s="416"/>
      <c r="L23" s="416"/>
      <c r="M23" s="416"/>
      <c r="N23" s="416"/>
      <c r="O23" s="413"/>
      <c r="P23" s="417"/>
      <c r="U23" s="616"/>
      <c r="V23" s="880"/>
    </row>
    <row r="24" spans="1:26" s="412" customFormat="1" x14ac:dyDescent="0.2">
      <c r="A24" s="413"/>
      <c r="B24" s="413"/>
      <c r="C24" s="413"/>
      <c r="D24" s="164"/>
      <c r="E24" s="164"/>
      <c r="F24" s="164"/>
      <c r="G24" s="416" t="s">
        <v>774</v>
      </c>
      <c r="H24" s="1729" t="s">
        <v>791</v>
      </c>
      <c r="I24" s="1729"/>
      <c r="J24" s="1729"/>
      <c r="K24" s="1729"/>
      <c r="L24" s="1729"/>
      <c r="M24" s="1729"/>
      <c r="N24" s="1729"/>
      <c r="O24" s="413"/>
      <c r="P24" s="417"/>
      <c r="U24" s="616"/>
      <c r="V24" s="880"/>
    </row>
    <row r="25" spans="1:26" ht="6" customHeight="1" x14ac:dyDescent="0.2">
      <c r="A25" s="164"/>
      <c r="B25" s="413"/>
      <c r="C25" s="164"/>
      <c r="D25" s="164"/>
      <c r="E25" s="164"/>
      <c r="F25" s="164"/>
      <c r="G25" s="164"/>
      <c r="H25" s="164"/>
      <c r="I25" s="164"/>
      <c r="J25" s="164"/>
      <c r="K25" s="164"/>
      <c r="L25" s="164"/>
      <c r="M25" s="164"/>
      <c r="N25" s="164"/>
      <c r="O25" s="164"/>
      <c r="U25" s="850"/>
      <c r="V25" s="850"/>
      <c r="W25" s="850"/>
      <c r="X25" s="850"/>
      <c r="Y25" s="850"/>
      <c r="Z25" s="850"/>
    </row>
    <row r="26" spans="1:26" x14ac:dyDescent="0.2">
      <c r="B26" s="412"/>
      <c r="U26" s="850"/>
      <c r="V26" s="850"/>
      <c r="W26" s="850"/>
      <c r="X26" s="850"/>
      <c r="Y26" s="850"/>
      <c r="Z26" s="850"/>
    </row>
    <row r="27" spans="1:26" ht="12.75" customHeight="1" x14ac:dyDescent="0.2">
      <c r="B27" s="412"/>
      <c r="U27" s="850"/>
      <c r="V27" s="850"/>
      <c r="W27" s="850"/>
      <c r="X27" s="850"/>
      <c r="Y27" s="850"/>
      <c r="Z27" s="850"/>
    </row>
    <row r="28" spans="1:26" ht="6" customHeight="1" x14ac:dyDescent="0.2">
      <c r="A28" s="164"/>
      <c r="B28" s="413"/>
      <c r="C28" s="164"/>
      <c r="D28" s="164"/>
      <c r="E28" s="164"/>
      <c r="F28" s="164"/>
      <c r="G28" s="164"/>
      <c r="H28" s="164"/>
      <c r="I28" s="164"/>
      <c r="J28" s="164"/>
      <c r="K28" s="164"/>
      <c r="L28" s="164"/>
      <c r="M28" s="164"/>
      <c r="N28" s="164"/>
      <c r="O28" s="164"/>
      <c r="P28" s="418"/>
      <c r="Q28" s="418"/>
      <c r="R28" s="418"/>
      <c r="S28" s="418"/>
      <c r="T28" s="418"/>
      <c r="U28" s="418"/>
      <c r="V28" s="850"/>
      <c r="W28" s="850"/>
      <c r="X28" s="850"/>
      <c r="Y28" s="850"/>
      <c r="Z28" s="850"/>
    </row>
    <row r="29" spans="1:26" ht="12.75" customHeight="1" x14ac:dyDescent="0.2">
      <c r="A29" s="164"/>
      <c r="B29" s="414" t="s">
        <v>118</v>
      </c>
      <c r="C29" s="164"/>
      <c r="D29" s="415" t="s">
        <v>769</v>
      </c>
      <c r="E29" s="164"/>
      <c r="F29" s="164"/>
      <c r="G29" s="164"/>
      <c r="H29" s="164"/>
      <c r="I29" s="164"/>
      <c r="J29" s="164"/>
      <c r="K29" s="66"/>
      <c r="L29" s="415" t="s">
        <v>4</v>
      </c>
      <c r="M29" s="164"/>
      <c r="N29" s="164"/>
      <c r="O29" s="164"/>
      <c r="U29" s="850"/>
      <c r="V29" s="850"/>
      <c r="W29" s="850"/>
      <c r="X29" s="850"/>
      <c r="Y29" s="850"/>
      <c r="Z29" s="850"/>
    </row>
    <row r="30" spans="1:26" ht="6" customHeight="1" x14ac:dyDescent="0.2">
      <c r="A30" s="164"/>
      <c r="B30" s="413"/>
      <c r="C30" s="164"/>
      <c r="D30" s="164"/>
      <c r="E30" s="164"/>
      <c r="F30" s="164"/>
      <c r="G30" s="164"/>
      <c r="H30" s="164"/>
      <c r="I30" s="164"/>
      <c r="J30" s="164"/>
      <c r="K30" s="164"/>
      <c r="L30" s="164"/>
      <c r="M30" s="164"/>
      <c r="N30" s="164"/>
      <c r="O30" s="164"/>
      <c r="Q30" s="1736" t="s">
        <v>182</v>
      </c>
      <c r="R30" s="1736"/>
      <c r="S30" s="1736"/>
      <c r="U30" s="850"/>
      <c r="V30" s="850"/>
      <c r="W30" s="850"/>
      <c r="X30" s="850"/>
      <c r="Y30" s="850"/>
      <c r="Z30" s="850"/>
    </row>
    <row r="31" spans="1:26" ht="12.75" customHeight="1" x14ac:dyDescent="0.2">
      <c r="A31" s="164"/>
      <c r="B31" s="413"/>
      <c r="C31" s="164"/>
      <c r="D31" s="415" t="s">
        <v>770</v>
      </c>
      <c r="E31" s="164"/>
      <c r="F31" s="164"/>
      <c r="G31" s="164"/>
      <c r="H31" s="164"/>
      <c r="I31" s="164"/>
      <c r="J31" s="164"/>
      <c r="K31" s="66"/>
      <c r="L31" s="415" t="s">
        <v>4</v>
      </c>
      <c r="M31" s="164"/>
      <c r="N31" s="164"/>
      <c r="O31" s="164"/>
      <c r="Q31" s="1736"/>
      <c r="R31" s="1736"/>
      <c r="S31" s="1736"/>
      <c r="U31" s="850"/>
      <c r="V31" s="850"/>
      <c r="W31" s="850"/>
      <c r="X31" s="850"/>
      <c r="Y31" s="850"/>
      <c r="Z31" s="850"/>
    </row>
    <row r="32" spans="1:26" ht="6" customHeight="1" x14ac:dyDescent="0.2">
      <c r="A32" s="164"/>
      <c r="B32" s="413"/>
      <c r="C32" s="164"/>
      <c r="D32" s="164"/>
      <c r="E32" s="164"/>
      <c r="F32" s="164"/>
      <c r="G32" s="164"/>
      <c r="H32" s="164"/>
      <c r="I32" s="164"/>
      <c r="J32" s="164"/>
      <c r="K32" s="164"/>
      <c r="L32" s="164"/>
      <c r="M32" s="164"/>
      <c r="N32" s="164"/>
      <c r="O32" s="164"/>
      <c r="Q32" s="1736"/>
      <c r="R32" s="1736"/>
      <c r="S32" s="1736"/>
      <c r="U32" s="850"/>
      <c r="V32" s="850"/>
      <c r="W32" s="850"/>
      <c r="X32" s="850"/>
      <c r="Y32" s="850"/>
      <c r="Z32" s="850"/>
    </row>
    <row r="33" spans="1:26" ht="12.75" customHeight="1" x14ac:dyDescent="0.2">
      <c r="A33" s="164"/>
      <c r="B33" s="413"/>
      <c r="C33" s="164"/>
      <c r="D33" s="415" t="s">
        <v>45</v>
      </c>
      <c r="E33" s="164"/>
      <c r="F33" s="164"/>
      <c r="G33" s="164"/>
      <c r="H33" s="164"/>
      <c r="I33" s="164"/>
      <c r="J33" s="164"/>
      <c r="K33" s="66"/>
      <c r="L33" s="415" t="s">
        <v>4</v>
      </c>
      <c r="M33" s="164"/>
      <c r="N33" s="164"/>
      <c r="O33" s="164"/>
      <c r="U33" s="850"/>
      <c r="V33" s="850"/>
      <c r="W33" s="850"/>
      <c r="X33" s="850"/>
      <c r="Y33" s="850"/>
      <c r="Z33" s="850"/>
    </row>
    <row r="34" spans="1:26" ht="6" customHeight="1" x14ac:dyDescent="0.2">
      <c r="A34" s="164"/>
      <c r="B34" s="413"/>
      <c r="C34" s="164"/>
      <c r="D34" s="164"/>
      <c r="E34" s="164"/>
      <c r="F34" s="164"/>
      <c r="G34" s="164"/>
      <c r="H34" s="164"/>
      <c r="I34" s="164"/>
      <c r="J34" s="164"/>
      <c r="K34" s="164"/>
      <c r="L34" s="164"/>
      <c r="M34" s="164"/>
      <c r="N34" s="164"/>
      <c r="O34" s="164"/>
      <c r="U34" s="850"/>
      <c r="V34" s="850"/>
      <c r="W34" s="850"/>
      <c r="X34" s="850"/>
      <c r="Y34" s="850"/>
      <c r="Z34" s="850"/>
    </row>
    <row r="35" spans="1:26" ht="12.75" customHeight="1" x14ac:dyDescent="0.2">
      <c r="A35" s="164"/>
      <c r="B35" s="413"/>
      <c r="C35" s="164"/>
      <c r="D35" s="422" t="s">
        <v>771</v>
      </c>
      <c r="E35" s="423"/>
      <c r="F35" s="423"/>
      <c r="G35" s="423"/>
      <c r="H35" s="423"/>
      <c r="I35" s="164"/>
      <c r="J35" s="164"/>
      <c r="K35" s="163">
        <f>K38+K40+K42+K45</f>
        <v>0</v>
      </c>
      <c r="L35" s="422" t="s">
        <v>4</v>
      </c>
      <c r="M35" s="164"/>
      <c r="N35" s="164"/>
      <c r="O35" s="164"/>
      <c r="U35" s="850"/>
      <c r="V35" s="850"/>
      <c r="W35" s="850"/>
      <c r="X35" s="850"/>
      <c r="Y35" s="850"/>
      <c r="Z35" s="850"/>
    </row>
    <row r="36" spans="1:26" ht="6" customHeight="1" x14ac:dyDescent="0.2">
      <c r="A36" s="164"/>
      <c r="B36" s="164"/>
      <c r="C36" s="164"/>
      <c r="D36" s="164"/>
      <c r="E36" s="164"/>
      <c r="F36" s="164"/>
      <c r="G36" s="164"/>
      <c r="H36" s="164"/>
      <c r="I36" s="164"/>
      <c r="J36" s="164"/>
      <c r="K36" s="424"/>
      <c r="L36" s="164"/>
      <c r="M36" s="164"/>
      <c r="N36" s="164"/>
      <c r="O36" s="164"/>
      <c r="U36" s="850"/>
      <c r="V36" s="850"/>
      <c r="W36" s="850"/>
      <c r="X36" s="850"/>
      <c r="Y36" s="850"/>
      <c r="Z36" s="850"/>
    </row>
    <row r="37" spans="1:26" ht="6" customHeight="1" x14ac:dyDescent="0.2">
      <c r="A37" s="164"/>
      <c r="B37" s="1723" t="s">
        <v>749</v>
      </c>
      <c r="C37" s="1723"/>
      <c r="D37" s="1503"/>
      <c r="E37" s="1504"/>
      <c r="F37" s="1504"/>
      <c r="G37" s="1504"/>
      <c r="H37" s="1504"/>
      <c r="I37" s="1504"/>
      <c r="J37" s="1504"/>
      <c r="K37" s="1506"/>
      <c r="L37" s="1504"/>
      <c r="M37" s="1504"/>
      <c r="N37" s="1504"/>
      <c r="O37" s="164"/>
      <c r="U37" s="850"/>
      <c r="V37" s="850"/>
      <c r="W37" s="850"/>
      <c r="X37" s="850"/>
      <c r="Y37" s="850"/>
      <c r="Z37" s="850"/>
    </row>
    <row r="38" spans="1:26" ht="12.75" customHeight="1" x14ac:dyDescent="0.3">
      <c r="A38" s="164"/>
      <c r="B38" s="1723"/>
      <c r="C38" s="1723"/>
      <c r="D38" s="1505" t="s">
        <v>742</v>
      </c>
      <c r="E38" s="1504"/>
      <c r="F38" s="1504"/>
      <c r="G38" s="1504"/>
      <c r="H38" s="1504"/>
      <c r="I38" s="1505" t="s">
        <v>743</v>
      </c>
      <c r="J38" s="1504"/>
      <c r="K38" s="160"/>
      <c r="L38" s="1505" t="s">
        <v>4</v>
      </c>
      <c r="M38" s="1505"/>
      <c r="N38" s="1505"/>
      <c r="O38" s="164"/>
      <c r="Q38" s="615"/>
      <c r="R38" s="615"/>
      <c r="S38" s="615"/>
      <c r="U38" s="850"/>
      <c r="V38" s="850"/>
      <c r="W38" s="850"/>
      <c r="X38" s="850"/>
      <c r="Y38" s="850"/>
      <c r="Z38" s="850"/>
    </row>
    <row r="39" spans="1:26" ht="6" customHeight="1" x14ac:dyDescent="0.2">
      <c r="A39" s="164"/>
      <c r="B39" s="1723"/>
      <c r="C39" s="1723"/>
      <c r="D39" s="1504"/>
      <c r="E39" s="1504"/>
      <c r="F39" s="1504"/>
      <c r="G39" s="1504"/>
      <c r="H39" s="1504"/>
      <c r="I39" s="1505"/>
      <c r="J39" s="1505"/>
      <c r="K39" s="1507"/>
      <c r="L39" s="1504"/>
      <c r="M39" s="1504"/>
      <c r="N39" s="1504"/>
      <c r="O39" s="164"/>
      <c r="U39" s="850"/>
      <c r="V39" s="850"/>
      <c r="W39" s="850"/>
      <c r="X39" s="850"/>
      <c r="Y39" s="850"/>
      <c r="Z39" s="850"/>
    </row>
    <row r="40" spans="1:26" ht="12.75" customHeight="1" x14ac:dyDescent="0.3">
      <c r="A40" s="164"/>
      <c r="B40" s="1723"/>
      <c r="C40" s="1723"/>
      <c r="D40" s="1505" t="s">
        <v>744</v>
      </c>
      <c r="E40" s="1504"/>
      <c r="F40" s="1504"/>
      <c r="G40" s="1504"/>
      <c r="H40" s="1504"/>
      <c r="I40" s="1505" t="s">
        <v>745</v>
      </c>
      <c r="J40" s="1504"/>
      <c r="K40" s="160"/>
      <c r="L40" s="1505" t="s">
        <v>4</v>
      </c>
      <c r="M40" s="1505"/>
      <c r="N40" s="1505"/>
      <c r="O40" s="164"/>
      <c r="Q40" s="1728" t="s">
        <v>182</v>
      </c>
      <c r="R40" s="1728"/>
      <c r="S40" s="1728"/>
      <c r="U40" s="850"/>
      <c r="V40" s="850"/>
      <c r="W40" s="850"/>
      <c r="X40" s="850"/>
      <c r="Y40" s="850"/>
      <c r="Z40" s="850"/>
    </row>
    <row r="41" spans="1:26" ht="6" customHeight="1" x14ac:dyDescent="0.2">
      <c r="A41" s="164"/>
      <c r="B41" s="1723"/>
      <c r="C41" s="1723"/>
      <c r="D41" s="1504"/>
      <c r="E41" s="1504"/>
      <c r="F41" s="1504"/>
      <c r="G41" s="1504"/>
      <c r="H41" s="1504"/>
      <c r="I41" s="1505"/>
      <c r="J41" s="1505"/>
      <c r="K41" s="1507"/>
      <c r="L41" s="1504"/>
      <c r="M41" s="1504"/>
      <c r="N41" s="1504"/>
      <c r="O41" s="164"/>
      <c r="Q41" s="1728"/>
      <c r="R41" s="1728"/>
      <c r="S41" s="1728"/>
      <c r="U41" s="850"/>
      <c r="V41" s="850"/>
      <c r="W41" s="850"/>
      <c r="X41" s="850"/>
      <c r="Y41" s="850"/>
      <c r="Z41" s="850"/>
    </row>
    <row r="42" spans="1:26" ht="12.75" customHeight="1" x14ac:dyDescent="0.3">
      <c r="A42" s="164"/>
      <c r="B42" s="1723"/>
      <c r="C42" s="1723"/>
      <c r="D42" s="1505" t="s">
        <v>746</v>
      </c>
      <c r="E42" s="1504"/>
      <c r="F42" s="1504"/>
      <c r="G42" s="1504"/>
      <c r="H42" s="1504"/>
      <c r="I42" s="1505" t="s">
        <v>747</v>
      </c>
      <c r="J42" s="1504"/>
      <c r="K42" s="160"/>
      <c r="L42" s="1505" t="s">
        <v>4</v>
      </c>
      <c r="M42" s="1505"/>
      <c r="N42" s="1505"/>
      <c r="O42" s="164"/>
      <c r="Q42" s="1728"/>
      <c r="R42" s="1728"/>
      <c r="S42" s="1728"/>
      <c r="U42" s="850"/>
      <c r="V42" s="850"/>
      <c r="W42" s="850"/>
      <c r="X42" s="850"/>
      <c r="Y42" s="850"/>
      <c r="Z42" s="850"/>
    </row>
    <row r="43" spans="1:26" ht="6" customHeight="1" x14ac:dyDescent="0.2">
      <c r="A43" s="164"/>
      <c r="B43" s="1723"/>
      <c r="C43" s="1723"/>
      <c r="D43" s="1504"/>
      <c r="E43" s="1504"/>
      <c r="F43" s="1504"/>
      <c r="G43" s="1504"/>
      <c r="H43" s="1504"/>
      <c r="I43" s="1504"/>
      <c r="J43" s="1504"/>
      <c r="K43" s="1507"/>
      <c r="L43" s="1504"/>
      <c r="M43" s="1504"/>
      <c r="N43" s="1504"/>
      <c r="O43" s="164"/>
      <c r="Q43" s="1728"/>
      <c r="R43" s="1728"/>
      <c r="S43" s="1728"/>
      <c r="U43" s="850"/>
      <c r="V43" s="850"/>
      <c r="W43" s="850"/>
      <c r="X43" s="850"/>
      <c r="Y43" s="850"/>
      <c r="Z43" s="850"/>
    </row>
    <row r="44" spans="1:26" s="1376" customFormat="1" ht="6" customHeight="1" x14ac:dyDescent="0.2">
      <c r="A44" s="164"/>
      <c r="B44" s="413"/>
      <c r="C44" s="164"/>
      <c r="D44" s="164"/>
      <c r="E44" s="164"/>
      <c r="F44" s="164"/>
      <c r="G44" s="164"/>
      <c r="H44" s="164"/>
      <c r="I44" s="164"/>
      <c r="J44" s="164"/>
      <c r="K44" s="424"/>
      <c r="L44" s="164"/>
      <c r="M44" s="164"/>
      <c r="N44" s="164"/>
      <c r="O44" s="164"/>
    </row>
    <row r="45" spans="1:26" s="1376" customFormat="1" ht="12.75" customHeight="1" x14ac:dyDescent="0.2">
      <c r="A45" s="164"/>
      <c r="B45" s="413"/>
      <c r="C45" s="164"/>
      <c r="D45" s="422" t="s">
        <v>754</v>
      </c>
      <c r="E45" s="423"/>
      <c r="F45" s="423"/>
      <c r="G45" s="423"/>
      <c r="H45" s="423"/>
      <c r="I45" s="164"/>
      <c r="J45" s="164"/>
      <c r="K45" s="161"/>
      <c r="L45" s="422" t="s">
        <v>4</v>
      </c>
      <c r="M45" s="164"/>
      <c r="N45" s="164"/>
      <c r="O45" s="164"/>
    </row>
    <row r="46" spans="1:26" ht="6" customHeight="1" x14ac:dyDescent="0.2">
      <c r="A46" s="164"/>
      <c r="B46" s="164"/>
      <c r="C46" s="164"/>
      <c r="D46" s="164"/>
      <c r="E46" s="164"/>
      <c r="F46" s="164"/>
      <c r="G46" s="164"/>
      <c r="H46" s="164"/>
      <c r="I46" s="164"/>
      <c r="J46" s="164"/>
      <c r="K46" s="164"/>
      <c r="L46" s="164"/>
      <c r="M46" s="164"/>
      <c r="N46" s="164"/>
      <c r="O46" s="164"/>
      <c r="U46" s="850"/>
      <c r="V46" s="850"/>
      <c r="W46" s="850"/>
      <c r="X46" s="850"/>
      <c r="Y46" s="850"/>
      <c r="Z46" s="850"/>
    </row>
    <row r="47" spans="1:26" x14ac:dyDescent="0.2">
      <c r="U47" s="850"/>
      <c r="V47" s="850"/>
      <c r="W47" s="850"/>
      <c r="X47" s="850"/>
      <c r="Y47" s="850"/>
      <c r="Z47" s="850"/>
    </row>
    <row r="48" spans="1:26" x14ac:dyDescent="0.2">
      <c r="B48" s="412"/>
    </row>
    <row r="49" spans="1:21" ht="6" customHeight="1" x14ac:dyDescent="0.2">
      <c r="A49" s="1504"/>
      <c r="B49" s="1508"/>
      <c r="C49" s="1504"/>
      <c r="D49" s="1504"/>
      <c r="E49" s="1504"/>
      <c r="F49" s="1504"/>
      <c r="G49" s="1504"/>
      <c r="H49" s="1504"/>
      <c r="I49" s="1504"/>
      <c r="J49" s="1504"/>
      <c r="K49" s="1504"/>
      <c r="L49" s="1504"/>
      <c r="M49" s="1504"/>
      <c r="N49" s="1504"/>
      <c r="O49" s="1504"/>
    </row>
    <row r="50" spans="1:21" ht="12.75" customHeight="1" x14ac:dyDescent="0.25">
      <c r="A50" s="1504"/>
      <c r="B50" s="1509" t="s">
        <v>748</v>
      </c>
      <c r="C50" s="1504"/>
      <c r="D50" s="1504"/>
      <c r="E50" s="1504"/>
      <c r="F50" s="1504"/>
      <c r="G50" s="1504"/>
      <c r="H50" s="1504"/>
      <c r="I50" s="1505"/>
      <c r="J50" s="1513" t="s">
        <v>752</v>
      </c>
      <c r="K50" s="1738"/>
      <c r="L50" s="1738"/>
      <c r="M50" s="1738"/>
      <c r="N50" s="1738"/>
      <c r="O50" s="1504"/>
    </row>
    <row r="51" spans="1:21" ht="6" customHeight="1" x14ac:dyDescent="0.2">
      <c r="A51" s="1504"/>
      <c r="B51" s="1508"/>
      <c r="C51" s="1504"/>
      <c r="D51" s="1504"/>
      <c r="E51" s="1504"/>
      <c r="F51" s="1504"/>
      <c r="G51" s="1504"/>
      <c r="H51" s="1504"/>
      <c r="I51" s="1504"/>
      <c r="J51" s="1504"/>
      <c r="K51" s="1504"/>
      <c r="L51" s="1504"/>
      <c r="M51" s="1504"/>
      <c r="N51" s="1504"/>
      <c r="O51" s="1504"/>
    </row>
    <row r="52" spans="1:21" x14ac:dyDescent="0.2">
      <c r="A52" s="1504"/>
      <c r="B52" s="1508"/>
      <c r="C52" s="1504"/>
      <c r="D52" s="1505" t="s">
        <v>100</v>
      </c>
      <c r="E52" s="1504"/>
      <c r="F52" s="1504"/>
      <c r="G52" s="1504"/>
      <c r="H52" s="1505" t="s">
        <v>101</v>
      </c>
      <c r="I52" s="1504"/>
      <c r="J52" s="1504"/>
      <c r="K52" s="1504"/>
      <c r="L52" s="1504"/>
      <c r="M52" s="1504"/>
      <c r="N52" s="1504"/>
      <c r="O52" s="1504"/>
    </row>
    <row r="53" spans="1:21" ht="4.5" customHeight="1" x14ac:dyDescent="0.2">
      <c r="A53" s="1504"/>
      <c r="B53" s="1508"/>
      <c r="C53" s="1504"/>
      <c r="D53" s="1505"/>
      <c r="E53" s="1504"/>
      <c r="F53" s="1504"/>
      <c r="G53" s="1504"/>
      <c r="H53" s="1505"/>
      <c r="I53" s="1504"/>
      <c r="J53" s="1504"/>
      <c r="K53" s="1504"/>
      <c r="L53" s="1504"/>
      <c r="M53" s="1504"/>
      <c r="N53" s="1504"/>
      <c r="O53" s="1504"/>
    </row>
    <row r="54" spans="1:21" ht="12.75" customHeight="1" x14ac:dyDescent="0.2">
      <c r="A54" s="1504"/>
      <c r="B54" s="1510" t="s">
        <v>102</v>
      </c>
      <c r="C54" s="1504"/>
      <c r="D54" s="1730"/>
      <c r="E54" s="1730"/>
      <c r="F54" s="1730"/>
      <c r="G54" s="1504"/>
      <c r="H54" s="66"/>
      <c r="I54" s="1505" t="s">
        <v>49</v>
      </c>
      <c r="J54" s="1505"/>
      <c r="K54" s="1504"/>
      <c r="L54" s="1504"/>
      <c r="M54" s="1504"/>
      <c r="N54" s="1504"/>
      <c r="O54" s="1504"/>
    </row>
    <row r="55" spans="1:21" ht="4.5" customHeight="1" x14ac:dyDescent="0.2">
      <c r="A55" s="1504"/>
      <c r="B55" s="1508"/>
      <c r="C55" s="1504"/>
      <c r="D55" s="1505"/>
      <c r="E55" s="1504"/>
      <c r="F55" s="1504"/>
      <c r="G55" s="1504"/>
      <c r="H55" s="1511"/>
      <c r="I55" s="1504"/>
      <c r="J55" s="1504"/>
      <c r="K55" s="1504"/>
      <c r="L55" s="1504"/>
      <c r="M55" s="1504"/>
      <c r="N55" s="1504"/>
      <c r="O55" s="1504"/>
    </row>
    <row r="56" spans="1:21" ht="12.75" customHeight="1" x14ac:dyDescent="0.2">
      <c r="A56" s="1504"/>
      <c r="B56" s="1510" t="s">
        <v>103</v>
      </c>
      <c r="C56" s="1504"/>
      <c r="D56" s="1730"/>
      <c r="E56" s="1730"/>
      <c r="F56" s="1730"/>
      <c r="G56" s="1504"/>
      <c r="H56" s="66"/>
      <c r="I56" s="1505" t="s">
        <v>49</v>
      </c>
      <c r="J56" s="1505"/>
      <c r="K56" s="1504"/>
      <c r="L56" s="1504"/>
      <c r="M56" s="1504"/>
      <c r="N56" s="1504"/>
      <c r="O56" s="1504"/>
    </row>
    <row r="57" spans="1:21" ht="4.5" customHeight="1" x14ac:dyDescent="0.2">
      <c r="A57" s="1504"/>
      <c r="B57" s="1508"/>
      <c r="C57" s="1504"/>
      <c r="D57" s="1505"/>
      <c r="E57" s="1504"/>
      <c r="F57" s="1504"/>
      <c r="G57" s="1504"/>
      <c r="H57" s="1511"/>
      <c r="I57" s="1504"/>
      <c r="J57" s="1504"/>
      <c r="K57" s="1504"/>
      <c r="L57" s="1504"/>
      <c r="M57" s="1504"/>
      <c r="N57" s="1504"/>
      <c r="O57" s="1504"/>
    </row>
    <row r="58" spans="1:21" ht="12.75" customHeight="1" x14ac:dyDescent="0.2">
      <c r="A58" s="1504"/>
      <c r="B58" s="1510" t="s">
        <v>104</v>
      </c>
      <c r="C58" s="1504"/>
      <c r="D58" s="1730"/>
      <c r="E58" s="1730"/>
      <c r="F58" s="1730"/>
      <c r="G58" s="1504"/>
      <c r="H58" s="66"/>
      <c r="I58" s="1505" t="s">
        <v>49</v>
      </c>
      <c r="J58" s="1505"/>
      <c r="K58" s="1504"/>
      <c r="L58" s="1504"/>
      <c r="M58" s="1504"/>
      <c r="N58" s="1504"/>
      <c r="O58" s="1504"/>
      <c r="P58" s="418"/>
      <c r="Q58" s="418"/>
      <c r="R58" s="418"/>
      <c r="S58" s="418"/>
      <c r="T58" s="418"/>
      <c r="U58" s="418"/>
    </row>
    <row r="59" spans="1:21" ht="4.5" customHeight="1" x14ac:dyDescent="0.2">
      <c r="A59" s="1504"/>
      <c r="B59" s="1508"/>
      <c r="C59" s="1504"/>
      <c r="D59" s="1505"/>
      <c r="E59" s="1504"/>
      <c r="F59" s="1504"/>
      <c r="G59" s="1504"/>
      <c r="H59" s="1511"/>
      <c r="I59" s="1504"/>
      <c r="J59" s="1504"/>
      <c r="K59" s="1504"/>
      <c r="L59" s="1504"/>
      <c r="M59" s="1504"/>
      <c r="N59" s="1504"/>
      <c r="O59" s="1504"/>
      <c r="P59" s="418"/>
      <c r="Q59" s="418"/>
      <c r="R59" s="418"/>
      <c r="S59" s="418"/>
      <c r="T59" s="418"/>
      <c r="U59" s="418"/>
    </row>
    <row r="60" spans="1:21" ht="12.75" customHeight="1" x14ac:dyDescent="0.2">
      <c r="A60" s="1504"/>
      <c r="B60" s="1510" t="s">
        <v>105</v>
      </c>
      <c r="C60" s="1504"/>
      <c r="D60" s="1730"/>
      <c r="E60" s="1730"/>
      <c r="F60" s="1730"/>
      <c r="G60" s="1504"/>
      <c r="H60" s="66"/>
      <c r="I60" s="1505" t="s">
        <v>49</v>
      </c>
      <c r="J60" s="1505"/>
      <c r="K60" s="1504"/>
      <c r="L60" s="1504"/>
      <c r="M60" s="1504"/>
      <c r="N60" s="1504"/>
      <c r="O60" s="1504"/>
      <c r="P60" s="418"/>
      <c r="Q60" s="418"/>
      <c r="R60" s="418"/>
      <c r="S60" s="418"/>
      <c r="T60" s="418"/>
      <c r="U60" s="418"/>
    </row>
    <row r="61" spans="1:21" ht="3" customHeight="1" x14ac:dyDescent="0.2">
      <c r="A61" s="1504"/>
      <c r="B61" s="1508"/>
      <c r="C61" s="1504"/>
      <c r="D61" s="1504"/>
      <c r="E61" s="1504"/>
      <c r="F61" s="1504"/>
      <c r="G61" s="1504"/>
      <c r="H61" s="1512"/>
      <c r="I61" s="1504"/>
      <c r="J61" s="1504"/>
      <c r="K61" s="1504"/>
      <c r="L61" s="1504"/>
      <c r="M61" s="1504"/>
      <c r="N61" s="1504"/>
      <c r="O61" s="1504"/>
      <c r="P61" s="418"/>
      <c r="Q61" s="419"/>
      <c r="R61" s="419"/>
      <c r="S61" s="419"/>
      <c r="T61" s="419"/>
      <c r="U61" s="418"/>
    </row>
    <row r="62" spans="1:21" ht="3" customHeight="1" x14ac:dyDescent="0.2">
      <c r="A62" s="1504"/>
      <c r="B62" s="1508"/>
      <c r="C62" s="1504"/>
      <c r="D62" s="1505"/>
      <c r="E62" s="1504"/>
      <c r="F62" s="1504"/>
      <c r="G62" s="1504"/>
      <c r="H62" s="1511"/>
      <c r="I62" s="1504"/>
      <c r="J62" s="1504"/>
      <c r="K62" s="1504"/>
      <c r="L62" s="1504"/>
      <c r="M62" s="1504"/>
      <c r="N62" s="1504"/>
      <c r="O62" s="1504"/>
      <c r="P62" s="418"/>
      <c r="Q62" s="418"/>
      <c r="R62" s="418"/>
      <c r="S62" s="418"/>
      <c r="T62" s="418"/>
      <c r="U62" s="418"/>
    </row>
    <row r="63" spans="1:21" ht="12.75" customHeight="1" x14ac:dyDescent="0.2">
      <c r="A63" s="1504"/>
      <c r="B63" s="1510" t="s">
        <v>13</v>
      </c>
      <c r="C63" s="1504"/>
      <c r="D63" s="1504"/>
      <c r="E63" s="1504"/>
      <c r="F63" s="1504"/>
      <c r="G63" s="1504"/>
      <c r="H63" s="420">
        <f>SUM(H54:H60)</f>
        <v>0</v>
      </c>
      <c r="I63" s="1505" t="s">
        <v>49</v>
      </c>
      <c r="J63" s="1505"/>
      <c r="K63" s="1504"/>
      <c r="L63" s="1504"/>
      <c r="M63" s="1504"/>
      <c r="N63" s="1504"/>
      <c r="O63" s="1504"/>
      <c r="P63" s="418"/>
      <c r="Q63" s="418"/>
      <c r="R63" s="418"/>
      <c r="S63" s="418"/>
      <c r="T63" s="418"/>
      <c r="U63" s="418"/>
    </row>
    <row r="64" spans="1:21" ht="6" customHeight="1" x14ac:dyDescent="0.2">
      <c r="A64" s="1504"/>
      <c r="B64" s="1508"/>
      <c r="C64" s="1504"/>
      <c r="D64" s="1504"/>
      <c r="E64" s="1504"/>
      <c r="F64" s="1504"/>
      <c r="G64" s="1504"/>
      <c r="H64" s="1504"/>
      <c r="I64" s="1504"/>
      <c r="J64" s="1504"/>
      <c r="K64" s="1504"/>
      <c r="L64" s="1504"/>
      <c r="M64" s="1504"/>
      <c r="N64" s="1504"/>
      <c r="O64" s="1504"/>
      <c r="P64" s="418"/>
      <c r="Q64" s="418"/>
      <c r="R64" s="418"/>
      <c r="S64" s="418"/>
      <c r="T64" s="418"/>
      <c r="U64" s="418"/>
    </row>
    <row r="65" spans="1:21" ht="12.75" customHeight="1" x14ac:dyDescent="0.2">
      <c r="B65" s="421"/>
      <c r="C65" s="166"/>
      <c r="D65" s="166"/>
      <c r="E65" s="166"/>
      <c r="F65" s="166"/>
      <c r="G65" s="166"/>
      <c r="H65" s="166"/>
      <c r="I65" s="166"/>
      <c r="J65" s="166"/>
      <c r="K65" s="166"/>
      <c r="L65" s="166"/>
      <c r="M65" s="166"/>
      <c r="N65" s="166"/>
      <c r="O65" s="166"/>
      <c r="P65" s="418"/>
      <c r="Q65" s="418"/>
      <c r="R65" s="418"/>
      <c r="S65" s="418"/>
      <c r="T65" s="418"/>
      <c r="U65" s="418"/>
    </row>
    <row r="66" spans="1:21" x14ac:dyDescent="0.2">
      <c r="S66" s="418"/>
    </row>
    <row r="67" spans="1:21" x14ac:dyDescent="0.2">
      <c r="B67" s="908" t="s">
        <v>698</v>
      </c>
      <c r="C67" s="909"/>
      <c r="D67" s="910"/>
      <c r="G67" s="908" t="s">
        <v>709</v>
      </c>
      <c r="H67" s="909"/>
      <c r="I67" s="909"/>
      <c r="J67" s="910"/>
      <c r="K67" s="725"/>
      <c r="Q67" s="1724" t="s">
        <v>753</v>
      </c>
      <c r="R67" s="1725"/>
      <c r="S67" s="1514"/>
    </row>
    <row r="68" spans="1:21" x14ac:dyDescent="0.2">
      <c r="B68" s="911" t="str">
        <f>Grunddaten!C17</f>
        <v>CH-Verbrauchermix</v>
      </c>
      <c r="C68" s="912"/>
      <c r="D68" s="913"/>
      <c r="G68" s="911" t="str">
        <f>Grunddaten!C52</f>
        <v>Durchschnitt Netze CH</v>
      </c>
      <c r="H68" s="912"/>
      <c r="I68" s="912"/>
      <c r="J68" s="913"/>
      <c r="K68" s="154"/>
      <c r="Q68" s="1726"/>
      <c r="R68" s="1727"/>
      <c r="S68" s="1514"/>
    </row>
    <row r="69" spans="1:21" x14ac:dyDescent="0.2">
      <c r="B69" s="914" t="str">
        <f>Grunddaten!C21</f>
        <v>ewz.econatur</v>
      </c>
      <c r="C69" s="154"/>
      <c r="D69" s="915"/>
      <c r="G69" s="914" t="str">
        <f>Grunddaten!C53</f>
        <v>Stadt Zürich erz</v>
      </c>
      <c r="H69" s="154"/>
      <c r="I69" s="154"/>
      <c r="J69" s="915"/>
      <c r="K69" s="154"/>
      <c r="Q69" s="1734" t="str">
        <f>Grunddaten!H106</f>
        <v>Neubau (MuKEn 2014, Minergie)</v>
      </c>
      <c r="R69" s="1734" t="str">
        <f>Grunddaten!E106</f>
        <v>Erneuerung (Minergie)</v>
      </c>
      <c r="S69" s="1737"/>
    </row>
    <row r="70" spans="1:21" x14ac:dyDescent="0.2">
      <c r="B70" s="914" t="str">
        <f>Grunddaten!C23</f>
        <v>ewz.natur</v>
      </c>
      <c r="C70" s="154"/>
      <c r="D70" s="915"/>
      <c r="G70" s="376" t="str">
        <f>Grunddaten!C54</f>
        <v>Fernwärme XY</v>
      </c>
      <c r="H70" s="377"/>
      <c r="I70" s="377"/>
      <c r="J70" s="378"/>
      <c r="K70" s="724"/>
      <c r="Q70" s="1735"/>
      <c r="R70" s="1735"/>
      <c r="S70" s="1737"/>
    </row>
    <row r="71" spans="1:21" x14ac:dyDescent="0.2">
      <c r="B71" s="914" t="str">
        <f>Grunddaten!C25</f>
        <v>ewz.pronatur</v>
      </c>
      <c r="C71" s="154"/>
      <c r="D71" s="915"/>
      <c r="I71" s="738"/>
      <c r="J71" s="122"/>
      <c r="K71" s="725"/>
      <c r="S71" s="418"/>
    </row>
    <row r="72" spans="1:21" x14ac:dyDescent="0.2">
      <c r="B72" s="914" t="str">
        <f>Grunddaten!C27</f>
        <v>Stadt Zürich - Verwaltungsmix</v>
      </c>
      <c r="C72" s="154"/>
      <c r="D72" s="915"/>
      <c r="G72" s="908" t="s">
        <v>689</v>
      </c>
      <c r="H72" s="909"/>
      <c r="I72" s="909"/>
      <c r="J72" s="910"/>
      <c r="K72" s="154"/>
      <c r="S72" s="418"/>
    </row>
    <row r="73" spans="1:21" x14ac:dyDescent="0.2">
      <c r="B73" s="914" t="str">
        <f>Grunddaten!C29</f>
        <v>Lokales Produkt A</v>
      </c>
      <c r="C73" s="154"/>
      <c r="D73" s="915"/>
      <c r="G73" s="911" t="str">
        <f>Grunddaten!C47</f>
        <v>Biogas - Durchschnitt CH</v>
      </c>
      <c r="H73" s="912"/>
      <c r="I73" s="912"/>
      <c r="J73" s="913"/>
      <c r="K73" s="154"/>
    </row>
    <row r="74" spans="1:21" x14ac:dyDescent="0.2">
      <c r="B74" s="914" t="str">
        <f>Grunddaten!C33</f>
        <v>Lokales Produkt B</v>
      </c>
      <c r="C74" s="154"/>
      <c r="D74" s="915"/>
      <c r="G74" s="376" t="str">
        <f>Grunddaten!C48</f>
        <v>Biogas - Energie360°</v>
      </c>
      <c r="H74" s="377"/>
      <c r="I74" s="377"/>
      <c r="J74" s="378"/>
      <c r="K74" s="724"/>
    </row>
    <row r="75" spans="1:21" x14ac:dyDescent="0.2">
      <c r="A75" s="720"/>
      <c r="B75" s="376" t="str">
        <f>Grunddaten!C37</f>
        <v>Lokales Produkt C</v>
      </c>
      <c r="C75" s="377"/>
      <c r="D75" s="378"/>
      <c r="J75" s="725"/>
    </row>
    <row r="76" spans="1:21" x14ac:dyDescent="0.2">
      <c r="A76" s="720"/>
      <c r="B76" s="720"/>
      <c r="C76" s="720"/>
      <c r="D76" s="720"/>
      <c r="J76" s="154"/>
    </row>
    <row r="77" spans="1:21" x14ac:dyDescent="0.2">
      <c r="A77" s="720"/>
      <c r="B77" s="720"/>
      <c r="C77" s="720"/>
      <c r="D77" s="720"/>
      <c r="J77" s="154"/>
    </row>
    <row r="78" spans="1:21" x14ac:dyDescent="0.2">
      <c r="A78" s="720"/>
      <c r="B78" s="720"/>
      <c r="C78" s="720"/>
      <c r="D78" s="720"/>
    </row>
    <row r="79" spans="1:21" x14ac:dyDescent="0.2">
      <c r="A79" s="720"/>
      <c r="B79" s="720"/>
      <c r="C79" s="720"/>
      <c r="D79" s="720"/>
    </row>
  </sheetData>
  <sheetProtection algorithmName="SHA-512" hashValue="2urX6JvccIclvVsQh0Sz9P2W2H5CMxLZPT+I6Y4KfVDnNio3gSmHhUKgDT00JZLVFh/UKXUGBh5p68/FJBseZg==" saltValue="T8IK74HbnRh8oQz2P14UzA==" spinCount="100000" sheet="1" objects="1" scenarios="1" selectLockedCells="1"/>
  <mergeCells count="22">
    <mergeCell ref="Q69:Q70"/>
    <mergeCell ref="Q30:S32"/>
    <mergeCell ref="D56:F56"/>
    <mergeCell ref="D54:F54"/>
    <mergeCell ref="R69:R70"/>
    <mergeCell ref="S69:S70"/>
    <mergeCell ref="K50:N50"/>
    <mergeCell ref="K5:O5"/>
    <mergeCell ref="C8:G8"/>
    <mergeCell ref="J8:N8"/>
    <mergeCell ref="B37:C43"/>
    <mergeCell ref="Q67:R68"/>
    <mergeCell ref="Q40:S43"/>
    <mergeCell ref="H22:N22"/>
    <mergeCell ref="H24:N24"/>
    <mergeCell ref="D58:F58"/>
    <mergeCell ref="D60:F60"/>
    <mergeCell ref="F13:G13"/>
    <mergeCell ref="F15:G15"/>
    <mergeCell ref="K13:N13"/>
    <mergeCell ref="K15:N15"/>
    <mergeCell ref="H20:N20"/>
  </mergeCells>
  <dataValidations xWindow="339" yWindow="625" count="5">
    <dataValidation type="list" allowBlank="1" showInputMessage="1" showErrorMessage="1" sqref="D58:E58 D54:E54 D56:E56 D60:E60" xr:uid="{00000000-0002-0000-0200-000000000000}">
      <formula1>Nutzungskategorien</formula1>
    </dataValidation>
    <dataValidation type="list" allowBlank="1" showInputMessage="1" showErrorMessage="1" sqref="H22:N22" xr:uid="{00000000-0002-0000-0200-000001000000}">
      <formula1>$G$68:$G$70</formula1>
    </dataValidation>
    <dataValidation type="list" allowBlank="1" showInputMessage="1" showErrorMessage="1" sqref="K50:N50" xr:uid="{00000000-0002-0000-0200-000002000000}">
      <formula1>$Q$69:$R$69</formula1>
    </dataValidation>
    <dataValidation type="list" allowBlank="1" showInputMessage="1" showErrorMessage="1" sqref="H24:N24" xr:uid="{00000000-0002-0000-0200-000003000000}">
      <formula1>IF($V$22,$G$74,$G$73:$G$74)</formula1>
    </dataValidation>
    <dataValidation type="list" allowBlank="1" showErrorMessage="1" promptTitle="Produktewahl Elektrizität" prompt="Nach SIA Merkblatt 2040, Ziff. 2.3.1.4 ist eine andere Wahl als &quot;CH-Verbrauchermix&quot; nur dann zulässig, wenn der Bezug des betreffenden Stromprodukts durch einen langfristigen Liefervertrag (mind. 10 Jahre) abgesichert wird." sqref="H20:N20" xr:uid="{00000000-0002-0000-0200-000004000000}">
      <formula1>$B$68:$B$75</formula1>
    </dataValidation>
  </dataValidations>
  <hyperlinks>
    <hyperlink ref="I2" location="Neu_in_Version" display="i" xr:uid="{00000000-0004-0000-0200-000000000000}"/>
  </hyperlinks>
  <printOptions horizontalCentered="1"/>
  <pageMargins left="0.47" right="0.43" top="0.39370078740157483" bottom="0.78740157480314965" header="0.39370078740157483" footer="0.39370078740157483"/>
  <pageSetup paperSize="9" scale="97" orientation="portrait" horizontalDpi="4294967295" verticalDpi="4294967295" r:id="rId1"/>
  <headerFooter scaleWithDoc="0">
    <oddFooter>&amp;L&amp;8Druckdatum  &amp;D&amp;C&amp;8&amp;F/&amp;A&amp;R&amp;8Seite &amp;P / &amp;N</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theme="2" tint="-0.249977111117893"/>
    <pageSetUpPr fitToPage="1"/>
  </sheetPr>
  <dimension ref="A1:DH213"/>
  <sheetViews>
    <sheetView showGridLines="0" zoomScale="115" zoomScaleNormal="115" zoomScaleSheetLayoutView="80" workbookViewId="0">
      <selection activeCell="O34" sqref="O34:P34"/>
    </sheetView>
  </sheetViews>
  <sheetFormatPr baseColWidth="10" defaultColWidth="11.42578125" defaultRowHeight="12.75" x14ac:dyDescent="0.2"/>
  <cols>
    <col min="1" max="2" width="6.7109375" style="23" customWidth="1"/>
    <col min="3" max="6" width="5.42578125" style="23" customWidth="1"/>
    <col min="7" max="7" width="5.42578125" style="24" customWidth="1"/>
    <col min="8" max="24" width="5.42578125" style="25" customWidth="1"/>
    <col min="25" max="28" width="5.42578125" style="24" customWidth="1"/>
    <col min="29" max="32" width="5.42578125" style="23" customWidth="1"/>
    <col min="33" max="33" width="2.85546875" style="23" customWidth="1"/>
    <col min="34" max="35" width="6.7109375" style="23" customWidth="1"/>
    <col min="36" max="40" width="5.42578125" style="23" customWidth="1"/>
    <col min="41" max="42" width="8.7109375" style="23" customWidth="1"/>
    <col min="43" max="43" width="5.7109375" style="23" customWidth="1"/>
    <col min="44" max="44" width="5.42578125" style="23" customWidth="1"/>
    <col min="45" max="46" width="4.7109375" style="23" customWidth="1"/>
    <col min="47" max="97" width="4.7109375" style="186" customWidth="1"/>
    <col min="98" max="16384" width="11.42578125" style="23"/>
  </cols>
  <sheetData>
    <row r="1" spans="1:97" s="722" customFormat="1" ht="54" customHeight="1" x14ac:dyDescent="0.2">
      <c r="A1" s="1562"/>
      <c r="B1" s="1562"/>
      <c r="C1" s="1562"/>
      <c r="D1" s="1556"/>
      <c r="E1" s="1556"/>
      <c r="F1" s="1556"/>
      <c r="G1" s="1556"/>
      <c r="H1" s="67"/>
      <c r="I1" s="67"/>
      <c r="J1" s="721"/>
      <c r="K1" s="67"/>
      <c r="L1" s="67"/>
      <c r="M1" s="67"/>
      <c r="N1" s="67"/>
      <c r="O1" s="67"/>
      <c r="P1" s="67"/>
      <c r="Q1" s="67"/>
    </row>
    <row r="2" spans="1:97" s="722" customFormat="1" ht="15" customHeight="1" x14ac:dyDescent="0.25">
      <c r="A2" s="1565" t="str">
        <f>CONCATENATE("Variantenvergleich Energiesysteme - Version ",Versionsinfo!$B$4)</f>
        <v>Variantenvergleich Energiesysteme - Version 3.0</v>
      </c>
      <c r="B2" s="716"/>
      <c r="C2" s="716"/>
      <c r="D2" s="717"/>
      <c r="E2" s="717"/>
      <c r="F2" s="717"/>
      <c r="G2" s="718"/>
      <c r="J2" s="651"/>
      <c r="K2" s="652" t="s">
        <v>586</v>
      </c>
      <c r="L2" s="145"/>
      <c r="M2" s="145"/>
      <c r="N2" s="145"/>
      <c r="O2" s="145"/>
      <c r="P2" s="881"/>
      <c r="Q2" s="881"/>
      <c r="R2" s="145"/>
      <c r="S2" s="145"/>
      <c r="T2" s="145"/>
      <c r="U2" s="145"/>
      <c r="V2" s="145"/>
      <c r="W2" s="145"/>
      <c r="X2" s="145"/>
      <c r="Y2" s="145"/>
      <c r="Z2" s="145"/>
      <c r="AA2" s="1562"/>
      <c r="AB2" s="1562"/>
      <c r="AC2" s="1562"/>
      <c r="AD2" s="1562"/>
      <c r="AE2" s="1562"/>
      <c r="AF2" s="1562"/>
    </row>
    <row r="3" spans="1:97" s="112" customFormat="1" ht="12.75" customHeight="1" x14ac:dyDescent="0.2">
      <c r="A3" s="1557" t="s">
        <v>781</v>
      </c>
      <c r="B3" s="425"/>
      <c r="C3" s="425"/>
      <c r="D3" s="427"/>
      <c r="E3" s="427"/>
      <c r="F3" s="427"/>
      <c r="G3" s="427"/>
      <c r="H3" s="425"/>
      <c r="I3" s="425"/>
      <c r="J3" s="145"/>
      <c r="K3" s="145"/>
      <c r="L3" s="145"/>
      <c r="M3" s="145"/>
      <c r="N3" s="145"/>
      <c r="O3" s="145"/>
      <c r="P3" s="881"/>
      <c r="Q3" s="881"/>
      <c r="R3" s="145"/>
      <c r="S3" s="145"/>
      <c r="T3" s="145"/>
      <c r="U3" s="145"/>
      <c r="V3" s="145"/>
      <c r="W3" s="145"/>
      <c r="X3" s="145"/>
      <c r="Y3" s="145"/>
      <c r="Z3" s="903">
        <f>Projektdaten!$C$8</f>
        <v>0</v>
      </c>
      <c r="AA3" s="903"/>
      <c r="AB3" s="903"/>
      <c r="AC3" s="903"/>
      <c r="AD3" s="903"/>
      <c r="AE3" s="903"/>
      <c r="AF3" s="903"/>
      <c r="AG3" s="121"/>
      <c r="AH3" s="121"/>
      <c r="AI3" s="162"/>
      <c r="AJ3" s="121"/>
      <c r="AS3" s="182"/>
      <c r="AU3" s="184"/>
      <c r="AV3" s="184"/>
      <c r="AW3" s="184"/>
      <c r="AX3" s="184"/>
      <c r="AY3" s="184"/>
      <c r="AZ3" s="184"/>
      <c r="BA3" s="184"/>
      <c r="BB3" s="184"/>
      <c r="BC3" s="184"/>
      <c r="BD3" s="184"/>
      <c r="BE3" s="184"/>
      <c r="BF3" s="184"/>
      <c r="BG3" s="184"/>
      <c r="BH3" s="184"/>
      <c r="BI3" s="184"/>
      <c r="BJ3" s="184"/>
      <c r="BK3" s="184"/>
      <c r="BL3" s="184"/>
      <c r="BM3" s="184"/>
      <c r="BN3" s="184"/>
      <c r="BO3" s="184"/>
      <c r="BP3" s="184"/>
      <c r="BQ3" s="184"/>
      <c r="BR3" s="184"/>
      <c r="BS3" s="184"/>
      <c r="BT3" s="184"/>
      <c r="BU3" s="184"/>
      <c r="BV3" s="184"/>
      <c r="BW3" s="184"/>
      <c r="BX3" s="184"/>
      <c r="BY3" s="184"/>
      <c r="BZ3" s="184"/>
      <c r="CA3" s="184"/>
      <c r="CB3" s="184"/>
      <c r="CC3" s="184"/>
      <c r="CD3" s="184"/>
      <c r="CE3" s="184"/>
      <c r="CF3" s="184"/>
      <c r="CG3" s="184"/>
      <c r="CH3" s="184"/>
      <c r="CI3" s="184"/>
      <c r="CJ3" s="184"/>
      <c r="CK3" s="184"/>
      <c r="CL3" s="184"/>
      <c r="CM3" s="184"/>
      <c r="CN3" s="184"/>
      <c r="CO3" s="184"/>
      <c r="CP3" s="184"/>
      <c r="CQ3" s="184"/>
      <c r="CR3" s="184"/>
      <c r="CS3" s="184"/>
    </row>
    <row r="4" spans="1:97" s="182" customFormat="1" ht="16.5" customHeight="1" x14ac:dyDescent="0.2">
      <c r="A4" s="430"/>
      <c r="B4" s="425"/>
      <c r="C4" s="425"/>
      <c r="D4" s="425"/>
      <c r="E4" s="425"/>
      <c r="F4" s="425"/>
      <c r="G4" s="425"/>
      <c r="H4" s="425"/>
      <c r="I4" s="425"/>
      <c r="J4" s="145"/>
      <c r="K4" s="145"/>
      <c r="L4" s="145"/>
      <c r="M4" s="145"/>
      <c r="N4" s="145"/>
      <c r="O4" s="145"/>
      <c r="P4" s="145"/>
      <c r="Q4" s="145"/>
      <c r="R4" s="145"/>
      <c r="S4" s="145"/>
      <c r="T4" s="145"/>
      <c r="U4" s="145"/>
      <c r="V4" s="145"/>
      <c r="W4" s="145"/>
      <c r="X4" s="145"/>
      <c r="Y4" s="145"/>
      <c r="Z4" s="903">
        <f>Projektdaten!$J$8</f>
        <v>0</v>
      </c>
      <c r="AA4" s="903"/>
      <c r="AB4" s="904"/>
      <c r="AC4" s="905"/>
      <c r="AD4" s="905"/>
      <c r="AE4" s="905"/>
      <c r="AF4" s="905"/>
      <c r="AI4" s="162"/>
      <c r="AU4" s="184"/>
      <c r="AV4" s="184"/>
      <c r="AW4" s="184"/>
      <c r="AX4" s="184"/>
      <c r="AY4" s="184"/>
      <c r="AZ4" s="184"/>
      <c r="BA4" s="184"/>
      <c r="BB4" s="184"/>
      <c r="BC4" s="184"/>
      <c r="BD4" s="184"/>
      <c r="BE4" s="184"/>
      <c r="BF4" s="184"/>
      <c r="BG4" s="184"/>
      <c r="BH4" s="184"/>
      <c r="BI4" s="184"/>
      <c r="BJ4" s="184"/>
      <c r="BK4" s="184"/>
      <c r="BL4" s="184"/>
      <c r="BM4" s="184"/>
      <c r="BN4" s="184"/>
      <c r="BO4" s="184"/>
      <c r="BP4" s="184"/>
      <c r="BQ4" s="184"/>
      <c r="BR4" s="184"/>
      <c r="BS4" s="184"/>
      <c r="BT4" s="184"/>
      <c r="BU4" s="184"/>
      <c r="BV4" s="184"/>
      <c r="BW4" s="184"/>
      <c r="BX4" s="184"/>
      <c r="BY4" s="184"/>
      <c r="BZ4" s="184"/>
      <c r="CA4" s="184"/>
      <c r="CB4" s="184"/>
      <c r="CC4" s="184"/>
      <c r="CD4" s="184"/>
      <c r="CE4" s="184"/>
      <c r="CF4" s="184"/>
      <c r="CG4" s="184"/>
      <c r="CH4" s="184"/>
      <c r="CI4" s="184"/>
      <c r="CJ4" s="184"/>
      <c r="CK4" s="184"/>
      <c r="CL4" s="184"/>
      <c r="CM4" s="184"/>
      <c r="CN4" s="184"/>
      <c r="CO4" s="184"/>
      <c r="CP4" s="184"/>
      <c r="CQ4" s="184"/>
      <c r="CR4" s="184"/>
      <c r="CS4" s="184"/>
    </row>
    <row r="5" spans="1:97" s="112" customFormat="1" ht="16.5" customHeight="1" x14ac:dyDescent="0.2">
      <c r="A5" s="1569" t="s">
        <v>655</v>
      </c>
      <c r="B5" s="145"/>
      <c r="C5" s="145"/>
      <c r="D5" s="145"/>
      <c r="E5" s="145"/>
      <c r="F5" s="145"/>
      <c r="G5" s="145"/>
      <c r="H5" s="145"/>
      <c r="I5" s="145"/>
      <c r="J5" s="145"/>
      <c r="K5" s="882"/>
      <c r="L5" s="883"/>
      <c r="M5" s="145"/>
      <c r="N5" s="145"/>
      <c r="O5" s="145"/>
      <c r="P5" s="145"/>
      <c r="Q5" s="145"/>
      <c r="R5" s="145"/>
      <c r="S5" s="145"/>
      <c r="T5" s="883" t="s">
        <v>783</v>
      </c>
      <c r="U5" s="1739">
        <v>45382</v>
      </c>
      <c r="V5" s="1739"/>
      <c r="W5" s="1739"/>
      <c r="X5" s="1739"/>
      <c r="Y5" s="145"/>
      <c r="Z5" s="1435" t="str">
        <f>CONCATENATE("Version: ",Projektdaten!$F$13)</f>
        <v>Version: 1</v>
      </c>
      <c r="AA5" s="1435"/>
      <c r="AB5" s="1435"/>
      <c r="AC5" s="1435"/>
      <c r="AD5" s="2199">
        <f ca="1">Projektdaten!$F$15</f>
        <v>45372</v>
      </c>
      <c r="AE5" s="2199"/>
      <c r="AF5" s="2199"/>
      <c r="AH5" s="2214" t="s">
        <v>700</v>
      </c>
      <c r="AI5" s="2215"/>
      <c r="AJ5" s="2215"/>
      <c r="AK5" s="2215"/>
      <c r="AL5" s="2216"/>
      <c r="AM5" s="2"/>
      <c r="AN5" s="916" t="s">
        <v>701</v>
      </c>
      <c r="AO5" s="917"/>
      <c r="AP5" s="917"/>
      <c r="AQ5" s="918"/>
      <c r="AR5" s="182"/>
      <c r="AT5" s="184"/>
      <c r="AU5" s="184"/>
      <c r="AV5" s="184"/>
      <c r="AW5" s="184"/>
      <c r="AX5" s="184"/>
      <c r="AY5" s="184"/>
      <c r="AZ5" s="184"/>
      <c r="BA5" s="184"/>
      <c r="BB5" s="184"/>
      <c r="BC5" s="184"/>
      <c r="BD5" s="184"/>
      <c r="BE5" s="184"/>
      <c r="BF5" s="184"/>
      <c r="BG5" s="184"/>
      <c r="BH5" s="184"/>
      <c r="BI5" s="184"/>
      <c r="BJ5" s="184"/>
      <c r="BK5" s="184"/>
      <c r="BL5" s="184"/>
      <c r="BM5" s="184"/>
      <c r="BN5" s="184"/>
      <c r="BO5" s="184"/>
      <c r="BP5" s="184"/>
      <c r="BQ5" s="184"/>
      <c r="BR5" s="184"/>
      <c r="BS5" s="184"/>
      <c r="BT5" s="184"/>
      <c r="BU5" s="184"/>
      <c r="BV5" s="184"/>
      <c r="BW5" s="184"/>
      <c r="BX5" s="184"/>
      <c r="BY5" s="184"/>
      <c r="BZ5" s="184"/>
      <c r="CA5" s="184"/>
      <c r="CB5" s="184"/>
      <c r="CC5" s="184"/>
      <c r="CD5" s="184"/>
      <c r="CE5" s="184"/>
      <c r="CF5" s="184"/>
      <c r="CG5" s="184"/>
      <c r="CH5" s="184"/>
      <c r="CI5" s="184"/>
      <c r="CJ5" s="184"/>
      <c r="CK5" s="184"/>
      <c r="CL5" s="184"/>
      <c r="CM5" s="184"/>
      <c r="CN5" s="184"/>
      <c r="CO5" s="184"/>
      <c r="CP5" s="184"/>
      <c r="CQ5" s="184"/>
      <c r="CR5" s="184"/>
    </row>
    <row r="6" spans="1:97" s="120" customFormat="1" ht="12" customHeight="1" x14ac:dyDescent="0.2">
      <c r="AB6" s="114"/>
      <c r="AC6" s="114"/>
      <c r="AH6" s="1891" t="s">
        <v>646</v>
      </c>
      <c r="AI6" s="1892"/>
      <c r="AJ6" s="1892"/>
      <c r="AK6" s="1892"/>
      <c r="AL6" s="1893"/>
      <c r="AM6" s="919"/>
      <c r="AN6" s="1885" t="s">
        <v>549</v>
      </c>
      <c r="AO6" s="1886"/>
      <c r="AP6" s="1886"/>
      <c r="AQ6" s="1887"/>
      <c r="AU6" s="152"/>
      <c r="AV6" s="152"/>
      <c r="AW6" s="152"/>
      <c r="AX6" s="152"/>
      <c r="AY6" s="152"/>
      <c r="AZ6" s="152"/>
      <c r="BA6" s="152"/>
      <c r="BB6" s="152"/>
      <c r="BC6" s="152"/>
      <c r="BD6" s="152"/>
      <c r="BE6" s="152"/>
      <c r="BF6" s="152"/>
      <c r="BG6" s="152"/>
      <c r="BH6" s="152"/>
      <c r="BI6" s="152"/>
      <c r="BJ6" s="152"/>
      <c r="BK6" s="152"/>
      <c r="BL6" s="152"/>
      <c r="BM6" s="152"/>
      <c r="BN6" s="152"/>
      <c r="BO6" s="152"/>
      <c r="BP6" s="152"/>
      <c r="BQ6" s="152"/>
      <c r="BR6" s="152"/>
      <c r="BS6" s="152"/>
      <c r="BT6" s="152"/>
      <c r="BU6" s="152"/>
      <c r="BV6" s="152"/>
      <c r="BW6" s="152"/>
      <c r="BX6" s="152"/>
      <c r="BY6" s="152"/>
      <c r="BZ6" s="152"/>
      <c r="CA6" s="152"/>
      <c r="CB6" s="152"/>
      <c r="CC6" s="152"/>
      <c r="CD6" s="152"/>
      <c r="CE6" s="152"/>
      <c r="CF6" s="152"/>
      <c r="CG6" s="152"/>
      <c r="CH6" s="152"/>
      <c r="CI6" s="152"/>
      <c r="CJ6" s="152"/>
      <c r="CK6" s="152"/>
      <c r="CL6" s="152"/>
      <c r="CM6" s="152"/>
      <c r="CN6" s="152"/>
      <c r="CO6" s="152"/>
      <c r="CP6" s="152"/>
      <c r="CQ6" s="152"/>
      <c r="CR6" s="152"/>
      <c r="CS6" s="152"/>
    </row>
    <row r="7" spans="1:97" s="724" customFormat="1" ht="3.75" customHeight="1" x14ac:dyDescent="0.2">
      <c r="A7" s="739"/>
      <c r="B7" s="740"/>
      <c r="C7" s="741"/>
      <c r="D7" s="741"/>
      <c r="E7" s="742"/>
      <c r="F7" s="742"/>
      <c r="G7" s="742"/>
      <c r="H7" s="742"/>
      <c r="I7" s="742"/>
      <c r="J7" s="742"/>
      <c r="K7" s="742"/>
      <c r="L7" s="742"/>
      <c r="M7" s="742"/>
      <c r="N7" s="740"/>
      <c r="O7" s="741"/>
      <c r="P7" s="741"/>
      <c r="Q7" s="741"/>
      <c r="R7" s="741"/>
      <c r="S7" s="741"/>
      <c r="T7" s="741"/>
      <c r="U7" s="670"/>
      <c r="V7" s="670"/>
      <c r="W7" s="741"/>
      <c r="X7" s="741"/>
      <c r="Y7" s="741"/>
      <c r="Z7" s="741"/>
      <c r="AA7" s="741"/>
      <c r="AB7" s="741"/>
      <c r="AC7" s="741"/>
      <c r="AD7" s="741"/>
      <c r="AE7" s="741"/>
      <c r="AF7" s="743"/>
      <c r="AH7" s="1894"/>
      <c r="AI7" s="1895"/>
      <c r="AJ7" s="1895"/>
      <c r="AK7" s="1895"/>
      <c r="AL7" s="1896"/>
      <c r="AM7" s="919"/>
      <c r="AN7" s="1888"/>
      <c r="AO7" s="1889"/>
      <c r="AP7" s="1889"/>
      <c r="AQ7" s="1890"/>
    </row>
    <row r="8" spans="1:97" s="412" customFormat="1" ht="12.75" customHeight="1" x14ac:dyDescent="0.2">
      <c r="A8" s="744" t="s">
        <v>699</v>
      </c>
      <c r="B8" s="734"/>
      <c r="C8" s="735"/>
      <c r="D8" s="735"/>
      <c r="E8" s="736"/>
      <c r="F8" s="736"/>
      <c r="G8" s="736"/>
      <c r="H8" s="736"/>
      <c r="I8" s="736"/>
      <c r="J8" s="736"/>
      <c r="K8" s="736"/>
      <c r="L8" s="736"/>
      <c r="M8" s="736" t="s">
        <v>702</v>
      </c>
      <c r="N8" s="1616">
        <v>2.2499999999999999E-2</v>
      </c>
      <c r="O8" s="728"/>
      <c r="P8" s="737"/>
      <c r="Q8" s="735"/>
      <c r="R8" s="735"/>
      <c r="S8" s="735"/>
      <c r="T8" s="736" t="s">
        <v>645</v>
      </c>
      <c r="U8" s="2179" t="s">
        <v>647</v>
      </c>
      <c r="V8" s="2179"/>
      <c r="W8" s="2179"/>
      <c r="X8" s="2179"/>
      <c r="Y8" s="2179"/>
      <c r="Z8" s="2179"/>
      <c r="AA8" s="735"/>
      <c r="AB8" s="735"/>
      <c r="AC8" s="735"/>
      <c r="AD8" s="735"/>
      <c r="AE8" s="735"/>
      <c r="AF8" s="745"/>
      <c r="AH8" s="1897" t="s">
        <v>647</v>
      </c>
      <c r="AI8" s="1898"/>
      <c r="AJ8" s="1898"/>
      <c r="AK8" s="1898"/>
      <c r="AL8" s="1899"/>
      <c r="AM8" s="920"/>
      <c r="AN8" s="1885" t="s">
        <v>550</v>
      </c>
      <c r="AO8" s="1886"/>
      <c r="AP8" s="1886"/>
      <c r="AQ8" s="1887"/>
    </row>
    <row r="9" spans="1:97" s="724" customFormat="1" ht="4.5" customHeight="1" x14ac:dyDescent="0.2">
      <c r="A9" s="746"/>
      <c r="B9" s="735"/>
      <c r="C9" s="423"/>
      <c r="D9" s="423"/>
      <c r="E9" s="736"/>
      <c r="F9" s="736"/>
      <c r="G9" s="736"/>
      <c r="H9" s="736"/>
      <c r="I9" s="736"/>
      <c r="J9" s="736"/>
      <c r="K9" s="736"/>
      <c r="L9" s="736"/>
      <c r="M9" s="736"/>
      <c r="N9" s="735"/>
      <c r="O9" s="423"/>
      <c r="P9" s="423"/>
      <c r="Q9" s="423"/>
      <c r="R9" s="423"/>
      <c r="S9" s="423"/>
      <c r="T9" s="422"/>
      <c r="U9" s="423"/>
      <c r="V9" s="423"/>
      <c r="W9" s="423"/>
      <c r="X9" s="423"/>
      <c r="Y9" s="423"/>
      <c r="Z9" s="423"/>
      <c r="AA9" s="423"/>
      <c r="AB9" s="423"/>
      <c r="AC9" s="423"/>
      <c r="AD9" s="423"/>
      <c r="AE9" s="423"/>
      <c r="AF9" s="747"/>
      <c r="AH9" s="1900"/>
      <c r="AI9" s="1901"/>
      <c r="AJ9" s="1901"/>
      <c r="AK9" s="1901"/>
      <c r="AL9" s="1902"/>
      <c r="AM9" s="921"/>
      <c r="AN9" s="1888"/>
      <c r="AO9" s="1889"/>
      <c r="AP9" s="1889"/>
      <c r="AQ9" s="1890"/>
    </row>
    <row r="10" spans="1:97" s="412" customFormat="1" ht="12" customHeight="1" x14ac:dyDescent="0.2">
      <c r="A10" s="748"/>
      <c r="B10" s="734"/>
      <c r="C10" s="735"/>
      <c r="D10" s="735"/>
      <c r="E10" s="736"/>
      <c r="F10" s="736"/>
      <c r="G10" s="736"/>
      <c r="H10" s="736"/>
      <c r="I10" s="736"/>
      <c r="J10" s="736"/>
      <c r="K10" s="736"/>
      <c r="L10" s="736"/>
      <c r="M10" s="736" t="s">
        <v>703</v>
      </c>
      <c r="N10" s="1616">
        <v>1E-8</v>
      </c>
      <c r="O10" s="728"/>
      <c r="P10" s="737"/>
      <c r="Q10" s="735"/>
      <c r="R10" s="735"/>
      <c r="S10" s="735"/>
      <c r="T10" s="736" t="s">
        <v>548</v>
      </c>
      <c r="U10" s="2179" t="s">
        <v>549</v>
      </c>
      <c r="V10" s="2179"/>
      <c r="W10" s="2179"/>
      <c r="X10" s="2179"/>
      <c r="Y10" s="2179"/>
      <c r="Z10" s="2179"/>
      <c r="AA10" s="735"/>
      <c r="AB10" s="735"/>
      <c r="AC10" s="735"/>
      <c r="AD10" s="735"/>
      <c r="AE10" s="735"/>
      <c r="AF10" s="745"/>
      <c r="AH10" s="1915" t="b">
        <f>U8=AH6</f>
        <v>0</v>
      </c>
      <c r="AI10" s="1916"/>
      <c r="AJ10" s="1916"/>
      <c r="AK10" s="1916"/>
      <c r="AL10" s="1917"/>
      <c r="AM10" s="729"/>
      <c r="AN10" s="1915" t="b">
        <f>U10=AN6</f>
        <v>1</v>
      </c>
      <c r="AO10" s="1916"/>
      <c r="AP10" s="1916"/>
      <c r="AQ10" s="1917"/>
    </row>
    <row r="11" spans="1:97" s="724" customFormat="1" ht="3.75" customHeight="1" x14ac:dyDescent="0.2">
      <c r="A11" s="749"/>
      <c r="B11" s="750"/>
      <c r="C11" s="751"/>
      <c r="D11" s="751"/>
      <c r="E11" s="752"/>
      <c r="F11" s="752"/>
      <c r="G11" s="752"/>
      <c r="H11" s="752"/>
      <c r="I11" s="752"/>
      <c r="J11" s="752"/>
      <c r="K11" s="752"/>
      <c r="L11" s="752"/>
      <c r="M11" s="752"/>
      <c r="N11" s="750"/>
      <c r="O11" s="751"/>
      <c r="P11" s="751"/>
      <c r="Q11" s="751"/>
      <c r="R11" s="751"/>
      <c r="S11" s="751"/>
      <c r="T11" s="751"/>
      <c r="U11" s="751"/>
      <c r="V11" s="751"/>
      <c r="W11" s="751"/>
      <c r="X11" s="751"/>
      <c r="Y11" s="751"/>
      <c r="Z11" s="751"/>
      <c r="AA11" s="751"/>
      <c r="AB11" s="751"/>
      <c r="AC11" s="751"/>
      <c r="AD11" s="751"/>
      <c r="AE11" s="751"/>
      <c r="AF11" s="753"/>
      <c r="AH11" s="1918"/>
      <c r="AI11" s="1919"/>
      <c r="AJ11" s="1919"/>
      <c r="AK11" s="1919"/>
      <c r="AL11" s="1920"/>
      <c r="AN11" s="1918"/>
      <c r="AO11" s="1919"/>
      <c r="AP11" s="1919"/>
      <c r="AQ11" s="1920"/>
    </row>
    <row r="12" spans="1:97" s="113" customFormat="1" ht="9" customHeight="1" x14ac:dyDescent="0.2">
      <c r="W12" s="120"/>
      <c r="X12" s="120"/>
      <c r="AB12" s="114"/>
      <c r="AC12" s="114"/>
      <c r="AD12" s="120"/>
      <c r="AE12" s="120"/>
      <c r="AF12" s="120"/>
      <c r="AG12" s="120"/>
      <c r="AH12" s="120"/>
      <c r="AI12" s="120"/>
      <c r="AJ12" s="120"/>
      <c r="AK12" s="120"/>
      <c r="AS12" s="120"/>
      <c r="AU12" s="152"/>
      <c r="AV12" s="152"/>
      <c r="AW12" s="152"/>
      <c r="AX12" s="152"/>
      <c r="AY12" s="152"/>
      <c r="AZ12" s="152"/>
      <c r="BA12" s="152"/>
      <c r="BB12" s="152"/>
      <c r="BC12" s="152"/>
      <c r="BD12" s="152"/>
      <c r="BE12" s="152"/>
      <c r="BF12" s="152"/>
      <c r="BG12" s="152"/>
      <c r="BH12" s="152"/>
      <c r="BI12" s="152"/>
      <c r="BJ12" s="152"/>
      <c r="BK12" s="152"/>
      <c r="BL12" s="152"/>
      <c r="BM12" s="152"/>
      <c r="BN12" s="152"/>
      <c r="BO12" s="152"/>
      <c r="BP12" s="152"/>
      <c r="BQ12" s="152"/>
      <c r="BR12" s="152"/>
      <c r="BS12" s="152"/>
      <c r="BT12" s="152"/>
      <c r="BU12" s="152"/>
      <c r="BV12" s="152"/>
      <c r="BW12" s="152"/>
      <c r="BX12" s="152"/>
      <c r="BY12" s="152"/>
      <c r="BZ12" s="152"/>
      <c r="CA12" s="152"/>
      <c r="CB12" s="152"/>
      <c r="CC12" s="152"/>
      <c r="CD12" s="152"/>
      <c r="CE12" s="152"/>
      <c r="CF12" s="152"/>
      <c r="CG12" s="152"/>
      <c r="CH12" s="152"/>
      <c r="CI12" s="152"/>
      <c r="CJ12" s="152"/>
      <c r="CK12" s="152"/>
      <c r="CL12" s="152"/>
      <c r="CM12" s="152"/>
      <c r="CN12" s="152"/>
      <c r="CO12" s="152"/>
      <c r="CP12" s="152"/>
      <c r="CQ12" s="152"/>
      <c r="CR12" s="152"/>
      <c r="CS12" s="152"/>
    </row>
    <row r="13" spans="1:97" s="113" customFormat="1" ht="15" customHeight="1" x14ac:dyDescent="0.2">
      <c r="A13" s="1851" t="s">
        <v>12</v>
      </c>
      <c r="B13" s="1852"/>
      <c r="C13" s="1852"/>
      <c r="D13" s="1852"/>
      <c r="E13" s="1852"/>
      <c r="F13" s="1852"/>
      <c r="G13" s="1852"/>
      <c r="H13" s="1853"/>
      <c r="I13" s="1861" t="s">
        <v>653</v>
      </c>
      <c r="J13" s="1862"/>
      <c r="K13" s="1862"/>
      <c r="L13" s="1862"/>
      <c r="M13" s="1862"/>
      <c r="N13" s="1862"/>
      <c r="O13" s="1862"/>
      <c r="P13" s="1862"/>
      <c r="Q13" s="1862"/>
      <c r="R13" s="1862"/>
      <c r="S13" s="1862"/>
      <c r="T13" s="1862"/>
      <c r="U13" s="1862"/>
      <c r="V13" s="1863"/>
      <c r="W13" s="1861" t="s">
        <v>213</v>
      </c>
      <c r="X13" s="1862"/>
      <c r="Y13" s="1862"/>
      <c r="Z13" s="1862"/>
      <c r="AA13" s="1862"/>
      <c r="AB13" s="1862"/>
      <c r="AC13" s="1862"/>
      <c r="AD13" s="1862"/>
      <c r="AE13" s="1862"/>
      <c r="AF13" s="1863"/>
      <c r="AG13" s="374"/>
      <c r="AH13" s="1912" t="s">
        <v>230</v>
      </c>
      <c r="AI13" s="1912" t="s">
        <v>233</v>
      </c>
      <c r="AJ13" s="1903" t="s">
        <v>226</v>
      </c>
      <c r="AK13" s="1904"/>
      <c r="AL13" s="1904"/>
      <c r="AM13" s="1905"/>
      <c r="AR13" s="120"/>
      <c r="AS13" s="152"/>
      <c r="AT13" s="152"/>
      <c r="AU13" s="152"/>
      <c r="AV13" s="152"/>
      <c r="AW13" s="152"/>
      <c r="AX13" s="152"/>
      <c r="AY13" s="152"/>
      <c r="AZ13" s="152"/>
      <c r="BA13" s="152"/>
      <c r="BB13" s="152"/>
      <c r="BC13" s="152"/>
      <c r="BD13" s="152"/>
      <c r="BE13" s="152"/>
      <c r="BF13" s="152"/>
      <c r="BG13" s="152"/>
      <c r="BH13" s="152"/>
      <c r="BI13" s="152"/>
      <c r="BJ13" s="152"/>
      <c r="BK13" s="152"/>
      <c r="BL13" s="152"/>
      <c r="BM13" s="152"/>
      <c r="BN13" s="152"/>
      <c r="BO13" s="152"/>
      <c r="BP13" s="152"/>
      <c r="BQ13" s="152"/>
      <c r="BR13" s="152"/>
      <c r="BS13" s="152"/>
      <c r="BT13" s="152"/>
      <c r="BU13" s="152"/>
      <c r="BV13" s="152"/>
      <c r="BW13" s="152"/>
      <c r="BX13" s="152"/>
      <c r="BY13" s="152"/>
      <c r="BZ13" s="152"/>
      <c r="CA13" s="152"/>
      <c r="CB13" s="152"/>
      <c r="CC13" s="152"/>
      <c r="CD13" s="152"/>
      <c r="CE13" s="152"/>
      <c r="CF13" s="152"/>
      <c r="CG13" s="152"/>
      <c r="CH13" s="152"/>
      <c r="CI13" s="152"/>
      <c r="CJ13" s="152"/>
      <c r="CK13" s="152"/>
      <c r="CL13" s="152"/>
      <c r="CM13" s="152"/>
      <c r="CN13" s="152"/>
      <c r="CO13" s="152"/>
      <c r="CP13" s="152"/>
      <c r="CQ13" s="152"/>
    </row>
    <row r="14" spans="1:97" s="117" customFormat="1" ht="24.75" customHeight="1" x14ac:dyDescent="0.2">
      <c r="A14" s="1235"/>
      <c r="B14" s="1236"/>
      <c r="C14" s="1236"/>
      <c r="D14" s="1236"/>
      <c r="E14" s="1236"/>
      <c r="F14" s="1236"/>
      <c r="G14" s="1236"/>
      <c r="H14" s="1237"/>
      <c r="I14" s="1854" t="s">
        <v>454</v>
      </c>
      <c r="J14" s="1855"/>
      <c r="K14" s="1856" t="s">
        <v>256</v>
      </c>
      <c r="L14" s="1857"/>
      <c r="M14" s="1860" t="s">
        <v>688</v>
      </c>
      <c r="N14" s="1855"/>
      <c r="O14" s="1856" t="s">
        <v>257</v>
      </c>
      <c r="P14" s="1857"/>
      <c r="Q14" s="1860" t="s">
        <v>686</v>
      </c>
      <c r="R14" s="1855"/>
      <c r="S14" s="1856" t="s">
        <v>687</v>
      </c>
      <c r="T14" s="1857"/>
      <c r="U14" s="1860" t="s">
        <v>453</v>
      </c>
      <c r="V14" s="1875"/>
      <c r="W14" s="1854" t="s">
        <v>217</v>
      </c>
      <c r="X14" s="1855"/>
      <c r="Y14" s="1858" t="s">
        <v>211</v>
      </c>
      <c r="Z14" s="1859"/>
      <c r="AA14" s="1860" t="s">
        <v>215</v>
      </c>
      <c r="AB14" s="1855"/>
      <c r="AC14" s="1858" t="s">
        <v>212</v>
      </c>
      <c r="AD14" s="1859"/>
      <c r="AE14" s="1860" t="s">
        <v>757</v>
      </c>
      <c r="AF14" s="1875"/>
      <c r="AG14" s="372"/>
      <c r="AH14" s="1913"/>
      <c r="AI14" s="1913"/>
      <c r="AJ14" s="1906"/>
      <c r="AK14" s="1907"/>
      <c r="AL14" s="1907"/>
      <c r="AM14" s="1908"/>
      <c r="AN14" s="153"/>
      <c r="AO14" s="154"/>
      <c r="AP14" s="120"/>
      <c r="AQ14" s="120"/>
      <c r="AR14" s="180"/>
      <c r="AS14" s="188" t="s">
        <v>404</v>
      </c>
      <c r="AT14" s="189"/>
      <c r="AU14" s="189"/>
      <c r="AV14" s="189"/>
      <c r="AW14" s="189"/>
      <c r="AX14" s="189"/>
      <c r="AY14" s="189"/>
      <c r="AZ14" s="189"/>
      <c r="BA14" s="189"/>
      <c r="BB14" s="189"/>
      <c r="BC14" s="189"/>
      <c r="BD14" s="189"/>
      <c r="BE14" s="189"/>
      <c r="BF14" s="189"/>
      <c r="BG14" s="189"/>
      <c r="BH14" s="189"/>
      <c r="BI14" s="189"/>
      <c r="BJ14" s="189"/>
      <c r="BK14" s="189"/>
      <c r="BL14" s="189"/>
      <c r="BM14" s="189"/>
      <c r="BN14" s="189"/>
      <c r="BO14" s="189"/>
      <c r="BP14" s="189"/>
      <c r="BQ14" s="189"/>
      <c r="BR14" s="189"/>
      <c r="BS14" s="189"/>
      <c r="BT14" s="189"/>
      <c r="BU14" s="189"/>
      <c r="BV14" s="189"/>
      <c r="BW14" s="189"/>
      <c r="BX14" s="189"/>
      <c r="BY14" s="189"/>
      <c r="BZ14" s="189"/>
      <c r="CA14" s="189"/>
      <c r="CB14" s="189"/>
      <c r="CC14" s="189"/>
      <c r="CD14" s="189"/>
      <c r="CE14" s="189"/>
      <c r="CF14" s="189"/>
      <c r="CG14" s="189"/>
      <c r="CH14" s="189"/>
      <c r="CI14" s="189"/>
      <c r="CJ14" s="189"/>
      <c r="CK14" s="189"/>
      <c r="CL14" s="189"/>
      <c r="CM14" s="189"/>
      <c r="CN14" s="189"/>
      <c r="CO14" s="189"/>
      <c r="CP14" s="189"/>
      <c r="CQ14" s="190"/>
    </row>
    <row r="15" spans="1:97" s="371" customFormat="1" ht="12" customHeight="1" x14ac:dyDescent="0.2">
      <c r="A15" s="1235"/>
      <c r="B15" s="1236"/>
      <c r="C15" s="1236"/>
      <c r="D15" s="1236"/>
      <c r="E15" s="1236"/>
      <c r="F15" s="1236"/>
      <c r="G15" s="1236"/>
      <c r="H15" s="1237"/>
      <c r="I15" s="1854"/>
      <c r="J15" s="1855"/>
      <c r="K15" s="1858"/>
      <c r="L15" s="1859"/>
      <c r="M15" s="1860"/>
      <c r="N15" s="1855"/>
      <c r="O15" s="1858"/>
      <c r="P15" s="1859"/>
      <c r="Q15" s="1860"/>
      <c r="R15" s="1855"/>
      <c r="S15" s="1858"/>
      <c r="T15" s="1859"/>
      <c r="U15" s="1860"/>
      <c r="V15" s="1875"/>
      <c r="W15" s="1854"/>
      <c r="X15" s="1855"/>
      <c r="Y15" s="1858"/>
      <c r="Z15" s="1859"/>
      <c r="AA15" s="1860"/>
      <c r="AB15" s="1855"/>
      <c r="AC15" s="1858"/>
      <c r="AD15" s="1859"/>
      <c r="AE15" s="1860"/>
      <c r="AF15" s="1875"/>
      <c r="AG15" s="372"/>
      <c r="AH15" s="1913"/>
      <c r="AI15" s="1913"/>
      <c r="AJ15" s="1909"/>
      <c r="AK15" s="1910"/>
      <c r="AL15" s="1910"/>
      <c r="AM15" s="1911"/>
      <c r="AN15" s="153"/>
      <c r="AO15" s="154"/>
      <c r="AP15" s="120"/>
      <c r="AQ15" s="120"/>
      <c r="AS15" s="376"/>
      <c r="AT15" s="377"/>
      <c r="AU15" s="377"/>
      <c r="AV15" s="377"/>
      <c r="AW15" s="377"/>
      <c r="AX15" s="377"/>
      <c r="AY15" s="377"/>
      <c r="AZ15" s="377"/>
      <c r="BA15" s="377"/>
      <c r="BB15" s="377"/>
      <c r="BC15" s="377"/>
      <c r="BD15" s="377"/>
      <c r="BE15" s="377"/>
      <c r="BF15" s="377"/>
      <c r="BG15" s="377"/>
      <c r="BH15" s="377"/>
      <c r="BI15" s="377"/>
      <c r="BJ15" s="377"/>
      <c r="BK15" s="377"/>
      <c r="BL15" s="377"/>
      <c r="BM15" s="377"/>
      <c r="BN15" s="377"/>
      <c r="BO15" s="377"/>
      <c r="BP15" s="377"/>
      <c r="BQ15" s="377"/>
      <c r="BR15" s="377"/>
      <c r="BS15" s="377"/>
      <c r="BT15" s="377"/>
      <c r="BU15" s="377"/>
      <c r="BV15" s="377"/>
      <c r="BW15" s="377"/>
      <c r="BX15" s="377"/>
      <c r="BY15" s="377"/>
      <c r="BZ15" s="377"/>
      <c r="CA15" s="377"/>
      <c r="CB15" s="377"/>
      <c r="CC15" s="377"/>
      <c r="CD15" s="377"/>
      <c r="CE15" s="377"/>
      <c r="CF15" s="377"/>
      <c r="CG15" s="377"/>
      <c r="CH15" s="377"/>
      <c r="CI15" s="377"/>
      <c r="CJ15" s="377"/>
      <c r="CK15" s="377"/>
      <c r="CL15" s="377"/>
      <c r="CM15" s="377"/>
      <c r="CN15" s="377"/>
      <c r="CO15" s="377"/>
      <c r="CP15" s="377"/>
      <c r="CQ15" s="378"/>
    </row>
    <row r="16" spans="1:97" s="113" customFormat="1" ht="12" customHeight="1" x14ac:dyDescent="0.3">
      <c r="A16" s="1238"/>
      <c r="B16" s="1239"/>
      <c r="C16" s="1239"/>
      <c r="D16" s="1239"/>
      <c r="E16" s="1239"/>
      <c r="F16" s="1239"/>
      <c r="G16" s="1239"/>
      <c r="H16" s="1240"/>
      <c r="I16" s="1870" t="s">
        <v>232</v>
      </c>
      <c r="J16" s="1871"/>
      <c r="K16" s="1866" t="s">
        <v>569</v>
      </c>
      <c r="L16" s="1867"/>
      <c r="M16" s="1868" t="s">
        <v>569</v>
      </c>
      <c r="N16" s="1871"/>
      <c r="O16" s="1866" t="s">
        <v>569</v>
      </c>
      <c r="P16" s="1867"/>
      <c r="Q16" s="1868" t="s">
        <v>569</v>
      </c>
      <c r="R16" s="1869"/>
      <c r="S16" s="1866" t="s">
        <v>569</v>
      </c>
      <c r="T16" s="2198"/>
      <c r="U16" s="1868" t="s">
        <v>209</v>
      </c>
      <c r="V16" s="2197"/>
      <c r="W16" s="1870" t="s">
        <v>562</v>
      </c>
      <c r="X16" s="1869"/>
      <c r="Y16" s="1866" t="s">
        <v>562</v>
      </c>
      <c r="Z16" s="2198"/>
      <c r="AA16" s="2210" t="s">
        <v>216</v>
      </c>
      <c r="AB16" s="2211"/>
      <c r="AC16" s="2212" t="s">
        <v>557</v>
      </c>
      <c r="AD16" s="2213"/>
      <c r="AE16" s="1868" t="s">
        <v>210</v>
      </c>
      <c r="AF16" s="2197"/>
      <c r="AG16" s="373"/>
      <c r="AH16" s="1914"/>
      <c r="AI16" s="1914"/>
      <c r="AJ16" s="923" t="s">
        <v>456</v>
      </c>
      <c r="AK16" s="922" t="s">
        <v>227</v>
      </c>
      <c r="AL16" s="922" t="s">
        <v>228</v>
      </c>
      <c r="AM16" s="924" t="s">
        <v>229</v>
      </c>
      <c r="AN16" s="152"/>
      <c r="AO16" s="154"/>
      <c r="AP16" s="120"/>
      <c r="AQ16" s="120"/>
      <c r="AR16" s="119"/>
      <c r="AS16" s="191">
        <f ca="1">YEAR(Projektdaten!$F$15)</f>
        <v>2024</v>
      </c>
      <c r="AT16" s="187">
        <f ca="1">AS16+1</f>
        <v>2025</v>
      </c>
      <c r="AU16" s="187">
        <f t="shared" ref="AU16:CP16" ca="1" si="0">AT16+1</f>
        <v>2026</v>
      </c>
      <c r="AV16" s="187">
        <f t="shared" ca="1" si="0"/>
        <v>2027</v>
      </c>
      <c r="AW16" s="187">
        <f t="shared" ca="1" si="0"/>
        <v>2028</v>
      </c>
      <c r="AX16" s="187">
        <f t="shared" ca="1" si="0"/>
        <v>2029</v>
      </c>
      <c r="AY16" s="187">
        <f t="shared" ca="1" si="0"/>
        <v>2030</v>
      </c>
      <c r="AZ16" s="187">
        <f t="shared" ca="1" si="0"/>
        <v>2031</v>
      </c>
      <c r="BA16" s="187">
        <f t="shared" ca="1" si="0"/>
        <v>2032</v>
      </c>
      <c r="BB16" s="187">
        <f t="shared" ca="1" si="0"/>
        <v>2033</v>
      </c>
      <c r="BC16" s="187">
        <f t="shared" ca="1" si="0"/>
        <v>2034</v>
      </c>
      <c r="BD16" s="187">
        <f t="shared" ca="1" si="0"/>
        <v>2035</v>
      </c>
      <c r="BE16" s="187">
        <f t="shared" ca="1" si="0"/>
        <v>2036</v>
      </c>
      <c r="BF16" s="187">
        <f t="shared" ca="1" si="0"/>
        <v>2037</v>
      </c>
      <c r="BG16" s="187">
        <f t="shared" ca="1" si="0"/>
        <v>2038</v>
      </c>
      <c r="BH16" s="187">
        <f t="shared" ca="1" si="0"/>
        <v>2039</v>
      </c>
      <c r="BI16" s="187">
        <f t="shared" ca="1" si="0"/>
        <v>2040</v>
      </c>
      <c r="BJ16" s="187">
        <f t="shared" ca="1" si="0"/>
        <v>2041</v>
      </c>
      <c r="BK16" s="187">
        <f t="shared" ca="1" si="0"/>
        <v>2042</v>
      </c>
      <c r="BL16" s="187">
        <f t="shared" ca="1" si="0"/>
        <v>2043</v>
      </c>
      <c r="BM16" s="187">
        <f t="shared" ca="1" si="0"/>
        <v>2044</v>
      </c>
      <c r="BN16" s="187">
        <f t="shared" ca="1" si="0"/>
        <v>2045</v>
      </c>
      <c r="BO16" s="187">
        <f t="shared" ca="1" si="0"/>
        <v>2046</v>
      </c>
      <c r="BP16" s="187">
        <f t="shared" ca="1" si="0"/>
        <v>2047</v>
      </c>
      <c r="BQ16" s="187">
        <f t="shared" ca="1" si="0"/>
        <v>2048</v>
      </c>
      <c r="BR16" s="187">
        <f t="shared" ca="1" si="0"/>
        <v>2049</v>
      </c>
      <c r="BS16" s="187">
        <f t="shared" ca="1" si="0"/>
        <v>2050</v>
      </c>
      <c r="BT16" s="187">
        <f t="shared" ca="1" si="0"/>
        <v>2051</v>
      </c>
      <c r="BU16" s="187">
        <f t="shared" ca="1" si="0"/>
        <v>2052</v>
      </c>
      <c r="BV16" s="187">
        <f t="shared" ca="1" si="0"/>
        <v>2053</v>
      </c>
      <c r="BW16" s="187">
        <f t="shared" ca="1" si="0"/>
        <v>2054</v>
      </c>
      <c r="BX16" s="187">
        <f t="shared" ca="1" si="0"/>
        <v>2055</v>
      </c>
      <c r="BY16" s="187">
        <f t="shared" ca="1" si="0"/>
        <v>2056</v>
      </c>
      <c r="BZ16" s="187">
        <f t="shared" ca="1" si="0"/>
        <v>2057</v>
      </c>
      <c r="CA16" s="187">
        <f t="shared" ca="1" si="0"/>
        <v>2058</v>
      </c>
      <c r="CB16" s="187">
        <f t="shared" ca="1" si="0"/>
        <v>2059</v>
      </c>
      <c r="CC16" s="187">
        <f t="shared" ca="1" si="0"/>
        <v>2060</v>
      </c>
      <c r="CD16" s="187">
        <f t="shared" ca="1" si="0"/>
        <v>2061</v>
      </c>
      <c r="CE16" s="187">
        <f t="shared" ca="1" si="0"/>
        <v>2062</v>
      </c>
      <c r="CF16" s="187">
        <f t="shared" ca="1" si="0"/>
        <v>2063</v>
      </c>
      <c r="CG16" s="187">
        <f t="shared" ca="1" si="0"/>
        <v>2064</v>
      </c>
      <c r="CH16" s="187">
        <f t="shared" ca="1" si="0"/>
        <v>2065</v>
      </c>
      <c r="CI16" s="187">
        <f t="shared" ca="1" si="0"/>
        <v>2066</v>
      </c>
      <c r="CJ16" s="187">
        <f t="shared" ca="1" si="0"/>
        <v>2067</v>
      </c>
      <c r="CK16" s="187">
        <f t="shared" ca="1" si="0"/>
        <v>2068</v>
      </c>
      <c r="CL16" s="187">
        <f t="shared" ca="1" si="0"/>
        <v>2069</v>
      </c>
      <c r="CM16" s="187">
        <f t="shared" ca="1" si="0"/>
        <v>2070</v>
      </c>
      <c r="CN16" s="187">
        <f t="shared" ca="1" si="0"/>
        <v>2071</v>
      </c>
      <c r="CO16" s="187">
        <f t="shared" ca="1" si="0"/>
        <v>2072</v>
      </c>
      <c r="CP16" s="187">
        <f t="shared" ca="1" si="0"/>
        <v>2073</v>
      </c>
      <c r="CQ16" s="192">
        <f ca="1">CP16+1</f>
        <v>2074</v>
      </c>
    </row>
    <row r="17" spans="1:95" s="117" customFormat="1" ht="11.45" customHeight="1" x14ac:dyDescent="0.2">
      <c r="A17" s="757" t="s">
        <v>24</v>
      </c>
      <c r="B17" s="758"/>
      <c r="C17" s="1864" t="s">
        <v>784</v>
      </c>
      <c r="D17" s="1864"/>
      <c r="E17" s="1864"/>
      <c r="F17" s="670" t="s">
        <v>204</v>
      </c>
      <c r="G17" s="670"/>
      <c r="H17" s="759"/>
      <c r="I17" s="1872"/>
      <c r="J17" s="1849"/>
      <c r="K17" s="766">
        <v>25</v>
      </c>
      <c r="L17" s="767"/>
      <c r="M17" s="765"/>
      <c r="N17" s="772"/>
      <c r="O17" s="766"/>
      <c r="P17" s="767"/>
      <c r="Q17" s="1874"/>
      <c r="R17" s="1874"/>
      <c r="S17" s="1877">
        <f>IF(ISBLANK(L17),K17,L17)+IF(ISBLANK(N17),M17,N17)+IF(ISBLANK(P17),O17,P17)+Q17</f>
        <v>25</v>
      </c>
      <c r="T17" s="1878"/>
      <c r="U17" s="1879">
        <f>0.25/K17*100</f>
        <v>1</v>
      </c>
      <c r="V17" s="1876"/>
      <c r="W17" s="2186">
        <v>2.08</v>
      </c>
      <c r="X17" s="2187"/>
      <c r="Y17" s="2192">
        <v>0.55600000000000005</v>
      </c>
      <c r="Z17" s="1779"/>
      <c r="AA17" s="1928">
        <v>0.125</v>
      </c>
      <c r="AB17" s="1928"/>
      <c r="AC17" s="1968">
        <v>513</v>
      </c>
      <c r="AD17" s="1969"/>
      <c r="AE17" s="1879">
        <v>2</v>
      </c>
      <c r="AF17" s="1964"/>
      <c r="AG17" s="375"/>
      <c r="AH17" s="925">
        <f t="shared" ref="AH17:AH43" si="1">IF(ISBLANK(V17),U17,V17)</f>
        <v>1</v>
      </c>
      <c r="AI17" s="2217">
        <f t="shared" ref="AI17:AI56" si="2">IF(ISBLANK($J17),$I17,$J17)</f>
        <v>0</v>
      </c>
      <c r="AJ17" s="2218">
        <f>S17</f>
        <v>25</v>
      </c>
      <c r="AK17" s="1926">
        <f>S18</f>
        <v>25</v>
      </c>
      <c r="AL17" s="1926">
        <f>IF(S19=Q17,AJ17,S19)</f>
        <v>25</v>
      </c>
      <c r="AM17" s="1927">
        <f>IF(S20=Q17,AK17,S20)</f>
        <v>25</v>
      </c>
      <c r="AN17" s="153"/>
      <c r="AO17" s="153"/>
      <c r="AP17" s="153"/>
      <c r="AQ17" s="153"/>
      <c r="AR17" s="180"/>
      <c r="AS17" s="237">
        <f t="shared" ref="AS17:BB24" ca="1" si="3">IF(OR(ISBLANK($S17),$S17=0),0,(1+(AS$16-$AS$16)*$AH17/100))</f>
        <v>1</v>
      </c>
      <c r="AT17" s="238">
        <f t="shared" ca="1" si="3"/>
        <v>1.01</v>
      </c>
      <c r="AU17" s="238">
        <f t="shared" ca="1" si="3"/>
        <v>1.02</v>
      </c>
      <c r="AV17" s="238">
        <f t="shared" ca="1" si="3"/>
        <v>1.03</v>
      </c>
      <c r="AW17" s="238">
        <f t="shared" ca="1" si="3"/>
        <v>1.04</v>
      </c>
      <c r="AX17" s="238">
        <f t="shared" ca="1" si="3"/>
        <v>1.05</v>
      </c>
      <c r="AY17" s="238">
        <f t="shared" ca="1" si="3"/>
        <v>1.06</v>
      </c>
      <c r="AZ17" s="238">
        <f t="shared" ca="1" si="3"/>
        <v>1.07</v>
      </c>
      <c r="BA17" s="238">
        <f t="shared" ca="1" si="3"/>
        <v>1.08</v>
      </c>
      <c r="BB17" s="238">
        <f t="shared" ca="1" si="3"/>
        <v>1.0900000000000001</v>
      </c>
      <c r="BC17" s="238">
        <f t="shared" ref="BC17:BL24" ca="1" si="4">IF(OR(ISBLANK($S17),$S17=0),0,(1+(BC$16-$AS$16)*$AH17/100))</f>
        <v>1.1000000000000001</v>
      </c>
      <c r="BD17" s="238">
        <f t="shared" ca="1" si="4"/>
        <v>1.1100000000000001</v>
      </c>
      <c r="BE17" s="238">
        <f t="shared" ca="1" si="4"/>
        <v>1.1200000000000001</v>
      </c>
      <c r="BF17" s="238">
        <f t="shared" ca="1" si="4"/>
        <v>1.1299999999999999</v>
      </c>
      <c r="BG17" s="238">
        <f t="shared" ca="1" si="4"/>
        <v>1.1400000000000001</v>
      </c>
      <c r="BH17" s="238">
        <f t="shared" ca="1" si="4"/>
        <v>1.1499999999999999</v>
      </c>
      <c r="BI17" s="238">
        <f t="shared" ca="1" si="4"/>
        <v>1.1599999999999999</v>
      </c>
      <c r="BJ17" s="238">
        <f t="shared" ca="1" si="4"/>
        <v>1.17</v>
      </c>
      <c r="BK17" s="238">
        <f t="shared" ca="1" si="4"/>
        <v>1.18</v>
      </c>
      <c r="BL17" s="238">
        <f t="shared" ca="1" si="4"/>
        <v>1.19</v>
      </c>
      <c r="BM17" s="238">
        <f t="shared" ref="BM17:BV24" ca="1" si="5">IF(OR(ISBLANK($S17),$S17=0),0,(1+(BM$16-$AS$16)*$AH17/100))</f>
        <v>1.2</v>
      </c>
      <c r="BN17" s="238">
        <f t="shared" ca="1" si="5"/>
        <v>1.21</v>
      </c>
      <c r="BO17" s="238">
        <f t="shared" ca="1" si="5"/>
        <v>1.22</v>
      </c>
      <c r="BP17" s="238">
        <f t="shared" ca="1" si="5"/>
        <v>1.23</v>
      </c>
      <c r="BQ17" s="238">
        <f t="shared" ca="1" si="5"/>
        <v>1.24</v>
      </c>
      <c r="BR17" s="238">
        <f t="shared" ca="1" si="5"/>
        <v>1.25</v>
      </c>
      <c r="BS17" s="238">
        <f t="shared" ca="1" si="5"/>
        <v>1.26</v>
      </c>
      <c r="BT17" s="238">
        <f t="shared" ca="1" si="5"/>
        <v>1.27</v>
      </c>
      <c r="BU17" s="238">
        <f t="shared" ca="1" si="5"/>
        <v>1.28</v>
      </c>
      <c r="BV17" s="238">
        <f t="shared" ca="1" si="5"/>
        <v>1.29</v>
      </c>
      <c r="BW17" s="238">
        <f t="shared" ref="BW17:CF24" ca="1" si="6">IF(OR(ISBLANK($S17),$S17=0),0,(1+(BW$16-$AS$16)*$AH17/100))</f>
        <v>1.3</v>
      </c>
      <c r="BX17" s="238">
        <f t="shared" ca="1" si="6"/>
        <v>1.31</v>
      </c>
      <c r="BY17" s="238">
        <f t="shared" ca="1" si="6"/>
        <v>1.32</v>
      </c>
      <c r="BZ17" s="238">
        <f t="shared" ca="1" si="6"/>
        <v>1.33</v>
      </c>
      <c r="CA17" s="238">
        <f t="shared" ca="1" si="6"/>
        <v>1.34</v>
      </c>
      <c r="CB17" s="238">
        <f t="shared" ca="1" si="6"/>
        <v>1.35</v>
      </c>
      <c r="CC17" s="238">
        <f t="shared" ca="1" si="6"/>
        <v>1.3599999999999999</v>
      </c>
      <c r="CD17" s="238">
        <f t="shared" ca="1" si="6"/>
        <v>1.37</v>
      </c>
      <c r="CE17" s="238">
        <f t="shared" ca="1" si="6"/>
        <v>1.38</v>
      </c>
      <c r="CF17" s="238">
        <f t="shared" ca="1" si="6"/>
        <v>1.3900000000000001</v>
      </c>
      <c r="CG17" s="238">
        <f t="shared" ref="CG17:CQ24" ca="1" si="7">IF(OR(ISBLANK($S17),$S17=0),0,(1+(CG$16-$AS$16)*$AH17/100))</f>
        <v>1.4</v>
      </c>
      <c r="CH17" s="238">
        <f t="shared" ca="1" si="7"/>
        <v>1.41</v>
      </c>
      <c r="CI17" s="238">
        <f t="shared" ca="1" si="7"/>
        <v>1.42</v>
      </c>
      <c r="CJ17" s="238">
        <f t="shared" ca="1" si="7"/>
        <v>1.43</v>
      </c>
      <c r="CK17" s="238">
        <f t="shared" ca="1" si="7"/>
        <v>1.44</v>
      </c>
      <c r="CL17" s="238">
        <f t="shared" ca="1" si="7"/>
        <v>1.45</v>
      </c>
      <c r="CM17" s="238">
        <f t="shared" ca="1" si="7"/>
        <v>1.46</v>
      </c>
      <c r="CN17" s="238">
        <f t="shared" ca="1" si="7"/>
        <v>1.47</v>
      </c>
      <c r="CO17" s="238">
        <f t="shared" ca="1" si="7"/>
        <v>1.48</v>
      </c>
      <c r="CP17" s="238">
        <f t="shared" ca="1" si="7"/>
        <v>1.49</v>
      </c>
      <c r="CQ17" s="239">
        <f t="shared" ca="1" si="7"/>
        <v>1.5</v>
      </c>
    </row>
    <row r="18" spans="1:95" s="117" customFormat="1" ht="11.25" customHeight="1" x14ac:dyDescent="0.2">
      <c r="A18" s="760"/>
      <c r="B18" s="733"/>
      <c r="C18" s="1865"/>
      <c r="D18" s="1865"/>
      <c r="E18" s="1865"/>
      <c r="F18" s="731" t="s">
        <v>205</v>
      </c>
      <c r="G18" s="731"/>
      <c r="H18" s="755"/>
      <c r="I18" s="1873"/>
      <c r="J18" s="1850"/>
      <c r="K18" s="768">
        <f>K17</f>
        <v>25</v>
      </c>
      <c r="L18" s="769"/>
      <c r="M18" s="698"/>
      <c r="N18" s="773"/>
      <c r="O18" s="768"/>
      <c r="P18" s="769"/>
      <c r="Q18" s="1844"/>
      <c r="R18" s="1844"/>
      <c r="S18" s="1770">
        <f>IF(ISBLANK(L18),K18,L18)+IF(ISBLANK(N18),M18,N18)+IF(ISBLANK(P18),O18,P18)+Q17</f>
        <v>25</v>
      </c>
      <c r="T18" s="1771"/>
      <c r="U18" s="1880"/>
      <c r="V18" s="1772"/>
      <c r="W18" s="2188"/>
      <c r="X18" s="2189"/>
      <c r="Y18" s="2193"/>
      <c r="Z18" s="2194"/>
      <c r="AA18" s="2196"/>
      <c r="AB18" s="2196"/>
      <c r="AC18" s="2208"/>
      <c r="AD18" s="2209"/>
      <c r="AE18" s="1880"/>
      <c r="AF18" s="1965"/>
      <c r="AG18" s="375"/>
      <c r="AH18" s="926">
        <f>IF(ISBLANK(V17),U17,V17)</f>
        <v>1</v>
      </c>
      <c r="AI18" s="1943"/>
      <c r="AJ18" s="1924"/>
      <c r="AK18" s="1882"/>
      <c r="AL18" s="1882"/>
      <c r="AM18" s="1922"/>
      <c r="AN18" s="153"/>
      <c r="AO18" s="153"/>
      <c r="AP18" s="153"/>
      <c r="AQ18" s="153"/>
      <c r="AR18" s="180"/>
      <c r="AS18" s="231">
        <f t="shared" ca="1" si="3"/>
        <v>1</v>
      </c>
      <c r="AT18" s="232">
        <f t="shared" ca="1" si="3"/>
        <v>1.01</v>
      </c>
      <c r="AU18" s="232">
        <f t="shared" ca="1" si="3"/>
        <v>1.02</v>
      </c>
      <c r="AV18" s="232">
        <f t="shared" ca="1" si="3"/>
        <v>1.03</v>
      </c>
      <c r="AW18" s="232">
        <f t="shared" ca="1" si="3"/>
        <v>1.04</v>
      </c>
      <c r="AX18" s="232">
        <f t="shared" ca="1" si="3"/>
        <v>1.05</v>
      </c>
      <c r="AY18" s="232">
        <f t="shared" ca="1" si="3"/>
        <v>1.06</v>
      </c>
      <c r="AZ18" s="232">
        <f t="shared" ca="1" si="3"/>
        <v>1.07</v>
      </c>
      <c r="BA18" s="232">
        <f t="shared" ca="1" si="3"/>
        <v>1.08</v>
      </c>
      <c r="BB18" s="232">
        <f t="shared" ca="1" si="3"/>
        <v>1.0900000000000001</v>
      </c>
      <c r="BC18" s="232">
        <f t="shared" ca="1" si="4"/>
        <v>1.1000000000000001</v>
      </c>
      <c r="BD18" s="232">
        <f t="shared" ca="1" si="4"/>
        <v>1.1100000000000001</v>
      </c>
      <c r="BE18" s="232">
        <f t="shared" ca="1" si="4"/>
        <v>1.1200000000000001</v>
      </c>
      <c r="BF18" s="232">
        <f t="shared" ca="1" si="4"/>
        <v>1.1299999999999999</v>
      </c>
      <c r="BG18" s="232">
        <f t="shared" ca="1" si="4"/>
        <v>1.1400000000000001</v>
      </c>
      <c r="BH18" s="232">
        <f t="shared" ca="1" si="4"/>
        <v>1.1499999999999999</v>
      </c>
      <c r="BI18" s="232">
        <f t="shared" ca="1" si="4"/>
        <v>1.1599999999999999</v>
      </c>
      <c r="BJ18" s="232">
        <f t="shared" ca="1" si="4"/>
        <v>1.17</v>
      </c>
      <c r="BK18" s="232">
        <f t="shared" ca="1" si="4"/>
        <v>1.18</v>
      </c>
      <c r="BL18" s="232">
        <f t="shared" ca="1" si="4"/>
        <v>1.19</v>
      </c>
      <c r="BM18" s="232">
        <f t="shared" ca="1" si="5"/>
        <v>1.2</v>
      </c>
      <c r="BN18" s="232">
        <f t="shared" ca="1" si="5"/>
        <v>1.21</v>
      </c>
      <c r="BO18" s="232">
        <f t="shared" ca="1" si="5"/>
        <v>1.22</v>
      </c>
      <c r="BP18" s="232">
        <f t="shared" ca="1" si="5"/>
        <v>1.23</v>
      </c>
      <c r="BQ18" s="232">
        <f t="shared" ca="1" si="5"/>
        <v>1.24</v>
      </c>
      <c r="BR18" s="232">
        <f t="shared" ca="1" si="5"/>
        <v>1.25</v>
      </c>
      <c r="BS18" s="232">
        <f t="shared" ca="1" si="5"/>
        <v>1.26</v>
      </c>
      <c r="BT18" s="232">
        <f t="shared" ca="1" si="5"/>
        <v>1.27</v>
      </c>
      <c r="BU18" s="232">
        <f t="shared" ca="1" si="5"/>
        <v>1.28</v>
      </c>
      <c r="BV18" s="232">
        <f t="shared" ca="1" si="5"/>
        <v>1.29</v>
      </c>
      <c r="BW18" s="232">
        <f t="shared" ca="1" si="6"/>
        <v>1.3</v>
      </c>
      <c r="BX18" s="232">
        <f t="shared" ca="1" si="6"/>
        <v>1.31</v>
      </c>
      <c r="BY18" s="232">
        <f t="shared" ca="1" si="6"/>
        <v>1.32</v>
      </c>
      <c r="BZ18" s="232">
        <f t="shared" ca="1" si="6"/>
        <v>1.33</v>
      </c>
      <c r="CA18" s="232">
        <f t="shared" ca="1" si="6"/>
        <v>1.34</v>
      </c>
      <c r="CB18" s="232">
        <f t="shared" ca="1" si="6"/>
        <v>1.35</v>
      </c>
      <c r="CC18" s="232">
        <f t="shared" ca="1" si="6"/>
        <v>1.3599999999999999</v>
      </c>
      <c r="CD18" s="232">
        <f t="shared" ca="1" si="6"/>
        <v>1.37</v>
      </c>
      <c r="CE18" s="232">
        <f t="shared" ca="1" si="6"/>
        <v>1.38</v>
      </c>
      <c r="CF18" s="232">
        <f t="shared" ca="1" si="6"/>
        <v>1.3900000000000001</v>
      </c>
      <c r="CG18" s="232">
        <f t="shared" ca="1" si="7"/>
        <v>1.4</v>
      </c>
      <c r="CH18" s="232">
        <f t="shared" ca="1" si="7"/>
        <v>1.41</v>
      </c>
      <c r="CI18" s="232">
        <f t="shared" ca="1" si="7"/>
        <v>1.42</v>
      </c>
      <c r="CJ18" s="232">
        <f t="shared" ca="1" si="7"/>
        <v>1.43</v>
      </c>
      <c r="CK18" s="232">
        <f t="shared" ca="1" si="7"/>
        <v>1.44</v>
      </c>
      <c r="CL18" s="232">
        <f t="shared" ca="1" si="7"/>
        <v>1.45</v>
      </c>
      <c r="CM18" s="232">
        <f t="shared" ca="1" si="7"/>
        <v>1.46</v>
      </c>
      <c r="CN18" s="232">
        <f t="shared" ca="1" si="7"/>
        <v>1.47</v>
      </c>
      <c r="CO18" s="232">
        <f t="shared" ca="1" si="7"/>
        <v>1.48</v>
      </c>
      <c r="CP18" s="232">
        <f t="shared" ca="1" si="7"/>
        <v>1.49</v>
      </c>
      <c r="CQ18" s="233">
        <f t="shared" ca="1" si="7"/>
        <v>1.5</v>
      </c>
    </row>
    <row r="19" spans="1:95" s="380" customFormat="1" ht="11.25" customHeight="1" x14ac:dyDescent="0.2">
      <c r="A19" s="760"/>
      <c r="B19" s="733"/>
      <c r="C19" s="1865"/>
      <c r="D19" s="1865"/>
      <c r="E19" s="1865"/>
      <c r="F19" s="731" t="s">
        <v>206</v>
      </c>
      <c r="G19" s="731"/>
      <c r="H19" s="755"/>
      <c r="I19" s="1873"/>
      <c r="J19" s="1850"/>
      <c r="K19" s="768">
        <f>K17</f>
        <v>25</v>
      </c>
      <c r="L19" s="769"/>
      <c r="M19" s="698"/>
      <c r="N19" s="773"/>
      <c r="O19" s="768"/>
      <c r="P19" s="769"/>
      <c r="Q19" s="1844"/>
      <c r="R19" s="1844"/>
      <c r="S19" s="1770">
        <f>IF(ISBLANK(L19),K19,L19)+IF(ISBLANK(N19),M19,N19)+IF(ISBLANK(P19),O19,P19)+Q17</f>
        <v>25</v>
      </c>
      <c r="T19" s="1771"/>
      <c r="U19" s="1880"/>
      <c r="V19" s="1772"/>
      <c r="W19" s="2188"/>
      <c r="X19" s="2189"/>
      <c r="Y19" s="2193"/>
      <c r="Z19" s="2194"/>
      <c r="AA19" s="2196"/>
      <c r="AB19" s="2196"/>
      <c r="AC19" s="2208"/>
      <c r="AD19" s="2209"/>
      <c r="AE19" s="1880"/>
      <c r="AF19" s="1965"/>
      <c r="AG19" s="375"/>
      <c r="AH19" s="926">
        <f>IF(ISBLANK(V17),U17,V17)</f>
        <v>1</v>
      </c>
      <c r="AI19" s="1943"/>
      <c r="AJ19" s="1924"/>
      <c r="AK19" s="1882"/>
      <c r="AL19" s="1882"/>
      <c r="AM19" s="1922"/>
      <c r="AN19" s="153"/>
      <c r="AO19" s="154"/>
      <c r="AP19" s="154"/>
      <c r="AQ19" s="154"/>
      <c r="AR19" s="118"/>
      <c r="AS19" s="231">
        <f t="shared" ca="1" si="3"/>
        <v>1</v>
      </c>
      <c r="AT19" s="232">
        <f t="shared" ca="1" si="3"/>
        <v>1.01</v>
      </c>
      <c r="AU19" s="232">
        <f t="shared" ca="1" si="3"/>
        <v>1.02</v>
      </c>
      <c r="AV19" s="232">
        <f t="shared" ca="1" si="3"/>
        <v>1.03</v>
      </c>
      <c r="AW19" s="232">
        <f t="shared" ca="1" si="3"/>
        <v>1.04</v>
      </c>
      <c r="AX19" s="232">
        <f t="shared" ca="1" si="3"/>
        <v>1.05</v>
      </c>
      <c r="AY19" s="232">
        <f t="shared" ca="1" si="3"/>
        <v>1.06</v>
      </c>
      <c r="AZ19" s="232">
        <f t="shared" ca="1" si="3"/>
        <v>1.07</v>
      </c>
      <c r="BA19" s="232">
        <f t="shared" ca="1" si="3"/>
        <v>1.08</v>
      </c>
      <c r="BB19" s="232">
        <f t="shared" ca="1" si="3"/>
        <v>1.0900000000000001</v>
      </c>
      <c r="BC19" s="232">
        <f t="shared" ca="1" si="4"/>
        <v>1.1000000000000001</v>
      </c>
      <c r="BD19" s="232">
        <f t="shared" ca="1" si="4"/>
        <v>1.1100000000000001</v>
      </c>
      <c r="BE19" s="232">
        <f t="shared" ca="1" si="4"/>
        <v>1.1200000000000001</v>
      </c>
      <c r="BF19" s="232">
        <f t="shared" ca="1" si="4"/>
        <v>1.1299999999999999</v>
      </c>
      <c r="BG19" s="232">
        <f t="shared" ca="1" si="4"/>
        <v>1.1400000000000001</v>
      </c>
      <c r="BH19" s="232">
        <f t="shared" ca="1" si="4"/>
        <v>1.1499999999999999</v>
      </c>
      <c r="BI19" s="232">
        <f t="shared" ca="1" si="4"/>
        <v>1.1599999999999999</v>
      </c>
      <c r="BJ19" s="232">
        <f t="shared" ca="1" si="4"/>
        <v>1.17</v>
      </c>
      <c r="BK19" s="232">
        <f t="shared" ca="1" si="4"/>
        <v>1.18</v>
      </c>
      <c r="BL19" s="232">
        <f t="shared" ca="1" si="4"/>
        <v>1.19</v>
      </c>
      <c r="BM19" s="232">
        <f t="shared" ca="1" si="5"/>
        <v>1.2</v>
      </c>
      <c r="BN19" s="232">
        <f t="shared" ca="1" si="5"/>
        <v>1.21</v>
      </c>
      <c r="BO19" s="232">
        <f t="shared" ca="1" si="5"/>
        <v>1.22</v>
      </c>
      <c r="BP19" s="232">
        <f t="shared" ca="1" si="5"/>
        <v>1.23</v>
      </c>
      <c r="BQ19" s="232">
        <f t="shared" ca="1" si="5"/>
        <v>1.24</v>
      </c>
      <c r="BR19" s="232">
        <f t="shared" ca="1" si="5"/>
        <v>1.25</v>
      </c>
      <c r="BS19" s="232">
        <f t="shared" ca="1" si="5"/>
        <v>1.26</v>
      </c>
      <c r="BT19" s="232">
        <f t="shared" ca="1" si="5"/>
        <v>1.27</v>
      </c>
      <c r="BU19" s="232">
        <f t="shared" ca="1" si="5"/>
        <v>1.28</v>
      </c>
      <c r="BV19" s="232">
        <f t="shared" ca="1" si="5"/>
        <v>1.29</v>
      </c>
      <c r="BW19" s="232">
        <f t="shared" ca="1" si="6"/>
        <v>1.3</v>
      </c>
      <c r="BX19" s="232">
        <f t="shared" ca="1" si="6"/>
        <v>1.31</v>
      </c>
      <c r="BY19" s="232">
        <f t="shared" ca="1" si="6"/>
        <v>1.32</v>
      </c>
      <c r="BZ19" s="232">
        <f t="shared" ca="1" si="6"/>
        <v>1.33</v>
      </c>
      <c r="CA19" s="232">
        <f t="shared" ca="1" si="6"/>
        <v>1.34</v>
      </c>
      <c r="CB19" s="232">
        <f t="shared" ca="1" si="6"/>
        <v>1.35</v>
      </c>
      <c r="CC19" s="232">
        <f t="shared" ca="1" si="6"/>
        <v>1.3599999999999999</v>
      </c>
      <c r="CD19" s="232">
        <f t="shared" ca="1" si="6"/>
        <v>1.37</v>
      </c>
      <c r="CE19" s="232">
        <f t="shared" ca="1" si="6"/>
        <v>1.38</v>
      </c>
      <c r="CF19" s="232">
        <f t="shared" ca="1" si="6"/>
        <v>1.3900000000000001</v>
      </c>
      <c r="CG19" s="232">
        <f t="shared" ca="1" si="7"/>
        <v>1.4</v>
      </c>
      <c r="CH19" s="232">
        <f t="shared" ca="1" si="7"/>
        <v>1.41</v>
      </c>
      <c r="CI19" s="232">
        <f t="shared" ca="1" si="7"/>
        <v>1.42</v>
      </c>
      <c r="CJ19" s="232">
        <f t="shared" ca="1" si="7"/>
        <v>1.43</v>
      </c>
      <c r="CK19" s="232">
        <f t="shared" ca="1" si="7"/>
        <v>1.44</v>
      </c>
      <c r="CL19" s="232">
        <f t="shared" ca="1" si="7"/>
        <v>1.45</v>
      </c>
      <c r="CM19" s="232">
        <f t="shared" ca="1" si="7"/>
        <v>1.46</v>
      </c>
      <c r="CN19" s="232">
        <f t="shared" ca="1" si="7"/>
        <v>1.47</v>
      </c>
      <c r="CO19" s="232">
        <f t="shared" ca="1" si="7"/>
        <v>1.48</v>
      </c>
      <c r="CP19" s="232">
        <f t="shared" ca="1" si="7"/>
        <v>1.49</v>
      </c>
      <c r="CQ19" s="233">
        <f t="shared" ca="1" si="7"/>
        <v>1.5</v>
      </c>
    </row>
    <row r="20" spans="1:95" s="380" customFormat="1" ht="11.25" customHeight="1" x14ac:dyDescent="0.2">
      <c r="A20" s="760"/>
      <c r="B20" s="733"/>
      <c r="C20" s="1827"/>
      <c r="D20" s="1827"/>
      <c r="E20" s="1827"/>
      <c r="F20" s="731" t="s">
        <v>207</v>
      </c>
      <c r="G20" s="731"/>
      <c r="H20" s="755"/>
      <c r="I20" s="1873"/>
      <c r="J20" s="1850"/>
      <c r="K20" s="768">
        <f>K17</f>
        <v>25</v>
      </c>
      <c r="L20" s="769"/>
      <c r="M20" s="698"/>
      <c r="N20" s="773"/>
      <c r="O20" s="768"/>
      <c r="P20" s="769"/>
      <c r="Q20" s="1844"/>
      <c r="R20" s="1844"/>
      <c r="S20" s="1770">
        <f>IF(ISBLANK(L20),K20,L20)+IF(ISBLANK(N20),M20,N20)+IF(ISBLANK(P20),O20,P20)+Q17</f>
        <v>25</v>
      </c>
      <c r="T20" s="1771"/>
      <c r="U20" s="1880"/>
      <c r="V20" s="1772"/>
      <c r="W20" s="2190"/>
      <c r="X20" s="2191"/>
      <c r="Y20" s="2195"/>
      <c r="Z20" s="1781"/>
      <c r="AA20" s="1929"/>
      <c r="AB20" s="1929"/>
      <c r="AC20" s="1970"/>
      <c r="AD20" s="1971"/>
      <c r="AE20" s="1880"/>
      <c r="AF20" s="1965"/>
      <c r="AG20" s="375"/>
      <c r="AH20" s="928">
        <f>IF(ISBLANK(V17),U17,V17)</f>
        <v>1</v>
      </c>
      <c r="AI20" s="1943"/>
      <c r="AJ20" s="1924"/>
      <c r="AK20" s="1882"/>
      <c r="AL20" s="1882"/>
      <c r="AM20" s="1922"/>
      <c r="AN20" s="153"/>
      <c r="AO20" s="154"/>
      <c r="AP20" s="154"/>
      <c r="AQ20" s="154"/>
      <c r="AR20" s="118"/>
      <c r="AS20" s="234">
        <f t="shared" ca="1" si="3"/>
        <v>1</v>
      </c>
      <c r="AT20" s="235">
        <f t="shared" ca="1" si="3"/>
        <v>1.01</v>
      </c>
      <c r="AU20" s="235">
        <f t="shared" ca="1" si="3"/>
        <v>1.02</v>
      </c>
      <c r="AV20" s="235">
        <f t="shared" ca="1" si="3"/>
        <v>1.03</v>
      </c>
      <c r="AW20" s="235">
        <f t="shared" ca="1" si="3"/>
        <v>1.04</v>
      </c>
      <c r="AX20" s="235">
        <f t="shared" ca="1" si="3"/>
        <v>1.05</v>
      </c>
      <c r="AY20" s="235">
        <f t="shared" ca="1" si="3"/>
        <v>1.06</v>
      </c>
      <c r="AZ20" s="235">
        <f t="shared" ca="1" si="3"/>
        <v>1.07</v>
      </c>
      <c r="BA20" s="235">
        <f t="shared" ca="1" si="3"/>
        <v>1.08</v>
      </c>
      <c r="BB20" s="235">
        <f t="shared" ca="1" si="3"/>
        <v>1.0900000000000001</v>
      </c>
      <c r="BC20" s="235">
        <f t="shared" ca="1" si="4"/>
        <v>1.1000000000000001</v>
      </c>
      <c r="BD20" s="235">
        <f t="shared" ca="1" si="4"/>
        <v>1.1100000000000001</v>
      </c>
      <c r="BE20" s="235">
        <f t="shared" ca="1" si="4"/>
        <v>1.1200000000000001</v>
      </c>
      <c r="BF20" s="235">
        <f t="shared" ca="1" si="4"/>
        <v>1.1299999999999999</v>
      </c>
      <c r="BG20" s="235">
        <f t="shared" ca="1" si="4"/>
        <v>1.1400000000000001</v>
      </c>
      <c r="BH20" s="235">
        <f t="shared" ca="1" si="4"/>
        <v>1.1499999999999999</v>
      </c>
      <c r="BI20" s="235">
        <f t="shared" ca="1" si="4"/>
        <v>1.1599999999999999</v>
      </c>
      <c r="BJ20" s="235">
        <f t="shared" ca="1" si="4"/>
        <v>1.17</v>
      </c>
      <c r="BK20" s="235">
        <f t="shared" ca="1" si="4"/>
        <v>1.18</v>
      </c>
      <c r="BL20" s="235">
        <f t="shared" ca="1" si="4"/>
        <v>1.19</v>
      </c>
      <c r="BM20" s="235">
        <f t="shared" ca="1" si="5"/>
        <v>1.2</v>
      </c>
      <c r="BN20" s="235">
        <f t="shared" ca="1" si="5"/>
        <v>1.21</v>
      </c>
      <c r="BO20" s="235">
        <f t="shared" ca="1" si="5"/>
        <v>1.22</v>
      </c>
      <c r="BP20" s="235">
        <f t="shared" ca="1" si="5"/>
        <v>1.23</v>
      </c>
      <c r="BQ20" s="235">
        <f t="shared" ca="1" si="5"/>
        <v>1.24</v>
      </c>
      <c r="BR20" s="235">
        <f t="shared" ca="1" si="5"/>
        <v>1.25</v>
      </c>
      <c r="BS20" s="235">
        <f t="shared" ca="1" si="5"/>
        <v>1.26</v>
      </c>
      <c r="BT20" s="235">
        <f t="shared" ca="1" si="5"/>
        <v>1.27</v>
      </c>
      <c r="BU20" s="235">
        <f t="shared" ca="1" si="5"/>
        <v>1.28</v>
      </c>
      <c r="BV20" s="235">
        <f t="shared" ca="1" si="5"/>
        <v>1.29</v>
      </c>
      <c r="BW20" s="235">
        <f t="shared" ca="1" si="6"/>
        <v>1.3</v>
      </c>
      <c r="BX20" s="235">
        <f t="shared" ca="1" si="6"/>
        <v>1.31</v>
      </c>
      <c r="BY20" s="235">
        <f t="shared" ca="1" si="6"/>
        <v>1.32</v>
      </c>
      <c r="BZ20" s="235">
        <f t="shared" ca="1" si="6"/>
        <v>1.33</v>
      </c>
      <c r="CA20" s="235">
        <f t="shared" ca="1" si="6"/>
        <v>1.34</v>
      </c>
      <c r="CB20" s="235">
        <f t="shared" ca="1" si="6"/>
        <v>1.35</v>
      </c>
      <c r="CC20" s="235">
        <f t="shared" ca="1" si="6"/>
        <v>1.3599999999999999</v>
      </c>
      <c r="CD20" s="235">
        <f t="shared" ca="1" si="6"/>
        <v>1.37</v>
      </c>
      <c r="CE20" s="235">
        <f t="shared" ca="1" si="6"/>
        <v>1.38</v>
      </c>
      <c r="CF20" s="235">
        <f t="shared" ca="1" si="6"/>
        <v>1.3900000000000001</v>
      </c>
      <c r="CG20" s="235">
        <f t="shared" ca="1" si="7"/>
        <v>1.4</v>
      </c>
      <c r="CH20" s="235">
        <f t="shared" ca="1" si="7"/>
        <v>1.41</v>
      </c>
      <c r="CI20" s="235">
        <f t="shared" ca="1" si="7"/>
        <v>1.42</v>
      </c>
      <c r="CJ20" s="235">
        <f t="shared" ca="1" si="7"/>
        <v>1.43</v>
      </c>
      <c r="CK20" s="235">
        <f t="shared" ca="1" si="7"/>
        <v>1.44</v>
      </c>
      <c r="CL20" s="235">
        <f t="shared" ca="1" si="7"/>
        <v>1.45</v>
      </c>
      <c r="CM20" s="235">
        <f t="shared" ca="1" si="7"/>
        <v>1.46</v>
      </c>
      <c r="CN20" s="235">
        <f t="shared" ca="1" si="7"/>
        <v>1.47</v>
      </c>
      <c r="CO20" s="235">
        <f t="shared" ca="1" si="7"/>
        <v>1.48</v>
      </c>
      <c r="CP20" s="235">
        <f t="shared" ca="1" si="7"/>
        <v>1.49</v>
      </c>
      <c r="CQ20" s="236">
        <f t="shared" ca="1" si="7"/>
        <v>1.5</v>
      </c>
    </row>
    <row r="21" spans="1:95" s="380" customFormat="1" ht="11.25" customHeight="1" x14ac:dyDescent="0.2">
      <c r="A21" s="760"/>
      <c r="B21" s="733"/>
      <c r="C21" s="1826" t="s">
        <v>802</v>
      </c>
      <c r="D21" s="1826"/>
      <c r="E21" s="1826"/>
      <c r="F21" s="775" t="s">
        <v>204</v>
      </c>
      <c r="G21" s="775"/>
      <c r="H21" s="776"/>
      <c r="I21" s="1762">
        <f>13*12*1.081</f>
        <v>168.636</v>
      </c>
      <c r="J21" s="1818"/>
      <c r="K21" s="777">
        <f>((8.8*1.077)+(8.4*1.077)+(8.4*1.077)+(8.6*1.081))/4</f>
        <v>9.2169499999999989</v>
      </c>
      <c r="L21" s="778"/>
      <c r="M21" s="777">
        <f>8.45*1.081</f>
        <v>9.1344499999999993</v>
      </c>
      <c r="N21" s="780"/>
      <c r="O21" s="777">
        <f>(2.55+2.3)*1.081</f>
        <v>5.2428499999999998</v>
      </c>
      <c r="P21" s="778"/>
      <c r="Q21" s="1764"/>
      <c r="R21" s="1764"/>
      <c r="S21" s="1824">
        <f>IF(ISBLANK(L21),K21,L21)+IF(ISBLANK(N21),M21,N21)+IF(ISBLANK(P21),O21,P21)+Q21</f>
        <v>23.594249999999999</v>
      </c>
      <c r="T21" s="1825"/>
      <c r="U21" s="1845">
        <f>0.25/S21*100</f>
        <v>1.0595801943270078</v>
      </c>
      <c r="V21" s="1782"/>
      <c r="W21" s="1778">
        <v>0.03</v>
      </c>
      <c r="X21" s="1847"/>
      <c r="Y21" s="2192">
        <v>1.08</v>
      </c>
      <c r="Z21" s="1779"/>
      <c r="AA21" s="1928">
        <v>1.387E-2</v>
      </c>
      <c r="AB21" s="1928"/>
      <c r="AC21" s="1968">
        <v>77.7</v>
      </c>
      <c r="AD21" s="1969"/>
      <c r="AE21" s="1880"/>
      <c r="AF21" s="1965"/>
      <c r="AG21" s="375"/>
      <c r="AH21" s="926">
        <f>IF(ISBLANK(V21),U21,V21)</f>
        <v>1.0595801943270078</v>
      </c>
      <c r="AI21" s="1942">
        <f>IF(ISBLANK($J21),$I21,$J21)</f>
        <v>168.636</v>
      </c>
      <c r="AJ21" s="1923">
        <f>S21</f>
        <v>23.594249999999999</v>
      </c>
      <c r="AK21" s="1881">
        <f>S22</f>
        <v>15.337800000000001</v>
      </c>
      <c r="AL21" s="1881">
        <f>S21</f>
        <v>23.594249999999999</v>
      </c>
      <c r="AM21" s="1921">
        <f>S22</f>
        <v>15.337800000000001</v>
      </c>
      <c r="AN21" s="153"/>
      <c r="AO21" s="154"/>
      <c r="AR21" s="118"/>
      <c r="AS21" s="231">
        <f t="shared" ca="1" si="3"/>
        <v>1</v>
      </c>
      <c r="AT21" s="232">
        <f t="shared" ca="1" si="3"/>
        <v>1.0105958019432701</v>
      </c>
      <c r="AU21" s="232">
        <f t="shared" ca="1" si="3"/>
        <v>1.0211916038865401</v>
      </c>
      <c r="AV21" s="232">
        <f t="shared" ca="1" si="3"/>
        <v>1.0317874058298102</v>
      </c>
      <c r="AW21" s="232">
        <f t="shared" ca="1" si="3"/>
        <v>1.0423832077730804</v>
      </c>
      <c r="AX21" s="232">
        <f t="shared" ca="1" si="3"/>
        <v>1.0529790097163505</v>
      </c>
      <c r="AY21" s="232">
        <f t="shared" ca="1" si="3"/>
        <v>1.0635748116596204</v>
      </c>
      <c r="AZ21" s="232">
        <f t="shared" ca="1" si="3"/>
        <v>1.0741706136028906</v>
      </c>
      <c r="BA21" s="232">
        <f t="shared" ca="1" si="3"/>
        <v>1.0847664155461607</v>
      </c>
      <c r="BB21" s="232">
        <f t="shared" ca="1" si="3"/>
        <v>1.0953622174894306</v>
      </c>
      <c r="BC21" s="232">
        <f t="shared" ca="1" si="4"/>
        <v>1.1059580194327008</v>
      </c>
      <c r="BD21" s="232">
        <f t="shared" ca="1" si="4"/>
        <v>1.1165538213759709</v>
      </c>
      <c r="BE21" s="232">
        <f t="shared" ca="1" si="4"/>
        <v>1.1271496233192408</v>
      </c>
      <c r="BF21" s="232">
        <f t="shared" ca="1" si="4"/>
        <v>1.137745425262511</v>
      </c>
      <c r="BG21" s="232">
        <f t="shared" ca="1" si="4"/>
        <v>1.1483412272057811</v>
      </c>
      <c r="BH21" s="232">
        <f t="shared" ca="1" si="4"/>
        <v>1.1589370291490511</v>
      </c>
      <c r="BI21" s="232">
        <f t="shared" ca="1" si="4"/>
        <v>1.1695328310923212</v>
      </c>
      <c r="BJ21" s="232">
        <f t="shared" ca="1" si="4"/>
        <v>1.1801286330355913</v>
      </c>
      <c r="BK21" s="232">
        <f t="shared" ca="1" si="4"/>
        <v>1.1907244349788615</v>
      </c>
      <c r="BL21" s="232">
        <f t="shared" ca="1" si="4"/>
        <v>1.2013202369221314</v>
      </c>
      <c r="BM21" s="232">
        <f t="shared" ca="1" si="5"/>
        <v>1.2119160388654016</v>
      </c>
      <c r="BN21" s="232">
        <f t="shared" ca="1" si="5"/>
        <v>1.2225118408086717</v>
      </c>
      <c r="BO21" s="232">
        <f t="shared" ca="1" si="5"/>
        <v>1.2331076427519416</v>
      </c>
      <c r="BP21" s="232">
        <f t="shared" ca="1" si="5"/>
        <v>1.2437034446952118</v>
      </c>
      <c r="BQ21" s="232">
        <f t="shared" ca="1" si="5"/>
        <v>1.2542992466384819</v>
      </c>
      <c r="BR21" s="232">
        <f t="shared" ca="1" si="5"/>
        <v>1.2648950485817521</v>
      </c>
      <c r="BS21" s="232">
        <f t="shared" ca="1" si="5"/>
        <v>1.275490850525022</v>
      </c>
      <c r="BT21" s="232">
        <f t="shared" ca="1" si="5"/>
        <v>1.2860866524682921</v>
      </c>
      <c r="BU21" s="232">
        <f t="shared" ca="1" si="5"/>
        <v>1.2966824544115623</v>
      </c>
      <c r="BV21" s="232">
        <f t="shared" ca="1" si="5"/>
        <v>1.3072782563548322</v>
      </c>
      <c r="BW21" s="232">
        <f t="shared" ca="1" si="6"/>
        <v>1.3178740582981023</v>
      </c>
      <c r="BX21" s="232">
        <f t="shared" ca="1" si="6"/>
        <v>1.3284698602413725</v>
      </c>
      <c r="BY21" s="232">
        <f t="shared" ca="1" si="6"/>
        <v>1.3390656621846424</v>
      </c>
      <c r="BZ21" s="232">
        <f t="shared" ca="1" si="6"/>
        <v>1.3496614641279125</v>
      </c>
      <c r="CA21" s="232">
        <f t="shared" ca="1" si="6"/>
        <v>1.3602572660711827</v>
      </c>
      <c r="CB21" s="232">
        <f t="shared" ca="1" si="6"/>
        <v>1.3708530680144526</v>
      </c>
      <c r="CC21" s="232">
        <f t="shared" ca="1" si="6"/>
        <v>1.3814488699577228</v>
      </c>
      <c r="CD21" s="232">
        <f t="shared" ca="1" si="6"/>
        <v>1.3920446719009929</v>
      </c>
      <c r="CE21" s="232">
        <f t="shared" ca="1" si="6"/>
        <v>1.402640473844263</v>
      </c>
      <c r="CF21" s="232">
        <f t="shared" ca="1" si="6"/>
        <v>1.413236275787533</v>
      </c>
      <c r="CG21" s="232">
        <f t="shared" ca="1" si="7"/>
        <v>1.4238320777308031</v>
      </c>
      <c r="CH21" s="232">
        <f t="shared" ca="1" si="7"/>
        <v>1.4344278796740733</v>
      </c>
      <c r="CI21" s="232">
        <f t="shared" ca="1" si="7"/>
        <v>1.4450236816173432</v>
      </c>
      <c r="CJ21" s="232">
        <f t="shared" ca="1" si="7"/>
        <v>1.4556194835606133</v>
      </c>
      <c r="CK21" s="232">
        <f t="shared" ca="1" si="7"/>
        <v>1.4662152855038835</v>
      </c>
      <c r="CL21" s="232">
        <f t="shared" ca="1" si="7"/>
        <v>1.4768110874471536</v>
      </c>
      <c r="CM21" s="232">
        <f t="shared" ca="1" si="7"/>
        <v>1.4874068893904235</v>
      </c>
      <c r="CN21" s="232">
        <f t="shared" ca="1" si="7"/>
        <v>1.4980026913336937</v>
      </c>
      <c r="CO21" s="232">
        <f t="shared" ca="1" si="7"/>
        <v>1.5085984932769638</v>
      </c>
      <c r="CP21" s="232">
        <f t="shared" ca="1" si="7"/>
        <v>1.5191942952202337</v>
      </c>
      <c r="CQ21" s="233">
        <f t="shared" ca="1" si="7"/>
        <v>1.5297900971635039</v>
      </c>
    </row>
    <row r="22" spans="1:95" s="380" customFormat="1" ht="11.25" customHeight="1" x14ac:dyDescent="0.2">
      <c r="A22" s="760"/>
      <c r="B22" s="733"/>
      <c r="C22" s="1827"/>
      <c r="D22" s="1827"/>
      <c r="E22" s="1827"/>
      <c r="F22" s="781" t="s">
        <v>205</v>
      </c>
      <c r="G22" s="781"/>
      <c r="H22" s="782"/>
      <c r="I22" s="1763"/>
      <c r="J22" s="1819"/>
      <c r="K22" s="1587">
        <f>((4.4*1.077)+(4*1.077)+(4*1.077)+(4.2*1.081))/4</f>
        <v>4.4737500000000008</v>
      </c>
      <c r="L22" s="783"/>
      <c r="M22" s="1587">
        <f>5.2*1.081</f>
        <v>5.6212</v>
      </c>
      <c r="N22" s="784"/>
      <c r="O22" s="1587">
        <f>O21</f>
        <v>5.2428499999999998</v>
      </c>
      <c r="P22" s="783"/>
      <c r="Q22" s="1765"/>
      <c r="R22" s="1765"/>
      <c r="S22" s="1822">
        <f>IF(ISBLANK(L22),K22,L22)+IF(ISBLANK(N22),M22,N22)+IF(ISBLANK(P22),O22,P22)+Q21</f>
        <v>15.337800000000001</v>
      </c>
      <c r="T22" s="1823"/>
      <c r="U22" s="1846"/>
      <c r="V22" s="1773"/>
      <c r="W22" s="1780"/>
      <c r="X22" s="1848"/>
      <c r="Y22" s="2195"/>
      <c r="Z22" s="1781"/>
      <c r="AA22" s="1929"/>
      <c r="AB22" s="1929"/>
      <c r="AC22" s="1970"/>
      <c r="AD22" s="1971"/>
      <c r="AE22" s="1880"/>
      <c r="AF22" s="1965"/>
      <c r="AG22" s="375"/>
      <c r="AH22" s="926">
        <f>IF(ISBLANK(V21),U21,V21)</f>
        <v>1.0595801943270078</v>
      </c>
      <c r="AI22" s="1943"/>
      <c r="AJ22" s="1924"/>
      <c r="AK22" s="1882"/>
      <c r="AL22" s="1883"/>
      <c r="AM22" s="1925"/>
      <c r="AN22" s="153"/>
      <c r="AO22" s="154"/>
      <c r="AR22" s="118"/>
      <c r="AS22" s="231">
        <f t="shared" ca="1" si="3"/>
        <v>1</v>
      </c>
      <c r="AT22" s="232">
        <f t="shared" ca="1" si="3"/>
        <v>1.0105958019432701</v>
      </c>
      <c r="AU22" s="232">
        <f t="shared" ca="1" si="3"/>
        <v>1.0211916038865401</v>
      </c>
      <c r="AV22" s="232">
        <f t="shared" ca="1" si="3"/>
        <v>1.0317874058298102</v>
      </c>
      <c r="AW22" s="232">
        <f t="shared" ca="1" si="3"/>
        <v>1.0423832077730804</v>
      </c>
      <c r="AX22" s="232">
        <f t="shared" ca="1" si="3"/>
        <v>1.0529790097163505</v>
      </c>
      <c r="AY22" s="232">
        <f t="shared" ca="1" si="3"/>
        <v>1.0635748116596204</v>
      </c>
      <c r="AZ22" s="232">
        <f t="shared" ca="1" si="3"/>
        <v>1.0741706136028906</v>
      </c>
      <c r="BA22" s="232">
        <f t="shared" ca="1" si="3"/>
        <v>1.0847664155461607</v>
      </c>
      <c r="BB22" s="232">
        <f t="shared" ca="1" si="3"/>
        <v>1.0953622174894306</v>
      </c>
      <c r="BC22" s="232">
        <f t="shared" ca="1" si="4"/>
        <v>1.1059580194327008</v>
      </c>
      <c r="BD22" s="232">
        <f t="shared" ca="1" si="4"/>
        <v>1.1165538213759709</v>
      </c>
      <c r="BE22" s="232">
        <f t="shared" ca="1" si="4"/>
        <v>1.1271496233192408</v>
      </c>
      <c r="BF22" s="232">
        <f t="shared" ca="1" si="4"/>
        <v>1.137745425262511</v>
      </c>
      <c r="BG22" s="232">
        <f t="shared" ca="1" si="4"/>
        <v>1.1483412272057811</v>
      </c>
      <c r="BH22" s="232">
        <f t="shared" ca="1" si="4"/>
        <v>1.1589370291490511</v>
      </c>
      <c r="BI22" s="232">
        <f t="shared" ca="1" si="4"/>
        <v>1.1695328310923212</v>
      </c>
      <c r="BJ22" s="232">
        <f t="shared" ca="1" si="4"/>
        <v>1.1801286330355913</v>
      </c>
      <c r="BK22" s="232">
        <f t="shared" ca="1" si="4"/>
        <v>1.1907244349788615</v>
      </c>
      <c r="BL22" s="232">
        <f t="shared" ca="1" si="4"/>
        <v>1.2013202369221314</v>
      </c>
      <c r="BM22" s="232">
        <f t="shared" ca="1" si="5"/>
        <v>1.2119160388654016</v>
      </c>
      <c r="BN22" s="232">
        <f t="shared" ca="1" si="5"/>
        <v>1.2225118408086717</v>
      </c>
      <c r="BO22" s="232">
        <f t="shared" ca="1" si="5"/>
        <v>1.2331076427519416</v>
      </c>
      <c r="BP22" s="232">
        <f t="shared" ca="1" si="5"/>
        <v>1.2437034446952118</v>
      </c>
      <c r="BQ22" s="232">
        <f t="shared" ca="1" si="5"/>
        <v>1.2542992466384819</v>
      </c>
      <c r="BR22" s="232">
        <f t="shared" ca="1" si="5"/>
        <v>1.2648950485817521</v>
      </c>
      <c r="BS22" s="232">
        <f t="shared" ca="1" si="5"/>
        <v>1.275490850525022</v>
      </c>
      <c r="BT22" s="232">
        <f t="shared" ca="1" si="5"/>
        <v>1.2860866524682921</v>
      </c>
      <c r="BU22" s="232">
        <f t="shared" ca="1" si="5"/>
        <v>1.2966824544115623</v>
      </c>
      <c r="BV22" s="232">
        <f t="shared" ca="1" si="5"/>
        <v>1.3072782563548322</v>
      </c>
      <c r="BW22" s="232">
        <f t="shared" ca="1" si="6"/>
        <v>1.3178740582981023</v>
      </c>
      <c r="BX22" s="232">
        <f t="shared" ca="1" si="6"/>
        <v>1.3284698602413725</v>
      </c>
      <c r="BY22" s="232">
        <f t="shared" ca="1" si="6"/>
        <v>1.3390656621846424</v>
      </c>
      <c r="BZ22" s="232">
        <f t="shared" ca="1" si="6"/>
        <v>1.3496614641279125</v>
      </c>
      <c r="CA22" s="232">
        <f t="shared" ca="1" si="6"/>
        <v>1.3602572660711827</v>
      </c>
      <c r="CB22" s="232">
        <f t="shared" ca="1" si="6"/>
        <v>1.3708530680144526</v>
      </c>
      <c r="CC22" s="232">
        <f t="shared" ca="1" si="6"/>
        <v>1.3814488699577228</v>
      </c>
      <c r="CD22" s="232">
        <f t="shared" ca="1" si="6"/>
        <v>1.3920446719009929</v>
      </c>
      <c r="CE22" s="232">
        <f t="shared" ca="1" si="6"/>
        <v>1.402640473844263</v>
      </c>
      <c r="CF22" s="232">
        <f t="shared" ca="1" si="6"/>
        <v>1.413236275787533</v>
      </c>
      <c r="CG22" s="232">
        <f t="shared" ca="1" si="7"/>
        <v>1.4238320777308031</v>
      </c>
      <c r="CH22" s="232">
        <f t="shared" ca="1" si="7"/>
        <v>1.4344278796740733</v>
      </c>
      <c r="CI22" s="232">
        <f t="shared" ca="1" si="7"/>
        <v>1.4450236816173432</v>
      </c>
      <c r="CJ22" s="232">
        <f t="shared" ca="1" si="7"/>
        <v>1.4556194835606133</v>
      </c>
      <c r="CK22" s="232">
        <f t="shared" ca="1" si="7"/>
        <v>1.4662152855038835</v>
      </c>
      <c r="CL22" s="232">
        <f t="shared" ca="1" si="7"/>
        <v>1.4768110874471536</v>
      </c>
      <c r="CM22" s="232">
        <f t="shared" ca="1" si="7"/>
        <v>1.4874068893904235</v>
      </c>
      <c r="CN22" s="232">
        <f t="shared" ca="1" si="7"/>
        <v>1.4980026913336937</v>
      </c>
      <c r="CO22" s="232">
        <f t="shared" ca="1" si="7"/>
        <v>1.5085984932769638</v>
      </c>
      <c r="CP22" s="232">
        <f t="shared" ca="1" si="7"/>
        <v>1.5191942952202337</v>
      </c>
      <c r="CQ22" s="233">
        <f t="shared" ca="1" si="7"/>
        <v>1.5297900971635039</v>
      </c>
    </row>
    <row r="23" spans="1:95" s="380" customFormat="1" ht="11.25" customHeight="1" x14ac:dyDescent="0.2">
      <c r="A23" s="760"/>
      <c r="B23" s="733"/>
      <c r="C23" s="2156" t="s">
        <v>803</v>
      </c>
      <c r="D23" s="2156"/>
      <c r="E23" s="2156"/>
      <c r="F23" s="731" t="s">
        <v>204</v>
      </c>
      <c r="G23" s="731"/>
      <c r="H23" s="755"/>
      <c r="I23" s="1873">
        <f>I21</f>
        <v>168.636</v>
      </c>
      <c r="J23" s="1850"/>
      <c r="K23" s="777">
        <f>((9.2*1.077)+(8.7*1.077)+(8.7*1.077)+(8.8*1.081))/4</f>
        <v>9.5402499999999986</v>
      </c>
      <c r="L23" s="769"/>
      <c r="M23" s="779">
        <f>M21</f>
        <v>9.1344499999999993</v>
      </c>
      <c r="N23" s="773"/>
      <c r="O23" s="777">
        <f>O21</f>
        <v>5.2428499999999998</v>
      </c>
      <c r="P23" s="769"/>
      <c r="Q23" s="1844"/>
      <c r="R23" s="1844"/>
      <c r="S23" s="1770">
        <f>IF(ISBLANK(L23),K23,L23)+IF(ISBLANK(N23),M23,N23)+IF(ISBLANK(P23),O23,P23)+Q23</f>
        <v>23.917549999999999</v>
      </c>
      <c r="T23" s="1771"/>
      <c r="U23" s="1880">
        <f>0.24/S23*100</f>
        <v>1.0034472594391985</v>
      </c>
      <c r="V23" s="1772"/>
      <c r="W23" s="2200">
        <v>0.04</v>
      </c>
      <c r="X23" s="2201"/>
      <c r="Y23" s="2204">
        <v>1.0900000000000001</v>
      </c>
      <c r="Z23" s="2205"/>
      <c r="AA23" s="2222">
        <v>1.529E-2</v>
      </c>
      <c r="AB23" s="2223"/>
      <c r="AC23" s="1972">
        <v>80.599999999999994</v>
      </c>
      <c r="AD23" s="1973"/>
      <c r="AE23" s="1880"/>
      <c r="AF23" s="1965"/>
      <c r="AG23" s="375"/>
      <c r="AH23" s="926">
        <f t="shared" ref="AH23" si="8">IF(ISBLANK(V23),U23,V23)</f>
        <v>1.0034472594391985</v>
      </c>
      <c r="AI23" s="1942">
        <f>IF(ISBLANK($J23),$I23,$J23)</f>
        <v>168.636</v>
      </c>
      <c r="AJ23" s="1923">
        <f>S23</f>
        <v>23.917549999999999</v>
      </c>
      <c r="AK23" s="1881">
        <f>S24</f>
        <v>15.661100000000001</v>
      </c>
      <c r="AL23" s="1881">
        <f>S23</f>
        <v>23.917549999999999</v>
      </c>
      <c r="AM23" s="1921">
        <f>S24</f>
        <v>15.661100000000001</v>
      </c>
      <c r="AN23" s="153"/>
      <c r="AO23" s="154"/>
      <c r="AP23" s="154"/>
      <c r="AQ23" s="154"/>
      <c r="AR23" s="118"/>
      <c r="AS23" s="231">
        <f t="shared" ca="1" si="3"/>
        <v>1</v>
      </c>
      <c r="AT23" s="232">
        <f t="shared" ca="1" si="3"/>
        <v>1.0100344725943919</v>
      </c>
      <c r="AU23" s="232">
        <f t="shared" ca="1" si="3"/>
        <v>1.0200689451887839</v>
      </c>
      <c r="AV23" s="232">
        <f t="shared" ca="1" si="3"/>
        <v>1.030103417783176</v>
      </c>
      <c r="AW23" s="232">
        <f t="shared" ca="1" si="3"/>
        <v>1.040137890377568</v>
      </c>
      <c r="AX23" s="232">
        <f t="shared" ca="1" si="3"/>
        <v>1.0501723629719599</v>
      </c>
      <c r="AY23" s="232">
        <f t="shared" ca="1" si="3"/>
        <v>1.0602068355663519</v>
      </c>
      <c r="AZ23" s="232">
        <f t="shared" ca="1" si="3"/>
        <v>1.0702413081607438</v>
      </c>
      <c r="BA23" s="232">
        <f t="shared" ca="1" si="3"/>
        <v>1.080275780755136</v>
      </c>
      <c r="BB23" s="232">
        <f t="shared" ca="1" si="3"/>
        <v>1.0903102533495279</v>
      </c>
      <c r="BC23" s="232">
        <f t="shared" ca="1" si="4"/>
        <v>1.1003447259439199</v>
      </c>
      <c r="BD23" s="232">
        <f t="shared" ca="1" si="4"/>
        <v>1.1103791985383118</v>
      </c>
      <c r="BE23" s="232">
        <f t="shared" ca="1" si="4"/>
        <v>1.1204136711327037</v>
      </c>
      <c r="BF23" s="232">
        <f t="shared" ca="1" si="4"/>
        <v>1.1304481437270959</v>
      </c>
      <c r="BG23" s="232">
        <f t="shared" ca="1" si="4"/>
        <v>1.1404826163214878</v>
      </c>
      <c r="BH23" s="232">
        <f t="shared" ca="1" si="4"/>
        <v>1.1505170889158798</v>
      </c>
      <c r="BI23" s="232">
        <f t="shared" ca="1" si="4"/>
        <v>1.1605515615102717</v>
      </c>
      <c r="BJ23" s="232">
        <f t="shared" ca="1" si="4"/>
        <v>1.1705860341046637</v>
      </c>
      <c r="BK23" s="232">
        <f t="shared" ca="1" si="4"/>
        <v>1.1806205066990558</v>
      </c>
      <c r="BL23" s="232">
        <f t="shared" ca="1" si="4"/>
        <v>1.1906549792934478</v>
      </c>
      <c r="BM23" s="232">
        <f t="shared" ca="1" si="5"/>
        <v>1.2006894518878397</v>
      </c>
      <c r="BN23" s="232">
        <f t="shared" ca="1" si="5"/>
        <v>1.2107239244822317</v>
      </c>
      <c r="BO23" s="232">
        <f t="shared" ca="1" si="5"/>
        <v>1.2207583970766236</v>
      </c>
      <c r="BP23" s="232">
        <f t="shared" ca="1" si="5"/>
        <v>1.2307928696710158</v>
      </c>
      <c r="BQ23" s="232">
        <f t="shared" ca="1" si="5"/>
        <v>1.2408273422654077</v>
      </c>
      <c r="BR23" s="232">
        <f t="shared" ca="1" si="5"/>
        <v>1.2508618148597996</v>
      </c>
      <c r="BS23" s="232">
        <f t="shared" ca="1" si="5"/>
        <v>1.2608962874541916</v>
      </c>
      <c r="BT23" s="232">
        <f t="shared" ca="1" si="5"/>
        <v>1.2709307600485835</v>
      </c>
      <c r="BU23" s="232">
        <f t="shared" ca="1" si="5"/>
        <v>1.2809652326429757</v>
      </c>
      <c r="BV23" s="232">
        <f t="shared" ca="1" si="5"/>
        <v>1.2909997052373676</v>
      </c>
      <c r="BW23" s="232">
        <f t="shared" ca="1" si="6"/>
        <v>1.3010341778317596</v>
      </c>
      <c r="BX23" s="232">
        <f t="shared" ca="1" si="6"/>
        <v>1.3110686504261515</v>
      </c>
      <c r="BY23" s="232">
        <f t="shared" ca="1" si="6"/>
        <v>1.3211031230205434</v>
      </c>
      <c r="BZ23" s="232">
        <f t="shared" ca="1" si="6"/>
        <v>1.3311375956149356</v>
      </c>
      <c r="CA23" s="232">
        <f t="shared" ca="1" si="6"/>
        <v>1.3411720682093276</v>
      </c>
      <c r="CB23" s="232">
        <f t="shared" ca="1" si="6"/>
        <v>1.3512065408037195</v>
      </c>
      <c r="CC23" s="232">
        <f t="shared" ca="1" si="6"/>
        <v>1.3612410133981114</v>
      </c>
      <c r="CD23" s="232">
        <f t="shared" ca="1" si="6"/>
        <v>1.3712754859925034</v>
      </c>
      <c r="CE23" s="232">
        <f t="shared" ca="1" si="6"/>
        <v>1.3813099585868955</v>
      </c>
      <c r="CF23" s="232">
        <f t="shared" ca="1" si="6"/>
        <v>1.3913444311812875</v>
      </c>
      <c r="CG23" s="232">
        <f t="shared" ca="1" si="7"/>
        <v>1.4013789037756794</v>
      </c>
      <c r="CH23" s="232">
        <f t="shared" ca="1" si="7"/>
        <v>1.4114133763700714</v>
      </c>
      <c r="CI23" s="232">
        <f t="shared" ca="1" si="7"/>
        <v>1.4214478489644633</v>
      </c>
      <c r="CJ23" s="232">
        <f t="shared" ca="1" si="7"/>
        <v>1.4314823215588555</v>
      </c>
      <c r="CK23" s="232">
        <f t="shared" ca="1" si="7"/>
        <v>1.4415167941532474</v>
      </c>
      <c r="CL23" s="232">
        <f t="shared" ca="1" si="7"/>
        <v>1.4515512667476393</v>
      </c>
      <c r="CM23" s="232">
        <f t="shared" ca="1" si="7"/>
        <v>1.4615857393420313</v>
      </c>
      <c r="CN23" s="232">
        <f t="shared" ca="1" si="7"/>
        <v>1.4716202119364232</v>
      </c>
      <c r="CO23" s="232">
        <f t="shared" ca="1" si="7"/>
        <v>1.4816546845308154</v>
      </c>
      <c r="CP23" s="232">
        <f t="shared" ca="1" si="7"/>
        <v>1.4916891571252073</v>
      </c>
      <c r="CQ23" s="233">
        <f t="shared" ca="1" si="7"/>
        <v>1.5017236297195993</v>
      </c>
    </row>
    <row r="24" spans="1:95" s="380" customFormat="1" ht="11.25" customHeight="1" x14ac:dyDescent="0.2">
      <c r="A24" s="760"/>
      <c r="B24" s="733"/>
      <c r="C24" s="2157"/>
      <c r="D24" s="2157"/>
      <c r="E24" s="2157"/>
      <c r="F24" s="731" t="s">
        <v>205</v>
      </c>
      <c r="G24" s="731"/>
      <c r="H24" s="755"/>
      <c r="I24" s="1873"/>
      <c r="J24" s="1850"/>
      <c r="K24" s="1587">
        <f>((4.8*1.077)+(4.3*1.077)+(4.3*1.077)+(4.4*1.081))/4</f>
        <v>4.7970499999999996</v>
      </c>
      <c r="L24" s="769"/>
      <c r="M24" s="1588">
        <f>M22</f>
        <v>5.6212</v>
      </c>
      <c r="N24" s="773"/>
      <c r="O24" s="1587">
        <f>O21</f>
        <v>5.2428499999999998</v>
      </c>
      <c r="P24" s="769"/>
      <c r="Q24" s="1844"/>
      <c r="R24" s="1844"/>
      <c r="S24" s="1770">
        <f>IF(ISBLANK(L24),K24,L24)+IF(ISBLANK(N24),M24,N24)+IF(ISBLANK(P24),O24,P24)+Q23</f>
        <v>15.661100000000001</v>
      </c>
      <c r="T24" s="1771"/>
      <c r="U24" s="1880"/>
      <c r="V24" s="1772"/>
      <c r="W24" s="2202"/>
      <c r="X24" s="2203"/>
      <c r="Y24" s="2206"/>
      <c r="Z24" s="2207"/>
      <c r="AA24" s="2224"/>
      <c r="AB24" s="2225"/>
      <c r="AC24" s="1974"/>
      <c r="AD24" s="1975"/>
      <c r="AE24" s="1880"/>
      <c r="AF24" s="1965"/>
      <c r="AG24" s="375"/>
      <c r="AH24" s="926">
        <f>IF(ISBLANK(V23),U23,V23)</f>
        <v>1.0034472594391985</v>
      </c>
      <c r="AI24" s="1943"/>
      <c r="AJ24" s="1949"/>
      <c r="AK24" s="1883"/>
      <c r="AL24" s="1883"/>
      <c r="AM24" s="1925"/>
      <c r="AN24" s="153"/>
      <c r="AO24" s="154"/>
      <c r="AP24" s="154"/>
      <c r="AQ24" s="154"/>
      <c r="AR24" s="118"/>
      <c r="AS24" s="231">
        <f t="shared" ca="1" si="3"/>
        <v>1</v>
      </c>
      <c r="AT24" s="232">
        <f t="shared" ca="1" si="3"/>
        <v>1.0100344725943919</v>
      </c>
      <c r="AU24" s="232">
        <f t="shared" ca="1" si="3"/>
        <v>1.0200689451887839</v>
      </c>
      <c r="AV24" s="232">
        <f t="shared" ca="1" si="3"/>
        <v>1.030103417783176</v>
      </c>
      <c r="AW24" s="232">
        <f t="shared" ca="1" si="3"/>
        <v>1.040137890377568</v>
      </c>
      <c r="AX24" s="232">
        <f t="shared" ca="1" si="3"/>
        <v>1.0501723629719599</v>
      </c>
      <c r="AY24" s="232">
        <f t="shared" ca="1" si="3"/>
        <v>1.0602068355663519</v>
      </c>
      <c r="AZ24" s="232">
        <f t="shared" ca="1" si="3"/>
        <v>1.0702413081607438</v>
      </c>
      <c r="BA24" s="232">
        <f t="shared" ca="1" si="3"/>
        <v>1.080275780755136</v>
      </c>
      <c r="BB24" s="232">
        <f t="shared" ca="1" si="3"/>
        <v>1.0903102533495279</v>
      </c>
      <c r="BC24" s="232">
        <f t="shared" ca="1" si="4"/>
        <v>1.1003447259439199</v>
      </c>
      <c r="BD24" s="232">
        <f t="shared" ca="1" si="4"/>
        <v>1.1103791985383118</v>
      </c>
      <c r="BE24" s="232">
        <f t="shared" ca="1" si="4"/>
        <v>1.1204136711327037</v>
      </c>
      <c r="BF24" s="232">
        <f t="shared" ca="1" si="4"/>
        <v>1.1304481437270959</v>
      </c>
      <c r="BG24" s="232">
        <f t="shared" ca="1" si="4"/>
        <v>1.1404826163214878</v>
      </c>
      <c r="BH24" s="232">
        <f t="shared" ca="1" si="4"/>
        <v>1.1505170889158798</v>
      </c>
      <c r="BI24" s="232">
        <f t="shared" ca="1" si="4"/>
        <v>1.1605515615102717</v>
      </c>
      <c r="BJ24" s="232">
        <f t="shared" ca="1" si="4"/>
        <v>1.1705860341046637</v>
      </c>
      <c r="BK24" s="232">
        <f t="shared" ca="1" si="4"/>
        <v>1.1806205066990558</v>
      </c>
      <c r="BL24" s="232">
        <f t="shared" ca="1" si="4"/>
        <v>1.1906549792934478</v>
      </c>
      <c r="BM24" s="232">
        <f t="shared" ca="1" si="5"/>
        <v>1.2006894518878397</v>
      </c>
      <c r="BN24" s="232">
        <f t="shared" ca="1" si="5"/>
        <v>1.2107239244822317</v>
      </c>
      <c r="BO24" s="232">
        <f t="shared" ca="1" si="5"/>
        <v>1.2207583970766236</v>
      </c>
      <c r="BP24" s="232">
        <f t="shared" ca="1" si="5"/>
        <v>1.2307928696710158</v>
      </c>
      <c r="BQ24" s="232">
        <f t="shared" ca="1" si="5"/>
        <v>1.2408273422654077</v>
      </c>
      <c r="BR24" s="232">
        <f t="shared" ca="1" si="5"/>
        <v>1.2508618148597996</v>
      </c>
      <c r="BS24" s="232">
        <f t="shared" ca="1" si="5"/>
        <v>1.2608962874541916</v>
      </c>
      <c r="BT24" s="232">
        <f t="shared" ca="1" si="5"/>
        <v>1.2709307600485835</v>
      </c>
      <c r="BU24" s="232">
        <f t="shared" ca="1" si="5"/>
        <v>1.2809652326429757</v>
      </c>
      <c r="BV24" s="232">
        <f t="shared" ca="1" si="5"/>
        <v>1.2909997052373676</v>
      </c>
      <c r="BW24" s="232">
        <f t="shared" ca="1" si="6"/>
        <v>1.3010341778317596</v>
      </c>
      <c r="BX24" s="232">
        <f t="shared" ca="1" si="6"/>
        <v>1.3110686504261515</v>
      </c>
      <c r="BY24" s="232">
        <f t="shared" ca="1" si="6"/>
        <v>1.3211031230205434</v>
      </c>
      <c r="BZ24" s="232">
        <f t="shared" ca="1" si="6"/>
        <v>1.3311375956149356</v>
      </c>
      <c r="CA24" s="232">
        <f t="shared" ca="1" si="6"/>
        <v>1.3411720682093276</v>
      </c>
      <c r="CB24" s="232">
        <f t="shared" ca="1" si="6"/>
        <v>1.3512065408037195</v>
      </c>
      <c r="CC24" s="232">
        <f t="shared" ca="1" si="6"/>
        <v>1.3612410133981114</v>
      </c>
      <c r="CD24" s="232">
        <f t="shared" ca="1" si="6"/>
        <v>1.3712754859925034</v>
      </c>
      <c r="CE24" s="232">
        <f t="shared" ca="1" si="6"/>
        <v>1.3813099585868955</v>
      </c>
      <c r="CF24" s="232">
        <f t="shared" ca="1" si="6"/>
        <v>1.3913444311812875</v>
      </c>
      <c r="CG24" s="232">
        <f t="shared" ca="1" si="7"/>
        <v>1.4013789037756794</v>
      </c>
      <c r="CH24" s="232">
        <f t="shared" ca="1" si="7"/>
        <v>1.4114133763700714</v>
      </c>
      <c r="CI24" s="232">
        <f t="shared" ca="1" si="7"/>
        <v>1.4214478489644633</v>
      </c>
      <c r="CJ24" s="232">
        <f t="shared" ca="1" si="7"/>
        <v>1.4314823215588555</v>
      </c>
      <c r="CK24" s="232">
        <f t="shared" ca="1" si="7"/>
        <v>1.4415167941532474</v>
      </c>
      <c r="CL24" s="232">
        <f t="shared" ca="1" si="7"/>
        <v>1.4515512667476393</v>
      </c>
      <c r="CM24" s="232">
        <f t="shared" ca="1" si="7"/>
        <v>1.4615857393420313</v>
      </c>
      <c r="CN24" s="232">
        <f t="shared" ca="1" si="7"/>
        <v>1.4716202119364232</v>
      </c>
      <c r="CO24" s="232">
        <f t="shared" ca="1" si="7"/>
        <v>1.4816546845308154</v>
      </c>
      <c r="CP24" s="232">
        <f t="shared" ca="1" si="7"/>
        <v>1.4916891571252073</v>
      </c>
      <c r="CQ24" s="233">
        <f t="shared" ca="1" si="7"/>
        <v>1.5017236297195993</v>
      </c>
    </row>
    <row r="25" spans="1:95" s="380" customFormat="1" ht="11.25" customHeight="1" x14ac:dyDescent="0.2">
      <c r="A25" s="760"/>
      <c r="B25" s="733"/>
      <c r="C25" s="1826" t="s">
        <v>804</v>
      </c>
      <c r="D25" s="1826"/>
      <c r="E25" s="1826"/>
      <c r="F25" s="775" t="s">
        <v>204</v>
      </c>
      <c r="G25" s="775"/>
      <c r="H25" s="776"/>
      <c r="I25" s="1762">
        <f>I23</f>
        <v>168.636</v>
      </c>
      <c r="J25" s="1818"/>
      <c r="K25" s="777">
        <f>((12.2*1.077)+(11.1*1.077)+(11.1*1.077)+(11.1*1.081))/4</f>
        <v>12.261975</v>
      </c>
      <c r="L25" s="778"/>
      <c r="M25" s="779">
        <f>M21</f>
        <v>9.1344499999999993</v>
      </c>
      <c r="N25" s="780"/>
      <c r="O25" s="777">
        <f>O21</f>
        <v>5.2428499999999998</v>
      </c>
      <c r="P25" s="778"/>
      <c r="Q25" s="1764"/>
      <c r="R25" s="1764"/>
      <c r="S25" s="1824">
        <f>IF(ISBLANK(L25),K25,L25)+IF(ISBLANK(N25),M25,N25)+IF(ISBLANK(P25),O25,P25)+Q25</f>
        <v>26.639275000000001</v>
      </c>
      <c r="T25" s="1825"/>
      <c r="U25" s="1845">
        <f>0.17/S25*100</f>
        <v>0.63815550535816001</v>
      </c>
      <c r="V25" s="1782"/>
      <c r="W25" s="1778">
        <v>0.03</v>
      </c>
      <c r="X25" s="1847"/>
      <c r="Y25" s="2192">
        <v>1.06</v>
      </c>
      <c r="Z25" s="1779"/>
      <c r="AA25" s="1928">
        <v>1.8839999999999999E-2</v>
      </c>
      <c r="AB25" s="1928"/>
      <c r="AC25" s="1968">
        <v>85.1</v>
      </c>
      <c r="AD25" s="1969"/>
      <c r="AE25" s="1880"/>
      <c r="AF25" s="1965"/>
      <c r="AG25" s="375"/>
      <c r="AH25" s="926">
        <f>IF(ISBLANK(V25),U25,V25)</f>
        <v>0.63815550535816001</v>
      </c>
      <c r="AI25" s="1942">
        <f>IF(ISBLANK($J25),$I25,$J25)</f>
        <v>168.636</v>
      </c>
      <c r="AJ25" s="1923">
        <f>S25</f>
        <v>26.639275000000001</v>
      </c>
      <c r="AK25" s="1881">
        <f>S26</f>
        <v>17.7072</v>
      </c>
      <c r="AL25" s="1881">
        <f>S25</f>
        <v>26.639275000000001</v>
      </c>
      <c r="AM25" s="1921">
        <f>S26</f>
        <v>17.7072</v>
      </c>
      <c r="AN25" s="153"/>
      <c r="AO25" s="154"/>
      <c r="AR25" s="118"/>
      <c r="AS25" s="231">
        <f t="shared" ref="AS25:BB28" ca="1" si="9">IF(OR(ISBLANK($S25),$S25=0),0,(1+(AS$16-$AS$16)*$AH25/100))</f>
        <v>1</v>
      </c>
      <c r="AT25" s="232">
        <f t="shared" ca="1" si="9"/>
        <v>1.0063815550535815</v>
      </c>
      <c r="AU25" s="232">
        <f t="shared" ca="1" si="9"/>
        <v>1.0127631101071632</v>
      </c>
      <c r="AV25" s="232">
        <f t="shared" ca="1" si="9"/>
        <v>1.0191446651607448</v>
      </c>
      <c r="AW25" s="232">
        <f t="shared" ca="1" si="9"/>
        <v>1.0255262202143265</v>
      </c>
      <c r="AX25" s="232">
        <f t="shared" ca="1" si="9"/>
        <v>1.031907775267908</v>
      </c>
      <c r="AY25" s="232">
        <f t="shared" ca="1" si="9"/>
        <v>1.0382893303214895</v>
      </c>
      <c r="AZ25" s="232">
        <f t="shared" ca="1" si="9"/>
        <v>1.0446708853750712</v>
      </c>
      <c r="BA25" s="232">
        <f t="shared" ca="1" si="9"/>
        <v>1.0510524404286528</v>
      </c>
      <c r="BB25" s="232">
        <f t="shared" ca="1" si="9"/>
        <v>1.0574339954822345</v>
      </c>
      <c r="BC25" s="232">
        <f t="shared" ref="BC25:BL28" ca="1" si="10">IF(OR(ISBLANK($S25),$S25=0),0,(1+(BC$16-$AS$16)*$AH25/100))</f>
        <v>1.063815550535816</v>
      </c>
      <c r="BD25" s="232">
        <f t="shared" ca="1" si="10"/>
        <v>1.0701971055893975</v>
      </c>
      <c r="BE25" s="232">
        <f t="shared" ca="1" si="10"/>
        <v>1.0765786606429792</v>
      </c>
      <c r="BF25" s="232">
        <f t="shared" ca="1" si="10"/>
        <v>1.0829602156965608</v>
      </c>
      <c r="BG25" s="232">
        <f t="shared" ca="1" si="10"/>
        <v>1.0893417707501425</v>
      </c>
      <c r="BH25" s="232">
        <f t="shared" ca="1" si="10"/>
        <v>1.095723325803724</v>
      </c>
      <c r="BI25" s="232">
        <f t="shared" ca="1" si="10"/>
        <v>1.1021048808573055</v>
      </c>
      <c r="BJ25" s="232">
        <f t="shared" ca="1" si="10"/>
        <v>1.1084864359108872</v>
      </c>
      <c r="BK25" s="232">
        <f t="shared" ca="1" si="10"/>
        <v>1.1148679909644688</v>
      </c>
      <c r="BL25" s="232">
        <f t="shared" ca="1" si="10"/>
        <v>1.1212495460180505</v>
      </c>
      <c r="BM25" s="232">
        <f t="shared" ref="BM25:BV28" ca="1" si="11">IF(OR(ISBLANK($S25),$S25=0),0,(1+(BM$16-$AS$16)*$AH25/100))</f>
        <v>1.127631101071632</v>
      </c>
      <c r="BN25" s="232">
        <f t="shared" ca="1" si="11"/>
        <v>1.1340126561252135</v>
      </c>
      <c r="BO25" s="232">
        <f t="shared" ca="1" si="11"/>
        <v>1.1403942111787952</v>
      </c>
      <c r="BP25" s="232">
        <f t="shared" ca="1" si="11"/>
        <v>1.1467757662323768</v>
      </c>
      <c r="BQ25" s="232">
        <f t="shared" ca="1" si="11"/>
        <v>1.1531573212859585</v>
      </c>
      <c r="BR25" s="232">
        <f t="shared" ca="1" si="11"/>
        <v>1.15953887633954</v>
      </c>
      <c r="BS25" s="232">
        <f t="shared" ca="1" si="11"/>
        <v>1.1659204313931215</v>
      </c>
      <c r="BT25" s="232">
        <f t="shared" ca="1" si="11"/>
        <v>1.1723019864467032</v>
      </c>
      <c r="BU25" s="232">
        <f t="shared" ca="1" si="11"/>
        <v>1.1786835415002848</v>
      </c>
      <c r="BV25" s="232">
        <f t="shared" ca="1" si="11"/>
        <v>1.1850650965538665</v>
      </c>
      <c r="BW25" s="232">
        <f t="shared" ref="BW25:CF28" ca="1" si="12">IF(OR(ISBLANK($S25),$S25=0),0,(1+(BW$16-$AS$16)*$AH25/100))</f>
        <v>1.191446651607448</v>
      </c>
      <c r="BX25" s="232">
        <f t="shared" ca="1" si="12"/>
        <v>1.1978282066610295</v>
      </c>
      <c r="BY25" s="232">
        <f t="shared" ca="1" si="12"/>
        <v>1.2042097617146112</v>
      </c>
      <c r="BZ25" s="232">
        <f t="shared" ca="1" si="12"/>
        <v>1.2105913167681928</v>
      </c>
      <c r="CA25" s="232">
        <f t="shared" ca="1" si="12"/>
        <v>1.2169728718217745</v>
      </c>
      <c r="CB25" s="232">
        <f t="shared" ca="1" si="12"/>
        <v>1.223354426875356</v>
      </c>
      <c r="CC25" s="232">
        <f t="shared" ca="1" si="12"/>
        <v>1.2297359819289375</v>
      </c>
      <c r="CD25" s="232">
        <f t="shared" ca="1" si="12"/>
        <v>1.2361175369825192</v>
      </c>
      <c r="CE25" s="232">
        <f t="shared" ca="1" si="12"/>
        <v>1.2424990920361008</v>
      </c>
      <c r="CF25" s="232">
        <f t="shared" ca="1" si="12"/>
        <v>1.2488806470896825</v>
      </c>
      <c r="CG25" s="232">
        <f t="shared" ref="CG25:CQ28" ca="1" si="13">IF(OR(ISBLANK($S25),$S25=0),0,(1+(CG$16-$AS$16)*$AH25/100))</f>
        <v>1.255262202143264</v>
      </c>
      <c r="CH25" s="232">
        <f t="shared" ca="1" si="13"/>
        <v>1.2616437571968455</v>
      </c>
      <c r="CI25" s="232">
        <f t="shared" ca="1" si="13"/>
        <v>1.2680253122504273</v>
      </c>
      <c r="CJ25" s="232">
        <f t="shared" ca="1" si="13"/>
        <v>1.2744068673040088</v>
      </c>
      <c r="CK25" s="232">
        <f t="shared" ca="1" si="13"/>
        <v>1.2807884223575905</v>
      </c>
      <c r="CL25" s="232">
        <f t="shared" ca="1" si="13"/>
        <v>1.287169977411172</v>
      </c>
      <c r="CM25" s="232">
        <f t="shared" ca="1" si="13"/>
        <v>1.2935515324647535</v>
      </c>
      <c r="CN25" s="232">
        <f t="shared" ca="1" si="13"/>
        <v>1.2999330875183353</v>
      </c>
      <c r="CO25" s="232">
        <f t="shared" ca="1" si="13"/>
        <v>1.3063146425719168</v>
      </c>
      <c r="CP25" s="232">
        <f t="shared" ca="1" si="13"/>
        <v>1.3126961976254985</v>
      </c>
      <c r="CQ25" s="233">
        <f t="shared" ca="1" si="13"/>
        <v>1.31907775267908</v>
      </c>
    </row>
    <row r="26" spans="1:95" s="380" customFormat="1" ht="11.25" customHeight="1" x14ac:dyDescent="0.2">
      <c r="A26" s="760"/>
      <c r="B26" s="733"/>
      <c r="C26" s="1827"/>
      <c r="D26" s="1827"/>
      <c r="E26" s="1827"/>
      <c r="F26" s="781" t="s">
        <v>205</v>
      </c>
      <c r="G26" s="781"/>
      <c r="H26" s="782"/>
      <c r="I26" s="1763"/>
      <c r="J26" s="1819"/>
      <c r="K26" s="1587">
        <f>((7.8*1.077)+(6.7*1.077)+(6.7*1.077)+(4.2*1.081))/4</f>
        <v>6.8431499999999996</v>
      </c>
      <c r="L26" s="783"/>
      <c r="M26" s="1588">
        <f>M22</f>
        <v>5.6212</v>
      </c>
      <c r="N26" s="784"/>
      <c r="O26" s="1587">
        <f>O21</f>
        <v>5.2428499999999998</v>
      </c>
      <c r="P26" s="783"/>
      <c r="Q26" s="1765"/>
      <c r="R26" s="1765"/>
      <c r="S26" s="1822">
        <f>IF(ISBLANK(L26),K26,L26)+IF(ISBLANK(N26),M26,N26)+IF(ISBLANK(P26),O26,P26)+Q25</f>
        <v>17.7072</v>
      </c>
      <c r="T26" s="1823"/>
      <c r="U26" s="1846"/>
      <c r="V26" s="1773"/>
      <c r="W26" s="1780"/>
      <c r="X26" s="1848"/>
      <c r="Y26" s="2195"/>
      <c r="Z26" s="1781"/>
      <c r="AA26" s="1929"/>
      <c r="AB26" s="1929"/>
      <c r="AC26" s="1970"/>
      <c r="AD26" s="1971"/>
      <c r="AE26" s="1880"/>
      <c r="AF26" s="1965"/>
      <c r="AG26" s="375"/>
      <c r="AH26" s="926">
        <f>IF(ISBLANK(V25),U25,V25)</f>
        <v>0.63815550535816001</v>
      </c>
      <c r="AI26" s="1943"/>
      <c r="AJ26" s="1924"/>
      <c r="AK26" s="1882"/>
      <c r="AL26" s="1883"/>
      <c r="AM26" s="1925"/>
      <c r="AN26" s="153"/>
      <c r="AO26" s="154"/>
      <c r="AR26" s="118"/>
      <c r="AS26" s="231">
        <f t="shared" ca="1" si="9"/>
        <v>1</v>
      </c>
      <c r="AT26" s="232">
        <f t="shared" ca="1" si="9"/>
        <v>1.0063815550535815</v>
      </c>
      <c r="AU26" s="232">
        <f t="shared" ca="1" si="9"/>
        <v>1.0127631101071632</v>
      </c>
      <c r="AV26" s="232">
        <f t="shared" ca="1" si="9"/>
        <v>1.0191446651607448</v>
      </c>
      <c r="AW26" s="232">
        <f t="shared" ca="1" si="9"/>
        <v>1.0255262202143265</v>
      </c>
      <c r="AX26" s="232">
        <f t="shared" ca="1" si="9"/>
        <v>1.031907775267908</v>
      </c>
      <c r="AY26" s="232">
        <f t="shared" ca="1" si="9"/>
        <v>1.0382893303214895</v>
      </c>
      <c r="AZ26" s="232">
        <f t="shared" ca="1" si="9"/>
        <v>1.0446708853750712</v>
      </c>
      <c r="BA26" s="232">
        <f t="shared" ca="1" si="9"/>
        <v>1.0510524404286528</v>
      </c>
      <c r="BB26" s="232">
        <f t="shared" ca="1" si="9"/>
        <v>1.0574339954822345</v>
      </c>
      <c r="BC26" s="232">
        <f t="shared" ca="1" si="10"/>
        <v>1.063815550535816</v>
      </c>
      <c r="BD26" s="232">
        <f t="shared" ca="1" si="10"/>
        <v>1.0701971055893975</v>
      </c>
      <c r="BE26" s="232">
        <f t="shared" ca="1" si="10"/>
        <v>1.0765786606429792</v>
      </c>
      <c r="BF26" s="232">
        <f t="shared" ca="1" si="10"/>
        <v>1.0829602156965608</v>
      </c>
      <c r="BG26" s="232">
        <f t="shared" ca="1" si="10"/>
        <v>1.0893417707501425</v>
      </c>
      <c r="BH26" s="232">
        <f t="shared" ca="1" si="10"/>
        <v>1.095723325803724</v>
      </c>
      <c r="BI26" s="232">
        <f t="shared" ca="1" si="10"/>
        <v>1.1021048808573055</v>
      </c>
      <c r="BJ26" s="232">
        <f t="shared" ca="1" si="10"/>
        <v>1.1084864359108872</v>
      </c>
      <c r="BK26" s="232">
        <f t="shared" ca="1" si="10"/>
        <v>1.1148679909644688</v>
      </c>
      <c r="BL26" s="232">
        <f t="shared" ca="1" si="10"/>
        <v>1.1212495460180505</v>
      </c>
      <c r="BM26" s="232">
        <f t="shared" ca="1" si="11"/>
        <v>1.127631101071632</v>
      </c>
      <c r="BN26" s="232">
        <f t="shared" ca="1" si="11"/>
        <v>1.1340126561252135</v>
      </c>
      <c r="BO26" s="232">
        <f t="shared" ca="1" si="11"/>
        <v>1.1403942111787952</v>
      </c>
      <c r="BP26" s="232">
        <f t="shared" ca="1" si="11"/>
        <v>1.1467757662323768</v>
      </c>
      <c r="BQ26" s="232">
        <f t="shared" ca="1" si="11"/>
        <v>1.1531573212859585</v>
      </c>
      <c r="BR26" s="232">
        <f t="shared" ca="1" si="11"/>
        <v>1.15953887633954</v>
      </c>
      <c r="BS26" s="232">
        <f t="shared" ca="1" si="11"/>
        <v>1.1659204313931215</v>
      </c>
      <c r="BT26" s="232">
        <f t="shared" ca="1" si="11"/>
        <v>1.1723019864467032</v>
      </c>
      <c r="BU26" s="232">
        <f t="shared" ca="1" si="11"/>
        <v>1.1786835415002848</v>
      </c>
      <c r="BV26" s="232">
        <f t="shared" ca="1" si="11"/>
        <v>1.1850650965538665</v>
      </c>
      <c r="BW26" s="232">
        <f t="shared" ca="1" si="12"/>
        <v>1.191446651607448</v>
      </c>
      <c r="BX26" s="232">
        <f t="shared" ca="1" si="12"/>
        <v>1.1978282066610295</v>
      </c>
      <c r="BY26" s="232">
        <f t="shared" ca="1" si="12"/>
        <v>1.2042097617146112</v>
      </c>
      <c r="BZ26" s="232">
        <f t="shared" ca="1" si="12"/>
        <v>1.2105913167681928</v>
      </c>
      <c r="CA26" s="232">
        <f t="shared" ca="1" si="12"/>
        <v>1.2169728718217745</v>
      </c>
      <c r="CB26" s="232">
        <f t="shared" ca="1" si="12"/>
        <v>1.223354426875356</v>
      </c>
      <c r="CC26" s="232">
        <f t="shared" ca="1" si="12"/>
        <v>1.2297359819289375</v>
      </c>
      <c r="CD26" s="232">
        <f t="shared" ca="1" si="12"/>
        <v>1.2361175369825192</v>
      </c>
      <c r="CE26" s="232">
        <f t="shared" ca="1" si="12"/>
        <v>1.2424990920361008</v>
      </c>
      <c r="CF26" s="232">
        <f t="shared" ca="1" si="12"/>
        <v>1.2488806470896825</v>
      </c>
      <c r="CG26" s="232">
        <f t="shared" ca="1" si="13"/>
        <v>1.255262202143264</v>
      </c>
      <c r="CH26" s="232">
        <f t="shared" ca="1" si="13"/>
        <v>1.2616437571968455</v>
      </c>
      <c r="CI26" s="232">
        <f t="shared" ca="1" si="13"/>
        <v>1.2680253122504273</v>
      </c>
      <c r="CJ26" s="232">
        <f t="shared" ca="1" si="13"/>
        <v>1.2744068673040088</v>
      </c>
      <c r="CK26" s="232">
        <f t="shared" ca="1" si="13"/>
        <v>1.2807884223575905</v>
      </c>
      <c r="CL26" s="232">
        <f t="shared" ca="1" si="13"/>
        <v>1.287169977411172</v>
      </c>
      <c r="CM26" s="232">
        <f t="shared" ca="1" si="13"/>
        <v>1.2935515324647535</v>
      </c>
      <c r="CN26" s="232">
        <f t="shared" ca="1" si="13"/>
        <v>1.2999330875183353</v>
      </c>
      <c r="CO26" s="232">
        <f t="shared" ca="1" si="13"/>
        <v>1.3063146425719168</v>
      </c>
      <c r="CP26" s="232">
        <f t="shared" ca="1" si="13"/>
        <v>1.3126961976254985</v>
      </c>
      <c r="CQ26" s="233">
        <f t="shared" ca="1" si="13"/>
        <v>1.31907775267908</v>
      </c>
    </row>
    <row r="27" spans="1:95" s="380" customFormat="1" ht="11.25" customHeight="1" x14ac:dyDescent="0.2">
      <c r="A27" s="1560"/>
      <c r="B27" s="1561"/>
      <c r="C27" s="2158" t="s">
        <v>708</v>
      </c>
      <c r="D27" s="2158"/>
      <c r="E27" s="2158"/>
      <c r="F27" s="775" t="s">
        <v>204</v>
      </c>
      <c r="G27" s="775"/>
      <c r="H27" s="776"/>
      <c r="I27" s="1762">
        <f>I25</f>
        <v>168.636</v>
      </c>
      <c r="J27" s="1820"/>
      <c r="K27" s="777">
        <f>$X$66*K21+$AA$66*K23+$AD$66*K25</f>
        <v>12.260789320000001</v>
      </c>
      <c r="L27" s="778"/>
      <c r="M27" s="779">
        <f>$X$66*M21+$AA$66*M23+$AD$66*M25</f>
        <v>9.1344500000000011</v>
      </c>
      <c r="N27" s="780"/>
      <c r="O27" s="777">
        <f>$X$66*O21+$AA$66*O23+$AD$66*O25</f>
        <v>5.2428499999999998</v>
      </c>
      <c r="P27" s="778"/>
      <c r="Q27" s="1785"/>
      <c r="R27" s="1786"/>
      <c r="S27" s="1824">
        <f>IF(ISBLANK(L27),K27,L27)+IF(ISBLANK(N27),M27,N27)+IF(ISBLANK(P27),O27,P27)+Q27</f>
        <v>26.638089320000002</v>
      </c>
      <c r="T27" s="1825"/>
      <c r="U27" s="1783">
        <f>$X$66*U21+$AA$66*U23+$AD$66*U25</f>
        <v>0.63831846194025876</v>
      </c>
      <c r="V27" s="1782"/>
      <c r="W27" s="1778">
        <f>$X$66*W21+$AA$66*W23+$AD$66*W25</f>
        <v>3.0001E-2</v>
      </c>
      <c r="X27" s="1779"/>
      <c r="Y27" s="2192">
        <f>$X$66*Y21+$AA$66*Y23+$AD$66*Y25</f>
        <v>1.060009</v>
      </c>
      <c r="Z27" s="1779"/>
      <c r="AA27" s="1934">
        <f>$X$66*AA21+$AA$66*AA23+$AD$66*AA25</f>
        <v>1.8838153999999999E-2</v>
      </c>
      <c r="AB27" s="1935"/>
      <c r="AC27" s="1968">
        <f>$X$66*AC21+$AA$66*AC23+$AD$66*AC25</f>
        <v>85.097329999999999</v>
      </c>
      <c r="AD27" s="1977"/>
      <c r="AE27" s="1880"/>
      <c r="AF27" s="1965"/>
      <c r="AG27" s="375"/>
      <c r="AH27" s="926">
        <f t="shared" ref="AH27" si="14">IF(ISBLANK(V27),U27,V27)</f>
        <v>0.63831846194025876</v>
      </c>
      <c r="AI27" s="2221">
        <f>IF(ISBLANK($J27),$I27,$J27)</f>
        <v>168.636</v>
      </c>
      <c r="AJ27" s="1944">
        <f>S27</f>
        <v>26.638089320000002</v>
      </c>
      <c r="AK27" s="1884">
        <f>S28</f>
        <v>17.706284570000001</v>
      </c>
      <c r="AL27" s="1884">
        <f>S27</f>
        <v>26.638089320000002</v>
      </c>
      <c r="AM27" s="1976">
        <f>S28</f>
        <v>17.706284570000001</v>
      </c>
      <c r="AN27" s="153"/>
      <c r="AO27" s="154"/>
      <c r="AP27" s="154"/>
      <c r="AQ27" s="154"/>
      <c r="AR27" s="118"/>
      <c r="AS27" s="231">
        <f t="shared" ca="1" si="9"/>
        <v>1</v>
      </c>
      <c r="AT27" s="232">
        <f t="shared" ca="1" si="9"/>
        <v>1.0063831846194027</v>
      </c>
      <c r="AU27" s="232">
        <f t="shared" ca="1" si="9"/>
        <v>1.0127663692388051</v>
      </c>
      <c r="AV27" s="232">
        <f t="shared" ca="1" si="9"/>
        <v>1.0191495538582078</v>
      </c>
      <c r="AW27" s="232">
        <f t="shared" ca="1" si="9"/>
        <v>1.0255327384776103</v>
      </c>
      <c r="AX27" s="232">
        <f t="shared" ca="1" si="9"/>
        <v>1.031915923097013</v>
      </c>
      <c r="AY27" s="232">
        <f t="shared" ca="1" si="9"/>
        <v>1.0382991077164154</v>
      </c>
      <c r="AZ27" s="232">
        <f t="shared" ca="1" si="9"/>
        <v>1.0446822923358181</v>
      </c>
      <c r="BA27" s="232">
        <f t="shared" ca="1" si="9"/>
        <v>1.0510654769552208</v>
      </c>
      <c r="BB27" s="232">
        <f t="shared" ca="1" si="9"/>
        <v>1.0574486615746232</v>
      </c>
      <c r="BC27" s="232">
        <f t="shared" ca="1" si="10"/>
        <v>1.0638318461940259</v>
      </c>
      <c r="BD27" s="232">
        <f t="shared" ca="1" si="10"/>
        <v>1.0702150308134284</v>
      </c>
      <c r="BE27" s="232">
        <f t="shared" ca="1" si="10"/>
        <v>1.0765982154328311</v>
      </c>
      <c r="BF27" s="232">
        <f t="shared" ca="1" si="10"/>
        <v>1.0829814000522335</v>
      </c>
      <c r="BG27" s="232">
        <f t="shared" ca="1" si="10"/>
        <v>1.0893645846716362</v>
      </c>
      <c r="BH27" s="232">
        <f t="shared" ca="1" si="10"/>
        <v>1.0957477692910389</v>
      </c>
      <c r="BI27" s="232">
        <f t="shared" ca="1" si="10"/>
        <v>1.1021309539104414</v>
      </c>
      <c r="BJ27" s="232">
        <f t="shared" ca="1" si="10"/>
        <v>1.108514138529844</v>
      </c>
      <c r="BK27" s="232">
        <f t="shared" ca="1" si="10"/>
        <v>1.1148973231492465</v>
      </c>
      <c r="BL27" s="232">
        <f t="shared" ca="1" si="10"/>
        <v>1.1212805077686492</v>
      </c>
      <c r="BM27" s="232">
        <f t="shared" ca="1" si="11"/>
        <v>1.1276636923880519</v>
      </c>
      <c r="BN27" s="232">
        <f t="shared" ca="1" si="11"/>
        <v>1.1340468770074543</v>
      </c>
      <c r="BO27" s="232">
        <f t="shared" ca="1" si="11"/>
        <v>1.140430061626857</v>
      </c>
      <c r="BP27" s="232">
        <f t="shared" ca="1" si="11"/>
        <v>1.1468132462462595</v>
      </c>
      <c r="BQ27" s="232">
        <f t="shared" ca="1" si="11"/>
        <v>1.1531964308656621</v>
      </c>
      <c r="BR27" s="232">
        <f t="shared" ca="1" si="11"/>
        <v>1.1595796154850646</v>
      </c>
      <c r="BS27" s="232">
        <f t="shared" ca="1" si="11"/>
        <v>1.1659628001044673</v>
      </c>
      <c r="BT27" s="232">
        <f t="shared" ca="1" si="11"/>
        <v>1.17234598472387</v>
      </c>
      <c r="BU27" s="232">
        <f t="shared" ca="1" si="11"/>
        <v>1.1787291693432724</v>
      </c>
      <c r="BV27" s="232">
        <f t="shared" ca="1" si="11"/>
        <v>1.1851123539626751</v>
      </c>
      <c r="BW27" s="232">
        <f t="shared" ca="1" si="12"/>
        <v>1.1914955385820776</v>
      </c>
      <c r="BX27" s="232">
        <f t="shared" ca="1" si="12"/>
        <v>1.1978787232014803</v>
      </c>
      <c r="BY27" s="232">
        <f t="shared" ca="1" si="12"/>
        <v>1.2042619078208827</v>
      </c>
      <c r="BZ27" s="232">
        <f t="shared" ca="1" si="12"/>
        <v>1.2106450924402854</v>
      </c>
      <c r="CA27" s="232">
        <f t="shared" ca="1" si="12"/>
        <v>1.2170282770596881</v>
      </c>
      <c r="CB27" s="232">
        <f t="shared" ca="1" si="12"/>
        <v>1.2234114616790905</v>
      </c>
      <c r="CC27" s="232">
        <f t="shared" ca="1" si="12"/>
        <v>1.2297946462984932</v>
      </c>
      <c r="CD27" s="232">
        <f t="shared" ca="1" si="12"/>
        <v>1.2361778309178957</v>
      </c>
      <c r="CE27" s="232">
        <f t="shared" ca="1" si="12"/>
        <v>1.2425610155372984</v>
      </c>
      <c r="CF27" s="232">
        <f t="shared" ca="1" si="12"/>
        <v>1.2489442001567008</v>
      </c>
      <c r="CG27" s="232">
        <f t="shared" ca="1" si="13"/>
        <v>1.2553273847761035</v>
      </c>
      <c r="CH27" s="232">
        <f t="shared" ca="1" si="13"/>
        <v>1.2617105693955062</v>
      </c>
      <c r="CI27" s="232">
        <f t="shared" ca="1" si="13"/>
        <v>1.2680937540149086</v>
      </c>
      <c r="CJ27" s="232">
        <f t="shared" ca="1" si="13"/>
        <v>1.2744769386343113</v>
      </c>
      <c r="CK27" s="232">
        <f t="shared" ca="1" si="13"/>
        <v>1.2808601232537138</v>
      </c>
      <c r="CL27" s="232">
        <f t="shared" ca="1" si="13"/>
        <v>1.2872433078731165</v>
      </c>
      <c r="CM27" s="232">
        <f t="shared" ca="1" si="13"/>
        <v>1.2936264924925189</v>
      </c>
      <c r="CN27" s="232">
        <f t="shared" ca="1" si="13"/>
        <v>1.3000096771119216</v>
      </c>
      <c r="CO27" s="232">
        <f t="shared" ca="1" si="13"/>
        <v>1.3063928617313243</v>
      </c>
      <c r="CP27" s="232">
        <f t="shared" ca="1" si="13"/>
        <v>1.3127760463507268</v>
      </c>
      <c r="CQ27" s="233">
        <f t="shared" ca="1" si="13"/>
        <v>1.3191592309701294</v>
      </c>
    </row>
    <row r="28" spans="1:95" s="380" customFormat="1" ht="11.25" customHeight="1" x14ac:dyDescent="0.2">
      <c r="A28" s="1560"/>
      <c r="B28" s="1561"/>
      <c r="C28" s="2159"/>
      <c r="D28" s="2159"/>
      <c r="E28" s="2159"/>
      <c r="F28" s="781" t="s">
        <v>205</v>
      </c>
      <c r="G28" s="781"/>
      <c r="H28" s="782"/>
      <c r="I28" s="1763"/>
      <c r="J28" s="1821"/>
      <c r="K28" s="1587">
        <f>$X$66*K22+$AA$66*K24+$AD$66*K26</f>
        <v>6.8422345699999996</v>
      </c>
      <c r="L28" s="783"/>
      <c r="M28" s="1588">
        <f>$X$66*M22+$AA$66*M24+$AD$66*M26</f>
        <v>5.6212000000000009</v>
      </c>
      <c r="N28" s="784"/>
      <c r="O28" s="1587">
        <f>$X$66*O22+$AA$66*O24+$AD$66*O26</f>
        <v>5.2428499999999998</v>
      </c>
      <c r="P28" s="783"/>
      <c r="Q28" s="1787"/>
      <c r="R28" s="1788"/>
      <c r="S28" s="1822">
        <f>IF(ISBLANK(L28),K28,L28)+IF(ISBLANK(N28),M28,N28)+IF(ISBLANK(P28),O28,P28)+Q27</f>
        <v>17.706284570000001</v>
      </c>
      <c r="T28" s="1823"/>
      <c r="U28" s="1784"/>
      <c r="V28" s="1773"/>
      <c r="W28" s="1780"/>
      <c r="X28" s="1781"/>
      <c r="Y28" s="2195"/>
      <c r="Z28" s="1781"/>
      <c r="AA28" s="1936"/>
      <c r="AB28" s="1937"/>
      <c r="AC28" s="1978"/>
      <c r="AD28" s="1979"/>
      <c r="AE28" s="1880"/>
      <c r="AF28" s="1965"/>
      <c r="AG28" s="375"/>
      <c r="AH28" s="926">
        <f>IF(ISBLANK(V27),U27,V27)</f>
        <v>0.63831846194025876</v>
      </c>
      <c r="AI28" s="1942"/>
      <c r="AJ28" s="1923"/>
      <c r="AK28" s="1881"/>
      <c r="AL28" s="1881"/>
      <c r="AM28" s="1921"/>
      <c r="AN28" s="153"/>
      <c r="AO28" s="154"/>
      <c r="AP28" s="154"/>
      <c r="AQ28" s="154"/>
      <c r="AR28" s="118"/>
      <c r="AS28" s="231">
        <f t="shared" ca="1" si="9"/>
        <v>1</v>
      </c>
      <c r="AT28" s="232">
        <f t="shared" ca="1" si="9"/>
        <v>1.0063831846194027</v>
      </c>
      <c r="AU28" s="232">
        <f t="shared" ca="1" si="9"/>
        <v>1.0127663692388051</v>
      </c>
      <c r="AV28" s="232">
        <f t="shared" ca="1" si="9"/>
        <v>1.0191495538582078</v>
      </c>
      <c r="AW28" s="232">
        <f t="shared" ca="1" si="9"/>
        <v>1.0255327384776103</v>
      </c>
      <c r="AX28" s="232">
        <f t="shared" ca="1" si="9"/>
        <v>1.031915923097013</v>
      </c>
      <c r="AY28" s="232">
        <f t="shared" ca="1" si="9"/>
        <v>1.0382991077164154</v>
      </c>
      <c r="AZ28" s="232">
        <f t="shared" ca="1" si="9"/>
        <v>1.0446822923358181</v>
      </c>
      <c r="BA28" s="232">
        <f t="shared" ca="1" si="9"/>
        <v>1.0510654769552208</v>
      </c>
      <c r="BB28" s="232">
        <f t="shared" ca="1" si="9"/>
        <v>1.0574486615746232</v>
      </c>
      <c r="BC28" s="232">
        <f t="shared" ca="1" si="10"/>
        <v>1.0638318461940259</v>
      </c>
      <c r="BD28" s="232">
        <f t="shared" ca="1" si="10"/>
        <v>1.0702150308134284</v>
      </c>
      <c r="BE28" s="232">
        <f t="shared" ca="1" si="10"/>
        <v>1.0765982154328311</v>
      </c>
      <c r="BF28" s="232">
        <f t="shared" ca="1" si="10"/>
        <v>1.0829814000522335</v>
      </c>
      <c r="BG28" s="232">
        <f t="shared" ca="1" si="10"/>
        <v>1.0893645846716362</v>
      </c>
      <c r="BH28" s="232">
        <f t="shared" ca="1" si="10"/>
        <v>1.0957477692910389</v>
      </c>
      <c r="BI28" s="232">
        <f t="shared" ca="1" si="10"/>
        <v>1.1021309539104414</v>
      </c>
      <c r="BJ28" s="232">
        <f t="shared" ca="1" si="10"/>
        <v>1.108514138529844</v>
      </c>
      <c r="BK28" s="232">
        <f t="shared" ca="1" si="10"/>
        <v>1.1148973231492465</v>
      </c>
      <c r="BL28" s="232">
        <f t="shared" ca="1" si="10"/>
        <v>1.1212805077686492</v>
      </c>
      <c r="BM28" s="232">
        <f t="shared" ca="1" si="11"/>
        <v>1.1276636923880519</v>
      </c>
      <c r="BN28" s="232">
        <f t="shared" ca="1" si="11"/>
        <v>1.1340468770074543</v>
      </c>
      <c r="BO28" s="232">
        <f t="shared" ca="1" si="11"/>
        <v>1.140430061626857</v>
      </c>
      <c r="BP28" s="232">
        <f t="shared" ca="1" si="11"/>
        <v>1.1468132462462595</v>
      </c>
      <c r="BQ28" s="232">
        <f t="shared" ca="1" si="11"/>
        <v>1.1531964308656621</v>
      </c>
      <c r="BR28" s="232">
        <f t="shared" ca="1" si="11"/>
        <v>1.1595796154850646</v>
      </c>
      <c r="BS28" s="232">
        <f t="shared" ca="1" si="11"/>
        <v>1.1659628001044673</v>
      </c>
      <c r="BT28" s="232">
        <f t="shared" ca="1" si="11"/>
        <v>1.17234598472387</v>
      </c>
      <c r="BU28" s="232">
        <f t="shared" ca="1" si="11"/>
        <v>1.1787291693432724</v>
      </c>
      <c r="BV28" s="232">
        <f t="shared" ca="1" si="11"/>
        <v>1.1851123539626751</v>
      </c>
      <c r="BW28" s="232">
        <f t="shared" ca="1" si="12"/>
        <v>1.1914955385820776</v>
      </c>
      <c r="BX28" s="232">
        <f t="shared" ca="1" si="12"/>
        <v>1.1978787232014803</v>
      </c>
      <c r="BY28" s="232">
        <f t="shared" ca="1" si="12"/>
        <v>1.2042619078208827</v>
      </c>
      <c r="BZ28" s="232">
        <f t="shared" ca="1" si="12"/>
        <v>1.2106450924402854</v>
      </c>
      <c r="CA28" s="232">
        <f t="shared" ca="1" si="12"/>
        <v>1.2170282770596881</v>
      </c>
      <c r="CB28" s="232">
        <f t="shared" ca="1" si="12"/>
        <v>1.2234114616790905</v>
      </c>
      <c r="CC28" s="232">
        <f t="shared" ca="1" si="12"/>
        <v>1.2297946462984932</v>
      </c>
      <c r="CD28" s="232">
        <f t="shared" ca="1" si="12"/>
        <v>1.2361778309178957</v>
      </c>
      <c r="CE28" s="232">
        <f t="shared" ca="1" si="12"/>
        <v>1.2425610155372984</v>
      </c>
      <c r="CF28" s="232">
        <f t="shared" ca="1" si="12"/>
        <v>1.2489442001567008</v>
      </c>
      <c r="CG28" s="232">
        <f t="shared" ca="1" si="13"/>
        <v>1.2553273847761035</v>
      </c>
      <c r="CH28" s="232">
        <f t="shared" ca="1" si="13"/>
        <v>1.2617105693955062</v>
      </c>
      <c r="CI28" s="232">
        <f t="shared" ca="1" si="13"/>
        <v>1.2680937540149086</v>
      </c>
      <c r="CJ28" s="232">
        <f t="shared" ca="1" si="13"/>
        <v>1.2744769386343113</v>
      </c>
      <c r="CK28" s="232">
        <f t="shared" ca="1" si="13"/>
        <v>1.2808601232537138</v>
      </c>
      <c r="CL28" s="232">
        <f t="shared" ca="1" si="13"/>
        <v>1.2872433078731165</v>
      </c>
      <c r="CM28" s="232">
        <f t="shared" ca="1" si="13"/>
        <v>1.2936264924925189</v>
      </c>
      <c r="CN28" s="232">
        <f t="shared" ca="1" si="13"/>
        <v>1.3000096771119216</v>
      </c>
      <c r="CO28" s="232">
        <f t="shared" ca="1" si="13"/>
        <v>1.3063928617313243</v>
      </c>
      <c r="CP28" s="232">
        <f t="shared" ca="1" si="13"/>
        <v>1.3127760463507268</v>
      </c>
      <c r="CQ28" s="233">
        <f t="shared" ca="1" si="13"/>
        <v>1.3191592309701294</v>
      </c>
    </row>
    <row r="29" spans="1:95" s="380" customFormat="1" ht="11.25" customHeight="1" x14ac:dyDescent="0.2">
      <c r="A29" s="760"/>
      <c r="B29" s="733"/>
      <c r="C29" s="2160" t="s">
        <v>787</v>
      </c>
      <c r="D29" s="2160"/>
      <c r="E29" s="2160"/>
      <c r="F29" s="731" t="s">
        <v>204</v>
      </c>
      <c r="G29" s="731"/>
      <c r="H29" s="730"/>
      <c r="I29" s="2181"/>
      <c r="J29" s="1767"/>
      <c r="K29" s="1766"/>
      <c r="L29" s="1767"/>
      <c r="M29" s="1766"/>
      <c r="N29" s="1767"/>
      <c r="O29" s="1766"/>
      <c r="P29" s="1767"/>
      <c r="Q29" s="1766"/>
      <c r="R29" s="1767"/>
      <c r="S29" s="1770">
        <f>IF(ISBLANK(L29),K29,L29)+IF(ISBLANK(N29),M29,N29)+IF(ISBLANK(P29),O29,P29)+Q29</f>
        <v>0</v>
      </c>
      <c r="T29" s="1771"/>
      <c r="U29" s="1766"/>
      <c r="V29" s="1772"/>
      <c r="W29" s="1774"/>
      <c r="X29" s="1775"/>
      <c r="Y29" s="1986"/>
      <c r="Z29" s="1775"/>
      <c r="AA29" s="1930"/>
      <c r="AB29" s="1931"/>
      <c r="AC29" s="1938"/>
      <c r="AD29" s="1939"/>
      <c r="AE29" s="1880"/>
      <c r="AF29" s="1965"/>
      <c r="AG29" s="375"/>
      <c r="AH29" s="926">
        <f>IF(ISBLANK(V29),U29,V29)</f>
        <v>0</v>
      </c>
      <c r="AI29" s="1942">
        <f>IF(ISBLANK($J29),$I29,$J29)</f>
        <v>0</v>
      </c>
      <c r="AJ29" s="1923">
        <f>S29</f>
        <v>0</v>
      </c>
      <c r="AK29" s="1881">
        <f>S30</f>
        <v>0</v>
      </c>
      <c r="AL29" s="1881">
        <f>IF(S31=Q29,AJ29,S31)</f>
        <v>0</v>
      </c>
      <c r="AM29" s="1921">
        <f>IF(S32=Q29,AK29,S32)</f>
        <v>0</v>
      </c>
      <c r="AN29" s="153"/>
      <c r="AO29" s="154"/>
      <c r="AR29" s="118"/>
      <c r="AS29" s="231">
        <f t="shared" ref="AS29:BB46" si="15">IF(OR(ISBLANK($S29),$S29=0),0,(1+(AS$16-$AS$16)*$AH29/100))</f>
        <v>0</v>
      </c>
      <c r="AT29" s="232">
        <f t="shared" si="15"/>
        <v>0</v>
      </c>
      <c r="AU29" s="232">
        <f t="shared" si="15"/>
        <v>0</v>
      </c>
      <c r="AV29" s="232">
        <f t="shared" si="15"/>
        <v>0</v>
      </c>
      <c r="AW29" s="232">
        <f t="shared" si="15"/>
        <v>0</v>
      </c>
      <c r="AX29" s="232">
        <f t="shared" si="15"/>
        <v>0</v>
      </c>
      <c r="AY29" s="232">
        <f t="shared" si="15"/>
        <v>0</v>
      </c>
      <c r="AZ29" s="232">
        <f t="shared" si="15"/>
        <v>0</v>
      </c>
      <c r="BA29" s="232">
        <f t="shared" si="15"/>
        <v>0</v>
      </c>
      <c r="BB29" s="232">
        <f t="shared" si="15"/>
        <v>0</v>
      </c>
      <c r="BC29" s="232">
        <f t="shared" ref="BC29:BL46" si="16">IF(OR(ISBLANK($S29),$S29=0),0,(1+(BC$16-$AS$16)*$AH29/100))</f>
        <v>0</v>
      </c>
      <c r="BD29" s="232">
        <f t="shared" si="16"/>
        <v>0</v>
      </c>
      <c r="BE29" s="232">
        <f t="shared" si="16"/>
        <v>0</v>
      </c>
      <c r="BF29" s="232">
        <f t="shared" si="16"/>
        <v>0</v>
      </c>
      <c r="BG29" s="232">
        <f t="shared" si="16"/>
        <v>0</v>
      </c>
      <c r="BH29" s="232">
        <f t="shared" si="16"/>
        <v>0</v>
      </c>
      <c r="BI29" s="232">
        <f t="shared" si="16"/>
        <v>0</v>
      </c>
      <c r="BJ29" s="232">
        <f t="shared" si="16"/>
        <v>0</v>
      </c>
      <c r="BK29" s="232">
        <f t="shared" si="16"/>
        <v>0</v>
      </c>
      <c r="BL29" s="232">
        <f t="shared" si="16"/>
        <v>0</v>
      </c>
      <c r="BM29" s="232">
        <f t="shared" ref="BM29:BV46" si="17">IF(OR(ISBLANK($S29),$S29=0),0,(1+(BM$16-$AS$16)*$AH29/100))</f>
        <v>0</v>
      </c>
      <c r="BN29" s="232">
        <f t="shared" si="17"/>
        <v>0</v>
      </c>
      <c r="BO29" s="232">
        <f t="shared" si="17"/>
        <v>0</v>
      </c>
      <c r="BP29" s="232">
        <f t="shared" si="17"/>
        <v>0</v>
      </c>
      <c r="BQ29" s="232">
        <f t="shared" si="17"/>
        <v>0</v>
      </c>
      <c r="BR29" s="232">
        <f t="shared" si="17"/>
        <v>0</v>
      </c>
      <c r="BS29" s="232">
        <f t="shared" si="17"/>
        <v>0</v>
      </c>
      <c r="BT29" s="232">
        <f t="shared" si="17"/>
        <v>0</v>
      </c>
      <c r="BU29" s="232">
        <f t="shared" si="17"/>
        <v>0</v>
      </c>
      <c r="BV29" s="232">
        <f t="shared" si="17"/>
        <v>0</v>
      </c>
      <c r="BW29" s="232">
        <f t="shared" ref="BW29:CF46" si="18">IF(OR(ISBLANK($S29),$S29=0),0,(1+(BW$16-$AS$16)*$AH29/100))</f>
        <v>0</v>
      </c>
      <c r="BX29" s="232">
        <f t="shared" si="18"/>
        <v>0</v>
      </c>
      <c r="BY29" s="232">
        <f t="shared" si="18"/>
        <v>0</v>
      </c>
      <c r="BZ29" s="232">
        <f t="shared" si="18"/>
        <v>0</v>
      </c>
      <c r="CA29" s="232">
        <f t="shared" si="18"/>
        <v>0</v>
      </c>
      <c r="CB29" s="232">
        <f t="shared" si="18"/>
        <v>0</v>
      </c>
      <c r="CC29" s="232">
        <f t="shared" si="18"/>
        <v>0</v>
      </c>
      <c r="CD29" s="232">
        <f t="shared" si="18"/>
        <v>0</v>
      </c>
      <c r="CE29" s="232">
        <f t="shared" si="18"/>
        <v>0</v>
      </c>
      <c r="CF29" s="232">
        <f t="shared" si="18"/>
        <v>0</v>
      </c>
      <c r="CG29" s="232">
        <f t="shared" ref="CG29:CQ46" si="19">IF(OR(ISBLANK($S29),$S29=0),0,(1+(CG$16-$AS$16)*$AH29/100))</f>
        <v>0</v>
      </c>
      <c r="CH29" s="232">
        <f t="shared" si="19"/>
        <v>0</v>
      </c>
      <c r="CI29" s="232">
        <f t="shared" si="19"/>
        <v>0</v>
      </c>
      <c r="CJ29" s="232">
        <f t="shared" si="19"/>
        <v>0</v>
      </c>
      <c r="CK29" s="232">
        <f t="shared" si="19"/>
        <v>0</v>
      </c>
      <c r="CL29" s="232">
        <f t="shared" si="19"/>
        <v>0</v>
      </c>
      <c r="CM29" s="232">
        <f t="shared" si="19"/>
        <v>0</v>
      </c>
      <c r="CN29" s="232">
        <f t="shared" si="19"/>
        <v>0</v>
      </c>
      <c r="CO29" s="232">
        <f t="shared" si="19"/>
        <v>0</v>
      </c>
      <c r="CP29" s="232">
        <f t="shared" si="19"/>
        <v>0</v>
      </c>
      <c r="CQ29" s="233">
        <f t="shared" si="19"/>
        <v>0</v>
      </c>
    </row>
    <row r="30" spans="1:95" s="380" customFormat="1" ht="11.25" customHeight="1" x14ac:dyDescent="0.2">
      <c r="A30" s="760"/>
      <c r="B30" s="733"/>
      <c r="C30" s="2160"/>
      <c r="D30" s="2160"/>
      <c r="E30" s="2160"/>
      <c r="F30" s="731" t="s">
        <v>205</v>
      </c>
      <c r="G30" s="731"/>
      <c r="H30" s="730"/>
      <c r="I30" s="2181"/>
      <c r="J30" s="1767"/>
      <c r="K30" s="1766"/>
      <c r="L30" s="1767"/>
      <c r="M30" s="1766"/>
      <c r="N30" s="1767"/>
      <c r="O30" s="1766"/>
      <c r="P30" s="1767"/>
      <c r="Q30" s="1766"/>
      <c r="R30" s="1767"/>
      <c r="S30" s="1770">
        <f>IF(ISBLANK(L30),K30,L30)+IF(ISBLANK(N30),M30,N30)+IF(ISBLANK(P30),O30,P30)+Q29</f>
        <v>0</v>
      </c>
      <c r="T30" s="1771"/>
      <c r="U30" s="1766"/>
      <c r="V30" s="1772"/>
      <c r="W30" s="1774"/>
      <c r="X30" s="1775"/>
      <c r="Y30" s="1986"/>
      <c r="Z30" s="1775"/>
      <c r="AA30" s="1930"/>
      <c r="AB30" s="1931"/>
      <c r="AC30" s="1938"/>
      <c r="AD30" s="1939"/>
      <c r="AE30" s="1880"/>
      <c r="AF30" s="1965"/>
      <c r="AG30" s="375"/>
      <c r="AH30" s="926">
        <f>IF(ISBLANK(V29),U29,V29)</f>
        <v>0</v>
      </c>
      <c r="AI30" s="1943"/>
      <c r="AJ30" s="1924"/>
      <c r="AK30" s="1882"/>
      <c r="AL30" s="1882"/>
      <c r="AM30" s="1922"/>
      <c r="AN30" s="153"/>
      <c r="AO30" s="154"/>
      <c r="AR30" s="118"/>
      <c r="AS30" s="231">
        <f t="shared" si="15"/>
        <v>0</v>
      </c>
      <c r="AT30" s="232">
        <f t="shared" si="15"/>
        <v>0</v>
      </c>
      <c r="AU30" s="232">
        <f t="shared" si="15"/>
        <v>0</v>
      </c>
      <c r="AV30" s="232">
        <f t="shared" si="15"/>
        <v>0</v>
      </c>
      <c r="AW30" s="232">
        <f t="shared" si="15"/>
        <v>0</v>
      </c>
      <c r="AX30" s="232">
        <f t="shared" si="15"/>
        <v>0</v>
      </c>
      <c r="AY30" s="232">
        <f t="shared" si="15"/>
        <v>0</v>
      </c>
      <c r="AZ30" s="232">
        <f t="shared" si="15"/>
        <v>0</v>
      </c>
      <c r="BA30" s="232">
        <f t="shared" si="15"/>
        <v>0</v>
      </c>
      <c r="BB30" s="232">
        <f t="shared" si="15"/>
        <v>0</v>
      </c>
      <c r="BC30" s="232">
        <f t="shared" si="16"/>
        <v>0</v>
      </c>
      <c r="BD30" s="232">
        <f t="shared" si="16"/>
        <v>0</v>
      </c>
      <c r="BE30" s="232">
        <f t="shared" si="16"/>
        <v>0</v>
      </c>
      <c r="BF30" s="232">
        <f t="shared" si="16"/>
        <v>0</v>
      </c>
      <c r="BG30" s="232">
        <f t="shared" si="16"/>
        <v>0</v>
      </c>
      <c r="BH30" s="232">
        <f t="shared" si="16"/>
        <v>0</v>
      </c>
      <c r="BI30" s="232">
        <f t="shared" si="16"/>
        <v>0</v>
      </c>
      <c r="BJ30" s="232">
        <f t="shared" si="16"/>
        <v>0</v>
      </c>
      <c r="BK30" s="232">
        <f t="shared" si="16"/>
        <v>0</v>
      </c>
      <c r="BL30" s="232">
        <f t="shared" si="16"/>
        <v>0</v>
      </c>
      <c r="BM30" s="232">
        <f t="shared" si="17"/>
        <v>0</v>
      </c>
      <c r="BN30" s="232">
        <f t="shared" si="17"/>
        <v>0</v>
      </c>
      <c r="BO30" s="232">
        <f t="shared" si="17"/>
        <v>0</v>
      </c>
      <c r="BP30" s="232">
        <f t="shared" si="17"/>
        <v>0</v>
      </c>
      <c r="BQ30" s="232">
        <f t="shared" si="17"/>
        <v>0</v>
      </c>
      <c r="BR30" s="232">
        <f t="shared" si="17"/>
        <v>0</v>
      </c>
      <c r="BS30" s="232">
        <f t="shared" si="17"/>
        <v>0</v>
      </c>
      <c r="BT30" s="232">
        <f t="shared" si="17"/>
        <v>0</v>
      </c>
      <c r="BU30" s="232">
        <f t="shared" si="17"/>
        <v>0</v>
      </c>
      <c r="BV30" s="232">
        <f t="shared" si="17"/>
        <v>0</v>
      </c>
      <c r="BW30" s="232">
        <f t="shared" si="18"/>
        <v>0</v>
      </c>
      <c r="BX30" s="232">
        <f t="shared" si="18"/>
        <v>0</v>
      </c>
      <c r="BY30" s="232">
        <f t="shared" si="18"/>
        <v>0</v>
      </c>
      <c r="BZ30" s="232">
        <f t="shared" si="18"/>
        <v>0</v>
      </c>
      <c r="CA30" s="232">
        <f t="shared" si="18"/>
        <v>0</v>
      </c>
      <c r="CB30" s="232">
        <f t="shared" si="18"/>
        <v>0</v>
      </c>
      <c r="CC30" s="232">
        <f t="shared" si="18"/>
        <v>0</v>
      </c>
      <c r="CD30" s="232">
        <f t="shared" si="18"/>
        <v>0</v>
      </c>
      <c r="CE30" s="232">
        <f t="shared" si="18"/>
        <v>0</v>
      </c>
      <c r="CF30" s="232">
        <f t="shared" si="18"/>
        <v>0</v>
      </c>
      <c r="CG30" s="232">
        <f t="shared" si="19"/>
        <v>0</v>
      </c>
      <c r="CH30" s="232">
        <f t="shared" si="19"/>
        <v>0</v>
      </c>
      <c r="CI30" s="232">
        <f t="shared" si="19"/>
        <v>0</v>
      </c>
      <c r="CJ30" s="232">
        <f t="shared" si="19"/>
        <v>0</v>
      </c>
      <c r="CK30" s="232">
        <f t="shared" si="19"/>
        <v>0</v>
      </c>
      <c r="CL30" s="232">
        <f t="shared" si="19"/>
        <v>0</v>
      </c>
      <c r="CM30" s="232">
        <f t="shared" si="19"/>
        <v>0</v>
      </c>
      <c r="CN30" s="232">
        <f t="shared" si="19"/>
        <v>0</v>
      </c>
      <c r="CO30" s="232">
        <f t="shared" si="19"/>
        <v>0</v>
      </c>
      <c r="CP30" s="232">
        <f t="shared" si="19"/>
        <v>0</v>
      </c>
      <c r="CQ30" s="233">
        <f t="shared" si="19"/>
        <v>0</v>
      </c>
    </row>
    <row r="31" spans="1:95" s="380" customFormat="1" ht="11.25" customHeight="1" x14ac:dyDescent="0.2">
      <c r="A31" s="760"/>
      <c r="B31" s="733"/>
      <c r="C31" s="2160"/>
      <c r="D31" s="2160"/>
      <c r="E31" s="2160"/>
      <c r="F31" s="731" t="s">
        <v>206</v>
      </c>
      <c r="G31" s="731"/>
      <c r="H31" s="730"/>
      <c r="I31" s="2181"/>
      <c r="J31" s="1767"/>
      <c r="K31" s="1766"/>
      <c r="L31" s="1767"/>
      <c r="M31" s="1766"/>
      <c r="N31" s="1767"/>
      <c r="O31" s="1766"/>
      <c r="P31" s="1767"/>
      <c r="Q31" s="1766"/>
      <c r="R31" s="1767"/>
      <c r="S31" s="1770">
        <f>IF(ISBLANK(L31),K31,L31)+IF(ISBLANK(N31),M31,N31)+IF(ISBLANK(P31),O31,P31)+Q29</f>
        <v>0</v>
      </c>
      <c r="T31" s="1771"/>
      <c r="U31" s="1766"/>
      <c r="V31" s="1772"/>
      <c r="W31" s="1774"/>
      <c r="X31" s="1775"/>
      <c r="Y31" s="1986"/>
      <c r="Z31" s="1775"/>
      <c r="AA31" s="1930"/>
      <c r="AB31" s="1931"/>
      <c r="AC31" s="1938"/>
      <c r="AD31" s="1939"/>
      <c r="AE31" s="1880"/>
      <c r="AF31" s="1965"/>
      <c r="AG31" s="375"/>
      <c r="AH31" s="926">
        <f>IF(ISBLANK(V29),U29,V29)</f>
        <v>0</v>
      </c>
      <c r="AI31" s="1943"/>
      <c r="AJ31" s="1924"/>
      <c r="AK31" s="1882"/>
      <c r="AL31" s="1882"/>
      <c r="AM31" s="1922"/>
      <c r="AN31" s="153"/>
      <c r="AO31" s="154"/>
      <c r="AP31" s="154"/>
      <c r="AQ31" s="154"/>
      <c r="AR31" s="118"/>
      <c r="AS31" s="231">
        <f t="shared" si="15"/>
        <v>0</v>
      </c>
      <c r="AT31" s="232">
        <f t="shared" si="15"/>
        <v>0</v>
      </c>
      <c r="AU31" s="232">
        <f t="shared" si="15"/>
        <v>0</v>
      </c>
      <c r="AV31" s="232">
        <f t="shared" si="15"/>
        <v>0</v>
      </c>
      <c r="AW31" s="232">
        <f t="shared" si="15"/>
        <v>0</v>
      </c>
      <c r="AX31" s="232">
        <f t="shared" si="15"/>
        <v>0</v>
      </c>
      <c r="AY31" s="232">
        <f t="shared" si="15"/>
        <v>0</v>
      </c>
      <c r="AZ31" s="232">
        <f t="shared" si="15"/>
        <v>0</v>
      </c>
      <c r="BA31" s="232">
        <f t="shared" si="15"/>
        <v>0</v>
      </c>
      <c r="BB31" s="232">
        <f t="shared" si="15"/>
        <v>0</v>
      </c>
      <c r="BC31" s="232">
        <f t="shared" si="16"/>
        <v>0</v>
      </c>
      <c r="BD31" s="232">
        <f t="shared" si="16"/>
        <v>0</v>
      </c>
      <c r="BE31" s="232">
        <f t="shared" si="16"/>
        <v>0</v>
      </c>
      <c r="BF31" s="232">
        <f t="shared" si="16"/>
        <v>0</v>
      </c>
      <c r="BG31" s="232">
        <f t="shared" si="16"/>
        <v>0</v>
      </c>
      <c r="BH31" s="232">
        <f t="shared" si="16"/>
        <v>0</v>
      </c>
      <c r="BI31" s="232">
        <f t="shared" si="16"/>
        <v>0</v>
      </c>
      <c r="BJ31" s="232">
        <f t="shared" si="16"/>
        <v>0</v>
      </c>
      <c r="BK31" s="232">
        <f t="shared" si="16"/>
        <v>0</v>
      </c>
      <c r="BL31" s="232">
        <f t="shared" si="16"/>
        <v>0</v>
      </c>
      <c r="BM31" s="232">
        <f t="shared" si="17"/>
        <v>0</v>
      </c>
      <c r="BN31" s="232">
        <f t="shared" si="17"/>
        <v>0</v>
      </c>
      <c r="BO31" s="232">
        <f t="shared" si="17"/>
        <v>0</v>
      </c>
      <c r="BP31" s="232">
        <f t="shared" si="17"/>
        <v>0</v>
      </c>
      <c r="BQ31" s="232">
        <f t="shared" si="17"/>
        <v>0</v>
      </c>
      <c r="BR31" s="232">
        <f t="shared" si="17"/>
        <v>0</v>
      </c>
      <c r="BS31" s="232">
        <f t="shared" si="17"/>
        <v>0</v>
      </c>
      <c r="BT31" s="232">
        <f t="shared" si="17"/>
        <v>0</v>
      </c>
      <c r="BU31" s="232">
        <f t="shared" si="17"/>
        <v>0</v>
      </c>
      <c r="BV31" s="232">
        <f t="shared" si="17"/>
        <v>0</v>
      </c>
      <c r="BW31" s="232">
        <f t="shared" si="18"/>
        <v>0</v>
      </c>
      <c r="BX31" s="232">
        <f t="shared" si="18"/>
        <v>0</v>
      </c>
      <c r="BY31" s="232">
        <f t="shared" si="18"/>
        <v>0</v>
      </c>
      <c r="BZ31" s="232">
        <f t="shared" si="18"/>
        <v>0</v>
      </c>
      <c r="CA31" s="232">
        <f t="shared" si="18"/>
        <v>0</v>
      </c>
      <c r="CB31" s="232">
        <f t="shared" si="18"/>
        <v>0</v>
      </c>
      <c r="CC31" s="232">
        <f t="shared" si="18"/>
        <v>0</v>
      </c>
      <c r="CD31" s="232">
        <f t="shared" si="18"/>
        <v>0</v>
      </c>
      <c r="CE31" s="232">
        <f t="shared" si="18"/>
        <v>0</v>
      </c>
      <c r="CF31" s="232">
        <f t="shared" si="18"/>
        <v>0</v>
      </c>
      <c r="CG31" s="232">
        <f t="shared" si="19"/>
        <v>0</v>
      </c>
      <c r="CH31" s="232">
        <f t="shared" si="19"/>
        <v>0</v>
      </c>
      <c r="CI31" s="232">
        <f t="shared" si="19"/>
        <v>0</v>
      </c>
      <c r="CJ31" s="232">
        <f t="shared" si="19"/>
        <v>0</v>
      </c>
      <c r="CK31" s="232">
        <f t="shared" si="19"/>
        <v>0</v>
      </c>
      <c r="CL31" s="232">
        <f t="shared" si="19"/>
        <v>0</v>
      </c>
      <c r="CM31" s="232">
        <f t="shared" si="19"/>
        <v>0</v>
      </c>
      <c r="CN31" s="232">
        <f t="shared" si="19"/>
        <v>0</v>
      </c>
      <c r="CO31" s="232">
        <f t="shared" si="19"/>
        <v>0</v>
      </c>
      <c r="CP31" s="232">
        <f t="shared" si="19"/>
        <v>0</v>
      </c>
      <c r="CQ31" s="233">
        <f t="shared" si="19"/>
        <v>0</v>
      </c>
    </row>
    <row r="32" spans="1:95" s="380" customFormat="1" ht="11.25" customHeight="1" x14ac:dyDescent="0.2">
      <c r="A32" s="760"/>
      <c r="B32" s="733"/>
      <c r="C32" s="2161"/>
      <c r="D32" s="2161"/>
      <c r="E32" s="2161"/>
      <c r="F32" s="781" t="s">
        <v>207</v>
      </c>
      <c r="G32" s="781"/>
      <c r="H32" s="849"/>
      <c r="I32" s="2182"/>
      <c r="J32" s="1769"/>
      <c r="K32" s="1768"/>
      <c r="L32" s="1769"/>
      <c r="M32" s="1768"/>
      <c r="N32" s="1769"/>
      <c r="O32" s="1768"/>
      <c r="P32" s="1769"/>
      <c r="Q32" s="1768"/>
      <c r="R32" s="1769"/>
      <c r="S32" s="1822">
        <f>IF(ISBLANK(L32),K32,L32)+IF(ISBLANK(N32),M32,N32)+IF(ISBLANK(P32),O32,P32)+Q29</f>
        <v>0</v>
      </c>
      <c r="T32" s="1823"/>
      <c r="U32" s="1768"/>
      <c r="V32" s="1773"/>
      <c r="W32" s="1776"/>
      <c r="X32" s="1777"/>
      <c r="Y32" s="1987"/>
      <c r="Z32" s="1777"/>
      <c r="AA32" s="1932"/>
      <c r="AB32" s="1933"/>
      <c r="AC32" s="1940"/>
      <c r="AD32" s="1941"/>
      <c r="AE32" s="1880"/>
      <c r="AF32" s="1965"/>
      <c r="AG32" s="375"/>
      <c r="AH32" s="928">
        <f>IF(ISBLANK(V29),U29,V29)</f>
        <v>0</v>
      </c>
      <c r="AI32" s="1943"/>
      <c r="AJ32" s="1924"/>
      <c r="AK32" s="1882"/>
      <c r="AL32" s="1882"/>
      <c r="AM32" s="1922"/>
      <c r="AN32" s="153"/>
      <c r="AO32" s="154"/>
      <c r="AP32" s="154"/>
      <c r="AQ32" s="154"/>
      <c r="AR32" s="118"/>
      <c r="AS32" s="234">
        <f t="shared" si="15"/>
        <v>0</v>
      </c>
      <c r="AT32" s="235">
        <f t="shared" si="15"/>
        <v>0</v>
      </c>
      <c r="AU32" s="235">
        <f t="shared" si="15"/>
        <v>0</v>
      </c>
      <c r="AV32" s="235">
        <f t="shared" si="15"/>
        <v>0</v>
      </c>
      <c r="AW32" s="235">
        <f t="shared" si="15"/>
        <v>0</v>
      </c>
      <c r="AX32" s="235">
        <f t="shared" si="15"/>
        <v>0</v>
      </c>
      <c r="AY32" s="235">
        <f t="shared" si="15"/>
        <v>0</v>
      </c>
      <c r="AZ32" s="235">
        <f t="shared" si="15"/>
        <v>0</v>
      </c>
      <c r="BA32" s="235">
        <f t="shared" si="15"/>
        <v>0</v>
      </c>
      <c r="BB32" s="235">
        <f t="shared" si="15"/>
        <v>0</v>
      </c>
      <c r="BC32" s="235">
        <f t="shared" si="16"/>
        <v>0</v>
      </c>
      <c r="BD32" s="235">
        <f t="shared" si="16"/>
        <v>0</v>
      </c>
      <c r="BE32" s="235">
        <f t="shared" si="16"/>
        <v>0</v>
      </c>
      <c r="BF32" s="235">
        <f t="shared" si="16"/>
        <v>0</v>
      </c>
      <c r="BG32" s="235">
        <f t="shared" si="16"/>
        <v>0</v>
      </c>
      <c r="BH32" s="235">
        <f t="shared" si="16"/>
        <v>0</v>
      </c>
      <c r="BI32" s="235">
        <f t="shared" si="16"/>
        <v>0</v>
      </c>
      <c r="BJ32" s="235">
        <f t="shared" si="16"/>
        <v>0</v>
      </c>
      <c r="BK32" s="235">
        <f t="shared" si="16"/>
        <v>0</v>
      </c>
      <c r="BL32" s="235">
        <f t="shared" si="16"/>
        <v>0</v>
      </c>
      <c r="BM32" s="235">
        <f t="shared" si="17"/>
        <v>0</v>
      </c>
      <c r="BN32" s="235">
        <f t="shared" si="17"/>
        <v>0</v>
      </c>
      <c r="BO32" s="235">
        <f t="shared" si="17"/>
        <v>0</v>
      </c>
      <c r="BP32" s="235">
        <f t="shared" si="17"/>
        <v>0</v>
      </c>
      <c r="BQ32" s="235">
        <f t="shared" si="17"/>
        <v>0</v>
      </c>
      <c r="BR32" s="235">
        <f t="shared" si="17"/>
        <v>0</v>
      </c>
      <c r="BS32" s="235">
        <f t="shared" si="17"/>
        <v>0</v>
      </c>
      <c r="BT32" s="235">
        <f t="shared" si="17"/>
        <v>0</v>
      </c>
      <c r="BU32" s="235">
        <f t="shared" si="17"/>
        <v>0</v>
      </c>
      <c r="BV32" s="235">
        <f t="shared" si="17"/>
        <v>0</v>
      </c>
      <c r="BW32" s="235">
        <f t="shared" si="18"/>
        <v>0</v>
      </c>
      <c r="BX32" s="235">
        <f t="shared" si="18"/>
        <v>0</v>
      </c>
      <c r="BY32" s="235">
        <f t="shared" si="18"/>
        <v>0</v>
      </c>
      <c r="BZ32" s="235">
        <f t="shared" si="18"/>
        <v>0</v>
      </c>
      <c r="CA32" s="235">
        <f t="shared" si="18"/>
        <v>0</v>
      </c>
      <c r="CB32" s="235">
        <f t="shared" si="18"/>
        <v>0</v>
      </c>
      <c r="CC32" s="235">
        <f t="shared" si="18"/>
        <v>0</v>
      </c>
      <c r="CD32" s="235">
        <f t="shared" si="18"/>
        <v>0</v>
      </c>
      <c r="CE32" s="235">
        <f t="shared" si="18"/>
        <v>0</v>
      </c>
      <c r="CF32" s="235">
        <f t="shared" si="18"/>
        <v>0</v>
      </c>
      <c r="CG32" s="235">
        <f t="shared" si="19"/>
        <v>0</v>
      </c>
      <c r="CH32" s="235">
        <f t="shared" si="19"/>
        <v>0</v>
      </c>
      <c r="CI32" s="235">
        <f t="shared" si="19"/>
        <v>0</v>
      </c>
      <c r="CJ32" s="235">
        <f t="shared" si="19"/>
        <v>0</v>
      </c>
      <c r="CK32" s="235">
        <f t="shared" si="19"/>
        <v>0</v>
      </c>
      <c r="CL32" s="235">
        <f t="shared" si="19"/>
        <v>0</v>
      </c>
      <c r="CM32" s="235">
        <f t="shared" si="19"/>
        <v>0</v>
      </c>
      <c r="CN32" s="235">
        <f t="shared" si="19"/>
        <v>0</v>
      </c>
      <c r="CO32" s="235">
        <f t="shared" si="19"/>
        <v>0</v>
      </c>
      <c r="CP32" s="235">
        <f t="shared" si="19"/>
        <v>0</v>
      </c>
      <c r="CQ32" s="236">
        <f t="shared" si="19"/>
        <v>0</v>
      </c>
    </row>
    <row r="33" spans="1:95" s="380" customFormat="1" ht="11.25" customHeight="1" x14ac:dyDescent="0.2">
      <c r="A33" s="1560"/>
      <c r="B33" s="1561"/>
      <c r="C33" s="2160" t="s">
        <v>788</v>
      </c>
      <c r="D33" s="2160"/>
      <c r="E33" s="2160"/>
      <c r="F33" s="731" t="s">
        <v>204</v>
      </c>
      <c r="G33" s="731"/>
      <c r="H33" s="730"/>
      <c r="I33" s="2181"/>
      <c r="J33" s="1767"/>
      <c r="K33" s="1766"/>
      <c r="L33" s="1767"/>
      <c r="M33" s="1766"/>
      <c r="N33" s="1767"/>
      <c r="O33" s="1766"/>
      <c r="P33" s="1767"/>
      <c r="Q33" s="1766"/>
      <c r="R33" s="1767"/>
      <c r="S33" s="1770">
        <f>IF(ISBLANK(L33),K33,L33)+IF(ISBLANK(N33),M33,N33)+IF(ISBLANK(P33),O33,P33)+Q33</f>
        <v>0</v>
      </c>
      <c r="T33" s="1771"/>
      <c r="U33" s="1766"/>
      <c r="V33" s="1772"/>
      <c r="W33" s="1774"/>
      <c r="X33" s="1775"/>
      <c r="Y33" s="1986"/>
      <c r="Z33" s="1775"/>
      <c r="AA33" s="1930"/>
      <c r="AB33" s="1931"/>
      <c r="AC33" s="1938"/>
      <c r="AD33" s="1939"/>
      <c r="AE33" s="1880"/>
      <c r="AF33" s="1965"/>
      <c r="AG33" s="375"/>
      <c r="AH33" s="926">
        <f>IF(ISBLANK(V33),U33,V33)</f>
        <v>0</v>
      </c>
      <c r="AI33" s="1942">
        <f>IF(ISBLANK($J33),$I33,$J33)</f>
        <v>0</v>
      </c>
      <c r="AJ33" s="1923">
        <f>S33</f>
        <v>0</v>
      </c>
      <c r="AK33" s="1881">
        <f>S34</f>
        <v>0</v>
      </c>
      <c r="AL33" s="1881">
        <f>IF(S35=Q33,AJ33,S35)</f>
        <v>0</v>
      </c>
      <c r="AM33" s="1921">
        <f>IF(S36=Q33,AK33,S36)</f>
        <v>0</v>
      </c>
      <c r="AN33" s="153"/>
      <c r="AO33" s="154"/>
      <c r="AR33" s="118"/>
      <c r="AS33" s="231">
        <f t="shared" si="15"/>
        <v>0</v>
      </c>
      <c r="AT33" s="232">
        <f t="shared" si="15"/>
        <v>0</v>
      </c>
      <c r="AU33" s="232">
        <f t="shared" si="15"/>
        <v>0</v>
      </c>
      <c r="AV33" s="232">
        <f t="shared" si="15"/>
        <v>0</v>
      </c>
      <c r="AW33" s="232">
        <f t="shared" si="15"/>
        <v>0</v>
      </c>
      <c r="AX33" s="232">
        <f t="shared" si="15"/>
        <v>0</v>
      </c>
      <c r="AY33" s="232">
        <f t="shared" si="15"/>
        <v>0</v>
      </c>
      <c r="AZ33" s="232">
        <f t="shared" si="15"/>
        <v>0</v>
      </c>
      <c r="BA33" s="232">
        <f t="shared" si="15"/>
        <v>0</v>
      </c>
      <c r="BB33" s="232">
        <f t="shared" si="15"/>
        <v>0</v>
      </c>
      <c r="BC33" s="232">
        <f t="shared" si="16"/>
        <v>0</v>
      </c>
      <c r="BD33" s="232">
        <f t="shared" si="16"/>
        <v>0</v>
      </c>
      <c r="BE33" s="232">
        <f t="shared" si="16"/>
        <v>0</v>
      </c>
      <c r="BF33" s="232">
        <f t="shared" si="16"/>
        <v>0</v>
      </c>
      <c r="BG33" s="232">
        <f t="shared" si="16"/>
        <v>0</v>
      </c>
      <c r="BH33" s="232">
        <f t="shared" si="16"/>
        <v>0</v>
      </c>
      <c r="BI33" s="232">
        <f t="shared" si="16"/>
        <v>0</v>
      </c>
      <c r="BJ33" s="232">
        <f t="shared" si="16"/>
        <v>0</v>
      </c>
      <c r="BK33" s="232">
        <f t="shared" si="16"/>
        <v>0</v>
      </c>
      <c r="BL33" s="232">
        <f t="shared" si="16"/>
        <v>0</v>
      </c>
      <c r="BM33" s="232">
        <f t="shared" si="17"/>
        <v>0</v>
      </c>
      <c r="BN33" s="232">
        <f t="shared" si="17"/>
        <v>0</v>
      </c>
      <c r="BO33" s="232">
        <f t="shared" si="17"/>
        <v>0</v>
      </c>
      <c r="BP33" s="232">
        <f t="shared" si="17"/>
        <v>0</v>
      </c>
      <c r="BQ33" s="232">
        <f t="shared" si="17"/>
        <v>0</v>
      </c>
      <c r="BR33" s="232">
        <f t="shared" si="17"/>
        <v>0</v>
      </c>
      <c r="BS33" s="232">
        <f t="shared" si="17"/>
        <v>0</v>
      </c>
      <c r="BT33" s="232">
        <f t="shared" si="17"/>
        <v>0</v>
      </c>
      <c r="BU33" s="232">
        <f t="shared" si="17"/>
        <v>0</v>
      </c>
      <c r="BV33" s="232">
        <f t="shared" si="17"/>
        <v>0</v>
      </c>
      <c r="BW33" s="232">
        <f t="shared" si="18"/>
        <v>0</v>
      </c>
      <c r="BX33" s="232">
        <f t="shared" si="18"/>
        <v>0</v>
      </c>
      <c r="BY33" s="232">
        <f t="shared" si="18"/>
        <v>0</v>
      </c>
      <c r="BZ33" s="232">
        <f t="shared" si="18"/>
        <v>0</v>
      </c>
      <c r="CA33" s="232">
        <f t="shared" si="18"/>
        <v>0</v>
      </c>
      <c r="CB33" s="232">
        <f t="shared" si="18"/>
        <v>0</v>
      </c>
      <c r="CC33" s="232">
        <f t="shared" si="18"/>
        <v>0</v>
      </c>
      <c r="CD33" s="232">
        <f t="shared" si="18"/>
        <v>0</v>
      </c>
      <c r="CE33" s="232">
        <f t="shared" si="18"/>
        <v>0</v>
      </c>
      <c r="CF33" s="232">
        <f t="shared" si="18"/>
        <v>0</v>
      </c>
      <c r="CG33" s="232">
        <f t="shared" si="19"/>
        <v>0</v>
      </c>
      <c r="CH33" s="232">
        <f t="shared" si="19"/>
        <v>0</v>
      </c>
      <c r="CI33" s="232">
        <f t="shared" si="19"/>
        <v>0</v>
      </c>
      <c r="CJ33" s="232">
        <f t="shared" si="19"/>
        <v>0</v>
      </c>
      <c r="CK33" s="232">
        <f t="shared" si="19"/>
        <v>0</v>
      </c>
      <c r="CL33" s="232">
        <f t="shared" si="19"/>
        <v>0</v>
      </c>
      <c r="CM33" s="232">
        <f t="shared" si="19"/>
        <v>0</v>
      </c>
      <c r="CN33" s="232">
        <f t="shared" si="19"/>
        <v>0</v>
      </c>
      <c r="CO33" s="232">
        <f t="shared" si="19"/>
        <v>0</v>
      </c>
      <c r="CP33" s="232">
        <f t="shared" si="19"/>
        <v>0</v>
      </c>
      <c r="CQ33" s="233">
        <f t="shared" si="19"/>
        <v>0</v>
      </c>
    </row>
    <row r="34" spans="1:95" s="380" customFormat="1" ht="11.25" customHeight="1" x14ac:dyDescent="0.2">
      <c r="A34" s="1560"/>
      <c r="B34" s="1561"/>
      <c r="C34" s="2160"/>
      <c r="D34" s="2160"/>
      <c r="E34" s="2160"/>
      <c r="F34" s="731" t="s">
        <v>205</v>
      </c>
      <c r="G34" s="731"/>
      <c r="H34" s="730"/>
      <c r="I34" s="2181"/>
      <c r="J34" s="1767"/>
      <c r="K34" s="1766"/>
      <c r="L34" s="1767"/>
      <c r="M34" s="1766"/>
      <c r="N34" s="1767"/>
      <c r="O34" s="1766"/>
      <c r="P34" s="1767"/>
      <c r="Q34" s="1766"/>
      <c r="R34" s="1767"/>
      <c r="S34" s="1770">
        <f>IF(ISBLANK(L34),K34,L34)+IF(ISBLANK(N34),M34,N34)+IF(ISBLANK(P34),O34,P34)+Q33</f>
        <v>0</v>
      </c>
      <c r="T34" s="1771"/>
      <c r="U34" s="1766"/>
      <c r="V34" s="1772"/>
      <c r="W34" s="1774"/>
      <c r="X34" s="1775"/>
      <c r="Y34" s="1986"/>
      <c r="Z34" s="1775"/>
      <c r="AA34" s="1930"/>
      <c r="AB34" s="1931"/>
      <c r="AC34" s="1938"/>
      <c r="AD34" s="1939"/>
      <c r="AE34" s="1880"/>
      <c r="AF34" s="1965"/>
      <c r="AG34" s="375"/>
      <c r="AH34" s="926">
        <f>IF(ISBLANK(V33),U33,V33)</f>
        <v>0</v>
      </c>
      <c r="AI34" s="1943"/>
      <c r="AJ34" s="1924"/>
      <c r="AK34" s="1882"/>
      <c r="AL34" s="1882"/>
      <c r="AM34" s="1922"/>
      <c r="AN34" s="153"/>
      <c r="AO34" s="154"/>
      <c r="AR34" s="118"/>
      <c r="AS34" s="231">
        <f t="shared" si="15"/>
        <v>0</v>
      </c>
      <c r="AT34" s="232">
        <f t="shared" si="15"/>
        <v>0</v>
      </c>
      <c r="AU34" s="232">
        <f t="shared" si="15"/>
        <v>0</v>
      </c>
      <c r="AV34" s="232">
        <f t="shared" si="15"/>
        <v>0</v>
      </c>
      <c r="AW34" s="232">
        <f t="shared" si="15"/>
        <v>0</v>
      </c>
      <c r="AX34" s="232">
        <f t="shared" si="15"/>
        <v>0</v>
      </c>
      <c r="AY34" s="232">
        <f t="shared" si="15"/>
        <v>0</v>
      </c>
      <c r="AZ34" s="232">
        <f t="shared" si="15"/>
        <v>0</v>
      </c>
      <c r="BA34" s="232">
        <f t="shared" si="15"/>
        <v>0</v>
      </c>
      <c r="BB34" s="232">
        <f t="shared" si="15"/>
        <v>0</v>
      </c>
      <c r="BC34" s="232">
        <f t="shared" si="16"/>
        <v>0</v>
      </c>
      <c r="BD34" s="232">
        <f t="shared" si="16"/>
        <v>0</v>
      </c>
      <c r="BE34" s="232">
        <f t="shared" si="16"/>
        <v>0</v>
      </c>
      <c r="BF34" s="232">
        <f t="shared" si="16"/>
        <v>0</v>
      </c>
      <c r="BG34" s="232">
        <f t="shared" si="16"/>
        <v>0</v>
      </c>
      <c r="BH34" s="232">
        <f t="shared" si="16"/>
        <v>0</v>
      </c>
      <c r="BI34" s="232">
        <f t="shared" si="16"/>
        <v>0</v>
      </c>
      <c r="BJ34" s="232">
        <f t="shared" si="16"/>
        <v>0</v>
      </c>
      <c r="BK34" s="232">
        <f t="shared" si="16"/>
        <v>0</v>
      </c>
      <c r="BL34" s="232">
        <f t="shared" si="16"/>
        <v>0</v>
      </c>
      <c r="BM34" s="232">
        <f t="shared" si="17"/>
        <v>0</v>
      </c>
      <c r="BN34" s="232">
        <f t="shared" si="17"/>
        <v>0</v>
      </c>
      <c r="BO34" s="232">
        <f t="shared" si="17"/>
        <v>0</v>
      </c>
      <c r="BP34" s="232">
        <f t="shared" si="17"/>
        <v>0</v>
      </c>
      <c r="BQ34" s="232">
        <f t="shared" si="17"/>
        <v>0</v>
      </c>
      <c r="BR34" s="232">
        <f t="shared" si="17"/>
        <v>0</v>
      </c>
      <c r="BS34" s="232">
        <f t="shared" si="17"/>
        <v>0</v>
      </c>
      <c r="BT34" s="232">
        <f t="shared" si="17"/>
        <v>0</v>
      </c>
      <c r="BU34" s="232">
        <f t="shared" si="17"/>
        <v>0</v>
      </c>
      <c r="BV34" s="232">
        <f t="shared" si="17"/>
        <v>0</v>
      </c>
      <c r="BW34" s="232">
        <f t="shared" si="18"/>
        <v>0</v>
      </c>
      <c r="BX34" s="232">
        <f t="shared" si="18"/>
        <v>0</v>
      </c>
      <c r="BY34" s="232">
        <f t="shared" si="18"/>
        <v>0</v>
      </c>
      <c r="BZ34" s="232">
        <f t="shared" si="18"/>
        <v>0</v>
      </c>
      <c r="CA34" s="232">
        <f t="shared" si="18"/>
        <v>0</v>
      </c>
      <c r="CB34" s="232">
        <f t="shared" si="18"/>
        <v>0</v>
      </c>
      <c r="CC34" s="232">
        <f t="shared" si="18"/>
        <v>0</v>
      </c>
      <c r="CD34" s="232">
        <f t="shared" si="18"/>
        <v>0</v>
      </c>
      <c r="CE34" s="232">
        <f t="shared" si="18"/>
        <v>0</v>
      </c>
      <c r="CF34" s="232">
        <f t="shared" si="18"/>
        <v>0</v>
      </c>
      <c r="CG34" s="232">
        <f t="shared" si="19"/>
        <v>0</v>
      </c>
      <c r="CH34" s="232">
        <f t="shared" si="19"/>
        <v>0</v>
      </c>
      <c r="CI34" s="232">
        <f t="shared" si="19"/>
        <v>0</v>
      </c>
      <c r="CJ34" s="232">
        <f t="shared" si="19"/>
        <v>0</v>
      </c>
      <c r="CK34" s="232">
        <f t="shared" si="19"/>
        <v>0</v>
      </c>
      <c r="CL34" s="232">
        <f t="shared" si="19"/>
        <v>0</v>
      </c>
      <c r="CM34" s="232">
        <f t="shared" si="19"/>
        <v>0</v>
      </c>
      <c r="CN34" s="232">
        <f t="shared" si="19"/>
        <v>0</v>
      </c>
      <c r="CO34" s="232">
        <f t="shared" si="19"/>
        <v>0</v>
      </c>
      <c r="CP34" s="232">
        <f t="shared" si="19"/>
        <v>0</v>
      </c>
      <c r="CQ34" s="233">
        <f t="shared" si="19"/>
        <v>0</v>
      </c>
    </row>
    <row r="35" spans="1:95" s="380" customFormat="1" ht="11.25" customHeight="1" x14ac:dyDescent="0.2">
      <c r="A35" s="1560"/>
      <c r="B35" s="1561"/>
      <c r="C35" s="2160"/>
      <c r="D35" s="2160"/>
      <c r="E35" s="2160"/>
      <c r="F35" s="731" t="s">
        <v>206</v>
      </c>
      <c r="G35" s="731"/>
      <c r="H35" s="730"/>
      <c r="I35" s="2181"/>
      <c r="J35" s="1767"/>
      <c r="K35" s="1766"/>
      <c r="L35" s="1767"/>
      <c r="M35" s="1766"/>
      <c r="N35" s="1767"/>
      <c r="O35" s="1766"/>
      <c r="P35" s="1767"/>
      <c r="Q35" s="1766"/>
      <c r="R35" s="1767"/>
      <c r="S35" s="1770">
        <f>IF(ISBLANK(L35),K35,L35)+IF(ISBLANK(N35),M35,N35)+IF(ISBLANK(P35),O35,P35)+Q33</f>
        <v>0</v>
      </c>
      <c r="T35" s="1771"/>
      <c r="U35" s="1766"/>
      <c r="V35" s="1772"/>
      <c r="W35" s="1774"/>
      <c r="X35" s="1775"/>
      <c r="Y35" s="1986"/>
      <c r="Z35" s="1775"/>
      <c r="AA35" s="1930"/>
      <c r="AB35" s="1931"/>
      <c r="AC35" s="1938"/>
      <c r="AD35" s="1939"/>
      <c r="AE35" s="1880"/>
      <c r="AF35" s="1965"/>
      <c r="AG35" s="375"/>
      <c r="AH35" s="926">
        <f>IF(ISBLANK(V33),U33,V33)</f>
        <v>0</v>
      </c>
      <c r="AI35" s="1943"/>
      <c r="AJ35" s="1924"/>
      <c r="AK35" s="1882"/>
      <c r="AL35" s="1882"/>
      <c r="AM35" s="1922"/>
      <c r="AN35" s="153"/>
      <c r="AO35" s="154"/>
      <c r="AP35" s="154"/>
      <c r="AQ35" s="154"/>
      <c r="AR35" s="118"/>
      <c r="AS35" s="231">
        <f t="shared" si="15"/>
        <v>0</v>
      </c>
      <c r="AT35" s="232">
        <f t="shared" si="15"/>
        <v>0</v>
      </c>
      <c r="AU35" s="232">
        <f t="shared" si="15"/>
        <v>0</v>
      </c>
      <c r="AV35" s="232">
        <f t="shared" si="15"/>
        <v>0</v>
      </c>
      <c r="AW35" s="232">
        <f t="shared" si="15"/>
        <v>0</v>
      </c>
      <c r="AX35" s="232">
        <f t="shared" si="15"/>
        <v>0</v>
      </c>
      <c r="AY35" s="232">
        <f t="shared" si="15"/>
        <v>0</v>
      </c>
      <c r="AZ35" s="232">
        <f t="shared" si="15"/>
        <v>0</v>
      </c>
      <c r="BA35" s="232">
        <f t="shared" si="15"/>
        <v>0</v>
      </c>
      <c r="BB35" s="232">
        <f t="shared" si="15"/>
        <v>0</v>
      </c>
      <c r="BC35" s="232">
        <f t="shared" si="16"/>
        <v>0</v>
      </c>
      <c r="BD35" s="232">
        <f t="shared" si="16"/>
        <v>0</v>
      </c>
      <c r="BE35" s="232">
        <f t="shared" si="16"/>
        <v>0</v>
      </c>
      <c r="BF35" s="232">
        <f t="shared" si="16"/>
        <v>0</v>
      </c>
      <c r="BG35" s="232">
        <f t="shared" si="16"/>
        <v>0</v>
      </c>
      <c r="BH35" s="232">
        <f t="shared" si="16"/>
        <v>0</v>
      </c>
      <c r="BI35" s="232">
        <f t="shared" si="16"/>
        <v>0</v>
      </c>
      <c r="BJ35" s="232">
        <f t="shared" si="16"/>
        <v>0</v>
      </c>
      <c r="BK35" s="232">
        <f t="shared" si="16"/>
        <v>0</v>
      </c>
      <c r="BL35" s="232">
        <f t="shared" si="16"/>
        <v>0</v>
      </c>
      <c r="BM35" s="232">
        <f t="shared" si="17"/>
        <v>0</v>
      </c>
      <c r="BN35" s="232">
        <f t="shared" si="17"/>
        <v>0</v>
      </c>
      <c r="BO35" s="232">
        <f t="shared" si="17"/>
        <v>0</v>
      </c>
      <c r="BP35" s="232">
        <f t="shared" si="17"/>
        <v>0</v>
      </c>
      <c r="BQ35" s="232">
        <f t="shared" si="17"/>
        <v>0</v>
      </c>
      <c r="BR35" s="232">
        <f t="shared" si="17"/>
        <v>0</v>
      </c>
      <c r="BS35" s="232">
        <f t="shared" si="17"/>
        <v>0</v>
      </c>
      <c r="BT35" s="232">
        <f t="shared" si="17"/>
        <v>0</v>
      </c>
      <c r="BU35" s="232">
        <f t="shared" si="17"/>
        <v>0</v>
      </c>
      <c r="BV35" s="232">
        <f t="shared" si="17"/>
        <v>0</v>
      </c>
      <c r="BW35" s="232">
        <f t="shared" si="18"/>
        <v>0</v>
      </c>
      <c r="BX35" s="232">
        <f t="shared" si="18"/>
        <v>0</v>
      </c>
      <c r="BY35" s="232">
        <f t="shared" si="18"/>
        <v>0</v>
      </c>
      <c r="BZ35" s="232">
        <f t="shared" si="18"/>
        <v>0</v>
      </c>
      <c r="CA35" s="232">
        <f t="shared" si="18"/>
        <v>0</v>
      </c>
      <c r="CB35" s="232">
        <f t="shared" si="18"/>
        <v>0</v>
      </c>
      <c r="CC35" s="232">
        <f t="shared" si="18"/>
        <v>0</v>
      </c>
      <c r="CD35" s="232">
        <f t="shared" si="18"/>
        <v>0</v>
      </c>
      <c r="CE35" s="232">
        <f t="shared" si="18"/>
        <v>0</v>
      </c>
      <c r="CF35" s="232">
        <f t="shared" si="18"/>
        <v>0</v>
      </c>
      <c r="CG35" s="232">
        <f t="shared" si="19"/>
        <v>0</v>
      </c>
      <c r="CH35" s="232">
        <f t="shared" si="19"/>
        <v>0</v>
      </c>
      <c r="CI35" s="232">
        <f t="shared" si="19"/>
        <v>0</v>
      </c>
      <c r="CJ35" s="232">
        <f t="shared" si="19"/>
        <v>0</v>
      </c>
      <c r="CK35" s="232">
        <f t="shared" si="19"/>
        <v>0</v>
      </c>
      <c r="CL35" s="232">
        <f t="shared" si="19"/>
        <v>0</v>
      </c>
      <c r="CM35" s="232">
        <f t="shared" si="19"/>
        <v>0</v>
      </c>
      <c r="CN35" s="232">
        <f t="shared" si="19"/>
        <v>0</v>
      </c>
      <c r="CO35" s="232">
        <f t="shared" si="19"/>
        <v>0</v>
      </c>
      <c r="CP35" s="232">
        <f t="shared" si="19"/>
        <v>0</v>
      </c>
      <c r="CQ35" s="233">
        <f t="shared" si="19"/>
        <v>0</v>
      </c>
    </row>
    <row r="36" spans="1:95" s="380" customFormat="1" ht="11.25" customHeight="1" x14ac:dyDescent="0.2">
      <c r="A36" s="1560"/>
      <c r="B36" s="1561"/>
      <c r="C36" s="2161"/>
      <c r="D36" s="2161"/>
      <c r="E36" s="2161"/>
      <c r="F36" s="781" t="s">
        <v>207</v>
      </c>
      <c r="G36" s="781"/>
      <c r="H36" s="849"/>
      <c r="I36" s="2182"/>
      <c r="J36" s="1769"/>
      <c r="K36" s="1768"/>
      <c r="L36" s="1769"/>
      <c r="M36" s="1768"/>
      <c r="N36" s="1769"/>
      <c r="O36" s="1768"/>
      <c r="P36" s="1769"/>
      <c r="Q36" s="1768"/>
      <c r="R36" s="1769"/>
      <c r="S36" s="1822">
        <f>IF(ISBLANK(L36),K36,L36)+IF(ISBLANK(N36),M36,N36)+IF(ISBLANK(P36),O36,P36)+Q33</f>
        <v>0</v>
      </c>
      <c r="T36" s="1823"/>
      <c r="U36" s="1768"/>
      <c r="V36" s="1773"/>
      <c r="W36" s="1776"/>
      <c r="X36" s="1777"/>
      <c r="Y36" s="1987"/>
      <c r="Z36" s="1777"/>
      <c r="AA36" s="1932"/>
      <c r="AB36" s="1933"/>
      <c r="AC36" s="1940"/>
      <c r="AD36" s="1941"/>
      <c r="AE36" s="1880"/>
      <c r="AF36" s="1965"/>
      <c r="AG36" s="375"/>
      <c r="AH36" s="1559">
        <f>IF(ISBLANK(V33),U33,V33)</f>
        <v>0</v>
      </c>
      <c r="AI36" s="1943"/>
      <c r="AJ36" s="1924"/>
      <c r="AK36" s="1882"/>
      <c r="AL36" s="1882"/>
      <c r="AM36" s="1922"/>
      <c r="AN36" s="153"/>
      <c r="AO36" s="154"/>
      <c r="AP36" s="154"/>
      <c r="AQ36" s="154"/>
      <c r="AR36" s="118"/>
      <c r="AS36" s="234">
        <f t="shared" si="15"/>
        <v>0</v>
      </c>
      <c r="AT36" s="235">
        <f t="shared" si="15"/>
        <v>0</v>
      </c>
      <c r="AU36" s="235">
        <f t="shared" si="15"/>
        <v>0</v>
      </c>
      <c r="AV36" s="235">
        <f t="shared" si="15"/>
        <v>0</v>
      </c>
      <c r="AW36" s="235">
        <f t="shared" si="15"/>
        <v>0</v>
      </c>
      <c r="AX36" s="235">
        <f t="shared" si="15"/>
        <v>0</v>
      </c>
      <c r="AY36" s="235">
        <f t="shared" si="15"/>
        <v>0</v>
      </c>
      <c r="AZ36" s="235">
        <f t="shared" si="15"/>
        <v>0</v>
      </c>
      <c r="BA36" s="235">
        <f t="shared" si="15"/>
        <v>0</v>
      </c>
      <c r="BB36" s="235">
        <f t="shared" si="15"/>
        <v>0</v>
      </c>
      <c r="BC36" s="235">
        <f t="shared" si="16"/>
        <v>0</v>
      </c>
      <c r="BD36" s="235">
        <f t="shared" si="16"/>
        <v>0</v>
      </c>
      <c r="BE36" s="235">
        <f t="shared" si="16"/>
        <v>0</v>
      </c>
      <c r="BF36" s="235">
        <f t="shared" si="16"/>
        <v>0</v>
      </c>
      <c r="BG36" s="235">
        <f t="shared" si="16"/>
        <v>0</v>
      </c>
      <c r="BH36" s="235">
        <f t="shared" si="16"/>
        <v>0</v>
      </c>
      <c r="BI36" s="235">
        <f t="shared" si="16"/>
        <v>0</v>
      </c>
      <c r="BJ36" s="235">
        <f t="shared" si="16"/>
        <v>0</v>
      </c>
      <c r="BK36" s="235">
        <f t="shared" si="16"/>
        <v>0</v>
      </c>
      <c r="BL36" s="235">
        <f t="shared" si="16"/>
        <v>0</v>
      </c>
      <c r="BM36" s="235">
        <f t="shared" si="17"/>
        <v>0</v>
      </c>
      <c r="BN36" s="235">
        <f t="shared" si="17"/>
        <v>0</v>
      </c>
      <c r="BO36" s="235">
        <f t="shared" si="17"/>
        <v>0</v>
      </c>
      <c r="BP36" s="235">
        <f t="shared" si="17"/>
        <v>0</v>
      </c>
      <c r="BQ36" s="235">
        <f t="shared" si="17"/>
        <v>0</v>
      </c>
      <c r="BR36" s="235">
        <f t="shared" si="17"/>
        <v>0</v>
      </c>
      <c r="BS36" s="235">
        <f t="shared" si="17"/>
        <v>0</v>
      </c>
      <c r="BT36" s="235">
        <f t="shared" si="17"/>
        <v>0</v>
      </c>
      <c r="BU36" s="235">
        <f t="shared" si="17"/>
        <v>0</v>
      </c>
      <c r="BV36" s="235">
        <f t="shared" si="17"/>
        <v>0</v>
      </c>
      <c r="BW36" s="235">
        <f t="shared" si="18"/>
        <v>0</v>
      </c>
      <c r="BX36" s="235">
        <f t="shared" si="18"/>
        <v>0</v>
      </c>
      <c r="BY36" s="235">
        <f t="shared" si="18"/>
        <v>0</v>
      </c>
      <c r="BZ36" s="235">
        <f t="shared" si="18"/>
        <v>0</v>
      </c>
      <c r="CA36" s="235">
        <f t="shared" si="18"/>
        <v>0</v>
      </c>
      <c r="CB36" s="235">
        <f t="shared" si="18"/>
        <v>0</v>
      </c>
      <c r="CC36" s="235">
        <f t="shared" si="18"/>
        <v>0</v>
      </c>
      <c r="CD36" s="235">
        <f t="shared" si="18"/>
        <v>0</v>
      </c>
      <c r="CE36" s="235">
        <f t="shared" si="18"/>
        <v>0</v>
      </c>
      <c r="CF36" s="235">
        <f t="shared" si="18"/>
        <v>0</v>
      </c>
      <c r="CG36" s="235">
        <f t="shared" si="19"/>
        <v>0</v>
      </c>
      <c r="CH36" s="235">
        <f t="shared" si="19"/>
        <v>0</v>
      </c>
      <c r="CI36" s="235">
        <f t="shared" si="19"/>
        <v>0</v>
      </c>
      <c r="CJ36" s="235">
        <f t="shared" si="19"/>
        <v>0</v>
      </c>
      <c r="CK36" s="235">
        <f t="shared" si="19"/>
        <v>0</v>
      </c>
      <c r="CL36" s="235">
        <f t="shared" si="19"/>
        <v>0</v>
      </c>
      <c r="CM36" s="235">
        <f t="shared" si="19"/>
        <v>0</v>
      </c>
      <c r="CN36" s="235">
        <f t="shared" si="19"/>
        <v>0</v>
      </c>
      <c r="CO36" s="235">
        <f t="shared" si="19"/>
        <v>0</v>
      </c>
      <c r="CP36" s="235">
        <f t="shared" si="19"/>
        <v>0</v>
      </c>
      <c r="CQ36" s="236">
        <f t="shared" si="19"/>
        <v>0</v>
      </c>
    </row>
    <row r="37" spans="1:95" s="380" customFormat="1" ht="11.25" customHeight="1" x14ac:dyDescent="0.2">
      <c r="A37" s="1560"/>
      <c r="B37" s="1561"/>
      <c r="C37" s="2160" t="s">
        <v>789</v>
      </c>
      <c r="D37" s="2160"/>
      <c r="E37" s="2160"/>
      <c r="F37" s="731" t="s">
        <v>204</v>
      </c>
      <c r="G37" s="731"/>
      <c r="H37" s="730"/>
      <c r="I37" s="2181"/>
      <c r="J37" s="1767"/>
      <c r="K37" s="1766"/>
      <c r="L37" s="1767"/>
      <c r="M37" s="1766"/>
      <c r="N37" s="1767"/>
      <c r="O37" s="1766"/>
      <c r="P37" s="1767"/>
      <c r="Q37" s="1766"/>
      <c r="R37" s="1767"/>
      <c r="S37" s="1770">
        <f>IF(ISBLANK(L37),K37,L37)+IF(ISBLANK(N37),M37,N37)+IF(ISBLANK(P37),O37,P37)+Q37</f>
        <v>0</v>
      </c>
      <c r="T37" s="1771"/>
      <c r="U37" s="1766"/>
      <c r="V37" s="1772"/>
      <c r="W37" s="1774"/>
      <c r="X37" s="1775"/>
      <c r="Y37" s="1986"/>
      <c r="Z37" s="1775"/>
      <c r="AA37" s="1930"/>
      <c r="AB37" s="1931"/>
      <c r="AC37" s="1938"/>
      <c r="AD37" s="1939"/>
      <c r="AE37" s="1880"/>
      <c r="AF37" s="1965"/>
      <c r="AG37" s="375"/>
      <c r="AH37" s="926">
        <f>IF(ISBLANK(V37),U37,V37)</f>
        <v>0</v>
      </c>
      <c r="AI37" s="1942">
        <f>IF(ISBLANK($J37),$I37,$J37)</f>
        <v>0</v>
      </c>
      <c r="AJ37" s="1923">
        <f>S37</f>
        <v>0</v>
      </c>
      <c r="AK37" s="1881">
        <f>S38</f>
        <v>0</v>
      </c>
      <c r="AL37" s="1881">
        <f>IF(S39=Q37,AJ37,S39)</f>
        <v>0</v>
      </c>
      <c r="AM37" s="1921">
        <f>IF(S40=Q37,AK37,S40)</f>
        <v>0</v>
      </c>
      <c r="AN37" s="153"/>
      <c r="AO37" s="154"/>
      <c r="AR37" s="118"/>
      <c r="AS37" s="231">
        <f t="shared" si="15"/>
        <v>0</v>
      </c>
      <c r="AT37" s="232">
        <f t="shared" si="15"/>
        <v>0</v>
      </c>
      <c r="AU37" s="232">
        <f t="shared" si="15"/>
        <v>0</v>
      </c>
      <c r="AV37" s="232">
        <f t="shared" si="15"/>
        <v>0</v>
      </c>
      <c r="AW37" s="232">
        <f t="shared" si="15"/>
        <v>0</v>
      </c>
      <c r="AX37" s="232">
        <f t="shared" si="15"/>
        <v>0</v>
      </c>
      <c r="AY37" s="232">
        <f t="shared" si="15"/>
        <v>0</v>
      </c>
      <c r="AZ37" s="232">
        <f t="shared" si="15"/>
        <v>0</v>
      </c>
      <c r="BA37" s="232">
        <f t="shared" si="15"/>
        <v>0</v>
      </c>
      <c r="BB37" s="232">
        <f t="shared" si="15"/>
        <v>0</v>
      </c>
      <c r="BC37" s="232">
        <f t="shared" si="16"/>
        <v>0</v>
      </c>
      <c r="BD37" s="232">
        <f t="shared" si="16"/>
        <v>0</v>
      </c>
      <c r="BE37" s="232">
        <f t="shared" si="16"/>
        <v>0</v>
      </c>
      <c r="BF37" s="232">
        <f t="shared" si="16"/>
        <v>0</v>
      </c>
      <c r="BG37" s="232">
        <f t="shared" si="16"/>
        <v>0</v>
      </c>
      <c r="BH37" s="232">
        <f t="shared" si="16"/>
        <v>0</v>
      </c>
      <c r="BI37" s="232">
        <f t="shared" si="16"/>
        <v>0</v>
      </c>
      <c r="BJ37" s="232">
        <f t="shared" si="16"/>
        <v>0</v>
      </c>
      <c r="BK37" s="232">
        <f t="shared" si="16"/>
        <v>0</v>
      </c>
      <c r="BL37" s="232">
        <f t="shared" si="16"/>
        <v>0</v>
      </c>
      <c r="BM37" s="232">
        <f t="shared" si="17"/>
        <v>0</v>
      </c>
      <c r="BN37" s="232">
        <f t="shared" si="17"/>
        <v>0</v>
      </c>
      <c r="BO37" s="232">
        <f t="shared" si="17"/>
        <v>0</v>
      </c>
      <c r="BP37" s="232">
        <f t="shared" si="17"/>
        <v>0</v>
      </c>
      <c r="BQ37" s="232">
        <f t="shared" si="17"/>
        <v>0</v>
      </c>
      <c r="BR37" s="232">
        <f t="shared" si="17"/>
        <v>0</v>
      </c>
      <c r="BS37" s="232">
        <f t="shared" si="17"/>
        <v>0</v>
      </c>
      <c r="BT37" s="232">
        <f t="shared" si="17"/>
        <v>0</v>
      </c>
      <c r="BU37" s="232">
        <f t="shared" si="17"/>
        <v>0</v>
      </c>
      <c r="BV37" s="232">
        <f t="shared" si="17"/>
        <v>0</v>
      </c>
      <c r="BW37" s="232">
        <f t="shared" si="18"/>
        <v>0</v>
      </c>
      <c r="BX37" s="232">
        <f t="shared" si="18"/>
        <v>0</v>
      </c>
      <c r="BY37" s="232">
        <f t="shared" si="18"/>
        <v>0</v>
      </c>
      <c r="BZ37" s="232">
        <f t="shared" si="18"/>
        <v>0</v>
      </c>
      <c r="CA37" s="232">
        <f t="shared" si="18"/>
        <v>0</v>
      </c>
      <c r="CB37" s="232">
        <f t="shared" si="18"/>
        <v>0</v>
      </c>
      <c r="CC37" s="232">
        <f t="shared" si="18"/>
        <v>0</v>
      </c>
      <c r="CD37" s="232">
        <f t="shared" si="18"/>
        <v>0</v>
      </c>
      <c r="CE37" s="232">
        <f t="shared" si="18"/>
        <v>0</v>
      </c>
      <c r="CF37" s="232">
        <f t="shared" si="18"/>
        <v>0</v>
      </c>
      <c r="CG37" s="232">
        <f t="shared" si="19"/>
        <v>0</v>
      </c>
      <c r="CH37" s="232">
        <f t="shared" si="19"/>
        <v>0</v>
      </c>
      <c r="CI37" s="232">
        <f t="shared" si="19"/>
        <v>0</v>
      </c>
      <c r="CJ37" s="232">
        <f t="shared" si="19"/>
        <v>0</v>
      </c>
      <c r="CK37" s="232">
        <f t="shared" si="19"/>
        <v>0</v>
      </c>
      <c r="CL37" s="232">
        <f t="shared" si="19"/>
        <v>0</v>
      </c>
      <c r="CM37" s="232">
        <f t="shared" si="19"/>
        <v>0</v>
      </c>
      <c r="CN37" s="232">
        <f t="shared" si="19"/>
        <v>0</v>
      </c>
      <c r="CO37" s="232">
        <f t="shared" si="19"/>
        <v>0</v>
      </c>
      <c r="CP37" s="232">
        <f t="shared" si="19"/>
        <v>0</v>
      </c>
      <c r="CQ37" s="233">
        <f t="shared" si="19"/>
        <v>0</v>
      </c>
    </row>
    <row r="38" spans="1:95" s="380" customFormat="1" ht="11.25" customHeight="1" x14ac:dyDescent="0.2">
      <c r="A38" s="1560"/>
      <c r="B38" s="1561"/>
      <c r="C38" s="2160"/>
      <c r="D38" s="2160"/>
      <c r="E38" s="2160"/>
      <c r="F38" s="731" t="s">
        <v>205</v>
      </c>
      <c r="G38" s="731"/>
      <c r="H38" s="730"/>
      <c r="I38" s="2181"/>
      <c r="J38" s="1767"/>
      <c r="K38" s="1766"/>
      <c r="L38" s="1767"/>
      <c r="M38" s="1766"/>
      <c r="N38" s="1767"/>
      <c r="O38" s="1766"/>
      <c r="P38" s="1767"/>
      <c r="Q38" s="1766"/>
      <c r="R38" s="1767"/>
      <c r="S38" s="1770">
        <f>IF(ISBLANK(L38),K38,L38)+IF(ISBLANK(N38),M38,N38)+IF(ISBLANK(P38),O38,P38)+Q37</f>
        <v>0</v>
      </c>
      <c r="T38" s="1771"/>
      <c r="U38" s="1766"/>
      <c r="V38" s="1772"/>
      <c r="W38" s="1774"/>
      <c r="X38" s="1775"/>
      <c r="Y38" s="1986"/>
      <c r="Z38" s="1775"/>
      <c r="AA38" s="1930"/>
      <c r="AB38" s="1931"/>
      <c r="AC38" s="1938"/>
      <c r="AD38" s="1939"/>
      <c r="AE38" s="1880"/>
      <c r="AF38" s="1965"/>
      <c r="AG38" s="375"/>
      <c r="AH38" s="926">
        <f>IF(ISBLANK(V37),U37,V37)</f>
        <v>0</v>
      </c>
      <c r="AI38" s="1943"/>
      <c r="AJ38" s="1924"/>
      <c r="AK38" s="1882"/>
      <c r="AL38" s="1882"/>
      <c r="AM38" s="1922"/>
      <c r="AN38" s="153"/>
      <c r="AO38" s="154"/>
      <c r="AR38" s="118"/>
      <c r="AS38" s="231">
        <f t="shared" si="15"/>
        <v>0</v>
      </c>
      <c r="AT38" s="232">
        <f t="shared" si="15"/>
        <v>0</v>
      </c>
      <c r="AU38" s="232">
        <f t="shared" si="15"/>
        <v>0</v>
      </c>
      <c r="AV38" s="232">
        <f t="shared" si="15"/>
        <v>0</v>
      </c>
      <c r="AW38" s="232">
        <f t="shared" si="15"/>
        <v>0</v>
      </c>
      <c r="AX38" s="232">
        <f t="shared" si="15"/>
        <v>0</v>
      </c>
      <c r="AY38" s="232">
        <f t="shared" si="15"/>
        <v>0</v>
      </c>
      <c r="AZ38" s="232">
        <f t="shared" si="15"/>
        <v>0</v>
      </c>
      <c r="BA38" s="232">
        <f t="shared" si="15"/>
        <v>0</v>
      </c>
      <c r="BB38" s="232">
        <f t="shared" si="15"/>
        <v>0</v>
      </c>
      <c r="BC38" s="232">
        <f t="shared" si="16"/>
        <v>0</v>
      </c>
      <c r="BD38" s="232">
        <f t="shared" si="16"/>
        <v>0</v>
      </c>
      <c r="BE38" s="232">
        <f t="shared" si="16"/>
        <v>0</v>
      </c>
      <c r="BF38" s="232">
        <f t="shared" si="16"/>
        <v>0</v>
      </c>
      <c r="BG38" s="232">
        <f t="shared" si="16"/>
        <v>0</v>
      </c>
      <c r="BH38" s="232">
        <f t="shared" si="16"/>
        <v>0</v>
      </c>
      <c r="BI38" s="232">
        <f t="shared" si="16"/>
        <v>0</v>
      </c>
      <c r="BJ38" s="232">
        <f t="shared" si="16"/>
        <v>0</v>
      </c>
      <c r="BK38" s="232">
        <f t="shared" si="16"/>
        <v>0</v>
      </c>
      <c r="BL38" s="232">
        <f t="shared" si="16"/>
        <v>0</v>
      </c>
      <c r="BM38" s="232">
        <f t="shared" si="17"/>
        <v>0</v>
      </c>
      <c r="BN38" s="232">
        <f t="shared" si="17"/>
        <v>0</v>
      </c>
      <c r="BO38" s="232">
        <f t="shared" si="17"/>
        <v>0</v>
      </c>
      <c r="BP38" s="232">
        <f t="shared" si="17"/>
        <v>0</v>
      </c>
      <c r="BQ38" s="232">
        <f t="shared" si="17"/>
        <v>0</v>
      </c>
      <c r="BR38" s="232">
        <f t="shared" si="17"/>
        <v>0</v>
      </c>
      <c r="BS38" s="232">
        <f t="shared" si="17"/>
        <v>0</v>
      </c>
      <c r="BT38" s="232">
        <f t="shared" si="17"/>
        <v>0</v>
      </c>
      <c r="BU38" s="232">
        <f t="shared" si="17"/>
        <v>0</v>
      </c>
      <c r="BV38" s="232">
        <f t="shared" si="17"/>
        <v>0</v>
      </c>
      <c r="BW38" s="232">
        <f t="shared" si="18"/>
        <v>0</v>
      </c>
      <c r="BX38" s="232">
        <f t="shared" si="18"/>
        <v>0</v>
      </c>
      <c r="BY38" s="232">
        <f t="shared" si="18"/>
        <v>0</v>
      </c>
      <c r="BZ38" s="232">
        <f t="shared" si="18"/>
        <v>0</v>
      </c>
      <c r="CA38" s="232">
        <f t="shared" si="18"/>
        <v>0</v>
      </c>
      <c r="CB38" s="232">
        <f t="shared" si="18"/>
        <v>0</v>
      </c>
      <c r="CC38" s="232">
        <f t="shared" si="18"/>
        <v>0</v>
      </c>
      <c r="CD38" s="232">
        <f t="shared" si="18"/>
        <v>0</v>
      </c>
      <c r="CE38" s="232">
        <f t="shared" si="18"/>
        <v>0</v>
      </c>
      <c r="CF38" s="232">
        <f t="shared" si="18"/>
        <v>0</v>
      </c>
      <c r="CG38" s="232">
        <f t="shared" si="19"/>
        <v>0</v>
      </c>
      <c r="CH38" s="232">
        <f t="shared" si="19"/>
        <v>0</v>
      </c>
      <c r="CI38" s="232">
        <f t="shared" si="19"/>
        <v>0</v>
      </c>
      <c r="CJ38" s="232">
        <f t="shared" si="19"/>
        <v>0</v>
      </c>
      <c r="CK38" s="232">
        <f t="shared" si="19"/>
        <v>0</v>
      </c>
      <c r="CL38" s="232">
        <f t="shared" si="19"/>
        <v>0</v>
      </c>
      <c r="CM38" s="232">
        <f t="shared" si="19"/>
        <v>0</v>
      </c>
      <c r="CN38" s="232">
        <f t="shared" si="19"/>
        <v>0</v>
      </c>
      <c r="CO38" s="232">
        <f t="shared" si="19"/>
        <v>0</v>
      </c>
      <c r="CP38" s="232">
        <f t="shared" si="19"/>
        <v>0</v>
      </c>
      <c r="CQ38" s="233">
        <f t="shared" si="19"/>
        <v>0</v>
      </c>
    </row>
    <row r="39" spans="1:95" s="380" customFormat="1" ht="11.25" customHeight="1" x14ac:dyDescent="0.2">
      <c r="A39" s="1560"/>
      <c r="B39" s="1561"/>
      <c r="C39" s="2160"/>
      <c r="D39" s="2160"/>
      <c r="E39" s="2160"/>
      <c r="F39" s="731" t="s">
        <v>206</v>
      </c>
      <c r="G39" s="731"/>
      <c r="H39" s="730"/>
      <c r="I39" s="2181"/>
      <c r="J39" s="1767"/>
      <c r="K39" s="1766"/>
      <c r="L39" s="1767"/>
      <c r="M39" s="1766"/>
      <c r="N39" s="1767"/>
      <c r="O39" s="1766"/>
      <c r="P39" s="1767"/>
      <c r="Q39" s="1766"/>
      <c r="R39" s="1767"/>
      <c r="S39" s="1770">
        <f>IF(ISBLANK(L39),K39,L39)+IF(ISBLANK(N39),M39,N39)+IF(ISBLANK(P39),O39,P39)+Q37</f>
        <v>0</v>
      </c>
      <c r="T39" s="1771"/>
      <c r="U39" s="1766"/>
      <c r="V39" s="1772"/>
      <c r="W39" s="1774"/>
      <c r="X39" s="1775"/>
      <c r="Y39" s="1986"/>
      <c r="Z39" s="1775"/>
      <c r="AA39" s="1930"/>
      <c r="AB39" s="1931"/>
      <c r="AC39" s="1938"/>
      <c r="AD39" s="1939"/>
      <c r="AE39" s="1880"/>
      <c r="AF39" s="1965"/>
      <c r="AG39" s="375"/>
      <c r="AH39" s="926">
        <f>IF(ISBLANK(V37),U37,V37)</f>
        <v>0</v>
      </c>
      <c r="AI39" s="1943"/>
      <c r="AJ39" s="1924"/>
      <c r="AK39" s="1882"/>
      <c r="AL39" s="1882"/>
      <c r="AM39" s="1922"/>
      <c r="AN39" s="153"/>
      <c r="AO39" s="154"/>
      <c r="AP39" s="154"/>
      <c r="AQ39" s="154"/>
      <c r="AR39" s="118"/>
      <c r="AS39" s="231">
        <f t="shared" si="15"/>
        <v>0</v>
      </c>
      <c r="AT39" s="232">
        <f t="shared" si="15"/>
        <v>0</v>
      </c>
      <c r="AU39" s="232">
        <f t="shared" si="15"/>
        <v>0</v>
      </c>
      <c r="AV39" s="232">
        <f t="shared" si="15"/>
        <v>0</v>
      </c>
      <c r="AW39" s="232">
        <f t="shared" si="15"/>
        <v>0</v>
      </c>
      <c r="AX39" s="232">
        <f t="shared" si="15"/>
        <v>0</v>
      </c>
      <c r="AY39" s="232">
        <f t="shared" si="15"/>
        <v>0</v>
      </c>
      <c r="AZ39" s="232">
        <f t="shared" si="15"/>
        <v>0</v>
      </c>
      <c r="BA39" s="232">
        <f t="shared" si="15"/>
        <v>0</v>
      </c>
      <c r="BB39" s="232">
        <f t="shared" si="15"/>
        <v>0</v>
      </c>
      <c r="BC39" s="232">
        <f t="shared" si="16"/>
        <v>0</v>
      </c>
      <c r="BD39" s="232">
        <f t="shared" si="16"/>
        <v>0</v>
      </c>
      <c r="BE39" s="232">
        <f t="shared" si="16"/>
        <v>0</v>
      </c>
      <c r="BF39" s="232">
        <f t="shared" si="16"/>
        <v>0</v>
      </c>
      <c r="BG39" s="232">
        <f t="shared" si="16"/>
        <v>0</v>
      </c>
      <c r="BH39" s="232">
        <f t="shared" si="16"/>
        <v>0</v>
      </c>
      <c r="BI39" s="232">
        <f t="shared" si="16"/>
        <v>0</v>
      </c>
      <c r="BJ39" s="232">
        <f t="shared" si="16"/>
        <v>0</v>
      </c>
      <c r="BK39" s="232">
        <f t="shared" si="16"/>
        <v>0</v>
      </c>
      <c r="BL39" s="232">
        <f t="shared" si="16"/>
        <v>0</v>
      </c>
      <c r="BM39" s="232">
        <f t="shared" si="17"/>
        <v>0</v>
      </c>
      <c r="BN39" s="232">
        <f t="shared" si="17"/>
        <v>0</v>
      </c>
      <c r="BO39" s="232">
        <f t="shared" si="17"/>
        <v>0</v>
      </c>
      <c r="BP39" s="232">
        <f t="shared" si="17"/>
        <v>0</v>
      </c>
      <c r="BQ39" s="232">
        <f t="shared" si="17"/>
        <v>0</v>
      </c>
      <c r="BR39" s="232">
        <f t="shared" si="17"/>
        <v>0</v>
      </c>
      <c r="BS39" s="232">
        <f t="shared" si="17"/>
        <v>0</v>
      </c>
      <c r="BT39" s="232">
        <f t="shared" si="17"/>
        <v>0</v>
      </c>
      <c r="BU39" s="232">
        <f t="shared" si="17"/>
        <v>0</v>
      </c>
      <c r="BV39" s="232">
        <f t="shared" si="17"/>
        <v>0</v>
      </c>
      <c r="BW39" s="232">
        <f t="shared" si="18"/>
        <v>0</v>
      </c>
      <c r="BX39" s="232">
        <f t="shared" si="18"/>
        <v>0</v>
      </c>
      <c r="BY39" s="232">
        <f t="shared" si="18"/>
        <v>0</v>
      </c>
      <c r="BZ39" s="232">
        <f t="shared" si="18"/>
        <v>0</v>
      </c>
      <c r="CA39" s="232">
        <f t="shared" si="18"/>
        <v>0</v>
      </c>
      <c r="CB39" s="232">
        <f t="shared" si="18"/>
        <v>0</v>
      </c>
      <c r="CC39" s="232">
        <f t="shared" si="18"/>
        <v>0</v>
      </c>
      <c r="CD39" s="232">
        <f t="shared" si="18"/>
        <v>0</v>
      </c>
      <c r="CE39" s="232">
        <f t="shared" si="18"/>
        <v>0</v>
      </c>
      <c r="CF39" s="232">
        <f t="shared" si="18"/>
        <v>0</v>
      </c>
      <c r="CG39" s="232">
        <f t="shared" si="19"/>
        <v>0</v>
      </c>
      <c r="CH39" s="232">
        <f t="shared" si="19"/>
        <v>0</v>
      </c>
      <c r="CI39" s="232">
        <f t="shared" si="19"/>
        <v>0</v>
      </c>
      <c r="CJ39" s="232">
        <f t="shared" si="19"/>
        <v>0</v>
      </c>
      <c r="CK39" s="232">
        <f t="shared" si="19"/>
        <v>0</v>
      </c>
      <c r="CL39" s="232">
        <f t="shared" si="19"/>
        <v>0</v>
      </c>
      <c r="CM39" s="232">
        <f t="shared" si="19"/>
        <v>0</v>
      </c>
      <c r="CN39" s="232">
        <f t="shared" si="19"/>
        <v>0</v>
      </c>
      <c r="CO39" s="232">
        <f t="shared" si="19"/>
        <v>0</v>
      </c>
      <c r="CP39" s="232">
        <f t="shared" si="19"/>
        <v>0</v>
      </c>
      <c r="CQ39" s="233">
        <f t="shared" si="19"/>
        <v>0</v>
      </c>
    </row>
    <row r="40" spans="1:95" s="380" customFormat="1" ht="11.25" customHeight="1" x14ac:dyDescent="0.2">
      <c r="A40" s="1560"/>
      <c r="B40" s="1561"/>
      <c r="C40" s="2161"/>
      <c r="D40" s="2161"/>
      <c r="E40" s="2161"/>
      <c r="F40" s="781" t="s">
        <v>207</v>
      </c>
      <c r="G40" s="781"/>
      <c r="H40" s="849"/>
      <c r="I40" s="2182"/>
      <c r="J40" s="1769"/>
      <c r="K40" s="1768"/>
      <c r="L40" s="1769"/>
      <c r="M40" s="1768"/>
      <c r="N40" s="1769"/>
      <c r="O40" s="1768"/>
      <c r="P40" s="1769"/>
      <c r="Q40" s="1768"/>
      <c r="R40" s="1769"/>
      <c r="S40" s="1822">
        <f>IF(ISBLANK(L40),K40,L40)+IF(ISBLANK(N40),M40,N40)+IF(ISBLANK(P40),O40,P40)+Q37</f>
        <v>0</v>
      </c>
      <c r="T40" s="1823"/>
      <c r="U40" s="1768"/>
      <c r="V40" s="1773"/>
      <c r="W40" s="1776"/>
      <c r="X40" s="1777"/>
      <c r="Y40" s="1987"/>
      <c r="Z40" s="1777"/>
      <c r="AA40" s="1932"/>
      <c r="AB40" s="1933"/>
      <c r="AC40" s="1940"/>
      <c r="AD40" s="1941"/>
      <c r="AE40" s="1880"/>
      <c r="AF40" s="1965"/>
      <c r="AG40" s="375"/>
      <c r="AH40" s="1559">
        <f>IF(ISBLANK(V37),U37,V37)</f>
        <v>0</v>
      </c>
      <c r="AI40" s="1943"/>
      <c r="AJ40" s="1924"/>
      <c r="AK40" s="1882"/>
      <c r="AL40" s="1882"/>
      <c r="AM40" s="1922"/>
      <c r="AN40" s="153"/>
      <c r="AO40" s="154"/>
      <c r="AP40" s="154"/>
      <c r="AQ40" s="154"/>
      <c r="AR40" s="118"/>
      <c r="AS40" s="234">
        <f t="shared" si="15"/>
        <v>0</v>
      </c>
      <c r="AT40" s="235">
        <f t="shared" si="15"/>
        <v>0</v>
      </c>
      <c r="AU40" s="235">
        <f t="shared" si="15"/>
        <v>0</v>
      </c>
      <c r="AV40" s="235">
        <f t="shared" si="15"/>
        <v>0</v>
      </c>
      <c r="AW40" s="235">
        <f t="shared" si="15"/>
        <v>0</v>
      </c>
      <c r="AX40" s="235">
        <f t="shared" si="15"/>
        <v>0</v>
      </c>
      <c r="AY40" s="235">
        <f t="shared" si="15"/>
        <v>0</v>
      </c>
      <c r="AZ40" s="235">
        <f t="shared" si="15"/>
        <v>0</v>
      </c>
      <c r="BA40" s="235">
        <f t="shared" si="15"/>
        <v>0</v>
      </c>
      <c r="BB40" s="235">
        <f t="shared" si="15"/>
        <v>0</v>
      </c>
      <c r="BC40" s="235">
        <f t="shared" si="16"/>
        <v>0</v>
      </c>
      <c r="BD40" s="235">
        <f t="shared" si="16"/>
        <v>0</v>
      </c>
      <c r="BE40" s="235">
        <f t="shared" si="16"/>
        <v>0</v>
      </c>
      <c r="BF40" s="235">
        <f t="shared" si="16"/>
        <v>0</v>
      </c>
      <c r="BG40" s="235">
        <f t="shared" si="16"/>
        <v>0</v>
      </c>
      <c r="BH40" s="235">
        <f t="shared" si="16"/>
        <v>0</v>
      </c>
      <c r="BI40" s="235">
        <f t="shared" si="16"/>
        <v>0</v>
      </c>
      <c r="BJ40" s="235">
        <f t="shared" si="16"/>
        <v>0</v>
      </c>
      <c r="BK40" s="235">
        <f t="shared" si="16"/>
        <v>0</v>
      </c>
      <c r="BL40" s="235">
        <f t="shared" si="16"/>
        <v>0</v>
      </c>
      <c r="BM40" s="235">
        <f t="shared" si="17"/>
        <v>0</v>
      </c>
      <c r="BN40" s="235">
        <f t="shared" si="17"/>
        <v>0</v>
      </c>
      <c r="BO40" s="235">
        <f t="shared" si="17"/>
        <v>0</v>
      </c>
      <c r="BP40" s="235">
        <f t="shared" si="17"/>
        <v>0</v>
      </c>
      <c r="BQ40" s="235">
        <f t="shared" si="17"/>
        <v>0</v>
      </c>
      <c r="BR40" s="235">
        <f t="shared" si="17"/>
        <v>0</v>
      </c>
      <c r="BS40" s="235">
        <f t="shared" si="17"/>
        <v>0</v>
      </c>
      <c r="BT40" s="235">
        <f t="shared" si="17"/>
        <v>0</v>
      </c>
      <c r="BU40" s="235">
        <f t="shared" si="17"/>
        <v>0</v>
      </c>
      <c r="BV40" s="235">
        <f t="shared" si="17"/>
        <v>0</v>
      </c>
      <c r="BW40" s="235">
        <f t="shared" si="18"/>
        <v>0</v>
      </c>
      <c r="BX40" s="235">
        <f t="shared" si="18"/>
        <v>0</v>
      </c>
      <c r="BY40" s="235">
        <f t="shared" si="18"/>
        <v>0</v>
      </c>
      <c r="BZ40" s="235">
        <f t="shared" si="18"/>
        <v>0</v>
      </c>
      <c r="CA40" s="235">
        <f t="shared" si="18"/>
        <v>0</v>
      </c>
      <c r="CB40" s="235">
        <f t="shared" si="18"/>
        <v>0</v>
      </c>
      <c r="CC40" s="235">
        <f t="shared" si="18"/>
        <v>0</v>
      </c>
      <c r="CD40" s="235">
        <f t="shared" si="18"/>
        <v>0</v>
      </c>
      <c r="CE40" s="235">
        <f t="shared" si="18"/>
        <v>0</v>
      </c>
      <c r="CF40" s="235">
        <f t="shared" si="18"/>
        <v>0</v>
      </c>
      <c r="CG40" s="235">
        <f t="shared" si="19"/>
        <v>0</v>
      </c>
      <c r="CH40" s="235">
        <f t="shared" si="19"/>
        <v>0</v>
      </c>
      <c r="CI40" s="235">
        <f t="shared" si="19"/>
        <v>0</v>
      </c>
      <c r="CJ40" s="235">
        <f t="shared" si="19"/>
        <v>0</v>
      </c>
      <c r="CK40" s="235">
        <f t="shared" si="19"/>
        <v>0</v>
      </c>
      <c r="CL40" s="235">
        <f t="shared" si="19"/>
        <v>0</v>
      </c>
      <c r="CM40" s="235">
        <f t="shared" si="19"/>
        <v>0</v>
      </c>
      <c r="CN40" s="235">
        <f t="shared" si="19"/>
        <v>0</v>
      </c>
      <c r="CO40" s="235">
        <f t="shared" si="19"/>
        <v>0</v>
      </c>
      <c r="CP40" s="235">
        <f t="shared" si="19"/>
        <v>0</v>
      </c>
      <c r="CQ40" s="236">
        <f t="shared" si="19"/>
        <v>0</v>
      </c>
    </row>
    <row r="41" spans="1:95" s="117" customFormat="1" ht="11.25" customHeight="1" x14ac:dyDescent="0.2">
      <c r="A41" s="760"/>
      <c r="B41" s="733"/>
      <c r="C41" s="2180" t="s">
        <v>539</v>
      </c>
      <c r="D41" s="2180"/>
      <c r="E41" s="2180"/>
      <c r="F41" s="731" t="s">
        <v>204</v>
      </c>
      <c r="G41" s="731"/>
      <c r="H41" s="755"/>
      <c r="I41" s="2185"/>
      <c r="J41" s="1789"/>
      <c r="K41" s="768">
        <f>K43+5.41</f>
        <v>14.5985</v>
      </c>
      <c r="L41" s="769"/>
      <c r="M41" s="698"/>
      <c r="N41" s="773"/>
      <c r="O41" s="768"/>
      <c r="P41" s="769"/>
      <c r="Q41" s="1844"/>
      <c r="R41" s="1844"/>
      <c r="S41" s="1770">
        <f>IF(ISBLANK(L41),K41,L41)+IF(ISBLANK(N41),M41,N41)+IF(ISBLANK(P41),O41,P41)+Q41</f>
        <v>14.5985</v>
      </c>
      <c r="T41" s="1771"/>
      <c r="U41" s="1880">
        <v>0</v>
      </c>
      <c r="V41" s="1772"/>
      <c r="W41" s="1836"/>
      <c r="X41" s="1837"/>
      <c r="Y41" s="1832"/>
      <c r="Z41" s="1833"/>
      <c r="AA41" s="1950"/>
      <c r="AB41" s="1951"/>
      <c r="AC41" s="1960"/>
      <c r="AD41" s="1961"/>
      <c r="AE41" s="1880"/>
      <c r="AF41" s="1965"/>
      <c r="AG41" s="375"/>
      <c r="AH41" s="926">
        <f t="shared" si="1"/>
        <v>0</v>
      </c>
      <c r="AI41" s="1942">
        <f t="shared" si="2"/>
        <v>0</v>
      </c>
      <c r="AJ41" s="1923">
        <f>S41</f>
        <v>14.5985</v>
      </c>
      <c r="AK41" s="1881">
        <f>S42</f>
        <v>10.22045</v>
      </c>
      <c r="AL41" s="1881">
        <f>S41</f>
        <v>14.5985</v>
      </c>
      <c r="AM41" s="1921">
        <f>S42</f>
        <v>10.22045</v>
      </c>
      <c r="AN41" s="153"/>
      <c r="AO41" s="153"/>
      <c r="AP41" s="153"/>
      <c r="AQ41" s="153"/>
      <c r="AR41" s="180"/>
      <c r="AS41" s="237">
        <f t="shared" ca="1" si="15"/>
        <v>1</v>
      </c>
      <c r="AT41" s="238">
        <f t="shared" ca="1" si="15"/>
        <v>1</v>
      </c>
      <c r="AU41" s="238">
        <f t="shared" ca="1" si="15"/>
        <v>1</v>
      </c>
      <c r="AV41" s="238">
        <f t="shared" ca="1" si="15"/>
        <v>1</v>
      </c>
      <c r="AW41" s="238">
        <f t="shared" ca="1" si="15"/>
        <v>1</v>
      </c>
      <c r="AX41" s="238">
        <f t="shared" ca="1" si="15"/>
        <v>1</v>
      </c>
      <c r="AY41" s="238">
        <f t="shared" ca="1" si="15"/>
        <v>1</v>
      </c>
      <c r="AZ41" s="238">
        <f t="shared" ca="1" si="15"/>
        <v>1</v>
      </c>
      <c r="BA41" s="238">
        <f t="shared" ca="1" si="15"/>
        <v>1</v>
      </c>
      <c r="BB41" s="238">
        <f t="shared" ca="1" si="15"/>
        <v>1</v>
      </c>
      <c r="BC41" s="238">
        <f t="shared" ca="1" si="16"/>
        <v>1</v>
      </c>
      <c r="BD41" s="238">
        <f t="shared" ca="1" si="16"/>
        <v>1</v>
      </c>
      <c r="BE41" s="238">
        <f t="shared" ca="1" si="16"/>
        <v>1</v>
      </c>
      <c r="BF41" s="238">
        <f t="shared" ca="1" si="16"/>
        <v>1</v>
      </c>
      <c r="BG41" s="238">
        <f t="shared" ca="1" si="16"/>
        <v>1</v>
      </c>
      <c r="BH41" s="238">
        <f t="shared" ca="1" si="16"/>
        <v>1</v>
      </c>
      <c r="BI41" s="238">
        <f t="shared" ca="1" si="16"/>
        <v>1</v>
      </c>
      <c r="BJ41" s="238">
        <f t="shared" ca="1" si="16"/>
        <v>1</v>
      </c>
      <c r="BK41" s="238">
        <f t="shared" ca="1" si="16"/>
        <v>1</v>
      </c>
      <c r="BL41" s="238">
        <f t="shared" ca="1" si="16"/>
        <v>1</v>
      </c>
      <c r="BM41" s="238">
        <f t="shared" ca="1" si="17"/>
        <v>1</v>
      </c>
      <c r="BN41" s="238">
        <f t="shared" ca="1" si="17"/>
        <v>1</v>
      </c>
      <c r="BO41" s="238">
        <f t="shared" ca="1" si="17"/>
        <v>1</v>
      </c>
      <c r="BP41" s="238">
        <f t="shared" ca="1" si="17"/>
        <v>1</v>
      </c>
      <c r="BQ41" s="238">
        <f t="shared" ca="1" si="17"/>
        <v>1</v>
      </c>
      <c r="BR41" s="238">
        <f t="shared" ca="1" si="17"/>
        <v>1</v>
      </c>
      <c r="BS41" s="238">
        <f t="shared" ca="1" si="17"/>
        <v>1</v>
      </c>
      <c r="BT41" s="238">
        <f t="shared" ca="1" si="17"/>
        <v>1</v>
      </c>
      <c r="BU41" s="238">
        <f t="shared" ca="1" si="17"/>
        <v>1</v>
      </c>
      <c r="BV41" s="238">
        <f t="shared" ca="1" si="17"/>
        <v>1</v>
      </c>
      <c r="BW41" s="238">
        <f t="shared" ca="1" si="18"/>
        <v>1</v>
      </c>
      <c r="BX41" s="238">
        <f t="shared" ca="1" si="18"/>
        <v>1</v>
      </c>
      <c r="BY41" s="238">
        <f t="shared" ca="1" si="18"/>
        <v>1</v>
      </c>
      <c r="BZ41" s="238">
        <f t="shared" ca="1" si="18"/>
        <v>1</v>
      </c>
      <c r="CA41" s="238">
        <f t="shared" ca="1" si="18"/>
        <v>1</v>
      </c>
      <c r="CB41" s="238">
        <f t="shared" ca="1" si="18"/>
        <v>1</v>
      </c>
      <c r="CC41" s="238">
        <f t="shared" ca="1" si="18"/>
        <v>1</v>
      </c>
      <c r="CD41" s="238">
        <f t="shared" ca="1" si="18"/>
        <v>1</v>
      </c>
      <c r="CE41" s="238">
        <f t="shared" ca="1" si="18"/>
        <v>1</v>
      </c>
      <c r="CF41" s="238">
        <f t="shared" ca="1" si="18"/>
        <v>1</v>
      </c>
      <c r="CG41" s="238">
        <f t="shared" ca="1" si="19"/>
        <v>1</v>
      </c>
      <c r="CH41" s="238">
        <f t="shared" ca="1" si="19"/>
        <v>1</v>
      </c>
      <c r="CI41" s="238">
        <f t="shared" ca="1" si="19"/>
        <v>1</v>
      </c>
      <c r="CJ41" s="238">
        <f t="shared" ca="1" si="19"/>
        <v>1</v>
      </c>
      <c r="CK41" s="238">
        <f t="shared" ca="1" si="19"/>
        <v>1</v>
      </c>
      <c r="CL41" s="238">
        <f t="shared" ca="1" si="19"/>
        <v>1</v>
      </c>
      <c r="CM41" s="238">
        <f t="shared" ca="1" si="19"/>
        <v>1</v>
      </c>
      <c r="CN41" s="238">
        <f t="shared" ca="1" si="19"/>
        <v>1</v>
      </c>
      <c r="CO41" s="238">
        <f t="shared" ca="1" si="19"/>
        <v>1</v>
      </c>
      <c r="CP41" s="238">
        <f t="shared" ca="1" si="19"/>
        <v>1</v>
      </c>
      <c r="CQ41" s="239">
        <f t="shared" ca="1" si="19"/>
        <v>1</v>
      </c>
    </row>
    <row r="42" spans="1:95" s="117" customFormat="1" ht="11.25" customHeight="1" x14ac:dyDescent="0.2">
      <c r="A42" s="760"/>
      <c r="B42" s="733"/>
      <c r="C42" s="2180"/>
      <c r="D42" s="2180"/>
      <c r="E42" s="2180"/>
      <c r="F42" s="731" t="s">
        <v>205</v>
      </c>
      <c r="G42" s="731"/>
      <c r="H42" s="755"/>
      <c r="I42" s="2185"/>
      <c r="J42" s="1789"/>
      <c r="K42" s="768">
        <f>K44+5.41</f>
        <v>10.22045</v>
      </c>
      <c r="L42" s="769"/>
      <c r="M42" s="698"/>
      <c r="N42" s="773"/>
      <c r="O42" s="768"/>
      <c r="P42" s="769"/>
      <c r="Q42" s="1844"/>
      <c r="R42" s="1844"/>
      <c r="S42" s="1770">
        <f>IF(ISBLANK(L42),K42,L42)+IF(ISBLANK(N42),M42,N42)+IF(ISBLANK(P42),O42,P42)+Q41</f>
        <v>10.22045</v>
      </c>
      <c r="T42" s="1771"/>
      <c r="U42" s="1880"/>
      <c r="V42" s="1772"/>
      <c r="W42" s="1838"/>
      <c r="X42" s="1839"/>
      <c r="Y42" s="1834"/>
      <c r="Z42" s="1835"/>
      <c r="AA42" s="1952"/>
      <c r="AB42" s="1953"/>
      <c r="AC42" s="1962"/>
      <c r="AD42" s="1963"/>
      <c r="AE42" s="1880"/>
      <c r="AF42" s="1965"/>
      <c r="AG42" s="375"/>
      <c r="AH42" s="928">
        <f>IF(ISBLANK(V41),U41,V41)</f>
        <v>0</v>
      </c>
      <c r="AI42" s="1943"/>
      <c r="AJ42" s="1949"/>
      <c r="AK42" s="1883"/>
      <c r="AL42" s="1883"/>
      <c r="AM42" s="1925"/>
      <c r="AN42" s="153"/>
      <c r="AO42" s="153"/>
      <c r="AP42" s="153"/>
      <c r="AQ42" s="153"/>
      <c r="AR42" s="180"/>
      <c r="AS42" s="234">
        <f t="shared" ca="1" si="15"/>
        <v>1</v>
      </c>
      <c r="AT42" s="235">
        <f t="shared" ca="1" si="15"/>
        <v>1</v>
      </c>
      <c r="AU42" s="235">
        <f t="shared" ca="1" si="15"/>
        <v>1</v>
      </c>
      <c r="AV42" s="235">
        <f t="shared" ca="1" si="15"/>
        <v>1</v>
      </c>
      <c r="AW42" s="235">
        <f t="shared" ca="1" si="15"/>
        <v>1</v>
      </c>
      <c r="AX42" s="235">
        <f t="shared" ca="1" si="15"/>
        <v>1</v>
      </c>
      <c r="AY42" s="235">
        <f t="shared" ca="1" si="15"/>
        <v>1</v>
      </c>
      <c r="AZ42" s="235">
        <f t="shared" ca="1" si="15"/>
        <v>1</v>
      </c>
      <c r="BA42" s="235">
        <f t="shared" ca="1" si="15"/>
        <v>1</v>
      </c>
      <c r="BB42" s="235">
        <f t="shared" ca="1" si="15"/>
        <v>1</v>
      </c>
      <c r="BC42" s="235">
        <f t="shared" ca="1" si="16"/>
        <v>1</v>
      </c>
      <c r="BD42" s="235">
        <f t="shared" ca="1" si="16"/>
        <v>1</v>
      </c>
      <c r="BE42" s="235">
        <f t="shared" ca="1" si="16"/>
        <v>1</v>
      </c>
      <c r="BF42" s="235">
        <f t="shared" ca="1" si="16"/>
        <v>1</v>
      </c>
      <c r="BG42" s="235">
        <f t="shared" ca="1" si="16"/>
        <v>1</v>
      </c>
      <c r="BH42" s="235">
        <f t="shared" ca="1" si="16"/>
        <v>1</v>
      </c>
      <c r="BI42" s="235">
        <f t="shared" ca="1" si="16"/>
        <v>1</v>
      </c>
      <c r="BJ42" s="235">
        <f t="shared" ca="1" si="16"/>
        <v>1</v>
      </c>
      <c r="BK42" s="235">
        <f t="shared" ca="1" si="16"/>
        <v>1</v>
      </c>
      <c r="BL42" s="235">
        <f t="shared" ca="1" si="16"/>
        <v>1</v>
      </c>
      <c r="BM42" s="235">
        <f t="shared" ca="1" si="17"/>
        <v>1</v>
      </c>
      <c r="BN42" s="235">
        <f t="shared" ca="1" si="17"/>
        <v>1</v>
      </c>
      <c r="BO42" s="235">
        <f t="shared" ca="1" si="17"/>
        <v>1</v>
      </c>
      <c r="BP42" s="235">
        <f t="shared" ca="1" si="17"/>
        <v>1</v>
      </c>
      <c r="BQ42" s="235">
        <f t="shared" ca="1" si="17"/>
        <v>1</v>
      </c>
      <c r="BR42" s="235">
        <f t="shared" ca="1" si="17"/>
        <v>1</v>
      </c>
      <c r="BS42" s="235">
        <f t="shared" ca="1" si="17"/>
        <v>1</v>
      </c>
      <c r="BT42" s="235">
        <f t="shared" ca="1" si="17"/>
        <v>1</v>
      </c>
      <c r="BU42" s="235">
        <f t="shared" ca="1" si="17"/>
        <v>1</v>
      </c>
      <c r="BV42" s="235">
        <f t="shared" ca="1" si="17"/>
        <v>1</v>
      </c>
      <c r="BW42" s="235">
        <f t="shared" ca="1" si="18"/>
        <v>1</v>
      </c>
      <c r="BX42" s="235">
        <f t="shared" ca="1" si="18"/>
        <v>1</v>
      </c>
      <c r="BY42" s="235">
        <f t="shared" ca="1" si="18"/>
        <v>1</v>
      </c>
      <c r="BZ42" s="235">
        <f t="shared" ca="1" si="18"/>
        <v>1</v>
      </c>
      <c r="CA42" s="235">
        <f t="shared" ca="1" si="18"/>
        <v>1</v>
      </c>
      <c r="CB42" s="235">
        <f t="shared" ca="1" si="18"/>
        <v>1</v>
      </c>
      <c r="CC42" s="235">
        <f t="shared" ca="1" si="18"/>
        <v>1</v>
      </c>
      <c r="CD42" s="235">
        <f t="shared" ca="1" si="18"/>
        <v>1</v>
      </c>
      <c r="CE42" s="235">
        <f t="shared" ca="1" si="18"/>
        <v>1</v>
      </c>
      <c r="CF42" s="235">
        <f t="shared" ca="1" si="18"/>
        <v>1</v>
      </c>
      <c r="CG42" s="235">
        <f t="shared" ca="1" si="19"/>
        <v>1</v>
      </c>
      <c r="CH42" s="235">
        <f t="shared" ca="1" si="19"/>
        <v>1</v>
      </c>
      <c r="CI42" s="235">
        <f t="shared" ca="1" si="19"/>
        <v>1</v>
      </c>
      <c r="CJ42" s="235">
        <f t="shared" ca="1" si="19"/>
        <v>1</v>
      </c>
      <c r="CK42" s="235">
        <f t="shared" ca="1" si="19"/>
        <v>1</v>
      </c>
      <c r="CL42" s="235">
        <f t="shared" ca="1" si="19"/>
        <v>1</v>
      </c>
      <c r="CM42" s="235">
        <f t="shared" ca="1" si="19"/>
        <v>1</v>
      </c>
      <c r="CN42" s="235">
        <f t="shared" ca="1" si="19"/>
        <v>1</v>
      </c>
      <c r="CO42" s="235">
        <f t="shared" ca="1" si="19"/>
        <v>1</v>
      </c>
      <c r="CP42" s="235">
        <f t="shared" ca="1" si="19"/>
        <v>1</v>
      </c>
      <c r="CQ42" s="236">
        <f t="shared" ca="1" si="19"/>
        <v>1</v>
      </c>
    </row>
    <row r="43" spans="1:95" s="173" customFormat="1" ht="11.25" customHeight="1" x14ac:dyDescent="0.2">
      <c r="A43" s="760"/>
      <c r="B43" s="733"/>
      <c r="C43" s="2141" t="s">
        <v>538</v>
      </c>
      <c r="D43" s="2141"/>
      <c r="E43" s="2141"/>
      <c r="F43" s="775" t="s">
        <v>204</v>
      </c>
      <c r="G43" s="775"/>
      <c r="H43" s="776"/>
      <c r="I43" s="2033"/>
      <c r="J43" s="2030"/>
      <c r="K43" s="777">
        <f>8.5*1.081</f>
        <v>9.1884999999999994</v>
      </c>
      <c r="L43" s="778"/>
      <c r="M43" s="779"/>
      <c r="N43" s="780"/>
      <c r="O43" s="777"/>
      <c r="P43" s="778"/>
      <c r="Q43" s="1764"/>
      <c r="R43" s="1764"/>
      <c r="S43" s="1824">
        <f>IF(ISBLANK(L43),K43,L43)+IF(ISBLANK(N43),M43,N43)+IF(ISBLANK(P43),O43,P43)+Q43</f>
        <v>9.1884999999999994</v>
      </c>
      <c r="T43" s="1825"/>
      <c r="U43" s="1845">
        <v>0</v>
      </c>
      <c r="V43" s="1782"/>
      <c r="W43" s="1840"/>
      <c r="X43" s="1841"/>
      <c r="Y43" s="1828"/>
      <c r="Z43" s="1829"/>
      <c r="AA43" s="2037"/>
      <c r="AB43" s="2038"/>
      <c r="AC43" s="1956"/>
      <c r="AD43" s="1957"/>
      <c r="AE43" s="1880"/>
      <c r="AF43" s="1965"/>
      <c r="AG43" s="375"/>
      <c r="AH43" s="926">
        <f t="shared" si="1"/>
        <v>0</v>
      </c>
      <c r="AI43" s="926"/>
      <c r="AJ43" s="1954">
        <f>S43</f>
        <v>9.1884999999999994</v>
      </c>
      <c r="AK43" s="1947">
        <f>S44</f>
        <v>4.8104500000000003</v>
      </c>
      <c r="AL43" s="1947">
        <f>S43</f>
        <v>9.1884999999999994</v>
      </c>
      <c r="AM43" s="1945">
        <f>S44</f>
        <v>4.8104500000000003</v>
      </c>
      <c r="AN43" s="153"/>
      <c r="AO43" s="153"/>
      <c r="AP43" s="153"/>
      <c r="AQ43" s="153"/>
      <c r="AR43" s="180"/>
      <c r="AS43" s="237">
        <f t="shared" ca="1" si="15"/>
        <v>1</v>
      </c>
      <c r="AT43" s="238">
        <f t="shared" ca="1" si="15"/>
        <v>1</v>
      </c>
      <c r="AU43" s="238">
        <f t="shared" ca="1" si="15"/>
        <v>1</v>
      </c>
      <c r="AV43" s="238">
        <f t="shared" ca="1" si="15"/>
        <v>1</v>
      </c>
      <c r="AW43" s="238">
        <f t="shared" ca="1" si="15"/>
        <v>1</v>
      </c>
      <c r="AX43" s="238">
        <f t="shared" ca="1" si="15"/>
        <v>1</v>
      </c>
      <c r="AY43" s="238">
        <f t="shared" ca="1" si="15"/>
        <v>1</v>
      </c>
      <c r="AZ43" s="238">
        <f t="shared" ca="1" si="15"/>
        <v>1</v>
      </c>
      <c r="BA43" s="238">
        <f t="shared" ca="1" si="15"/>
        <v>1</v>
      </c>
      <c r="BB43" s="238">
        <f t="shared" ca="1" si="15"/>
        <v>1</v>
      </c>
      <c r="BC43" s="238">
        <f t="shared" ca="1" si="16"/>
        <v>1</v>
      </c>
      <c r="BD43" s="238">
        <f t="shared" ca="1" si="16"/>
        <v>1</v>
      </c>
      <c r="BE43" s="238">
        <f t="shared" ca="1" si="16"/>
        <v>1</v>
      </c>
      <c r="BF43" s="238">
        <f t="shared" ca="1" si="16"/>
        <v>1</v>
      </c>
      <c r="BG43" s="238">
        <f t="shared" ca="1" si="16"/>
        <v>1</v>
      </c>
      <c r="BH43" s="238">
        <f t="shared" ca="1" si="16"/>
        <v>1</v>
      </c>
      <c r="BI43" s="238">
        <f t="shared" ca="1" si="16"/>
        <v>1</v>
      </c>
      <c r="BJ43" s="238">
        <f t="shared" ca="1" si="16"/>
        <v>1</v>
      </c>
      <c r="BK43" s="238">
        <f t="shared" ca="1" si="16"/>
        <v>1</v>
      </c>
      <c r="BL43" s="238">
        <f t="shared" ca="1" si="16"/>
        <v>1</v>
      </c>
      <c r="BM43" s="238">
        <f t="shared" ca="1" si="17"/>
        <v>1</v>
      </c>
      <c r="BN43" s="238">
        <f t="shared" ca="1" si="17"/>
        <v>1</v>
      </c>
      <c r="BO43" s="238">
        <f t="shared" ca="1" si="17"/>
        <v>1</v>
      </c>
      <c r="BP43" s="238">
        <f t="shared" ca="1" si="17"/>
        <v>1</v>
      </c>
      <c r="BQ43" s="238">
        <f t="shared" ca="1" si="17"/>
        <v>1</v>
      </c>
      <c r="BR43" s="238">
        <f t="shared" ca="1" si="17"/>
        <v>1</v>
      </c>
      <c r="BS43" s="238">
        <f t="shared" ca="1" si="17"/>
        <v>1</v>
      </c>
      <c r="BT43" s="238">
        <f t="shared" ca="1" si="17"/>
        <v>1</v>
      </c>
      <c r="BU43" s="238">
        <f t="shared" ca="1" si="17"/>
        <v>1</v>
      </c>
      <c r="BV43" s="238">
        <f t="shared" ca="1" si="17"/>
        <v>1</v>
      </c>
      <c r="BW43" s="238">
        <f t="shared" ca="1" si="18"/>
        <v>1</v>
      </c>
      <c r="BX43" s="238">
        <f t="shared" ca="1" si="18"/>
        <v>1</v>
      </c>
      <c r="BY43" s="238">
        <f t="shared" ca="1" si="18"/>
        <v>1</v>
      </c>
      <c r="BZ43" s="238">
        <f t="shared" ca="1" si="18"/>
        <v>1</v>
      </c>
      <c r="CA43" s="238">
        <f t="shared" ca="1" si="18"/>
        <v>1</v>
      </c>
      <c r="CB43" s="238">
        <f t="shared" ca="1" si="18"/>
        <v>1</v>
      </c>
      <c r="CC43" s="238">
        <f t="shared" ca="1" si="18"/>
        <v>1</v>
      </c>
      <c r="CD43" s="238">
        <f t="shared" ca="1" si="18"/>
        <v>1</v>
      </c>
      <c r="CE43" s="238">
        <f t="shared" ca="1" si="18"/>
        <v>1</v>
      </c>
      <c r="CF43" s="238">
        <f t="shared" ca="1" si="18"/>
        <v>1</v>
      </c>
      <c r="CG43" s="238">
        <f t="shared" ca="1" si="19"/>
        <v>1</v>
      </c>
      <c r="CH43" s="238">
        <f t="shared" ca="1" si="19"/>
        <v>1</v>
      </c>
      <c r="CI43" s="238">
        <f t="shared" ca="1" si="19"/>
        <v>1</v>
      </c>
      <c r="CJ43" s="238">
        <f t="shared" ca="1" si="19"/>
        <v>1</v>
      </c>
      <c r="CK43" s="238">
        <f t="shared" ca="1" si="19"/>
        <v>1</v>
      </c>
      <c r="CL43" s="238">
        <f t="shared" ca="1" si="19"/>
        <v>1</v>
      </c>
      <c r="CM43" s="238">
        <f t="shared" ca="1" si="19"/>
        <v>1</v>
      </c>
      <c r="CN43" s="238">
        <f t="shared" ca="1" si="19"/>
        <v>1</v>
      </c>
      <c r="CO43" s="238">
        <f t="shared" ca="1" si="19"/>
        <v>1</v>
      </c>
      <c r="CP43" s="238">
        <f t="shared" ca="1" si="19"/>
        <v>1</v>
      </c>
      <c r="CQ43" s="239">
        <f t="shared" ca="1" si="19"/>
        <v>1</v>
      </c>
    </row>
    <row r="44" spans="1:95" s="173" customFormat="1" ht="11.25" customHeight="1" x14ac:dyDescent="0.2">
      <c r="A44" s="761"/>
      <c r="B44" s="762"/>
      <c r="C44" s="2142"/>
      <c r="D44" s="2142"/>
      <c r="E44" s="2142"/>
      <c r="F44" s="756" t="s">
        <v>205</v>
      </c>
      <c r="G44" s="756"/>
      <c r="H44" s="763"/>
      <c r="I44" s="2034"/>
      <c r="J44" s="2031"/>
      <c r="K44" s="770">
        <f>4.45*1.081</f>
        <v>4.8104500000000003</v>
      </c>
      <c r="L44" s="771"/>
      <c r="M44" s="851"/>
      <c r="N44" s="774"/>
      <c r="O44" s="770"/>
      <c r="P44" s="771"/>
      <c r="Q44" s="2032"/>
      <c r="R44" s="2032"/>
      <c r="S44" s="2219">
        <f>IF(ISBLANK(L44),K44,L44)+IF(ISBLANK(N44),M44,N44)+IF(ISBLANK(P44),O44,P44)+Q43</f>
        <v>4.8104500000000003</v>
      </c>
      <c r="T44" s="2220"/>
      <c r="U44" s="1966"/>
      <c r="V44" s="2027"/>
      <c r="W44" s="1842"/>
      <c r="X44" s="1843"/>
      <c r="Y44" s="1830"/>
      <c r="Z44" s="1831"/>
      <c r="AA44" s="2039"/>
      <c r="AB44" s="2040"/>
      <c r="AC44" s="1958"/>
      <c r="AD44" s="1959"/>
      <c r="AE44" s="1966"/>
      <c r="AF44" s="1967"/>
      <c r="AG44" s="375"/>
      <c r="AH44" s="926">
        <f>IF(ISBLANK(V43),U43,V43)</f>
        <v>0</v>
      </c>
      <c r="AI44" s="926"/>
      <c r="AJ44" s="1955"/>
      <c r="AK44" s="1948"/>
      <c r="AL44" s="1948"/>
      <c r="AM44" s="1946"/>
      <c r="AN44" s="153"/>
      <c r="AO44" s="934" t="s">
        <v>475</v>
      </c>
      <c r="AP44" s="935"/>
      <c r="AQ44" s="936">
        <f>MATCH(Projektdaten!$H$20,Grunddaten!C17:C44,0)-1</f>
        <v>10</v>
      </c>
      <c r="AR44" s="180"/>
      <c r="AS44" s="234">
        <f t="shared" ca="1" si="15"/>
        <v>1</v>
      </c>
      <c r="AT44" s="235">
        <f t="shared" ca="1" si="15"/>
        <v>1</v>
      </c>
      <c r="AU44" s="235">
        <f t="shared" ca="1" si="15"/>
        <v>1</v>
      </c>
      <c r="AV44" s="235">
        <f t="shared" ca="1" si="15"/>
        <v>1</v>
      </c>
      <c r="AW44" s="235">
        <f t="shared" ca="1" si="15"/>
        <v>1</v>
      </c>
      <c r="AX44" s="235">
        <f t="shared" ca="1" si="15"/>
        <v>1</v>
      </c>
      <c r="AY44" s="235">
        <f t="shared" ca="1" si="15"/>
        <v>1</v>
      </c>
      <c r="AZ44" s="235">
        <f t="shared" ca="1" si="15"/>
        <v>1</v>
      </c>
      <c r="BA44" s="235">
        <f t="shared" ca="1" si="15"/>
        <v>1</v>
      </c>
      <c r="BB44" s="235">
        <f t="shared" ca="1" si="15"/>
        <v>1</v>
      </c>
      <c r="BC44" s="235">
        <f t="shared" ca="1" si="16"/>
        <v>1</v>
      </c>
      <c r="BD44" s="235">
        <f t="shared" ca="1" si="16"/>
        <v>1</v>
      </c>
      <c r="BE44" s="235">
        <f t="shared" ca="1" si="16"/>
        <v>1</v>
      </c>
      <c r="BF44" s="235">
        <f t="shared" ca="1" si="16"/>
        <v>1</v>
      </c>
      <c r="BG44" s="235">
        <f t="shared" ca="1" si="16"/>
        <v>1</v>
      </c>
      <c r="BH44" s="235">
        <f t="shared" ca="1" si="16"/>
        <v>1</v>
      </c>
      <c r="BI44" s="235">
        <f t="shared" ca="1" si="16"/>
        <v>1</v>
      </c>
      <c r="BJ44" s="235">
        <f t="shared" ca="1" si="16"/>
        <v>1</v>
      </c>
      <c r="BK44" s="235">
        <f t="shared" ca="1" si="16"/>
        <v>1</v>
      </c>
      <c r="BL44" s="235">
        <f t="shared" ca="1" si="16"/>
        <v>1</v>
      </c>
      <c r="BM44" s="235">
        <f t="shared" ca="1" si="17"/>
        <v>1</v>
      </c>
      <c r="BN44" s="235">
        <f t="shared" ca="1" si="17"/>
        <v>1</v>
      </c>
      <c r="BO44" s="235">
        <f t="shared" ca="1" si="17"/>
        <v>1</v>
      </c>
      <c r="BP44" s="235">
        <f t="shared" ca="1" si="17"/>
        <v>1</v>
      </c>
      <c r="BQ44" s="235">
        <f t="shared" ca="1" si="17"/>
        <v>1</v>
      </c>
      <c r="BR44" s="235">
        <f t="shared" ca="1" si="17"/>
        <v>1</v>
      </c>
      <c r="BS44" s="235">
        <f t="shared" ca="1" si="17"/>
        <v>1</v>
      </c>
      <c r="BT44" s="235">
        <f t="shared" ca="1" si="17"/>
        <v>1</v>
      </c>
      <c r="BU44" s="235">
        <f t="shared" ca="1" si="17"/>
        <v>1</v>
      </c>
      <c r="BV44" s="235">
        <f t="shared" ca="1" si="17"/>
        <v>1</v>
      </c>
      <c r="BW44" s="235">
        <f t="shared" ca="1" si="18"/>
        <v>1</v>
      </c>
      <c r="BX44" s="235">
        <f t="shared" ca="1" si="18"/>
        <v>1</v>
      </c>
      <c r="BY44" s="235">
        <f t="shared" ca="1" si="18"/>
        <v>1</v>
      </c>
      <c r="BZ44" s="235">
        <f t="shared" ca="1" si="18"/>
        <v>1</v>
      </c>
      <c r="CA44" s="235">
        <f t="shared" ca="1" si="18"/>
        <v>1</v>
      </c>
      <c r="CB44" s="235">
        <f t="shared" ca="1" si="18"/>
        <v>1</v>
      </c>
      <c r="CC44" s="235">
        <f t="shared" ca="1" si="18"/>
        <v>1</v>
      </c>
      <c r="CD44" s="235">
        <f t="shared" ca="1" si="18"/>
        <v>1</v>
      </c>
      <c r="CE44" s="235">
        <f t="shared" ca="1" si="18"/>
        <v>1</v>
      </c>
      <c r="CF44" s="235">
        <f t="shared" ca="1" si="18"/>
        <v>1</v>
      </c>
      <c r="CG44" s="235">
        <f t="shared" ca="1" si="19"/>
        <v>1</v>
      </c>
      <c r="CH44" s="235">
        <f t="shared" ca="1" si="19"/>
        <v>1</v>
      </c>
      <c r="CI44" s="235">
        <f t="shared" ca="1" si="19"/>
        <v>1</v>
      </c>
      <c r="CJ44" s="235">
        <f t="shared" ca="1" si="19"/>
        <v>1</v>
      </c>
      <c r="CK44" s="235">
        <f t="shared" ca="1" si="19"/>
        <v>1</v>
      </c>
      <c r="CL44" s="235">
        <f t="shared" ca="1" si="19"/>
        <v>1</v>
      </c>
      <c r="CM44" s="235">
        <f t="shared" ca="1" si="19"/>
        <v>1</v>
      </c>
      <c r="CN44" s="235">
        <f t="shared" ca="1" si="19"/>
        <v>1</v>
      </c>
      <c r="CO44" s="235">
        <f t="shared" ca="1" si="19"/>
        <v>1</v>
      </c>
      <c r="CP44" s="235">
        <f t="shared" ca="1" si="19"/>
        <v>1</v>
      </c>
      <c r="CQ44" s="236">
        <f t="shared" ca="1" si="19"/>
        <v>1</v>
      </c>
    </row>
    <row r="45" spans="1:95" s="117" customFormat="1" ht="11.25" customHeight="1" x14ac:dyDescent="0.2">
      <c r="A45" s="757" t="s">
        <v>208</v>
      </c>
      <c r="B45" s="758"/>
      <c r="C45" s="2025" t="s">
        <v>32</v>
      </c>
      <c r="D45" s="2025"/>
      <c r="E45" s="2025"/>
      <c r="F45" s="2025"/>
      <c r="G45" s="2025"/>
      <c r="H45" s="2026"/>
      <c r="I45" s="1605"/>
      <c r="J45" s="797"/>
      <c r="K45" s="1607">
        <v>9.3000000000000007</v>
      </c>
      <c r="L45" s="786"/>
      <c r="M45" s="785"/>
      <c r="N45" s="787"/>
      <c r="O45" s="788"/>
      <c r="P45" s="789"/>
      <c r="Q45" s="2035"/>
      <c r="R45" s="2035"/>
      <c r="S45" s="1795">
        <f>IF(ISBLANK(L45),K45,L45)+Q45</f>
        <v>9.3000000000000007</v>
      </c>
      <c r="T45" s="1796"/>
      <c r="U45" s="1611">
        <f>0.03/S45*100</f>
        <v>0.32258064516129026</v>
      </c>
      <c r="V45" s="790"/>
      <c r="W45" s="1991">
        <v>0.128</v>
      </c>
      <c r="X45" s="1992"/>
      <c r="Y45" s="1816">
        <v>1.05</v>
      </c>
      <c r="Z45" s="1817"/>
      <c r="AA45" s="2028">
        <v>2.8000000000000001E-2</v>
      </c>
      <c r="AB45" s="2029"/>
      <c r="AC45" s="1988">
        <v>110</v>
      </c>
      <c r="AD45" s="1989"/>
      <c r="AE45" s="1797">
        <v>0.5</v>
      </c>
      <c r="AF45" s="1798"/>
      <c r="AG45" s="375"/>
      <c r="AH45" s="929">
        <f>IF(ISBLANK(V45),U45,V45)</f>
        <v>0.32258064516129026</v>
      </c>
      <c r="AI45" s="929">
        <f t="shared" si="2"/>
        <v>0</v>
      </c>
      <c r="AJ45" s="153"/>
      <c r="AK45" s="153"/>
      <c r="AL45" s="153"/>
      <c r="AM45" s="153"/>
      <c r="AN45" s="153"/>
      <c r="AO45" s="153"/>
      <c r="AP45" s="153"/>
      <c r="AQ45" s="153"/>
      <c r="AR45" s="180"/>
      <c r="AS45" s="686">
        <f t="shared" ca="1" si="15"/>
        <v>1</v>
      </c>
      <c r="AT45" s="687">
        <f t="shared" ca="1" si="15"/>
        <v>1.0032258064516129</v>
      </c>
      <c r="AU45" s="687">
        <f t="shared" ca="1" si="15"/>
        <v>1.0064516129032257</v>
      </c>
      <c r="AV45" s="687">
        <f t="shared" ca="1" si="15"/>
        <v>1.0096774193548388</v>
      </c>
      <c r="AW45" s="687">
        <f t="shared" ca="1" si="15"/>
        <v>1.0129032258064516</v>
      </c>
      <c r="AX45" s="687">
        <f t="shared" ca="1" si="15"/>
        <v>1.0161290322580645</v>
      </c>
      <c r="AY45" s="687">
        <f t="shared" ca="1" si="15"/>
        <v>1.0193548387096774</v>
      </c>
      <c r="AZ45" s="687">
        <f t="shared" ca="1" si="15"/>
        <v>1.0225806451612902</v>
      </c>
      <c r="BA45" s="687">
        <f t="shared" ca="1" si="15"/>
        <v>1.0258064516129033</v>
      </c>
      <c r="BB45" s="687">
        <f t="shared" ca="1" si="15"/>
        <v>1.0290322580645161</v>
      </c>
      <c r="BC45" s="687">
        <f t="shared" ca="1" si="16"/>
        <v>1.032258064516129</v>
      </c>
      <c r="BD45" s="687">
        <f t="shared" ca="1" si="16"/>
        <v>1.0354838709677419</v>
      </c>
      <c r="BE45" s="687">
        <f t="shared" ca="1" si="16"/>
        <v>1.0387096774193549</v>
      </c>
      <c r="BF45" s="687">
        <f t="shared" ca="1" si="16"/>
        <v>1.0419354838709678</v>
      </c>
      <c r="BG45" s="687">
        <f t="shared" ca="1" si="16"/>
        <v>1.0451612903225806</v>
      </c>
      <c r="BH45" s="687">
        <f t="shared" ca="1" si="16"/>
        <v>1.0483870967741935</v>
      </c>
      <c r="BI45" s="687">
        <f t="shared" ca="1" si="16"/>
        <v>1.0516129032258064</v>
      </c>
      <c r="BJ45" s="687">
        <f t="shared" ca="1" si="16"/>
        <v>1.0548387096774194</v>
      </c>
      <c r="BK45" s="687">
        <f t="shared" ca="1" si="16"/>
        <v>1.0580645161290323</v>
      </c>
      <c r="BL45" s="687">
        <f t="shared" ca="1" si="16"/>
        <v>1.0612903225806452</v>
      </c>
      <c r="BM45" s="687">
        <f t="shared" ca="1" si="17"/>
        <v>1.064516129032258</v>
      </c>
      <c r="BN45" s="687">
        <f t="shared" ca="1" si="17"/>
        <v>1.0677419354838709</v>
      </c>
      <c r="BO45" s="687">
        <f t="shared" ca="1" si="17"/>
        <v>1.0709677419354839</v>
      </c>
      <c r="BP45" s="687">
        <f t="shared" ca="1" si="17"/>
        <v>1.0741935483870968</v>
      </c>
      <c r="BQ45" s="687">
        <f t="shared" ca="1" si="17"/>
        <v>1.0774193548387097</v>
      </c>
      <c r="BR45" s="687">
        <f t="shared" ca="1" si="17"/>
        <v>1.0806451612903225</v>
      </c>
      <c r="BS45" s="687">
        <f t="shared" ca="1" si="17"/>
        <v>1.0838709677419354</v>
      </c>
      <c r="BT45" s="687">
        <f t="shared" ca="1" si="17"/>
        <v>1.0870967741935484</v>
      </c>
      <c r="BU45" s="687">
        <f t="shared" ca="1" si="17"/>
        <v>1.0903225806451613</v>
      </c>
      <c r="BV45" s="687">
        <f t="shared" ca="1" si="17"/>
        <v>1.0935483870967742</v>
      </c>
      <c r="BW45" s="687">
        <f t="shared" ca="1" si="18"/>
        <v>1.096774193548387</v>
      </c>
      <c r="BX45" s="687">
        <f t="shared" ca="1" si="18"/>
        <v>1.1000000000000001</v>
      </c>
      <c r="BY45" s="687">
        <f t="shared" ca="1" si="18"/>
        <v>1.1032258064516129</v>
      </c>
      <c r="BZ45" s="687">
        <f t="shared" ca="1" si="18"/>
        <v>1.1064516129032258</v>
      </c>
      <c r="CA45" s="687">
        <f t="shared" ca="1" si="18"/>
        <v>1.1096774193548387</v>
      </c>
      <c r="CB45" s="687">
        <f t="shared" ca="1" si="18"/>
        <v>1.1129032258064515</v>
      </c>
      <c r="CC45" s="687">
        <f t="shared" ca="1" si="18"/>
        <v>1.1161290322580646</v>
      </c>
      <c r="CD45" s="687">
        <f t="shared" ca="1" si="18"/>
        <v>1.1193548387096774</v>
      </c>
      <c r="CE45" s="687">
        <f t="shared" ca="1" si="18"/>
        <v>1.1225806451612903</v>
      </c>
      <c r="CF45" s="687">
        <f t="shared" ca="1" si="18"/>
        <v>1.1258064516129032</v>
      </c>
      <c r="CG45" s="687">
        <f t="shared" ca="1" si="19"/>
        <v>1.129032258064516</v>
      </c>
      <c r="CH45" s="687">
        <f t="shared" ca="1" si="19"/>
        <v>1.1322580645161291</v>
      </c>
      <c r="CI45" s="687">
        <f t="shared" ca="1" si="19"/>
        <v>1.1354838709677419</v>
      </c>
      <c r="CJ45" s="687">
        <f t="shared" ca="1" si="19"/>
        <v>1.1387096774193548</v>
      </c>
      <c r="CK45" s="687">
        <f t="shared" ca="1" si="19"/>
        <v>1.1419354838709677</v>
      </c>
      <c r="CL45" s="687">
        <f t="shared" ca="1" si="19"/>
        <v>1.1451612903225805</v>
      </c>
      <c r="CM45" s="687">
        <f t="shared" ca="1" si="19"/>
        <v>1.1483870967741936</v>
      </c>
      <c r="CN45" s="687">
        <f t="shared" ca="1" si="19"/>
        <v>1.1516129032258065</v>
      </c>
      <c r="CO45" s="687">
        <f t="shared" ca="1" si="19"/>
        <v>1.1548387096774193</v>
      </c>
      <c r="CP45" s="687">
        <f t="shared" ca="1" si="19"/>
        <v>1.1580645161290322</v>
      </c>
      <c r="CQ45" s="688">
        <f t="shared" ca="1" si="19"/>
        <v>1.161290322580645</v>
      </c>
    </row>
    <row r="46" spans="1:95" s="117" customFormat="1" ht="11.25" customHeight="1" x14ac:dyDescent="0.2">
      <c r="A46" s="760"/>
      <c r="B46" s="733"/>
      <c r="C46" s="2023" t="s">
        <v>15</v>
      </c>
      <c r="D46" s="2023"/>
      <c r="E46" s="2023"/>
      <c r="F46" s="2023"/>
      <c r="G46" s="2023"/>
      <c r="H46" s="2024"/>
      <c r="I46" s="1605"/>
      <c r="J46" s="797"/>
      <c r="K46" s="1608">
        <f>(7.5+7.7)/2</f>
        <v>7.6</v>
      </c>
      <c r="L46" s="792"/>
      <c r="M46" s="791"/>
      <c r="N46" s="793"/>
      <c r="O46" s="794"/>
      <c r="P46" s="795"/>
      <c r="Q46" s="1815"/>
      <c r="R46" s="1815"/>
      <c r="S46" s="1807">
        <f>IF(ISBLANK(L46),K46,L46)+Q46</f>
        <v>7.6</v>
      </c>
      <c r="T46" s="1808"/>
      <c r="U46" s="1612">
        <f>0.015/S46*100</f>
        <v>0.19736842105263158</v>
      </c>
      <c r="V46" s="796"/>
      <c r="W46" s="1801">
        <v>3.1E-2</v>
      </c>
      <c r="X46" s="1802"/>
      <c r="Y46" s="1803">
        <v>1.03</v>
      </c>
      <c r="Z46" s="1804"/>
      <c r="AA46" s="1811">
        <v>1.0999999999999999E-2</v>
      </c>
      <c r="AB46" s="1812"/>
      <c r="AC46" s="1805">
        <v>115</v>
      </c>
      <c r="AD46" s="1806"/>
      <c r="AE46" s="1799"/>
      <c r="AF46" s="1800"/>
      <c r="AG46" s="375"/>
      <c r="AH46" s="927">
        <f t="shared" ref="AH46:AH54" si="20">IF(ISBLANK(V46),U46,V46)</f>
        <v>0.19736842105263158</v>
      </c>
      <c r="AI46" s="927">
        <f t="shared" si="2"/>
        <v>0</v>
      </c>
      <c r="AJ46" s="153"/>
      <c r="AK46" s="153"/>
      <c r="AL46" s="153"/>
      <c r="AM46" s="153"/>
      <c r="AN46" s="153"/>
      <c r="AO46" s="153"/>
      <c r="AP46" s="153"/>
      <c r="AQ46" s="153"/>
      <c r="AR46" s="180"/>
      <c r="AS46" s="240">
        <f t="shared" ca="1" si="15"/>
        <v>1</v>
      </c>
      <c r="AT46" s="241">
        <f t="shared" ca="1" si="15"/>
        <v>1.0019736842105262</v>
      </c>
      <c r="AU46" s="241">
        <f t="shared" ca="1" si="15"/>
        <v>1.0039473684210527</v>
      </c>
      <c r="AV46" s="241">
        <f t="shared" ca="1" si="15"/>
        <v>1.0059210526315789</v>
      </c>
      <c r="AW46" s="241">
        <f t="shared" ca="1" si="15"/>
        <v>1.0078947368421052</v>
      </c>
      <c r="AX46" s="241">
        <f t="shared" ca="1" si="15"/>
        <v>1.0098684210526316</v>
      </c>
      <c r="AY46" s="241">
        <f t="shared" ca="1" si="15"/>
        <v>1.0118421052631579</v>
      </c>
      <c r="AZ46" s="241">
        <f t="shared" ca="1" si="15"/>
        <v>1.0138157894736841</v>
      </c>
      <c r="BA46" s="241">
        <f t="shared" ca="1" si="15"/>
        <v>1.0157894736842106</v>
      </c>
      <c r="BB46" s="241">
        <f t="shared" ca="1" si="15"/>
        <v>1.0177631578947368</v>
      </c>
      <c r="BC46" s="241">
        <f t="shared" ca="1" si="16"/>
        <v>1.0197368421052631</v>
      </c>
      <c r="BD46" s="241">
        <f t="shared" ca="1" si="16"/>
        <v>1.0217105263157895</v>
      </c>
      <c r="BE46" s="241">
        <f t="shared" ca="1" si="16"/>
        <v>1.0236842105263158</v>
      </c>
      <c r="BF46" s="241">
        <f t="shared" ca="1" si="16"/>
        <v>1.0256578947368422</v>
      </c>
      <c r="BG46" s="241">
        <f t="shared" ca="1" si="16"/>
        <v>1.0276315789473685</v>
      </c>
      <c r="BH46" s="241">
        <f t="shared" ca="1" si="16"/>
        <v>1.0296052631578947</v>
      </c>
      <c r="BI46" s="241">
        <f t="shared" ca="1" si="16"/>
        <v>1.0315789473684212</v>
      </c>
      <c r="BJ46" s="241">
        <f t="shared" ca="1" si="16"/>
        <v>1.0335526315789474</v>
      </c>
      <c r="BK46" s="241">
        <f t="shared" ca="1" si="16"/>
        <v>1.0355263157894736</v>
      </c>
      <c r="BL46" s="241">
        <f t="shared" ca="1" si="16"/>
        <v>1.0375000000000001</v>
      </c>
      <c r="BM46" s="241">
        <f t="shared" ca="1" si="17"/>
        <v>1.0394736842105263</v>
      </c>
      <c r="BN46" s="241">
        <f t="shared" ca="1" si="17"/>
        <v>1.0414473684210526</v>
      </c>
      <c r="BO46" s="241">
        <f t="shared" ca="1" si="17"/>
        <v>1.043421052631579</v>
      </c>
      <c r="BP46" s="241">
        <f t="shared" ca="1" si="17"/>
        <v>1.0453947368421053</v>
      </c>
      <c r="BQ46" s="241">
        <f t="shared" ca="1" si="17"/>
        <v>1.0473684210526315</v>
      </c>
      <c r="BR46" s="241">
        <f t="shared" ca="1" si="17"/>
        <v>1.049342105263158</v>
      </c>
      <c r="BS46" s="241">
        <f t="shared" ca="1" si="17"/>
        <v>1.0513157894736842</v>
      </c>
      <c r="BT46" s="241">
        <f t="shared" ca="1" si="17"/>
        <v>1.0532894736842104</v>
      </c>
      <c r="BU46" s="241">
        <f t="shared" ca="1" si="17"/>
        <v>1.0552631578947369</v>
      </c>
      <c r="BV46" s="241">
        <f t="shared" ca="1" si="17"/>
        <v>1.0572368421052631</v>
      </c>
      <c r="BW46" s="241">
        <f t="shared" ca="1" si="18"/>
        <v>1.0592105263157894</v>
      </c>
      <c r="BX46" s="241">
        <f t="shared" ca="1" si="18"/>
        <v>1.0611842105263158</v>
      </c>
      <c r="BY46" s="241">
        <f t="shared" ca="1" si="18"/>
        <v>1.0631578947368421</v>
      </c>
      <c r="BZ46" s="241">
        <f t="shared" ca="1" si="18"/>
        <v>1.0651315789473683</v>
      </c>
      <c r="CA46" s="241">
        <f t="shared" ca="1" si="18"/>
        <v>1.0671052631578948</v>
      </c>
      <c r="CB46" s="241">
        <f t="shared" ca="1" si="18"/>
        <v>1.069078947368421</v>
      </c>
      <c r="CC46" s="241">
        <f t="shared" ca="1" si="18"/>
        <v>1.0710526315789473</v>
      </c>
      <c r="CD46" s="241">
        <f t="shared" ca="1" si="18"/>
        <v>1.0730263157894737</v>
      </c>
      <c r="CE46" s="241">
        <f t="shared" ca="1" si="18"/>
        <v>1.075</v>
      </c>
      <c r="CF46" s="241">
        <f t="shared" ca="1" si="18"/>
        <v>1.0769736842105264</v>
      </c>
      <c r="CG46" s="241">
        <f t="shared" ca="1" si="19"/>
        <v>1.0789473684210527</v>
      </c>
      <c r="CH46" s="241">
        <f t="shared" ca="1" si="19"/>
        <v>1.0809210526315789</v>
      </c>
      <c r="CI46" s="241">
        <f t="shared" ca="1" si="19"/>
        <v>1.0828947368421054</v>
      </c>
      <c r="CJ46" s="241">
        <f t="shared" ca="1" si="19"/>
        <v>1.0848684210526316</v>
      </c>
      <c r="CK46" s="241">
        <f t="shared" ca="1" si="19"/>
        <v>1.0868421052631578</v>
      </c>
      <c r="CL46" s="241">
        <f t="shared" ca="1" si="19"/>
        <v>1.0888157894736843</v>
      </c>
      <c r="CM46" s="241">
        <f t="shared" ca="1" si="19"/>
        <v>1.0907894736842105</v>
      </c>
      <c r="CN46" s="241">
        <f t="shared" ca="1" si="19"/>
        <v>1.0927631578947368</v>
      </c>
      <c r="CO46" s="241">
        <f t="shared" ca="1" si="19"/>
        <v>1.0947368421052632</v>
      </c>
      <c r="CP46" s="241">
        <f t="shared" ca="1" si="19"/>
        <v>1.0967105263157895</v>
      </c>
      <c r="CQ46" s="242">
        <f t="shared" ca="1" si="19"/>
        <v>1.0986842105263157</v>
      </c>
    </row>
    <row r="47" spans="1:95" s="710" customFormat="1" ht="11.25" customHeight="1" x14ac:dyDescent="0.2">
      <c r="A47" s="764"/>
      <c r="B47" s="732"/>
      <c r="C47" s="2023" t="s">
        <v>785</v>
      </c>
      <c r="D47" s="2023"/>
      <c r="E47" s="2023"/>
      <c r="F47" s="2023"/>
      <c r="G47" s="2023"/>
      <c r="H47" s="2024"/>
      <c r="I47" s="1605"/>
      <c r="J47" s="797"/>
      <c r="K47" s="1608">
        <v>18.7</v>
      </c>
      <c r="L47" s="792"/>
      <c r="M47" s="798"/>
      <c r="N47" s="798"/>
      <c r="O47" s="799"/>
      <c r="P47" s="800"/>
      <c r="Q47" s="1815"/>
      <c r="R47" s="1815"/>
      <c r="S47" s="1807">
        <f t="shared" ref="S47:S54" si="21">IF(ISBLANK(L47),K47,L47)+Q47</f>
        <v>18.7</v>
      </c>
      <c r="T47" s="1808"/>
      <c r="U47" s="1629">
        <f>-0.01/S47*100</f>
        <v>-5.3475935828877004E-2</v>
      </c>
      <c r="V47" s="796"/>
      <c r="W47" s="1801">
        <v>0.29299999999999998</v>
      </c>
      <c r="X47" s="1802"/>
      <c r="Y47" s="1803">
        <v>2.8000000000000001E-2</v>
      </c>
      <c r="Z47" s="1804"/>
      <c r="AA47" s="1811">
        <v>0.124</v>
      </c>
      <c r="AB47" s="1812"/>
      <c r="AC47" s="1805">
        <v>155</v>
      </c>
      <c r="AD47" s="1806"/>
      <c r="AE47" s="1799">
        <v>1</v>
      </c>
      <c r="AF47" s="1800"/>
      <c r="AG47" s="709"/>
      <c r="AH47" s="927">
        <f t="shared" si="20"/>
        <v>-5.3475935828877004E-2</v>
      </c>
      <c r="AI47" s="927">
        <f t="shared" si="2"/>
        <v>0</v>
      </c>
      <c r="AJ47" s="153"/>
      <c r="AK47" s="153"/>
      <c r="AL47" s="153"/>
      <c r="AM47" s="153"/>
      <c r="AN47" s="153"/>
      <c r="AO47" s="153"/>
      <c r="AP47" s="153"/>
      <c r="AQ47" s="153"/>
      <c r="AR47" s="380"/>
      <c r="AS47" s="240">
        <f t="shared" ref="AS47:BB56" ca="1" si="22">IF(OR(ISBLANK($S47),$S47=0),0,(1+(AS$16-$AS$16)*$AH47/100))</f>
        <v>1</v>
      </c>
      <c r="AT47" s="241">
        <f t="shared" ca="1" si="22"/>
        <v>0.99946524064171127</v>
      </c>
      <c r="AU47" s="241">
        <f t="shared" ca="1" si="22"/>
        <v>0.99893048128342243</v>
      </c>
      <c r="AV47" s="241">
        <f t="shared" ca="1" si="22"/>
        <v>0.99839572192513371</v>
      </c>
      <c r="AW47" s="241">
        <f t="shared" ca="1" si="22"/>
        <v>0.99786096256684487</v>
      </c>
      <c r="AX47" s="241">
        <f t="shared" ca="1" si="22"/>
        <v>0.99732620320855614</v>
      </c>
      <c r="AY47" s="241">
        <f t="shared" ca="1" si="22"/>
        <v>0.99679144385026741</v>
      </c>
      <c r="AZ47" s="241">
        <f t="shared" ca="1" si="22"/>
        <v>0.99625668449197857</v>
      </c>
      <c r="BA47" s="241">
        <f t="shared" ca="1" si="22"/>
        <v>0.99572192513368984</v>
      </c>
      <c r="BB47" s="241">
        <f t="shared" ca="1" si="22"/>
        <v>0.99518716577540112</v>
      </c>
      <c r="BC47" s="241">
        <f t="shared" ref="BC47:BL56" ca="1" si="23">IF(OR(ISBLANK($S47),$S47=0),0,(1+(BC$16-$AS$16)*$AH47/100))</f>
        <v>0.99465240641711228</v>
      </c>
      <c r="BD47" s="241">
        <f t="shared" ca="1" si="23"/>
        <v>0.99411764705882355</v>
      </c>
      <c r="BE47" s="241">
        <f t="shared" ca="1" si="23"/>
        <v>0.99358288770053471</v>
      </c>
      <c r="BF47" s="241">
        <f t="shared" ca="1" si="23"/>
        <v>0.99304812834224598</v>
      </c>
      <c r="BG47" s="241">
        <f t="shared" ca="1" si="23"/>
        <v>0.99251336898395726</v>
      </c>
      <c r="BH47" s="241">
        <f t="shared" ca="1" si="23"/>
        <v>0.99197860962566842</v>
      </c>
      <c r="BI47" s="241">
        <f t="shared" ca="1" si="23"/>
        <v>0.99144385026737969</v>
      </c>
      <c r="BJ47" s="241">
        <f t="shared" ca="1" si="23"/>
        <v>0.99090909090909096</v>
      </c>
      <c r="BK47" s="241">
        <f t="shared" ca="1" si="23"/>
        <v>0.99037433155080212</v>
      </c>
      <c r="BL47" s="241">
        <f t="shared" ca="1" si="23"/>
        <v>0.98983957219251339</v>
      </c>
      <c r="BM47" s="241">
        <f t="shared" ref="BM47:BV56" ca="1" si="24">IF(OR(ISBLANK($S47),$S47=0),0,(1+(BM$16-$AS$16)*$AH47/100))</f>
        <v>0.98930481283422456</v>
      </c>
      <c r="BN47" s="241">
        <f t="shared" ca="1" si="24"/>
        <v>0.98877005347593583</v>
      </c>
      <c r="BO47" s="241">
        <f t="shared" ca="1" si="24"/>
        <v>0.9882352941176471</v>
      </c>
      <c r="BP47" s="241">
        <f t="shared" ca="1" si="24"/>
        <v>0.98770053475935826</v>
      </c>
      <c r="BQ47" s="241">
        <f t="shared" ca="1" si="24"/>
        <v>0.98716577540106953</v>
      </c>
      <c r="BR47" s="241">
        <f t="shared" ca="1" si="24"/>
        <v>0.9866310160427807</v>
      </c>
      <c r="BS47" s="241">
        <f t="shared" ca="1" si="24"/>
        <v>0.98609625668449197</v>
      </c>
      <c r="BT47" s="241">
        <f t="shared" ca="1" si="24"/>
        <v>0.98556149732620324</v>
      </c>
      <c r="BU47" s="241">
        <f t="shared" ca="1" si="24"/>
        <v>0.9850267379679144</v>
      </c>
      <c r="BV47" s="241">
        <f t="shared" ca="1" si="24"/>
        <v>0.98449197860962567</v>
      </c>
      <c r="BW47" s="241">
        <f t="shared" ref="BW47:CF56" ca="1" si="25">IF(OR(ISBLANK($S47),$S47=0),0,(1+(BW$16-$AS$16)*$AH47/100))</f>
        <v>0.98395721925133695</v>
      </c>
      <c r="BX47" s="241">
        <f t="shared" ca="1" si="25"/>
        <v>0.98342245989304811</v>
      </c>
      <c r="BY47" s="241">
        <f t="shared" ca="1" si="25"/>
        <v>0.98288770053475938</v>
      </c>
      <c r="BZ47" s="241">
        <f t="shared" ca="1" si="25"/>
        <v>0.98235294117647054</v>
      </c>
      <c r="CA47" s="241">
        <f t="shared" ca="1" si="25"/>
        <v>0.98181818181818181</v>
      </c>
      <c r="CB47" s="241">
        <f t="shared" ca="1" si="25"/>
        <v>0.98128342245989308</v>
      </c>
      <c r="CC47" s="241">
        <f t="shared" ca="1" si="25"/>
        <v>0.98074866310160425</v>
      </c>
      <c r="CD47" s="241">
        <f t="shared" ca="1" si="25"/>
        <v>0.98021390374331552</v>
      </c>
      <c r="CE47" s="241">
        <f t="shared" ca="1" si="25"/>
        <v>0.97967914438502679</v>
      </c>
      <c r="CF47" s="241">
        <f t="shared" ca="1" si="25"/>
        <v>0.97914438502673795</v>
      </c>
      <c r="CG47" s="241">
        <f t="shared" ref="CG47:CQ56" ca="1" si="26">IF(OR(ISBLANK($S47),$S47=0),0,(1+(CG$16-$AS$16)*$AH47/100))</f>
        <v>0.97860962566844922</v>
      </c>
      <c r="CH47" s="241">
        <f t="shared" ca="1" si="26"/>
        <v>0.97807486631016038</v>
      </c>
      <c r="CI47" s="241">
        <f t="shared" ca="1" si="26"/>
        <v>0.97754010695187166</v>
      </c>
      <c r="CJ47" s="241">
        <f t="shared" ca="1" si="26"/>
        <v>0.97700534759358293</v>
      </c>
      <c r="CK47" s="241">
        <f t="shared" ca="1" si="26"/>
        <v>0.97647058823529409</v>
      </c>
      <c r="CL47" s="241">
        <f t="shared" ca="1" si="26"/>
        <v>0.97593582887700536</v>
      </c>
      <c r="CM47" s="241">
        <f t="shared" ca="1" si="26"/>
        <v>0.97540106951871652</v>
      </c>
      <c r="CN47" s="241">
        <f t="shared" ca="1" si="26"/>
        <v>0.9748663101604278</v>
      </c>
      <c r="CO47" s="241">
        <f t="shared" ca="1" si="26"/>
        <v>0.97433155080213907</v>
      </c>
      <c r="CP47" s="241">
        <f t="shared" ca="1" si="26"/>
        <v>0.97379679144385023</v>
      </c>
      <c r="CQ47" s="242">
        <f t="shared" ca="1" si="26"/>
        <v>0.9732620320855615</v>
      </c>
    </row>
    <row r="48" spans="1:95" s="710" customFormat="1" ht="11.25" customHeight="1" x14ac:dyDescent="0.2">
      <c r="A48" s="764"/>
      <c r="B48" s="732"/>
      <c r="C48" s="2023" t="s">
        <v>791</v>
      </c>
      <c r="D48" s="2023"/>
      <c r="E48" s="2023"/>
      <c r="F48" s="2023"/>
      <c r="G48" s="2023"/>
      <c r="H48" s="2024"/>
      <c r="I48" s="1605"/>
      <c r="J48" s="797"/>
      <c r="K48" s="1608">
        <f>K47</f>
        <v>18.7</v>
      </c>
      <c r="L48" s="792"/>
      <c r="M48" s="798"/>
      <c r="N48" s="798"/>
      <c r="O48" s="799"/>
      <c r="P48" s="800"/>
      <c r="Q48" s="1815"/>
      <c r="R48" s="1815"/>
      <c r="S48" s="1807">
        <f>IF(ISBLANK(L48),K48,L48)+Q48</f>
        <v>18.7</v>
      </c>
      <c r="T48" s="1808"/>
      <c r="U48" s="1612">
        <f>U47</f>
        <v>-5.3475935828877004E-2</v>
      </c>
      <c r="V48" s="796"/>
      <c r="W48" s="1801">
        <v>0.29299999999999998</v>
      </c>
      <c r="X48" s="1802"/>
      <c r="Y48" s="1803">
        <v>2.8000000000000001E-2</v>
      </c>
      <c r="Z48" s="1804"/>
      <c r="AA48" s="1811">
        <v>0.124</v>
      </c>
      <c r="AB48" s="1812"/>
      <c r="AC48" s="1805">
        <v>155</v>
      </c>
      <c r="AD48" s="1806"/>
      <c r="AE48" s="1799"/>
      <c r="AF48" s="1800"/>
      <c r="AG48" s="709"/>
      <c r="AH48" s="927">
        <f>IF(ISBLANK(V48),U48,V48)</f>
        <v>-5.3475935828877004E-2</v>
      </c>
      <c r="AI48" s="927">
        <f>IF(ISBLANK($J48),$I48,$J48)</f>
        <v>0</v>
      </c>
      <c r="AJ48" s="153"/>
      <c r="AK48" s="153"/>
      <c r="AL48" s="153"/>
      <c r="AM48" s="153"/>
      <c r="AN48" s="153"/>
      <c r="AO48" s="934" t="s">
        <v>710</v>
      </c>
      <c r="AP48" s="935"/>
      <c r="AQ48" s="936">
        <f>MATCH(Projektdaten!$H$24,Grunddaten!C47:C48,0)-1</f>
        <v>1</v>
      </c>
      <c r="AR48" s="380"/>
      <c r="AS48" s="240">
        <f t="shared" ca="1" si="22"/>
        <v>1</v>
      </c>
      <c r="AT48" s="241">
        <f t="shared" ca="1" si="22"/>
        <v>0.99946524064171127</v>
      </c>
      <c r="AU48" s="241">
        <f t="shared" ca="1" si="22"/>
        <v>0.99893048128342243</v>
      </c>
      <c r="AV48" s="241">
        <f t="shared" ca="1" si="22"/>
        <v>0.99839572192513371</v>
      </c>
      <c r="AW48" s="241">
        <f t="shared" ca="1" si="22"/>
        <v>0.99786096256684487</v>
      </c>
      <c r="AX48" s="241">
        <f t="shared" ca="1" si="22"/>
        <v>0.99732620320855614</v>
      </c>
      <c r="AY48" s="241">
        <f t="shared" ca="1" si="22"/>
        <v>0.99679144385026741</v>
      </c>
      <c r="AZ48" s="241">
        <f t="shared" ca="1" si="22"/>
        <v>0.99625668449197857</v>
      </c>
      <c r="BA48" s="241">
        <f t="shared" ca="1" si="22"/>
        <v>0.99572192513368984</v>
      </c>
      <c r="BB48" s="241">
        <f t="shared" ca="1" si="22"/>
        <v>0.99518716577540112</v>
      </c>
      <c r="BC48" s="241">
        <f t="shared" ca="1" si="23"/>
        <v>0.99465240641711228</v>
      </c>
      <c r="BD48" s="241">
        <f t="shared" ca="1" si="23"/>
        <v>0.99411764705882355</v>
      </c>
      <c r="BE48" s="241">
        <f t="shared" ca="1" si="23"/>
        <v>0.99358288770053471</v>
      </c>
      <c r="BF48" s="241">
        <f t="shared" ca="1" si="23"/>
        <v>0.99304812834224598</v>
      </c>
      <c r="BG48" s="241">
        <f t="shared" ca="1" si="23"/>
        <v>0.99251336898395726</v>
      </c>
      <c r="BH48" s="241">
        <f t="shared" ca="1" si="23"/>
        <v>0.99197860962566842</v>
      </c>
      <c r="BI48" s="241">
        <f t="shared" ca="1" si="23"/>
        <v>0.99144385026737969</v>
      </c>
      <c r="BJ48" s="241">
        <f t="shared" ca="1" si="23"/>
        <v>0.99090909090909096</v>
      </c>
      <c r="BK48" s="241">
        <f t="shared" ca="1" si="23"/>
        <v>0.99037433155080212</v>
      </c>
      <c r="BL48" s="241">
        <f t="shared" ca="1" si="23"/>
        <v>0.98983957219251339</v>
      </c>
      <c r="BM48" s="241">
        <f t="shared" ca="1" si="24"/>
        <v>0.98930481283422456</v>
      </c>
      <c r="BN48" s="241">
        <f t="shared" ca="1" si="24"/>
        <v>0.98877005347593583</v>
      </c>
      <c r="BO48" s="241">
        <f t="shared" ca="1" si="24"/>
        <v>0.9882352941176471</v>
      </c>
      <c r="BP48" s="241">
        <f t="shared" ca="1" si="24"/>
        <v>0.98770053475935826</v>
      </c>
      <c r="BQ48" s="241">
        <f t="shared" ca="1" si="24"/>
        <v>0.98716577540106953</v>
      </c>
      <c r="BR48" s="241">
        <f t="shared" ca="1" si="24"/>
        <v>0.9866310160427807</v>
      </c>
      <c r="BS48" s="241">
        <f t="shared" ca="1" si="24"/>
        <v>0.98609625668449197</v>
      </c>
      <c r="BT48" s="241">
        <f t="shared" ca="1" si="24"/>
        <v>0.98556149732620324</v>
      </c>
      <c r="BU48" s="241">
        <f t="shared" ca="1" si="24"/>
        <v>0.9850267379679144</v>
      </c>
      <c r="BV48" s="241">
        <f t="shared" ca="1" si="24"/>
        <v>0.98449197860962567</v>
      </c>
      <c r="BW48" s="241">
        <f t="shared" ca="1" si="25"/>
        <v>0.98395721925133695</v>
      </c>
      <c r="BX48" s="241">
        <f t="shared" ca="1" si="25"/>
        <v>0.98342245989304811</v>
      </c>
      <c r="BY48" s="241">
        <f t="shared" ca="1" si="25"/>
        <v>0.98288770053475938</v>
      </c>
      <c r="BZ48" s="241">
        <f t="shared" ca="1" si="25"/>
        <v>0.98235294117647054</v>
      </c>
      <c r="CA48" s="241">
        <f t="shared" ca="1" si="25"/>
        <v>0.98181818181818181</v>
      </c>
      <c r="CB48" s="241">
        <f t="shared" ca="1" si="25"/>
        <v>0.98128342245989308</v>
      </c>
      <c r="CC48" s="241">
        <f t="shared" ca="1" si="25"/>
        <v>0.98074866310160425</v>
      </c>
      <c r="CD48" s="241">
        <f t="shared" ca="1" si="25"/>
        <v>0.98021390374331552</v>
      </c>
      <c r="CE48" s="241">
        <f t="shared" ca="1" si="25"/>
        <v>0.97967914438502679</v>
      </c>
      <c r="CF48" s="241">
        <f t="shared" ca="1" si="25"/>
        <v>0.97914438502673795</v>
      </c>
      <c r="CG48" s="241">
        <f t="shared" ca="1" si="26"/>
        <v>0.97860962566844922</v>
      </c>
      <c r="CH48" s="241">
        <f t="shared" ca="1" si="26"/>
        <v>0.97807486631016038</v>
      </c>
      <c r="CI48" s="241">
        <f t="shared" ca="1" si="26"/>
        <v>0.97754010695187166</v>
      </c>
      <c r="CJ48" s="241">
        <f t="shared" ca="1" si="26"/>
        <v>0.97700534759358293</v>
      </c>
      <c r="CK48" s="241">
        <f t="shared" ca="1" si="26"/>
        <v>0.97647058823529409</v>
      </c>
      <c r="CL48" s="241">
        <f t="shared" ca="1" si="26"/>
        <v>0.97593582887700536</v>
      </c>
      <c r="CM48" s="241">
        <f t="shared" ca="1" si="26"/>
        <v>0.97540106951871652</v>
      </c>
      <c r="CN48" s="241">
        <f t="shared" ca="1" si="26"/>
        <v>0.9748663101604278</v>
      </c>
      <c r="CO48" s="241">
        <f t="shared" ca="1" si="26"/>
        <v>0.97433155080213907</v>
      </c>
      <c r="CP48" s="241">
        <f t="shared" ca="1" si="26"/>
        <v>0.97379679144385023</v>
      </c>
      <c r="CQ48" s="242">
        <f t="shared" ca="1" si="26"/>
        <v>0.9732620320855615</v>
      </c>
    </row>
    <row r="49" spans="1:99" s="117" customFormat="1" ht="11.25" customHeight="1" x14ac:dyDescent="0.2">
      <c r="A49" s="754"/>
      <c r="B49" s="730"/>
      <c r="C49" s="2023" t="s">
        <v>14</v>
      </c>
      <c r="D49" s="2023"/>
      <c r="E49" s="2023"/>
      <c r="F49" s="2023"/>
      <c r="G49" s="2023"/>
      <c r="H49" s="2024"/>
      <c r="I49" s="1605"/>
      <c r="J49" s="797"/>
      <c r="K49" s="1608">
        <v>12.3</v>
      </c>
      <c r="L49" s="792"/>
      <c r="M49" s="791"/>
      <c r="N49" s="793"/>
      <c r="O49" s="794"/>
      <c r="P49" s="795"/>
      <c r="Q49" s="1815"/>
      <c r="R49" s="1815"/>
      <c r="S49" s="1807">
        <f t="shared" si="21"/>
        <v>12.3</v>
      </c>
      <c r="T49" s="1808"/>
      <c r="U49" s="1612">
        <f>-0.2/S49*100</f>
        <v>-1.6260162601626014</v>
      </c>
      <c r="V49" s="796"/>
      <c r="W49" s="1801">
        <v>1.05</v>
      </c>
      <c r="X49" s="1802"/>
      <c r="Y49" s="1803">
        <v>3.0000000000000001E-3</v>
      </c>
      <c r="Z49" s="1804"/>
      <c r="AA49" s="1811">
        <v>0.23</v>
      </c>
      <c r="AB49" s="1812"/>
      <c r="AC49" s="1805">
        <v>274</v>
      </c>
      <c r="AD49" s="1806"/>
      <c r="AE49" s="1799"/>
      <c r="AF49" s="1800"/>
      <c r="AG49" s="375"/>
      <c r="AH49" s="927">
        <f t="shared" si="20"/>
        <v>-1.6260162601626014</v>
      </c>
      <c r="AI49" s="927">
        <f t="shared" si="2"/>
        <v>0</v>
      </c>
      <c r="AJ49" s="153"/>
      <c r="AK49" s="153"/>
      <c r="AL49" s="153"/>
      <c r="AM49" s="153"/>
      <c r="AN49" s="153"/>
      <c r="AR49" s="180"/>
      <c r="AS49" s="240">
        <f t="shared" ca="1" si="22"/>
        <v>1</v>
      </c>
      <c r="AT49" s="241">
        <f t="shared" ca="1" si="22"/>
        <v>0.98373983739837401</v>
      </c>
      <c r="AU49" s="241">
        <f t="shared" ca="1" si="22"/>
        <v>0.96747967479674801</v>
      </c>
      <c r="AV49" s="241">
        <f t="shared" ca="1" si="22"/>
        <v>0.95121951219512191</v>
      </c>
      <c r="AW49" s="241">
        <f t="shared" ca="1" si="22"/>
        <v>0.93495934959349591</v>
      </c>
      <c r="AX49" s="241">
        <f t="shared" ca="1" si="22"/>
        <v>0.91869918699186992</v>
      </c>
      <c r="AY49" s="241">
        <f t="shared" ca="1" si="22"/>
        <v>0.90243902439024393</v>
      </c>
      <c r="AZ49" s="241">
        <f t="shared" ca="1" si="22"/>
        <v>0.88617886178861793</v>
      </c>
      <c r="BA49" s="241">
        <f t="shared" ca="1" si="22"/>
        <v>0.86991869918699183</v>
      </c>
      <c r="BB49" s="241">
        <f t="shared" ca="1" si="22"/>
        <v>0.85365853658536595</v>
      </c>
      <c r="BC49" s="241">
        <f t="shared" ca="1" si="23"/>
        <v>0.83739837398373984</v>
      </c>
      <c r="BD49" s="241">
        <f t="shared" ca="1" si="23"/>
        <v>0.82113821138211385</v>
      </c>
      <c r="BE49" s="241">
        <f t="shared" ca="1" si="23"/>
        <v>0.80487804878048785</v>
      </c>
      <c r="BF49" s="241">
        <f t="shared" ca="1" si="23"/>
        <v>0.78861788617886186</v>
      </c>
      <c r="BG49" s="241">
        <f t="shared" ca="1" si="23"/>
        <v>0.77235772357723576</v>
      </c>
      <c r="BH49" s="241">
        <f t="shared" ca="1" si="23"/>
        <v>0.75609756097560976</v>
      </c>
      <c r="BI49" s="241">
        <f t="shared" ca="1" si="23"/>
        <v>0.73983739837398377</v>
      </c>
      <c r="BJ49" s="241">
        <f t="shared" ca="1" si="23"/>
        <v>0.72357723577235777</v>
      </c>
      <c r="BK49" s="241">
        <f t="shared" ca="1" si="23"/>
        <v>0.70731707317073178</v>
      </c>
      <c r="BL49" s="241">
        <f t="shared" ca="1" si="23"/>
        <v>0.69105691056910579</v>
      </c>
      <c r="BM49" s="241">
        <f t="shared" ca="1" si="24"/>
        <v>0.67479674796747968</v>
      </c>
      <c r="BN49" s="241">
        <f t="shared" ca="1" si="24"/>
        <v>0.65853658536585369</v>
      </c>
      <c r="BO49" s="241">
        <f t="shared" ca="1" si="24"/>
        <v>0.64227642276422769</v>
      </c>
      <c r="BP49" s="241">
        <f t="shared" ca="1" si="24"/>
        <v>0.6260162601626017</v>
      </c>
      <c r="BQ49" s="241">
        <f t="shared" ca="1" si="24"/>
        <v>0.60975609756097571</v>
      </c>
      <c r="BR49" s="241">
        <f t="shared" ca="1" si="24"/>
        <v>0.5934959349593496</v>
      </c>
      <c r="BS49" s="241">
        <f t="shared" ca="1" si="24"/>
        <v>0.57723577235772372</v>
      </c>
      <c r="BT49" s="241">
        <f t="shared" ca="1" si="24"/>
        <v>0.56097560975609762</v>
      </c>
      <c r="BU49" s="241">
        <f t="shared" ca="1" si="24"/>
        <v>0.54471544715447151</v>
      </c>
      <c r="BV49" s="241">
        <f t="shared" ca="1" si="24"/>
        <v>0.52845528455284563</v>
      </c>
      <c r="BW49" s="241">
        <f t="shared" ca="1" si="25"/>
        <v>0.51219512195121952</v>
      </c>
      <c r="BX49" s="241">
        <f t="shared" ca="1" si="25"/>
        <v>0.49593495934959353</v>
      </c>
      <c r="BY49" s="241">
        <f t="shared" ca="1" si="25"/>
        <v>0.47967479674796754</v>
      </c>
      <c r="BZ49" s="241">
        <f t="shared" ca="1" si="25"/>
        <v>0.46341463414634154</v>
      </c>
      <c r="CA49" s="241">
        <f t="shared" ca="1" si="25"/>
        <v>0.44715447154471555</v>
      </c>
      <c r="CB49" s="241">
        <f t="shared" ca="1" si="25"/>
        <v>0.43089430894308955</v>
      </c>
      <c r="CC49" s="241">
        <f t="shared" ca="1" si="25"/>
        <v>0.41463414634146356</v>
      </c>
      <c r="CD49" s="241">
        <f t="shared" ca="1" si="25"/>
        <v>0.39837398373983757</v>
      </c>
      <c r="CE49" s="241">
        <f t="shared" ca="1" si="25"/>
        <v>0.38211382113821146</v>
      </c>
      <c r="CF49" s="241">
        <f t="shared" ca="1" si="25"/>
        <v>0.36585365853658547</v>
      </c>
      <c r="CG49" s="241">
        <f t="shared" ca="1" si="26"/>
        <v>0.34959349593495948</v>
      </c>
      <c r="CH49" s="241">
        <f t="shared" ca="1" si="26"/>
        <v>0.33333333333333348</v>
      </c>
      <c r="CI49" s="241">
        <f t="shared" ca="1" si="26"/>
        <v>0.31707317073170738</v>
      </c>
      <c r="CJ49" s="241">
        <f t="shared" ca="1" si="26"/>
        <v>0.30081300813008138</v>
      </c>
      <c r="CK49" s="241">
        <f t="shared" ca="1" si="26"/>
        <v>0.28455284552845539</v>
      </c>
      <c r="CL49" s="241">
        <f t="shared" ca="1" si="26"/>
        <v>0.2682926829268294</v>
      </c>
      <c r="CM49" s="241">
        <f t="shared" ca="1" si="26"/>
        <v>0.2520325203252034</v>
      </c>
      <c r="CN49" s="241">
        <f t="shared" ca="1" si="26"/>
        <v>0.23577235772357741</v>
      </c>
      <c r="CO49" s="241">
        <f t="shared" ca="1" si="26"/>
        <v>0.21951219512195141</v>
      </c>
      <c r="CP49" s="241">
        <f t="shared" ca="1" si="26"/>
        <v>0.20325203252032542</v>
      </c>
      <c r="CQ49" s="242">
        <f t="shared" ca="1" si="26"/>
        <v>0.18699186991869932</v>
      </c>
    </row>
    <row r="50" spans="1:99" s="117" customFormat="1" ht="11.25" customHeight="1" x14ac:dyDescent="0.2">
      <c r="A50" s="760"/>
      <c r="B50" s="733"/>
      <c r="C50" s="2023" t="s">
        <v>43</v>
      </c>
      <c r="D50" s="2023"/>
      <c r="E50" s="2023"/>
      <c r="F50" s="2023"/>
      <c r="G50" s="2023"/>
      <c r="H50" s="2024"/>
      <c r="I50" s="1605"/>
      <c r="J50" s="797"/>
      <c r="K50" s="1608">
        <v>9.8000000000000007</v>
      </c>
      <c r="L50" s="792"/>
      <c r="M50" s="791"/>
      <c r="N50" s="791"/>
      <c r="O50" s="794"/>
      <c r="P50" s="801"/>
      <c r="Q50" s="1815"/>
      <c r="R50" s="1815"/>
      <c r="S50" s="1807">
        <f t="shared" si="21"/>
        <v>9.8000000000000007</v>
      </c>
      <c r="T50" s="1808"/>
      <c r="U50" s="1612">
        <f>-0.11/S50*100</f>
        <v>-1.1224489795918366</v>
      </c>
      <c r="V50" s="796"/>
      <c r="W50" s="1801">
        <v>1.25</v>
      </c>
      <c r="X50" s="1802"/>
      <c r="Y50" s="1803">
        <v>1.4E-2</v>
      </c>
      <c r="Z50" s="1804"/>
      <c r="AA50" s="1811">
        <v>0.32400000000000001</v>
      </c>
      <c r="AB50" s="1812"/>
      <c r="AC50" s="1805">
        <v>408</v>
      </c>
      <c r="AD50" s="1806"/>
      <c r="AE50" s="1799"/>
      <c r="AF50" s="1800"/>
      <c r="AG50" s="375"/>
      <c r="AH50" s="927">
        <f t="shared" si="20"/>
        <v>-1.1224489795918366</v>
      </c>
      <c r="AI50" s="927">
        <f t="shared" si="2"/>
        <v>0</v>
      </c>
      <c r="AJ50" s="153"/>
      <c r="AK50" s="153"/>
      <c r="AL50" s="153"/>
      <c r="AM50" s="153"/>
      <c r="AN50" s="153"/>
      <c r="AO50" s="153"/>
      <c r="AP50" s="153"/>
      <c r="AQ50" s="153"/>
      <c r="AR50" s="180"/>
      <c r="AS50" s="240">
        <f t="shared" ca="1" si="22"/>
        <v>1</v>
      </c>
      <c r="AT50" s="241">
        <f t="shared" ca="1" si="22"/>
        <v>0.98877551020408161</v>
      </c>
      <c r="AU50" s="241">
        <f t="shared" ca="1" si="22"/>
        <v>0.97755102040816322</v>
      </c>
      <c r="AV50" s="241">
        <f t="shared" ca="1" si="22"/>
        <v>0.96632653061224494</v>
      </c>
      <c r="AW50" s="241">
        <f t="shared" ca="1" si="22"/>
        <v>0.95510204081632655</v>
      </c>
      <c r="AX50" s="241">
        <f t="shared" ca="1" si="22"/>
        <v>0.94387755102040816</v>
      </c>
      <c r="AY50" s="241">
        <f t="shared" ca="1" si="22"/>
        <v>0.93265306122448977</v>
      </c>
      <c r="AZ50" s="241">
        <f t="shared" ca="1" si="22"/>
        <v>0.92142857142857149</v>
      </c>
      <c r="BA50" s="241">
        <f t="shared" ca="1" si="22"/>
        <v>0.91020408163265309</v>
      </c>
      <c r="BB50" s="241">
        <f t="shared" ca="1" si="22"/>
        <v>0.8989795918367347</v>
      </c>
      <c r="BC50" s="241">
        <f t="shared" ca="1" si="23"/>
        <v>0.88775510204081631</v>
      </c>
      <c r="BD50" s="241">
        <f t="shared" ca="1" si="23"/>
        <v>0.87653061224489792</v>
      </c>
      <c r="BE50" s="241">
        <f t="shared" ca="1" si="23"/>
        <v>0.86530612244897953</v>
      </c>
      <c r="BF50" s="241">
        <f t="shared" ca="1" si="23"/>
        <v>0.85408163265306125</v>
      </c>
      <c r="BG50" s="241">
        <f t="shared" ca="1" si="23"/>
        <v>0.84285714285714286</v>
      </c>
      <c r="BH50" s="241">
        <f t="shared" ca="1" si="23"/>
        <v>0.83163265306122447</v>
      </c>
      <c r="BI50" s="241">
        <f t="shared" ca="1" si="23"/>
        <v>0.82040816326530619</v>
      </c>
      <c r="BJ50" s="241">
        <f t="shared" ca="1" si="23"/>
        <v>0.8091836734693878</v>
      </c>
      <c r="BK50" s="241">
        <f t="shared" ca="1" si="23"/>
        <v>0.79795918367346941</v>
      </c>
      <c r="BL50" s="241">
        <f t="shared" ca="1" si="23"/>
        <v>0.78673469387755102</v>
      </c>
      <c r="BM50" s="241">
        <f t="shared" ca="1" si="24"/>
        <v>0.77551020408163263</v>
      </c>
      <c r="BN50" s="241">
        <f t="shared" ca="1" si="24"/>
        <v>0.76428571428571435</v>
      </c>
      <c r="BO50" s="241">
        <f t="shared" ca="1" si="24"/>
        <v>0.75306122448979596</v>
      </c>
      <c r="BP50" s="241">
        <f t="shared" ca="1" si="24"/>
        <v>0.74183673469387756</v>
      </c>
      <c r="BQ50" s="241">
        <f t="shared" ca="1" si="24"/>
        <v>0.73061224489795917</v>
      </c>
      <c r="BR50" s="241">
        <f t="shared" ca="1" si="24"/>
        <v>0.71938775510204089</v>
      </c>
      <c r="BS50" s="241">
        <f t="shared" ca="1" si="24"/>
        <v>0.7081632653061225</v>
      </c>
      <c r="BT50" s="241">
        <f t="shared" ca="1" si="24"/>
        <v>0.69693877551020411</v>
      </c>
      <c r="BU50" s="241">
        <f t="shared" ca="1" si="24"/>
        <v>0.68571428571428572</v>
      </c>
      <c r="BV50" s="241">
        <f t="shared" ca="1" si="24"/>
        <v>0.67448979591836733</v>
      </c>
      <c r="BW50" s="241">
        <f t="shared" ca="1" si="25"/>
        <v>0.66326530612244894</v>
      </c>
      <c r="BX50" s="241">
        <f t="shared" ca="1" si="25"/>
        <v>0.65204081632653066</v>
      </c>
      <c r="BY50" s="241">
        <f t="shared" ca="1" si="25"/>
        <v>0.64081632653061227</v>
      </c>
      <c r="BZ50" s="241">
        <f t="shared" ca="1" si="25"/>
        <v>0.62959183673469388</v>
      </c>
      <c r="CA50" s="241">
        <f t="shared" ca="1" si="25"/>
        <v>0.6183673469387756</v>
      </c>
      <c r="CB50" s="241">
        <f t="shared" ca="1" si="25"/>
        <v>0.60714285714285721</v>
      </c>
      <c r="CC50" s="241">
        <f t="shared" ca="1" si="25"/>
        <v>0.59591836734693882</v>
      </c>
      <c r="CD50" s="241">
        <f t="shared" ca="1" si="25"/>
        <v>0.58469387755102042</v>
      </c>
      <c r="CE50" s="241">
        <f t="shared" ca="1" si="25"/>
        <v>0.57346938775510203</v>
      </c>
      <c r="CF50" s="241">
        <f t="shared" ca="1" si="25"/>
        <v>0.56224489795918375</v>
      </c>
      <c r="CG50" s="241">
        <f t="shared" ca="1" si="26"/>
        <v>0.55102040816326536</v>
      </c>
      <c r="CH50" s="241">
        <f t="shared" ca="1" si="26"/>
        <v>0.53979591836734697</v>
      </c>
      <c r="CI50" s="241">
        <f t="shared" ca="1" si="26"/>
        <v>0.52857142857142869</v>
      </c>
      <c r="CJ50" s="241">
        <f t="shared" ca="1" si="26"/>
        <v>0.5173469387755103</v>
      </c>
      <c r="CK50" s="241">
        <f t="shared" ca="1" si="26"/>
        <v>0.50612244897959191</v>
      </c>
      <c r="CL50" s="241">
        <f t="shared" ca="1" si="26"/>
        <v>0.49489795918367352</v>
      </c>
      <c r="CM50" s="241">
        <f t="shared" ca="1" si="26"/>
        <v>0.48367346938775513</v>
      </c>
      <c r="CN50" s="241">
        <f t="shared" ca="1" si="26"/>
        <v>0.47244897959183674</v>
      </c>
      <c r="CO50" s="241">
        <f t="shared" ca="1" si="26"/>
        <v>0.46122448979591835</v>
      </c>
      <c r="CP50" s="241">
        <f t="shared" ca="1" si="26"/>
        <v>0.45000000000000007</v>
      </c>
      <c r="CQ50" s="242">
        <f t="shared" ca="1" si="26"/>
        <v>0.43877551020408168</v>
      </c>
    </row>
    <row r="51" spans="1:99" s="173" customFormat="1" ht="11.25" customHeight="1" x14ac:dyDescent="0.2">
      <c r="A51" s="761"/>
      <c r="B51" s="762"/>
      <c r="C51" s="2177" t="s">
        <v>521</v>
      </c>
      <c r="D51" s="2177"/>
      <c r="E51" s="2177"/>
      <c r="F51" s="2177"/>
      <c r="G51" s="2177"/>
      <c r="H51" s="2178"/>
      <c r="I51" s="2104"/>
      <c r="J51" s="1809"/>
      <c r="K51" s="1810"/>
      <c r="L51" s="1809"/>
      <c r="M51" s="802"/>
      <c r="N51" s="802"/>
      <c r="O51" s="803"/>
      <c r="P51" s="804"/>
      <c r="Q51" s="1790"/>
      <c r="R51" s="1790"/>
      <c r="S51" s="1791">
        <f t="shared" si="21"/>
        <v>0</v>
      </c>
      <c r="T51" s="1792"/>
      <c r="U51" s="1790"/>
      <c r="V51" s="2036"/>
      <c r="W51" s="1813"/>
      <c r="X51" s="1814"/>
      <c r="Y51" s="1993"/>
      <c r="Z51" s="1994"/>
      <c r="AA51" s="2041"/>
      <c r="AB51" s="2042"/>
      <c r="AC51" s="1995"/>
      <c r="AD51" s="1996"/>
      <c r="AE51" s="2021"/>
      <c r="AF51" s="2022"/>
      <c r="AG51" s="576"/>
      <c r="AH51" s="931">
        <f>U51</f>
        <v>0</v>
      </c>
      <c r="AI51" s="931">
        <f t="shared" si="2"/>
        <v>0</v>
      </c>
      <c r="AJ51" s="153"/>
      <c r="AK51" s="153"/>
      <c r="AL51" s="153"/>
      <c r="AM51" s="153"/>
      <c r="AN51" s="153"/>
      <c r="AO51" s="153"/>
      <c r="AP51" s="153"/>
      <c r="AQ51" s="153"/>
      <c r="AR51" s="180"/>
      <c r="AS51" s="243">
        <f t="shared" si="22"/>
        <v>0</v>
      </c>
      <c r="AT51" s="244">
        <f t="shared" si="22"/>
        <v>0</v>
      </c>
      <c r="AU51" s="244">
        <f t="shared" si="22"/>
        <v>0</v>
      </c>
      <c r="AV51" s="244">
        <f t="shared" si="22"/>
        <v>0</v>
      </c>
      <c r="AW51" s="244">
        <f t="shared" si="22"/>
        <v>0</v>
      </c>
      <c r="AX51" s="244">
        <f t="shared" si="22"/>
        <v>0</v>
      </c>
      <c r="AY51" s="244">
        <f t="shared" si="22"/>
        <v>0</v>
      </c>
      <c r="AZ51" s="244">
        <f t="shared" si="22"/>
        <v>0</v>
      </c>
      <c r="BA51" s="244">
        <f t="shared" si="22"/>
        <v>0</v>
      </c>
      <c r="BB51" s="244">
        <f t="shared" si="22"/>
        <v>0</v>
      </c>
      <c r="BC51" s="244">
        <f t="shared" si="23"/>
        <v>0</v>
      </c>
      <c r="BD51" s="244">
        <f t="shared" si="23"/>
        <v>0</v>
      </c>
      <c r="BE51" s="244">
        <f t="shared" si="23"/>
        <v>0</v>
      </c>
      <c r="BF51" s="244">
        <f t="shared" si="23"/>
        <v>0</v>
      </c>
      <c r="BG51" s="244">
        <f t="shared" si="23"/>
        <v>0</v>
      </c>
      <c r="BH51" s="244">
        <f t="shared" si="23"/>
        <v>0</v>
      </c>
      <c r="BI51" s="244">
        <f t="shared" si="23"/>
        <v>0</v>
      </c>
      <c r="BJ51" s="244">
        <f t="shared" si="23"/>
        <v>0</v>
      </c>
      <c r="BK51" s="244">
        <f t="shared" si="23"/>
        <v>0</v>
      </c>
      <c r="BL51" s="244">
        <f t="shared" si="23"/>
        <v>0</v>
      </c>
      <c r="BM51" s="244">
        <f t="shared" si="24"/>
        <v>0</v>
      </c>
      <c r="BN51" s="244">
        <f t="shared" si="24"/>
        <v>0</v>
      </c>
      <c r="BO51" s="244">
        <f t="shared" si="24"/>
        <v>0</v>
      </c>
      <c r="BP51" s="244">
        <f t="shared" si="24"/>
        <v>0</v>
      </c>
      <c r="BQ51" s="244">
        <f t="shared" si="24"/>
        <v>0</v>
      </c>
      <c r="BR51" s="244">
        <f t="shared" si="24"/>
        <v>0</v>
      </c>
      <c r="BS51" s="244">
        <f t="shared" si="24"/>
        <v>0</v>
      </c>
      <c r="BT51" s="244">
        <f t="shared" si="24"/>
        <v>0</v>
      </c>
      <c r="BU51" s="244">
        <f t="shared" si="24"/>
        <v>0</v>
      </c>
      <c r="BV51" s="244">
        <f t="shared" si="24"/>
        <v>0</v>
      </c>
      <c r="BW51" s="244">
        <f t="shared" si="25"/>
        <v>0</v>
      </c>
      <c r="BX51" s="244">
        <f t="shared" si="25"/>
        <v>0</v>
      </c>
      <c r="BY51" s="244">
        <f t="shared" si="25"/>
        <v>0</v>
      </c>
      <c r="BZ51" s="244">
        <f t="shared" si="25"/>
        <v>0</v>
      </c>
      <c r="CA51" s="244">
        <f t="shared" si="25"/>
        <v>0</v>
      </c>
      <c r="CB51" s="244">
        <f t="shared" si="25"/>
        <v>0</v>
      </c>
      <c r="CC51" s="244">
        <f t="shared" si="25"/>
        <v>0</v>
      </c>
      <c r="CD51" s="244">
        <f t="shared" si="25"/>
        <v>0</v>
      </c>
      <c r="CE51" s="244">
        <f t="shared" si="25"/>
        <v>0</v>
      </c>
      <c r="CF51" s="244">
        <f t="shared" si="25"/>
        <v>0</v>
      </c>
      <c r="CG51" s="244">
        <f t="shared" si="26"/>
        <v>0</v>
      </c>
      <c r="CH51" s="244">
        <f t="shared" si="26"/>
        <v>0</v>
      </c>
      <c r="CI51" s="244">
        <f t="shared" si="26"/>
        <v>0</v>
      </c>
      <c r="CJ51" s="244">
        <f t="shared" si="26"/>
        <v>0</v>
      </c>
      <c r="CK51" s="244">
        <f t="shared" si="26"/>
        <v>0</v>
      </c>
      <c r="CL51" s="244">
        <f t="shared" si="26"/>
        <v>0</v>
      </c>
      <c r="CM51" s="244">
        <f t="shared" si="26"/>
        <v>0</v>
      </c>
      <c r="CN51" s="244">
        <f t="shared" si="26"/>
        <v>0</v>
      </c>
      <c r="CO51" s="244">
        <f t="shared" si="26"/>
        <v>0</v>
      </c>
      <c r="CP51" s="244">
        <f t="shared" si="26"/>
        <v>0</v>
      </c>
      <c r="CQ51" s="245">
        <f t="shared" si="26"/>
        <v>0</v>
      </c>
    </row>
    <row r="52" spans="1:99" s="117" customFormat="1" ht="11.25" customHeight="1" x14ac:dyDescent="0.2">
      <c r="A52" s="2143" t="s">
        <v>35</v>
      </c>
      <c r="B52" s="2144"/>
      <c r="C52" s="2025" t="s">
        <v>807</v>
      </c>
      <c r="D52" s="2025"/>
      <c r="E52" s="2025"/>
      <c r="F52" s="2025"/>
      <c r="G52" s="2025"/>
      <c r="H52" s="2026"/>
      <c r="I52" s="1606"/>
      <c r="J52" s="805"/>
      <c r="K52" s="1607">
        <v>8.6</v>
      </c>
      <c r="L52" s="786"/>
      <c r="M52" s="785"/>
      <c r="N52" s="787"/>
      <c r="O52" s="788"/>
      <c r="P52" s="789"/>
      <c r="Q52" s="2035"/>
      <c r="R52" s="2035"/>
      <c r="S52" s="1795">
        <f t="shared" si="21"/>
        <v>8.6</v>
      </c>
      <c r="T52" s="1796"/>
      <c r="U52" s="1611">
        <f>0.06/S52*100</f>
        <v>0.69767441860465118</v>
      </c>
      <c r="V52" s="790"/>
      <c r="W52" s="1991">
        <v>0.33800000000000002</v>
      </c>
      <c r="X52" s="1992"/>
      <c r="Y52" s="1816">
        <v>0.49</v>
      </c>
      <c r="Z52" s="1817"/>
      <c r="AA52" s="2028">
        <v>6.7000000000000004E-2</v>
      </c>
      <c r="AB52" s="2029"/>
      <c r="AC52" s="1988">
        <v>125</v>
      </c>
      <c r="AD52" s="1989"/>
      <c r="AE52" s="2162">
        <v>0.4</v>
      </c>
      <c r="AF52" s="1964"/>
      <c r="AG52" s="375"/>
      <c r="AH52" s="929">
        <f t="shared" si="20"/>
        <v>0.69767441860465118</v>
      </c>
      <c r="AI52" s="929">
        <f t="shared" si="2"/>
        <v>0</v>
      </c>
      <c r="AJ52" s="153"/>
      <c r="AK52" s="932" t="s">
        <v>520</v>
      </c>
      <c r="AL52" s="189"/>
      <c r="AM52" s="190"/>
      <c r="AN52" s="153"/>
      <c r="AR52" s="180"/>
      <c r="AS52" s="234">
        <f t="shared" ca="1" si="22"/>
        <v>1</v>
      </c>
      <c r="AT52" s="235">
        <f t="shared" ca="1" si="22"/>
        <v>1.0069767441860464</v>
      </c>
      <c r="AU52" s="235">
        <f t="shared" ca="1" si="22"/>
        <v>1.0139534883720931</v>
      </c>
      <c r="AV52" s="235">
        <f t="shared" ca="1" si="22"/>
        <v>1.0209302325581395</v>
      </c>
      <c r="AW52" s="235">
        <f t="shared" ca="1" si="22"/>
        <v>1.027906976744186</v>
      </c>
      <c r="AX52" s="235">
        <f t="shared" ca="1" si="22"/>
        <v>1.0348837209302326</v>
      </c>
      <c r="AY52" s="235">
        <f t="shared" ca="1" si="22"/>
        <v>1.0418604651162791</v>
      </c>
      <c r="AZ52" s="235">
        <f t="shared" ca="1" si="22"/>
        <v>1.0488372093023255</v>
      </c>
      <c r="BA52" s="235">
        <f t="shared" ca="1" si="22"/>
        <v>1.0558139534883721</v>
      </c>
      <c r="BB52" s="235">
        <f t="shared" ca="1" si="22"/>
        <v>1.0627906976744186</v>
      </c>
      <c r="BC52" s="235">
        <f t="shared" ca="1" si="23"/>
        <v>1.069767441860465</v>
      </c>
      <c r="BD52" s="235">
        <f t="shared" ca="1" si="23"/>
        <v>1.0767441860465117</v>
      </c>
      <c r="BE52" s="235">
        <f t="shared" ca="1" si="23"/>
        <v>1.0837209302325581</v>
      </c>
      <c r="BF52" s="235">
        <f t="shared" ca="1" si="23"/>
        <v>1.0906976744186045</v>
      </c>
      <c r="BG52" s="235">
        <f t="shared" ca="1" si="23"/>
        <v>1.0976744186046512</v>
      </c>
      <c r="BH52" s="235">
        <f t="shared" ca="1" si="23"/>
        <v>1.1046511627906976</v>
      </c>
      <c r="BI52" s="235">
        <f t="shared" ca="1" si="23"/>
        <v>1.1116279069767443</v>
      </c>
      <c r="BJ52" s="235">
        <f t="shared" ca="1" si="23"/>
        <v>1.1186046511627907</v>
      </c>
      <c r="BK52" s="235">
        <f t="shared" ca="1" si="23"/>
        <v>1.1255813953488372</v>
      </c>
      <c r="BL52" s="235">
        <f t="shared" ca="1" si="23"/>
        <v>1.1325581395348836</v>
      </c>
      <c r="BM52" s="235">
        <f t="shared" ca="1" si="24"/>
        <v>1.1395348837209303</v>
      </c>
      <c r="BN52" s="235">
        <f t="shared" ca="1" si="24"/>
        <v>1.1465116279069767</v>
      </c>
      <c r="BO52" s="235">
        <f t="shared" ca="1" si="24"/>
        <v>1.1534883720930234</v>
      </c>
      <c r="BP52" s="235">
        <f t="shared" ca="1" si="24"/>
        <v>1.1604651162790698</v>
      </c>
      <c r="BQ52" s="235">
        <f t="shared" ca="1" si="24"/>
        <v>1.1674418604651162</v>
      </c>
      <c r="BR52" s="235">
        <f t="shared" ca="1" si="24"/>
        <v>1.1744186046511627</v>
      </c>
      <c r="BS52" s="235">
        <f t="shared" ca="1" si="24"/>
        <v>1.1813953488372093</v>
      </c>
      <c r="BT52" s="235">
        <f t="shared" ca="1" si="24"/>
        <v>1.1883720930232557</v>
      </c>
      <c r="BU52" s="235">
        <f t="shared" ca="1" si="24"/>
        <v>1.1953488372093024</v>
      </c>
      <c r="BV52" s="235">
        <f t="shared" ca="1" si="24"/>
        <v>1.2023255813953488</v>
      </c>
      <c r="BW52" s="235">
        <f t="shared" ca="1" si="25"/>
        <v>1.2093023255813953</v>
      </c>
      <c r="BX52" s="235">
        <f t="shared" ca="1" si="25"/>
        <v>1.2162790697674419</v>
      </c>
      <c r="BY52" s="235">
        <f t="shared" ca="1" si="25"/>
        <v>1.2232558139534884</v>
      </c>
      <c r="BZ52" s="235">
        <f t="shared" ca="1" si="25"/>
        <v>1.230232558139535</v>
      </c>
      <c r="CA52" s="235">
        <f t="shared" ca="1" si="25"/>
        <v>1.2372093023255815</v>
      </c>
      <c r="CB52" s="235">
        <f t="shared" ca="1" si="25"/>
        <v>1.2441860465116279</v>
      </c>
      <c r="CC52" s="235">
        <f t="shared" ca="1" si="25"/>
        <v>1.2511627906976743</v>
      </c>
      <c r="CD52" s="235">
        <f t="shared" ca="1" si="25"/>
        <v>1.258139534883721</v>
      </c>
      <c r="CE52" s="235">
        <f t="shared" ca="1" si="25"/>
        <v>1.2651162790697674</v>
      </c>
      <c r="CF52" s="235">
        <f t="shared" ca="1" si="25"/>
        <v>1.2720930232558141</v>
      </c>
      <c r="CG52" s="235">
        <f t="shared" ca="1" si="26"/>
        <v>1.2790697674418605</v>
      </c>
      <c r="CH52" s="235">
        <f t="shared" ca="1" si="26"/>
        <v>1.286046511627907</v>
      </c>
      <c r="CI52" s="235">
        <f t="shared" ca="1" si="26"/>
        <v>1.2930232558139534</v>
      </c>
      <c r="CJ52" s="235">
        <f t="shared" ca="1" si="26"/>
        <v>1.3</v>
      </c>
      <c r="CK52" s="235">
        <f t="shared" ca="1" si="26"/>
        <v>1.3069767441860465</v>
      </c>
      <c r="CL52" s="235">
        <f t="shared" ca="1" si="26"/>
        <v>1.3139534883720931</v>
      </c>
      <c r="CM52" s="235">
        <f t="shared" ca="1" si="26"/>
        <v>1.3209302325581396</v>
      </c>
      <c r="CN52" s="235">
        <f t="shared" ca="1" si="26"/>
        <v>1.327906976744186</v>
      </c>
      <c r="CO52" s="235">
        <f t="shared" ca="1" si="26"/>
        <v>1.3348837209302327</v>
      </c>
      <c r="CP52" s="235">
        <f t="shared" ca="1" si="26"/>
        <v>1.3418604651162791</v>
      </c>
      <c r="CQ52" s="236">
        <f t="shared" ca="1" si="26"/>
        <v>1.3488372093023255</v>
      </c>
    </row>
    <row r="53" spans="1:99" s="117" customFormat="1" ht="11.25" customHeight="1" x14ac:dyDescent="0.2">
      <c r="A53" s="2145"/>
      <c r="B53" s="2146"/>
      <c r="C53" s="2023" t="s">
        <v>828</v>
      </c>
      <c r="D53" s="2023"/>
      <c r="E53" s="2023"/>
      <c r="F53" s="2023"/>
      <c r="G53" s="2023"/>
      <c r="H53" s="2024"/>
      <c r="I53" s="1623"/>
      <c r="J53" s="797"/>
      <c r="K53" s="1609">
        <f>K52</f>
        <v>8.6</v>
      </c>
      <c r="L53" s="792"/>
      <c r="M53" s="793"/>
      <c r="N53" s="793"/>
      <c r="O53" s="806"/>
      <c r="P53" s="795"/>
      <c r="Q53" s="1815"/>
      <c r="R53" s="1815"/>
      <c r="S53" s="1807">
        <f t="shared" si="21"/>
        <v>8.6</v>
      </c>
      <c r="T53" s="1808"/>
      <c r="U53" s="1612">
        <f>U52</f>
        <v>0.69767441860465118</v>
      </c>
      <c r="V53" s="796"/>
      <c r="W53" s="1801">
        <f>0.75-Y53</f>
        <v>0.49399999999999999</v>
      </c>
      <c r="X53" s="1802"/>
      <c r="Y53" s="1803">
        <v>0.25600000000000001</v>
      </c>
      <c r="Z53" s="1804"/>
      <c r="AA53" s="1811">
        <v>9.0999999999999998E-2</v>
      </c>
      <c r="AB53" s="1812"/>
      <c r="AC53" s="1805">
        <v>81</v>
      </c>
      <c r="AD53" s="1806"/>
      <c r="AE53" s="2163"/>
      <c r="AF53" s="1965"/>
      <c r="AG53" s="375"/>
      <c r="AH53" s="927">
        <f t="shared" si="20"/>
        <v>0.69767441860465118</v>
      </c>
      <c r="AI53" s="927">
        <f t="shared" si="2"/>
        <v>0</v>
      </c>
      <c r="AJ53" s="153"/>
      <c r="AK53" s="911" t="s">
        <v>516</v>
      </c>
      <c r="AL53" s="912"/>
      <c r="AM53" s="933"/>
      <c r="AN53" s="153"/>
      <c r="AR53" s="180"/>
      <c r="AS53" s="240">
        <f t="shared" ca="1" si="22"/>
        <v>1</v>
      </c>
      <c r="AT53" s="241">
        <f t="shared" ca="1" si="22"/>
        <v>1.0069767441860464</v>
      </c>
      <c r="AU53" s="241">
        <f t="shared" ca="1" si="22"/>
        <v>1.0139534883720931</v>
      </c>
      <c r="AV53" s="241">
        <f t="shared" ca="1" si="22"/>
        <v>1.0209302325581395</v>
      </c>
      <c r="AW53" s="241">
        <f t="shared" ca="1" si="22"/>
        <v>1.027906976744186</v>
      </c>
      <c r="AX53" s="241">
        <f t="shared" ca="1" si="22"/>
        <v>1.0348837209302326</v>
      </c>
      <c r="AY53" s="241">
        <f t="shared" ca="1" si="22"/>
        <v>1.0418604651162791</v>
      </c>
      <c r="AZ53" s="241">
        <f t="shared" ca="1" si="22"/>
        <v>1.0488372093023255</v>
      </c>
      <c r="BA53" s="241">
        <f t="shared" ca="1" si="22"/>
        <v>1.0558139534883721</v>
      </c>
      <c r="BB53" s="241">
        <f t="shared" ca="1" si="22"/>
        <v>1.0627906976744186</v>
      </c>
      <c r="BC53" s="241">
        <f t="shared" ca="1" si="23"/>
        <v>1.069767441860465</v>
      </c>
      <c r="BD53" s="241">
        <f t="shared" ca="1" si="23"/>
        <v>1.0767441860465117</v>
      </c>
      <c r="BE53" s="241">
        <f t="shared" ca="1" si="23"/>
        <v>1.0837209302325581</v>
      </c>
      <c r="BF53" s="241">
        <f t="shared" ca="1" si="23"/>
        <v>1.0906976744186045</v>
      </c>
      <c r="BG53" s="241">
        <f t="shared" ca="1" si="23"/>
        <v>1.0976744186046512</v>
      </c>
      <c r="BH53" s="241">
        <f t="shared" ca="1" si="23"/>
        <v>1.1046511627906976</v>
      </c>
      <c r="BI53" s="241">
        <f t="shared" ca="1" si="23"/>
        <v>1.1116279069767443</v>
      </c>
      <c r="BJ53" s="241">
        <f t="shared" ca="1" si="23"/>
        <v>1.1186046511627907</v>
      </c>
      <c r="BK53" s="241">
        <f t="shared" ca="1" si="23"/>
        <v>1.1255813953488372</v>
      </c>
      <c r="BL53" s="241">
        <f t="shared" ca="1" si="23"/>
        <v>1.1325581395348836</v>
      </c>
      <c r="BM53" s="241">
        <f t="shared" ca="1" si="24"/>
        <v>1.1395348837209303</v>
      </c>
      <c r="BN53" s="241">
        <f t="shared" ca="1" si="24"/>
        <v>1.1465116279069767</v>
      </c>
      <c r="BO53" s="241">
        <f t="shared" ca="1" si="24"/>
        <v>1.1534883720930234</v>
      </c>
      <c r="BP53" s="241">
        <f t="shared" ca="1" si="24"/>
        <v>1.1604651162790698</v>
      </c>
      <c r="BQ53" s="241">
        <f t="shared" ca="1" si="24"/>
        <v>1.1674418604651162</v>
      </c>
      <c r="BR53" s="241">
        <f t="shared" ca="1" si="24"/>
        <v>1.1744186046511627</v>
      </c>
      <c r="BS53" s="241">
        <f t="shared" ca="1" si="24"/>
        <v>1.1813953488372093</v>
      </c>
      <c r="BT53" s="241">
        <f t="shared" ca="1" si="24"/>
        <v>1.1883720930232557</v>
      </c>
      <c r="BU53" s="241">
        <f t="shared" ca="1" si="24"/>
        <v>1.1953488372093024</v>
      </c>
      <c r="BV53" s="241">
        <f t="shared" ca="1" si="24"/>
        <v>1.2023255813953488</v>
      </c>
      <c r="BW53" s="241">
        <f t="shared" ca="1" si="25"/>
        <v>1.2093023255813953</v>
      </c>
      <c r="BX53" s="241">
        <f t="shared" ca="1" si="25"/>
        <v>1.2162790697674419</v>
      </c>
      <c r="BY53" s="241">
        <f t="shared" ca="1" si="25"/>
        <v>1.2232558139534884</v>
      </c>
      <c r="BZ53" s="241">
        <f t="shared" ca="1" si="25"/>
        <v>1.230232558139535</v>
      </c>
      <c r="CA53" s="241">
        <f t="shared" ca="1" si="25"/>
        <v>1.2372093023255815</v>
      </c>
      <c r="CB53" s="241">
        <f t="shared" ca="1" si="25"/>
        <v>1.2441860465116279</v>
      </c>
      <c r="CC53" s="241">
        <f t="shared" ca="1" si="25"/>
        <v>1.2511627906976743</v>
      </c>
      <c r="CD53" s="241">
        <f t="shared" ca="1" si="25"/>
        <v>1.258139534883721</v>
      </c>
      <c r="CE53" s="241">
        <f t="shared" ca="1" si="25"/>
        <v>1.2651162790697674</v>
      </c>
      <c r="CF53" s="241">
        <f t="shared" ca="1" si="25"/>
        <v>1.2720930232558141</v>
      </c>
      <c r="CG53" s="241">
        <f t="shared" ca="1" si="26"/>
        <v>1.2790697674418605</v>
      </c>
      <c r="CH53" s="241">
        <f t="shared" ca="1" si="26"/>
        <v>1.286046511627907</v>
      </c>
      <c r="CI53" s="241">
        <f t="shared" ca="1" si="26"/>
        <v>1.2930232558139534</v>
      </c>
      <c r="CJ53" s="241">
        <f t="shared" ca="1" si="26"/>
        <v>1.3</v>
      </c>
      <c r="CK53" s="241">
        <f t="shared" ca="1" si="26"/>
        <v>1.3069767441860465</v>
      </c>
      <c r="CL53" s="241">
        <f t="shared" ca="1" si="26"/>
        <v>1.3139534883720931</v>
      </c>
      <c r="CM53" s="241">
        <f t="shared" ca="1" si="26"/>
        <v>1.3209302325581396</v>
      </c>
      <c r="CN53" s="241">
        <f t="shared" ca="1" si="26"/>
        <v>1.327906976744186</v>
      </c>
      <c r="CO53" s="241">
        <f t="shared" ca="1" si="26"/>
        <v>1.3348837209302327</v>
      </c>
      <c r="CP53" s="241">
        <f t="shared" ca="1" si="26"/>
        <v>1.3418604651162791</v>
      </c>
      <c r="CQ53" s="242">
        <f t="shared" ca="1" si="26"/>
        <v>1.3488372093023255</v>
      </c>
    </row>
    <row r="54" spans="1:99" s="371" customFormat="1" ht="11.25" customHeight="1" x14ac:dyDescent="0.2">
      <c r="A54" s="2145"/>
      <c r="B54" s="2146"/>
      <c r="C54" s="2177" t="s">
        <v>670</v>
      </c>
      <c r="D54" s="2177"/>
      <c r="E54" s="2177"/>
      <c r="F54" s="2177"/>
      <c r="G54" s="2177"/>
      <c r="H54" s="2178"/>
      <c r="I54" s="1790"/>
      <c r="J54" s="1809"/>
      <c r="K54" s="1810"/>
      <c r="L54" s="1809"/>
      <c r="M54" s="807"/>
      <c r="N54" s="807"/>
      <c r="O54" s="808"/>
      <c r="P54" s="809"/>
      <c r="Q54" s="1790"/>
      <c r="R54" s="1790"/>
      <c r="S54" s="1791">
        <f t="shared" si="21"/>
        <v>0</v>
      </c>
      <c r="T54" s="1792"/>
      <c r="U54" s="1790"/>
      <c r="V54" s="2036"/>
      <c r="W54" s="2105"/>
      <c r="X54" s="2106"/>
      <c r="Y54" s="2107"/>
      <c r="Z54" s="2108"/>
      <c r="AA54" s="2165"/>
      <c r="AB54" s="2166"/>
      <c r="AC54" s="1997"/>
      <c r="AD54" s="1998"/>
      <c r="AE54" s="2164"/>
      <c r="AF54" s="1967"/>
      <c r="AG54" s="576"/>
      <c r="AH54" s="930">
        <f t="shared" si="20"/>
        <v>0</v>
      </c>
      <c r="AI54" s="930">
        <f t="shared" si="2"/>
        <v>0</v>
      </c>
      <c r="AJ54" s="153"/>
      <c r="AK54" s="376" t="s">
        <v>523</v>
      </c>
      <c r="AL54" s="377"/>
      <c r="AM54" s="378"/>
      <c r="AN54" s="153"/>
      <c r="AO54" s="934" t="s">
        <v>476</v>
      </c>
      <c r="AP54" s="935"/>
      <c r="AQ54" s="936">
        <f>MATCH(Projektdaten!$H$22,Grunddaten!C52:C54,0)-1</f>
        <v>1</v>
      </c>
      <c r="AS54" s="237">
        <f t="shared" si="22"/>
        <v>0</v>
      </c>
      <c r="AT54" s="238">
        <f t="shared" si="22"/>
        <v>0</v>
      </c>
      <c r="AU54" s="238">
        <f t="shared" si="22"/>
        <v>0</v>
      </c>
      <c r="AV54" s="238">
        <f t="shared" si="22"/>
        <v>0</v>
      </c>
      <c r="AW54" s="238">
        <f t="shared" si="22"/>
        <v>0</v>
      </c>
      <c r="AX54" s="238">
        <f t="shared" si="22"/>
        <v>0</v>
      </c>
      <c r="AY54" s="238">
        <f t="shared" si="22"/>
        <v>0</v>
      </c>
      <c r="AZ54" s="238">
        <f t="shared" si="22"/>
        <v>0</v>
      </c>
      <c r="BA54" s="238">
        <f t="shared" si="22"/>
        <v>0</v>
      </c>
      <c r="BB54" s="238">
        <f t="shared" si="22"/>
        <v>0</v>
      </c>
      <c r="BC54" s="238">
        <f t="shared" si="23"/>
        <v>0</v>
      </c>
      <c r="BD54" s="238">
        <f t="shared" si="23"/>
        <v>0</v>
      </c>
      <c r="BE54" s="238">
        <f t="shared" si="23"/>
        <v>0</v>
      </c>
      <c r="BF54" s="238">
        <f t="shared" si="23"/>
        <v>0</v>
      </c>
      <c r="BG54" s="238">
        <f t="shared" si="23"/>
        <v>0</v>
      </c>
      <c r="BH54" s="238">
        <f t="shared" si="23"/>
        <v>0</v>
      </c>
      <c r="BI54" s="238">
        <f t="shared" si="23"/>
        <v>0</v>
      </c>
      <c r="BJ54" s="238">
        <f t="shared" si="23"/>
        <v>0</v>
      </c>
      <c r="BK54" s="238">
        <f t="shared" si="23"/>
        <v>0</v>
      </c>
      <c r="BL54" s="238">
        <f t="shared" si="23"/>
        <v>0</v>
      </c>
      <c r="BM54" s="238">
        <f t="shared" si="24"/>
        <v>0</v>
      </c>
      <c r="BN54" s="238">
        <f t="shared" si="24"/>
        <v>0</v>
      </c>
      <c r="BO54" s="238">
        <f t="shared" si="24"/>
        <v>0</v>
      </c>
      <c r="BP54" s="238">
        <f t="shared" si="24"/>
        <v>0</v>
      </c>
      <c r="BQ54" s="238">
        <f t="shared" si="24"/>
        <v>0</v>
      </c>
      <c r="BR54" s="238">
        <f t="shared" si="24"/>
        <v>0</v>
      </c>
      <c r="BS54" s="238">
        <f t="shared" si="24"/>
        <v>0</v>
      </c>
      <c r="BT54" s="238">
        <f t="shared" si="24"/>
        <v>0</v>
      </c>
      <c r="BU54" s="238">
        <f t="shared" si="24"/>
        <v>0</v>
      </c>
      <c r="BV54" s="238">
        <f t="shared" si="24"/>
        <v>0</v>
      </c>
      <c r="BW54" s="238">
        <f t="shared" si="25"/>
        <v>0</v>
      </c>
      <c r="BX54" s="238">
        <f t="shared" si="25"/>
        <v>0</v>
      </c>
      <c r="BY54" s="238">
        <f t="shared" si="25"/>
        <v>0</v>
      </c>
      <c r="BZ54" s="238">
        <f t="shared" si="25"/>
        <v>0</v>
      </c>
      <c r="CA54" s="238">
        <f t="shared" si="25"/>
        <v>0</v>
      </c>
      <c r="CB54" s="238">
        <f t="shared" si="25"/>
        <v>0</v>
      </c>
      <c r="CC54" s="238">
        <f t="shared" si="25"/>
        <v>0</v>
      </c>
      <c r="CD54" s="238">
        <f t="shared" si="25"/>
        <v>0</v>
      </c>
      <c r="CE54" s="238">
        <f t="shared" si="25"/>
        <v>0</v>
      </c>
      <c r="CF54" s="238">
        <f t="shared" si="25"/>
        <v>0</v>
      </c>
      <c r="CG54" s="238">
        <f t="shared" si="26"/>
        <v>0</v>
      </c>
      <c r="CH54" s="238">
        <f t="shared" si="26"/>
        <v>0</v>
      </c>
      <c r="CI54" s="238">
        <f t="shared" si="26"/>
        <v>0</v>
      </c>
      <c r="CJ54" s="238">
        <f t="shared" si="26"/>
        <v>0</v>
      </c>
      <c r="CK54" s="238">
        <f t="shared" si="26"/>
        <v>0</v>
      </c>
      <c r="CL54" s="238">
        <f t="shared" si="26"/>
        <v>0</v>
      </c>
      <c r="CM54" s="238">
        <f t="shared" si="26"/>
        <v>0</v>
      </c>
      <c r="CN54" s="238">
        <f t="shared" si="26"/>
        <v>0</v>
      </c>
      <c r="CO54" s="238">
        <f t="shared" si="26"/>
        <v>0</v>
      </c>
      <c r="CP54" s="238">
        <f t="shared" si="26"/>
        <v>0</v>
      </c>
      <c r="CQ54" s="239">
        <f t="shared" si="26"/>
        <v>0</v>
      </c>
    </row>
    <row r="55" spans="1:99" s="380" customFormat="1" ht="11.25" customHeight="1" x14ac:dyDescent="0.2">
      <c r="A55" s="2152" t="s">
        <v>704</v>
      </c>
      <c r="B55" s="2153"/>
      <c r="C55" s="2183" t="s">
        <v>622</v>
      </c>
      <c r="D55" s="2183"/>
      <c r="E55" s="2183"/>
      <c r="F55" s="2183"/>
      <c r="G55" s="2183"/>
      <c r="H55" s="2184"/>
      <c r="I55" s="2176"/>
      <c r="J55" s="1981"/>
      <c r="K55" s="1980"/>
      <c r="L55" s="1981"/>
      <c r="M55" s="785"/>
      <c r="N55" s="787"/>
      <c r="O55" s="788"/>
      <c r="P55" s="789"/>
      <c r="Q55" s="1990"/>
      <c r="R55" s="1990"/>
      <c r="S55" s="1795">
        <f t="shared" ref="S55" si="27">IF(ISBLANK(L55),K55,L55)+Q55</f>
        <v>0</v>
      </c>
      <c r="T55" s="1796"/>
      <c r="U55" s="1990"/>
      <c r="V55" s="2131"/>
      <c r="W55" s="1982"/>
      <c r="X55" s="1983"/>
      <c r="Y55" s="1984"/>
      <c r="Z55" s="1985"/>
      <c r="AA55" s="2167"/>
      <c r="AB55" s="2168"/>
      <c r="AC55" s="2171"/>
      <c r="AD55" s="2172"/>
      <c r="AE55" s="2169"/>
      <c r="AF55" s="2170"/>
      <c r="AG55" s="375"/>
      <c r="AH55" s="929">
        <f>U55</f>
        <v>0</v>
      </c>
      <c r="AI55" s="929">
        <f t="shared" si="2"/>
        <v>0</v>
      </c>
      <c r="AJ55" s="153"/>
      <c r="AK55" s="188" t="s">
        <v>519</v>
      </c>
      <c r="AL55" s="1793">
        <f>VLOOKUP(Projektdaten!H22,Grunddaten!C52:H54,5,FALSE)</f>
        <v>0</v>
      </c>
      <c r="AM55" s="1794"/>
      <c r="AN55" s="153"/>
      <c r="AS55" s="686">
        <f t="shared" si="22"/>
        <v>0</v>
      </c>
      <c r="AT55" s="687">
        <f t="shared" si="22"/>
        <v>0</v>
      </c>
      <c r="AU55" s="687">
        <f t="shared" si="22"/>
        <v>0</v>
      </c>
      <c r="AV55" s="687">
        <f t="shared" si="22"/>
        <v>0</v>
      </c>
      <c r="AW55" s="687">
        <f t="shared" si="22"/>
        <v>0</v>
      </c>
      <c r="AX55" s="687">
        <f t="shared" si="22"/>
        <v>0</v>
      </c>
      <c r="AY55" s="687">
        <f t="shared" si="22"/>
        <v>0</v>
      </c>
      <c r="AZ55" s="687">
        <f t="shared" si="22"/>
        <v>0</v>
      </c>
      <c r="BA55" s="687">
        <f t="shared" si="22"/>
        <v>0</v>
      </c>
      <c r="BB55" s="687">
        <f t="shared" si="22"/>
        <v>0</v>
      </c>
      <c r="BC55" s="687">
        <f t="shared" si="23"/>
        <v>0</v>
      </c>
      <c r="BD55" s="687">
        <f t="shared" si="23"/>
        <v>0</v>
      </c>
      <c r="BE55" s="687">
        <f t="shared" si="23"/>
        <v>0</v>
      </c>
      <c r="BF55" s="687">
        <f t="shared" si="23"/>
        <v>0</v>
      </c>
      <c r="BG55" s="687">
        <f t="shared" si="23"/>
        <v>0</v>
      </c>
      <c r="BH55" s="687">
        <f t="shared" si="23"/>
        <v>0</v>
      </c>
      <c r="BI55" s="687">
        <f t="shared" si="23"/>
        <v>0</v>
      </c>
      <c r="BJ55" s="687">
        <f t="shared" si="23"/>
        <v>0</v>
      </c>
      <c r="BK55" s="687">
        <f t="shared" si="23"/>
        <v>0</v>
      </c>
      <c r="BL55" s="687">
        <f t="shared" si="23"/>
        <v>0</v>
      </c>
      <c r="BM55" s="687">
        <f t="shared" si="24"/>
        <v>0</v>
      </c>
      <c r="BN55" s="687">
        <f t="shared" si="24"/>
        <v>0</v>
      </c>
      <c r="BO55" s="687">
        <f t="shared" si="24"/>
        <v>0</v>
      </c>
      <c r="BP55" s="687">
        <f t="shared" si="24"/>
        <v>0</v>
      </c>
      <c r="BQ55" s="687">
        <f t="shared" si="24"/>
        <v>0</v>
      </c>
      <c r="BR55" s="687">
        <f t="shared" si="24"/>
        <v>0</v>
      </c>
      <c r="BS55" s="687">
        <f t="shared" si="24"/>
        <v>0</v>
      </c>
      <c r="BT55" s="687">
        <f t="shared" si="24"/>
        <v>0</v>
      </c>
      <c r="BU55" s="687">
        <f t="shared" si="24"/>
        <v>0</v>
      </c>
      <c r="BV55" s="687">
        <f t="shared" si="24"/>
        <v>0</v>
      </c>
      <c r="BW55" s="687">
        <f t="shared" si="25"/>
        <v>0</v>
      </c>
      <c r="BX55" s="687">
        <f t="shared" si="25"/>
        <v>0</v>
      </c>
      <c r="BY55" s="687">
        <f t="shared" si="25"/>
        <v>0</v>
      </c>
      <c r="BZ55" s="687">
        <f t="shared" si="25"/>
        <v>0</v>
      </c>
      <c r="CA55" s="687">
        <f t="shared" si="25"/>
        <v>0</v>
      </c>
      <c r="CB55" s="687">
        <f t="shared" si="25"/>
        <v>0</v>
      </c>
      <c r="CC55" s="687">
        <f t="shared" si="25"/>
        <v>0</v>
      </c>
      <c r="CD55" s="687">
        <f t="shared" si="25"/>
        <v>0</v>
      </c>
      <c r="CE55" s="687">
        <f t="shared" si="25"/>
        <v>0</v>
      </c>
      <c r="CF55" s="687">
        <f t="shared" si="25"/>
        <v>0</v>
      </c>
      <c r="CG55" s="687">
        <f t="shared" si="26"/>
        <v>0</v>
      </c>
      <c r="CH55" s="687">
        <f t="shared" si="26"/>
        <v>0</v>
      </c>
      <c r="CI55" s="687">
        <f t="shared" si="26"/>
        <v>0</v>
      </c>
      <c r="CJ55" s="687">
        <f t="shared" si="26"/>
        <v>0</v>
      </c>
      <c r="CK55" s="687">
        <f t="shared" si="26"/>
        <v>0</v>
      </c>
      <c r="CL55" s="687">
        <f t="shared" si="26"/>
        <v>0</v>
      </c>
      <c r="CM55" s="687">
        <f t="shared" si="26"/>
        <v>0</v>
      </c>
      <c r="CN55" s="687">
        <f t="shared" si="26"/>
        <v>0</v>
      </c>
      <c r="CO55" s="687">
        <f t="shared" si="26"/>
        <v>0</v>
      </c>
      <c r="CP55" s="687">
        <f t="shared" si="26"/>
        <v>0</v>
      </c>
      <c r="CQ55" s="688">
        <f t="shared" si="26"/>
        <v>0</v>
      </c>
    </row>
    <row r="56" spans="1:99" s="120" customFormat="1" ht="11.25" customHeight="1" x14ac:dyDescent="0.2">
      <c r="A56" s="2154"/>
      <c r="B56" s="2155"/>
      <c r="C56" s="2177" t="s">
        <v>662</v>
      </c>
      <c r="D56" s="2177"/>
      <c r="E56" s="2177"/>
      <c r="F56" s="2177"/>
      <c r="G56" s="2177"/>
      <c r="H56" s="2178"/>
      <c r="I56" s="2104"/>
      <c r="J56" s="1809"/>
      <c r="K56" s="1810"/>
      <c r="L56" s="1809"/>
      <c r="M56" s="802"/>
      <c r="N56" s="807"/>
      <c r="O56" s="803"/>
      <c r="P56" s="809"/>
      <c r="Q56" s="1790"/>
      <c r="R56" s="1790"/>
      <c r="S56" s="1791">
        <f t="shared" ref="S56" si="28">IF(ISBLANK(L56),K56,L56)+Q56</f>
        <v>0</v>
      </c>
      <c r="T56" s="1792"/>
      <c r="U56" s="1790"/>
      <c r="V56" s="2036"/>
      <c r="W56" s="2105"/>
      <c r="X56" s="2106"/>
      <c r="Y56" s="2107"/>
      <c r="Z56" s="2108"/>
      <c r="AA56" s="2165"/>
      <c r="AB56" s="2166"/>
      <c r="AC56" s="1997"/>
      <c r="AD56" s="1998"/>
      <c r="AE56" s="2021"/>
      <c r="AF56" s="2022"/>
      <c r="AG56" s="375"/>
      <c r="AH56" s="930">
        <f>U56</f>
        <v>0</v>
      </c>
      <c r="AI56" s="930">
        <f t="shared" si="2"/>
        <v>0</v>
      </c>
      <c r="AL56" s="115"/>
      <c r="AM56" s="115"/>
      <c r="AS56" s="683">
        <f t="shared" si="22"/>
        <v>0</v>
      </c>
      <c r="AT56" s="684">
        <f t="shared" si="22"/>
        <v>0</v>
      </c>
      <c r="AU56" s="684">
        <f t="shared" si="22"/>
        <v>0</v>
      </c>
      <c r="AV56" s="684">
        <f t="shared" si="22"/>
        <v>0</v>
      </c>
      <c r="AW56" s="684">
        <f t="shared" si="22"/>
        <v>0</v>
      </c>
      <c r="AX56" s="684">
        <f t="shared" si="22"/>
        <v>0</v>
      </c>
      <c r="AY56" s="684">
        <f t="shared" si="22"/>
        <v>0</v>
      </c>
      <c r="AZ56" s="684">
        <f t="shared" si="22"/>
        <v>0</v>
      </c>
      <c r="BA56" s="684">
        <f t="shared" si="22"/>
        <v>0</v>
      </c>
      <c r="BB56" s="684">
        <f t="shared" si="22"/>
        <v>0</v>
      </c>
      <c r="BC56" s="684">
        <f t="shared" si="23"/>
        <v>0</v>
      </c>
      <c r="BD56" s="684">
        <f t="shared" si="23"/>
        <v>0</v>
      </c>
      <c r="BE56" s="684">
        <f t="shared" si="23"/>
        <v>0</v>
      </c>
      <c r="BF56" s="684">
        <f t="shared" si="23"/>
        <v>0</v>
      </c>
      <c r="BG56" s="684">
        <f t="shared" si="23"/>
        <v>0</v>
      </c>
      <c r="BH56" s="684">
        <f t="shared" si="23"/>
        <v>0</v>
      </c>
      <c r="BI56" s="684">
        <f t="shared" si="23"/>
        <v>0</v>
      </c>
      <c r="BJ56" s="684">
        <f t="shared" si="23"/>
        <v>0</v>
      </c>
      <c r="BK56" s="684">
        <f t="shared" si="23"/>
        <v>0</v>
      </c>
      <c r="BL56" s="684">
        <f t="shared" si="23"/>
        <v>0</v>
      </c>
      <c r="BM56" s="684">
        <f t="shared" si="24"/>
        <v>0</v>
      </c>
      <c r="BN56" s="684">
        <f t="shared" si="24"/>
        <v>0</v>
      </c>
      <c r="BO56" s="684">
        <f t="shared" si="24"/>
        <v>0</v>
      </c>
      <c r="BP56" s="684">
        <f t="shared" si="24"/>
        <v>0</v>
      </c>
      <c r="BQ56" s="684">
        <f t="shared" si="24"/>
        <v>0</v>
      </c>
      <c r="BR56" s="684">
        <f t="shared" si="24"/>
        <v>0</v>
      </c>
      <c r="BS56" s="684">
        <f t="shared" si="24"/>
        <v>0</v>
      </c>
      <c r="BT56" s="684">
        <f t="shared" si="24"/>
        <v>0</v>
      </c>
      <c r="BU56" s="684">
        <f t="shared" si="24"/>
        <v>0</v>
      </c>
      <c r="BV56" s="684">
        <f t="shared" si="24"/>
        <v>0</v>
      </c>
      <c r="BW56" s="684">
        <f t="shared" si="25"/>
        <v>0</v>
      </c>
      <c r="BX56" s="684">
        <f t="shared" si="25"/>
        <v>0</v>
      </c>
      <c r="BY56" s="684">
        <f t="shared" si="25"/>
        <v>0</v>
      </c>
      <c r="BZ56" s="684">
        <f t="shared" si="25"/>
        <v>0</v>
      </c>
      <c r="CA56" s="684">
        <f t="shared" si="25"/>
        <v>0</v>
      </c>
      <c r="CB56" s="684">
        <f t="shared" si="25"/>
        <v>0</v>
      </c>
      <c r="CC56" s="684">
        <f t="shared" si="25"/>
        <v>0</v>
      </c>
      <c r="CD56" s="684">
        <f t="shared" si="25"/>
        <v>0</v>
      </c>
      <c r="CE56" s="684">
        <f t="shared" si="25"/>
        <v>0</v>
      </c>
      <c r="CF56" s="684">
        <f t="shared" si="25"/>
        <v>0</v>
      </c>
      <c r="CG56" s="684">
        <f t="shared" si="26"/>
        <v>0</v>
      </c>
      <c r="CH56" s="684">
        <f t="shared" si="26"/>
        <v>0</v>
      </c>
      <c r="CI56" s="684">
        <f t="shared" si="26"/>
        <v>0</v>
      </c>
      <c r="CJ56" s="684">
        <f t="shared" si="26"/>
        <v>0</v>
      </c>
      <c r="CK56" s="684">
        <f t="shared" si="26"/>
        <v>0</v>
      </c>
      <c r="CL56" s="684">
        <f t="shared" si="26"/>
        <v>0</v>
      </c>
      <c r="CM56" s="684">
        <f t="shared" si="26"/>
        <v>0</v>
      </c>
      <c r="CN56" s="684">
        <f t="shared" si="26"/>
        <v>0</v>
      </c>
      <c r="CO56" s="684">
        <f t="shared" si="26"/>
        <v>0</v>
      </c>
      <c r="CP56" s="684">
        <f t="shared" si="26"/>
        <v>0</v>
      </c>
      <c r="CQ56" s="685">
        <f t="shared" si="26"/>
        <v>0</v>
      </c>
      <c r="CR56" s="152"/>
      <c r="CS56" s="152"/>
    </row>
    <row r="57" spans="1:99" s="120" customFormat="1" ht="12" customHeight="1" x14ac:dyDescent="0.2">
      <c r="B57" s="853"/>
      <c r="C57" s="853"/>
      <c r="D57" s="853"/>
      <c r="E57" s="853"/>
      <c r="F57" s="26"/>
      <c r="G57" s="27"/>
      <c r="H57" s="27"/>
      <c r="I57" s="27"/>
      <c r="J57" s="27"/>
      <c r="K57" s="27"/>
      <c r="L57" s="27"/>
      <c r="M57" s="27"/>
      <c r="N57" s="115"/>
      <c r="O57" s="115"/>
      <c r="P57" s="115"/>
      <c r="Q57" s="92"/>
      <c r="R57" s="115"/>
      <c r="S57" s="115"/>
      <c r="T57" s="115"/>
      <c r="U57" s="115"/>
      <c r="V57" s="115"/>
      <c r="W57" s="115"/>
      <c r="X57" s="115"/>
      <c r="Y57" s="115"/>
      <c r="Z57" s="115"/>
      <c r="AA57" s="115"/>
      <c r="AB57" s="115"/>
      <c r="AC57" s="115"/>
      <c r="AD57" s="115"/>
      <c r="AE57" s="115"/>
      <c r="AL57" s="115"/>
      <c r="AU57" s="152"/>
      <c r="AV57" s="152"/>
      <c r="AW57" s="152"/>
      <c r="AX57" s="152"/>
      <c r="AY57" s="152"/>
      <c r="AZ57" s="152"/>
      <c r="BA57" s="152"/>
      <c r="BB57" s="152"/>
      <c r="BC57" s="152"/>
      <c r="BD57" s="152"/>
      <c r="BE57" s="152"/>
      <c r="BF57" s="152"/>
      <c r="BG57" s="152"/>
      <c r="BH57" s="152"/>
      <c r="BI57" s="152"/>
      <c r="BJ57" s="152"/>
      <c r="BK57" s="152"/>
      <c r="BL57" s="152"/>
      <c r="BM57" s="152"/>
      <c r="BN57" s="152"/>
      <c r="BO57" s="152"/>
      <c r="BP57" s="152"/>
      <c r="BQ57" s="152"/>
      <c r="BR57" s="152"/>
      <c r="BS57" s="152"/>
      <c r="BT57" s="152"/>
      <c r="BU57" s="152"/>
      <c r="BV57" s="152"/>
      <c r="BW57" s="152"/>
      <c r="BX57" s="152"/>
      <c r="BY57" s="152"/>
      <c r="BZ57" s="152"/>
      <c r="CA57" s="152"/>
      <c r="CB57" s="152"/>
      <c r="CC57" s="152"/>
      <c r="CD57" s="152"/>
      <c r="CE57" s="152"/>
      <c r="CF57" s="152"/>
      <c r="CG57" s="152"/>
      <c r="CH57" s="152"/>
      <c r="CI57" s="152"/>
      <c r="CJ57" s="152"/>
      <c r="CK57" s="152"/>
      <c r="CL57" s="152"/>
      <c r="CM57" s="152"/>
      <c r="CN57" s="152"/>
      <c r="CO57" s="152"/>
      <c r="CP57" s="152"/>
      <c r="CQ57" s="152"/>
      <c r="CR57" s="152"/>
      <c r="CS57" s="152"/>
    </row>
    <row r="58" spans="1:99" s="656" customFormat="1" ht="15" customHeight="1" x14ac:dyDescent="0.2">
      <c r="A58" s="502" t="s">
        <v>706</v>
      </c>
      <c r="B58" s="284"/>
      <c r="C58" s="284"/>
      <c r="D58" s="284"/>
      <c r="E58" s="284"/>
      <c r="F58" s="28"/>
      <c r="G58" s="29"/>
      <c r="H58" s="29"/>
      <c r="I58" s="29"/>
      <c r="J58" s="29"/>
      <c r="K58" s="29"/>
      <c r="L58" s="29"/>
      <c r="M58" s="29"/>
      <c r="N58" s="115"/>
      <c r="O58" s="115"/>
      <c r="P58" s="115"/>
      <c r="Q58" s="115"/>
      <c r="R58" s="115"/>
      <c r="S58" s="115"/>
      <c r="T58" s="115"/>
      <c r="U58" s="115"/>
      <c r="V58" s="115"/>
      <c r="W58" s="115"/>
      <c r="X58" s="115"/>
      <c r="Y58" s="114"/>
      <c r="Z58" s="114"/>
      <c r="AA58" s="114"/>
      <c r="AB58" s="114"/>
      <c r="AC58" s="120"/>
      <c r="AD58" s="120"/>
      <c r="AE58" s="120"/>
      <c r="AF58" s="120"/>
      <c r="AG58" s="120"/>
      <c r="AH58" s="120"/>
      <c r="AI58" s="120"/>
      <c r="AJ58" s="655"/>
      <c r="AK58" s="655"/>
      <c r="AL58" s="655"/>
      <c r="AM58" s="655"/>
      <c r="AN58" s="655"/>
      <c r="AO58" s="655"/>
      <c r="AS58" s="657"/>
      <c r="AT58" s="657"/>
      <c r="AU58" s="657"/>
      <c r="AV58" s="657"/>
      <c r="AW58" s="658"/>
      <c r="AX58" s="658"/>
      <c r="AY58" s="658"/>
      <c r="AZ58" s="658"/>
      <c r="BA58" s="658"/>
      <c r="BB58" s="658"/>
      <c r="BC58" s="658"/>
      <c r="BD58" s="658"/>
      <c r="BE58" s="658"/>
      <c r="BF58" s="658"/>
      <c r="BG58" s="658"/>
      <c r="BH58" s="658"/>
      <c r="BI58" s="658"/>
      <c r="BJ58" s="658"/>
      <c r="BK58" s="658"/>
      <c r="BL58" s="658"/>
      <c r="BM58" s="658"/>
      <c r="BN58" s="658"/>
      <c r="BO58" s="658"/>
      <c r="BP58" s="658"/>
      <c r="BQ58" s="658"/>
      <c r="BR58" s="658"/>
      <c r="BS58" s="658"/>
      <c r="BT58" s="658"/>
      <c r="BU58" s="658"/>
      <c r="BV58" s="658"/>
      <c r="BW58" s="658"/>
      <c r="BX58" s="658"/>
      <c r="BY58" s="658"/>
      <c r="BZ58" s="658"/>
      <c r="CA58" s="658"/>
      <c r="CB58" s="658"/>
      <c r="CC58" s="658"/>
      <c r="CD58" s="658"/>
      <c r="CE58" s="658"/>
      <c r="CF58" s="658"/>
      <c r="CG58" s="658"/>
      <c r="CH58" s="658"/>
      <c r="CI58" s="658"/>
      <c r="CJ58" s="658"/>
      <c r="CK58" s="658"/>
      <c r="CL58" s="658"/>
      <c r="CM58" s="658"/>
      <c r="CN58" s="658"/>
      <c r="CO58" s="658"/>
      <c r="CP58" s="658"/>
      <c r="CQ58" s="658"/>
      <c r="CR58" s="658"/>
      <c r="CS58" s="658"/>
      <c r="CT58" s="658"/>
      <c r="CU58" s="658"/>
    </row>
    <row r="59" spans="1:99" s="656" customFormat="1" ht="6" customHeight="1" x14ac:dyDescent="0.2">
      <c r="A59" s="502"/>
      <c r="B59" s="284"/>
      <c r="C59" s="284"/>
      <c r="D59" s="284"/>
      <c r="E59" s="284"/>
      <c r="F59" s="28"/>
      <c r="G59" s="29"/>
      <c r="H59" s="29"/>
      <c r="I59" s="29"/>
      <c r="J59" s="29"/>
      <c r="K59" s="29"/>
      <c r="L59" s="29"/>
      <c r="M59" s="29"/>
      <c r="N59" s="115"/>
      <c r="O59" s="115"/>
      <c r="P59" s="115"/>
      <c r="Q59" s="115"/>
      <c r="R59" s="115"/>
      <c r="S59" s="115"/>
      <c r="T59" s="115"/>
      <c r="U59" s="115"/>
      <c r="V59" s="115"/>
      <c r="W59" s="115"/>
      <c r="X59" s="115"/>
      <c r="Y59" s="114"/>
      <c r="Z59" s="114"/>
      <c r="AA59" s="114"/>
      <c r="AB59" s="114"/>
      <c r="AC59" s="120"/>
      <c r="AD59" s="120"/>
      <c r="AE59" s="120"/>
      <c r="AF59" s="120"/>
      <c r="AG59" s="120"/>
      <c r="AH59" s="120"/>
      <c r="AI59" s="120"/>
      <c r="AJ59" s="655"/>
      <c r="AK59" s="655"/>
      <c r="AL59" s="655"/>
      <c r="AM59" s="655"/>
      <c r="AN59" s="655"/>
      <c r="AO59" s="655"/>
      <c r="AS59" s="657"/>
      <c r="AT59" s="657"/>
      <c r="AU59" s="657"/>
      <c r="AV59" s="657"/>
      <c r="AW59" s="658"/>
      <c r="AX59" s="658"/>
      <c r="AY59" s="658"/>
      <c r="AZ59" s="658"/>
      <c r="BA59" s="658"/>
      <c r="BB59" s="658"/>
      <c r="BC59" s="658"/>
      <c r="BD59" s="658"/>
      <c r="BE59" s="658"/>
      <c r="BF59" s="658"/>
      <c r="BG59" s="658"/>
      <c r="BH59" s="658"/>
      <c r="BI59" s="658"/>
      <c r="BJ59" s="658"/>
      <c r="BK59" s="658"/>
      <c r="BL59" s="658"/>
      <c r="BM59" s="658"/>
      <c r="BN59" s="658"/>
      <c r="BO59" s="658"/>
      <c r="BP59" s="658"/>
      <c r="BQ59" s="658"/>
      <c r="BR59" s="658"/>
      <c r="BS59" s="658"/>
      <c r="BT59" s="658"/>
      <c r="BU59" s="658"/>
      <c r="BV59" s="658"/>
      <c r="BW59" s="658"/>
      <c r="BX59" s="658"/>
      <c r="BY59" s="658"/>
      <c r="BZ59" s="658"/>
      <c r="CA59" s="658"/>
      <c r="CB59" s="658"/>
      <c r="CC59" s="658"/>
      <c r="CD59" s="658"/>
      <c r="CE59" s="658"/>
      <c r="CF59" s="658"/>
      <c r="CG59" s="658"/>
      <c r="CH59" s="658"/>
      <c r="CI59" s="658"/>
      <c r="CJ59" s="658"/>
      <c r="CK59" s="658"/>
      <c r="CL59" s="658"/>
      <c r="CM59" s="658"/>
      <c r="CN59" s="658"/>
      <c r="CO59" s="658"/>
      <c r="CP59" s="658"/>
      <c r="CQ59" s="658"/>
      <c r="CR59" s="658"/>
      <c r="CS59" s="658"/>
      <c r="CT59" s="658"/>
      <c r="CU59" s="658"/>
    </row>
    <row r="60" spans="1:99" s="656" customFormat="1" ht="12.75" customHeight="1" x14ac:dyDescent="0.2">
      <c r="A60" s="854" t="s">
        <v>225</v>
      </c>
      <c r="B60" s="855"/>
      <c r="C60" s="855"/>
      <c r="D60" s="855"/>
      <c r="E60" s="855"/>
      <c r="F60" s="855"/>
      <c r="G60" s="855"/>
      <c r="H60" s="1621"/>
      <c r="I60" s="1630" t="s">
        <v>826</v>
      </c>
      <c r="J60" s="1631"/>
      <c r="K60" s="1631"/>
      <c r="L60" s="1631"/>
      <c r="M60" s="1631"/>
      <c r="N60" s="1631"/>
      <c r="O60" s="1631"/>
      <c r="P60" s="1631"/>
      <c r="Q60" s="1631"/>
      <c r="R60" s="1631"/>
      <c r="S60" s="1631"/>
      <c r="T60" s="1631"/>
      <c r="U60" s="1632"/>
      <c r="V60" s="1632"/>
      <c r="W60" s="1632"/>
      <c r="X60" s="1632"/>
      <c r="Y60" s="1632"/>
      <c r="Z60" s="1632"/>
      <c r="AA60" s="1632"/>
      <c r="AB60" s="1632"/>
      <c r="AC60" s="1632"/>
      <c r="AD60" s="1632"/>
      <c r="AE60" s="1632"/>
      <c r="AF60" s="1633"/>
      <c r="AG60" s="655"/>
      <c r="AH60" s="655"/>
      <c r="AI60" s="655"/>
      <c r="AJ60" s="655"/>
      <c r="AK60" s="655"/>
      <c r="AL60" s="655"/>
      <c r="AM60" s="655"/>
      <c r="AN60" s="655"/>
      <c r="AO60" s="655"/>
      <c r="AP60" s="655"/>
      <c r="AQ60" s="655"/>
      <c r="AR60" s="655"/>
      <c r="AS60" s="657"/>
      <c r="AT60" s="657"/>
      <c r="AU60" s="657"/>
      <c r="AV60" s="657"/>
      <c r="AW60" s="658"/>
      <c r="AX60" s="658"/>
      <c r="AY60" s="658"/>
      <c r="AZ60" s="658"/>
      <c r="BA60" s="658"/>
      <c r="BB60" s="658"/>
      <c r="BC60" s="658"/>
      <c r="BD60" s="658"/>
      <c r="BE60" s="658"/>
      <c r="BF60" s="658"/>
      <c r="BG60" s="658"/>
      <c r="BH60" s="658"/>
      <c r="BI60" s="658"/>
      <c r="BJ60" s="658"/>
      <c r="BK60" s="658"/>
      <c r="BL60" s="658"/>
      <c r="BM60" s="658"/>
      <c r="BN60" s="658"/>
      <c r="BO60" s="658"/>
      <c r="BP60" s="658"/>
      <c r="BQ60" s="658"/>
      <c r="BR60" s="658"/>
      <c r="BS60" s="658"/>
      <c r="BT60" s="658"/>
      <c r="BU60" s="658"/>
      <c r="BV60" s="658"/>
      <c r="BW60" s="658"/>
      <c r="BX60" s="658"/>
      <c r="BY60" s="658"/>
      <c r="BZ60" s="658"/>
      <c r="CA60" s="658"/>
      <c r="CB60" s="658"/>
      <c r="CC60" s="658"/>
      <c r="CD60" s="658"/>
      <c r="CE60" s="658"/>
      <c r="CF60" s="658"/>
      <c r="CG60" s="658"/>
      <c r="CH60" s="658"/>
      <c r="CI60" s="658"/>
      <c r="CJ60" s="658"/>
      <c r="CK60" s="658"/>
      <c r="CL60" s="658"/>
      <c r="CM60" s="658"/>
      <c r="CN60" s="658"/>
      <c r="CO60" s="658"/>
      <c r="CP60" s="658"/>
      <c r="CQ60" s="658"/>
      <c r="CR60" s="658"/>
      <c r="CS60" s="658"/>
      <c r="CT60" s="658"/>
      <c r="CU60" s="658"/>
    </row>
    <row r="61" spans="1:99" s="656" customFormat="1" ht="12.75" customHeight="1" x14ac:dyDescent="0.2">
      <c r="A61" s="856" t="s">
        <v>652</v>
      </c>
      <c r="B61" s="857"/>
      <c r="C61" s="857"/>
      <c r="D61" s="857"/>
      <c r="E61" s="857"/>
      <c r="F61" s="857"/>
      <c r="G61" s="857"/>
      <c r="H61" s="1622"/>
      <c r="I61" s="2173" t="s">
        <v>829</v>
      </c>
      <c r="J61" s="2174"/>
      <c r="K61" s="2174"/>
      <c r="L61" s="2174"/>
      <c r="M61" s="2174"/>
      <c r="N61" s="2174"/>
      <c r="O61" s="2174"/>
      <c r="P61" s="2174"/>
      <c r="Q61" s="2174"/>
      <c r="R61" s="2174"/>
      <c r="S61" s="2174"/>
      <c r="T61" s="2174"/>
      <c r="U61" s="2174"/>
      <c r="V61" s="2174"/>
      <c r="W61" s="2174"/>
      <c r="X61" s="2174"/>
      <c r="Y61" s="2174"/>
      <c r="Z61" s="2174"/>
      <c r="AA61" s="2174"/>
      <c r="AB61" s="2174"/>
      <c r="AC61" s="2174"/>
      <c r="AD61" s="2174"/>
      <c r="AE61" s="2174"/>
      <c r="AF61" s="2175"/>
      <c r="AG61" s="655"/>
      <c r="AH61" s="655"/>
      <c r="AI61" s="655"/>
      <c r="AJ61" s="655"/>
      <c r="AK61" s="655"/>
      <c r="AL61" s="655"/>
      <c r="AM61" s="655"/>
      <c r="AN61" s="655"/>
      <c r="AO61" s="659"/>
      <c r="AP61" s="659"/>
      <c r="AQ61" s="659"/>
      <c r="AR61" s="655"/>
      <c r="AS61" s="657"/>
      <c r="AT61" s="657"/>
      <c r="AU61" s="657"/>
      <c r="AV61" s="657"/>
      <c r="AW61" s="658"/>
      <c r="AX61" s="658"/>
      <c r="AY61" s="658"/>
      <c r="AZ61" s="658"/>
      <c r="BA61" s="658"/>
      <c r="BB61" s="658"/>
      <c r="BC61" s="658"/>
      <c r="BD61" s="658"/>
      <c r="BE61" s="658"/>
      <c r="BF61" s="658"/>
      <c r="BG61" s="658"/>
      <c r="BH61" s="658"/>
      <c r="BI61" s="658"/>
      <c r="BJ61" s="658"/>
      <c r="BK61" s="658"/>
      <c r="BL61" s="658"/>
      <c r="BM61" s="658"/>
      <c r="BN61" s="658"/>
      <c r="BO61" s="658"/>
      <c r="BP61" s="658"/>
      <c r="BQ61" s="658"/>
      <c r="BR61" s="658"/>
      <c r="BS61" s="658"/>
      <c r="BT61" s="658"/>
      <c r="BU61" s="658"/>
      <c r="BV61" s="658"/>
      <c r="BW61" s="658"/>
      <c r="BX61" s="658"/>
      <c r="BY61" s="658"/>
      <c r="BZ61" s="658"/>
      <c r="CA61" s="658"/>
      <c r="CB61" s="658"/>
      <c r="CC61" s="658"/>
      <c r="CD61" s="658"/>
      <c r="CE61" s="658"/>
      <c r="CF61" s="658"/>
      <c r="CG61" s="658"/>
      <c r="CH61" s="658"/>
      <c r="CI61" s="658"/>
      <c r="CJ61" s="658"/>
      <c r="CK61" s="658"/>
      <c r="CL61" s="658"/>
      <c r="CM61" s="658"/>
      <c r="CN61" s="658"/>
      <c r="CO61" s="658"/>
      <c r="CP61" s="658"/>
      <c r="CQ61" s="658"/>
      <c r="CR61" s="658"/>
      <c r="CS61" s="658"/>
      <c r="CT61" s="658"/>
      <c r="CU61" s="658"/>
    </row>
    <row r="62" spans="1:99" s="665" customFormat="1" ht="12.75" customHeight="1" x14ac:dyDescent="0.2">
      <c r="A62" s="858" t="s">
        <v>12</v>
      </c>
      <c r="B62" s="859"/>
      <c r="C62" s="859"/>
      <c r="D62" s="859"/>
      <c r="E62" s="859"/>
      <c r="F62" s="860"/>
      <c r="G62" s="859"/>
      <c r="H62" s="860"/>
      <c r="I62" s="861" t="s">
        <v>654</v>
      </c>
      <c r="J62" s="670"/>
      <c r="K62" s="670"/>
      <c r="L62" s="670"/>
      <c r="M62" s="670"/>
      <c r="N62" s="670"/>
      <c r="O62" s="670"/>
      <c r="P62" s="670"/>
      <c r="Q62" s="670"/>
      <c r="R62" s="670"/>
      <c r="S62" s="670"/>
      <c r="T62" s="862"/>
      <c r="U62" s="859" t="s">
        <v>657</v>
      </c>
      <c r="V62" s="860"/>
      <c r="W62" s="860"/>
      <c r="X62" s="860"/>
      <c r="Y62" s="860"/>
      <c r="Z62" s="860"/>
      <c r="AA62" s="860"/>
      <c r="AB62" s="860"/>
      <c r="AC62" s="860"/>
      <c r="AD62" s="860"/>
      <c r="AE62" s="860"/>
      <c r="AF62" s="863"/>
      <c r="AG62" s="655"/>
      <c r="AH62" s="655"/>
      <c r="AI62" s="655"/>
      <c r="AJ62" s="662"/>
      <c r="AK62" s="662"/>
      <c r="AL62" s="662"/>
      <c r="AM62" s="662"/>
      <c r="AN62" s="662"/>
      <c r="AO62" s="662"/>
      <c r="AP62" s="662"/>
      <c r="AQ62" s="662"/>
      <c r="AR62" s="662"/>
      <c r="AS62" s="663"/>
      <c r="AT62" s="663"/>
      <c r="AU62" s="663"/>
      <c r="AV62" s="663"/>
      <c r="AW62" s="664"/>
      <c r="AX62" s="664"/>
      <c r="AY62" s="664"/>
      <c r="AZ62" s="664"/>
      <c r="BA62" s="664"/>
      <c r="BB62" s="664"/>
      <c r="BC62" s="664"/>
      <c r="BD62" s="664"/>
      <c r="BE62" s="664"/>
      <c r="BF62" s="664"/>
      <c r="BG62" s="664"/>
      <c r="BH62" s="664"/>
      <c r="BI62" s="664"/>
      <c r="BJ62" s="664"/>
      <c r="BK62" s="664"/>
      <c r="BL62" s="664"/>
      <c r="BM62" s="664"/>
      <c r="BN62" s="664"/>
      <c r="BO62" s="664"/>
      <c r="BP62" s="664"/>
      <c r="BQ62" s="664"/>
      <c r="BR62" s="664"/>
      <c r="BS62" s="664"/>
      <c r="BT62" s="664"/>
      <c r="BU62" s="664"/>
      <c r="BV62" s="664"/>
      <c r="BW62" s="664"/>
      <c r="BX62" s="664"/>
      <c r="BY62" s="664"/>
      <c r="BZ62" s="664"/>
      <c r="CA62" s="664"/>
      <c r="CB62" s="664"/>
      <c r="CC62" s="664"/>
      <c r="CD62" s="664"/>
      <c r="CE62" s="664"/>
      <c r="CF62" s="664"/>
      <c r="CG62" s="664"/>
      <c r="CH62" s="664"/>
      <c r="CI62" s="664"/>
      <c r="CJ62" s="664"/>
      <c r="CK62" s="664"/>
      <c r="CL62" s="664"/>
      <c r="CM62" s="664"/>
      <c r="CN62" s="664"/>
      <c r="CO62" s="664"/>
      <c r="CP62" s="664"/>
      <c r="CQ62" s="664"/>
      <c r="CR62" s="664"/>
      <c r="CS62" s="664"/>
      <c r="CT62" s="664"/>
      <c r="CU62" s="664"/>
    </row>
    <row r="63" spans="1:99" s="665" customFormat="1" ht="12.75" customHeight="1" x14ac:dyDescent="0.2">
      <c r="A63" s="864" t="s">
        <v>24</v>
      </c>
      <c r="B63" s="865"/>
      <c r="C63" s="865"/>
      <c r="D63" s="1826" t="s">
        <v>784</v>
      </c>
      <c r="E63" s="1826"/>
      <c r="F63" s="1826"/>
      <c r="G63" s="1826"/>
      <c r="H63" s="2130"/>
      <c r="I63" s="1610" t="s">
        <v>812</v>
      </c>
      <c r="J63" s="1610"/>
      <c r="K63" s="1610"/>
      <c r="L63" s="1610"/>
      <c r="M63" s="1610"/>
      <c r="N63" s="1610"/>
      <c r="O63" s="1610"/>
      <c r="P63" s="1610"/>
      <c r="Q63" s="1610"/>
      <c r="R63" s="1610"/>
      <c r="S63" s="1610"/>
      <c r="T63" s="1610"/>
      <c r="U63" s="2018" t="s">
        <v>830</v>
      </c>
      <c r="V63" s="2019"/>
      <c r="W63" s="2019"/>
      <c r="X63" s="2019"/>
      <c r="Y63" s="2019"/>
      <c r="Z63" s="2019"/>
      <c r="AA63" s="2019"/>
      <c r="AB63" s="2019"/>
      <c r="AC63" s="2019"/>
      <c r="AD63" s="2019"/>
      <c r="AE63" s="2019"/>
      <c r="AF63" s="2020"/>
      <c r="AG63" s="662"/>
      <c r="AH63" s="662"/>
      <c r="AI63" s="662"/>
      <c r="AJ63" s="662"/>
      <c r="AK63" s="662"/>
      <c r="AL63" s="662"/>
      <c r="AM63" s="662"/>
      <c r="AN63" s="662"/>
      <c r="AO63" s="662"/>
      <c r="AP63" s="662"/>
      <c r="AQ63" s="662"/>
      <c r="AR63" s="662"/>
      <c r="AS63" s="663"/>
      <c r="AT63" s="663"/>
      <c r="AU63" s="663"/>
      <c r="AV63" s="663"/>
      <c r="AW63" s="664"/>
      <c r="AX63" s="664"/>
      <c r="AY63" s="664"/>
      <c r="AZ63" s="664"/>
      <c r="BA63" s="664"/>
      <c r="BB63" s="664"/>
      <c r="BC63" s="664"/>
      <c r="BD63" s="664"/>
      <c r="BE63" s="664"/>
      <c r="BF63" s="664"/>
      <c r="BG63" s="664"/>
      <c r="BH63" s="664"/>
      <c r="BI63" s="664"/>
      <c r="BJ63" s="664"/>
      <c r="BK63" s="664"/>
      <c r="BL63" s="664"/>
      <c r="BM63" s="664"/>
      <c r="BN63" s="664"/>
      <c r="BO63" s="664"/>
      <c r="BP63" s="664"/>
      <c r="BQ63" s="664"/>
      <c r="BR63" s="664"/>
      <c r="BS63" s="664"/>
      <c r="BT63" s="664"/>
      <c r="BU63" s="664"/>
      <c r="BV63" s="664"/>
      <c r="BW63" s="664"/>
      <c r="BX63" s="664"/>
      <c r="BY63" s="664"/>
      <c r="BZ63" s="664"/>
      <c r="CA63" s="664"/>
      <c r="CB63" s="664"/>
      <c r="CC63" s="664"/>
      <c r="CD63" s="664"/>
      <c r="CE63" s="664"/>
      <c r="CF63" s="664"/>
      <c r="CG63" s="664"/>
      <c r="CH63" s="664"/>
      <c r="CI63" s="664"/>
      <c r="CJ63" s="664"/>
      <c r="CK63" s="664"/>
      <c r="CL63" s="664"/>
      <c r="CM63" s="664"/>
      <c r="CN63" s="664"/>
      <c r="CO63" s="664"/>
      <c r="CP63" s="664"/>
      <c r="CQ63" s="664"/>
      <c r="CR63" s="664"/>
      <c r="CS63" s="664"/>
      <c r="CT63" s="664"/>
      <c r="CU63" s="664"/>
    </row>
    <row r="64" spans="1:99" s="665" customFormat="1" ht="12.75" customHeight="1" x14ac:dyDescent="0.2">
      <c r="A64" s="866"/>
      <c r="B64" s="867"/>
      <c r="C64" s="867"/>
      <c r="D64" s="1827"/>
      <c r="E64" s="1827"/>
      <c r="F64" s="1827"/>
      <c r="G64" s="1827"/>
      <c r="H64" s="2140"/>
      <c r="I64" s="1753" t="s">
        <v>829</v>
      </c>
      <c r="J64" s="1754"/>
      <c r="K64" s="1754"/>
      <c r="L64" s="1754"/>
      <c r="M64" s="1754"/>
      <c r="N64" s="1754"/>
      <c r="O64" s="1754"/>
      <c r="P64" s="1754"/>
      <c r="Q64" s="1754"/>
      <c r="R64" s="1754"/>
      <c r="S64" s="1754"/>
      <c r="T64" s="1755"/>
      <c r="U64" s="1753" t="s">
        <v>831</v>
      </c>
      <c r="V64" s="1754"/>
      <c r="W64" s="1754"/>
      <c r="X64" s="1754"/>
      <c r="Y64" s="1754"/>
      <c r="Z64" s="1754"/>
      <c r="AA64" s="1754"/>
      <c r="AB64" s="1754"/>
      <c r="AC64" s="1754"/>
      <c r="AD64" s="1754"/>
      <c r="AE64" s="1754"/>
      <c r="AF64" s="1755"/>
      <c r="AG64" s="662"/>
      <c r="AH64" s="662"/>
      <c r="AI64" s="662"/>
      <c r="AJ64" s="662"/>
      <c r="AK64" s="662"/>
      <c r="AL64" s="662"/>
      <c r="AM64" s="662"/>
      <c r="AN64" s="662"/>
      <c r="AO64" s="662"/>
      <c r="AP64" s="662"/>
      <c r="AQ64" s="662"/>
      <c r="AR64" s="662"/>
      <c r="AS64" s="663"/>
      <c r="AT64" s="663"/>
      <c r="AU64" s="663"/>
      <c r="AV64" s="663"/>
      <c r="AW64" s="664"/>
      <c r="AX64" s="664"/>
      <c r="AY64" s="664"/>
      <c r="AZ64" s="664"/>
      <c r="BA64" s="664"/>
      <c r="BB64" s="664"/>
      <c r="BC64" s="664"/>
      <c r="BD64" s="664"/>
      <c r="BE64" s="664"/>
      <c r="BF64" s="664"/>
      <c r="BG64" s="664"/>
      <c r="BH64" s="664"/>
      <c r="BI64" s="664"/>
      <c r="BJ64" s="664"/>
      <c r="BK64" s="664"/>
      <c r="BL64" s="664"/>
      <c r="BM64" s="664"/>
      <c r="BN64" s="664"/>
      <c r="BO64" s="664"/>
      <c r="BP64" s="664"/>
      <c r="BQ64" s="664"/>
      <c r="BR64" s="664"/>
      <c r="BS64" s="664"/>
      <c r="BT64" s="664"/>
      <c r="BU64" s="664"/>
      <c r="BV64" s="664"/>
      <c r="BW64" s="664"/>
      <c r="BX64" s="664"/>
      <c r="BY64" s="664"/>
      <c r="BZ64" s="664"/>
      <c r="CA64" s="664"/>
      <c r="CB64" s="664"/>
      <c r="CC64" s="664"/>
      <c r="CD64" s="664"/>
      <c r="CE64" s="664"/>
      <c r="CF64" s="664"/>
      <c r="CG64" s="664"/>
      <c r="CH64" s="664"/>
      <c r="CI64" s="664"/>
      <c r="CJ64" s="664"/>
      <c r="CK64" s="664"/>
      <c r="CL64" s="664"/>
      <c r="CM64" s="664"/>
      <c r="CN64" s="664"/>
      <c r="CO64" s="664"/>
      <c r="CP64" s="664"/>
      <c r="CQ64" s="664"/>
      <c r="CR64" s="664"/>
      <c r="CS64" s="664"/>
      <c r="CT64" s="664"/>
      <c r="CU64" s="664"/>
    </row>
    <row r="65" spans="1:99" s="665" customFormat="1" ht="12.75" customHeight="1" x14ac:dyDescent="0.2">
      <c r="A65" s="868"/>
      <c r="B65" s="867"/>
      <c r="C65" s="867"/>
      <c r="D65" s="1826" t="s">
        <v>792</v>
      </c>
      <c r="E65" s="1826"/>
      <c r="F65" s="1826"/>
      <c r="G65" s="1826"/>
      <c r="H65" s="2130"/>
      <c r="I65" s="1748" t="s">
        <v>806</v>
      </c>
      <c r="J65" s="1749"/>
      <c r="K65" s="1749"/>
      <c r="L65" s="1625" t="s">
        <v>813</v>
      </c>
      <c r="M65" s="1624"/>
      <c r="N65" s="1625" t="s">
        <v>832</v>
      </c>
      <c r="O65" s="1613"/>
      <c r="P65" s="1624"/>
      <c r="Q65" s="1613"/>
      <c r="R65" s="1624"/>
      <c r="S65" s="1613"/>
      <c r="T65" s="1614"/>
      <c r="U65" s="2018" t="s">
        <v>810</v>
      </c>
      <c r="V65" s="2019"/>
      <c r="W65" s="2019"/>
      <c r="X65" s="2019"/>
      <c r="Y65" s="2019"/>
      <c r="Z65" s="2019"/>
      <c r="AA65" s="2019"/>
      <c r="AB65" s="2019"/>
      <c r="AC65" s="2019"/>
      <c r="AD65" s="2019"/>
      <c r="AE65" s="2019"/>
      <c r="AF65" s="2020"/>
      <c r="AG65" s="662"/>
      <c r="AH65" s="662"/>
      <c r="AI65" s="662"/>
      <c r="AJ65" s="662"/>
      <c r="AK65" s="662"/>
      <c r="AL65" s="662"/>
      <c r="AM65" s="662"/>
      <c r="AN65" s="662"/>
      <c r="AO65" s="662"/>
      <c r="AP65" s="662"/>
      <c r="AQ65" s="662"/>
      <c r="AR65" s="662"/>
      <c r="AS65" s="663"/>
      <c r="AT65" s="663"/>
      <c r="AU65" s="663"/>
      <c r="AV65" s="663"/>
      <c r="AW65" s="664"/>
      <c r="AX65" s="664"/>
      <c r="AY65" s="664"/>
      <c r="AZ65" s="664"/>
      <c r="BA65" s="664"/>
      <c r="BB65" s="664"/>
      <c r="BC65" s="664"/>
      <c r="BD65" s="664"/>
      <c r="BE65" s="664"/>
      <c r="BF65" s="664"/>
      <c r="BG65" s="664"/>
      <c r="BH65" s="664"/>
      <c r="BI65" s="664"/>
      <c r="BJ65" s="664"/>
      <c r="BK65" s="664"/>
      <c r="BL65" s="664"/>
      <c r="BM65" s="664"/>
      <c r="BN65" s="664"/>
      <c r="BO65" s="664"/>
      <c r="BP65" s="664"/>
      <c r="BQ65" s="664"/>
      <c r="BR65" s="664"/>
      <c r="BS65" s="664"/>
      <c r="BT65" s="664"/>
      <c r="BU65" s="664"/>
      <c r="BV65" s="664"/>
      <c r="BW65" s="664"/>
      <c r="BX65" s="664"/>
      <c r="BY65" s="664"/>
      <c r="BZ65" s="664"/>
      <c r="CA65" s="664"/>
      <c r="CB65" s="664"/>
      <c r="CC65" s="664"/>
      <c r="CD65" s="664"/>
      <c r="CE65" s="664"/>
      <c r="CF65" s="664"/>
      <c r="CG65" s="664"/>
      <c r="CH65" s="664"/>
      <c r="CI65" s="664"/>
      <c r="CJ65" s="664"/>
      <c r="CK65" s="664"/>
      <c r="CL65" s="664"/>
      <c r="CM65" s="664"/>
      <c r="CN65" s="664"/>
      <c r="CO65" s="664"/>
      <c r="CP65" s="664"/>
      <c r="CQ65" s="664"/>
      <c r="CR65" s="664"/>
      <c r="CS65" s="664"/>
      <c r="CT65" s="664"/>
      <c r="CU65" s="664"/>
    </row>
    <row r="66" spans="1:99" s="665" customFormat="1" ht="12.75" customHeight="1" x14ac:dyDescent="0.2">
      <c r="A66" s="868"/>
      <c r="B66" s="867"/>
      <c r="C66" s="867"/>
      <c r="D66" s="1826" t="s">
        <v>708</v>
      </c>
      <c r="E66" s="1826"/>
      <c r="F66" s="1826"/>
      <c r="G66" s="1826"/>
      <c r="H66" s="2130"/>
      <c r="I66" s="1593" t="s">
        <v>805</v>
      </c>
      <c r="J66" s="1594"/>
      <c r="K66" s="1594"/>
      <c r="L66" s="1594"/>
      <c r="M66" s="1594"/>
      <c r="N66" s="1594"/>
      <c r="O66" s="1594"/>
      <c r="P66" s="1594"/>
      <c r="Q66" s="1594"/>
      <c r="R66" s="1594"/>
      <c r="S66" s="1595"/>
      <c r="T66" s="1596"/>
      <c r="U66" s="1603"/>
      <c r="V66" s="1603"/>
      <c r="W66" s="1603"/>
      <c r="X66" s="1617">
        <v>2.9999999999999997E-4</v>
      </c>
      <c r="Y66" s="1602" t="s">
        <v>802</v>
      </c>
      <c r="Z66" s="1603"/>
      <c r="AA66" s="1617">
        <v>1E-4</v>
      </c>
      <c r="AB66" s="1602" t="s">
        <v>803</v>
      </c>
      <c r="AC66" s="1603"/>
      <c r="AD66" s="1617">
        <f>1-X66-AA66</f>
        <v>0.99960000000000004</v>
      </c>
      <c r="AE66" s="1602" t="s">
        <v>804</v>
      </c>
      <c r="AF66" s="1604"/>
      <c r="AG66" s="662"/>
      <c r="AH66" s="662"/>
      <c r="AI66" s="662"/>
      <c r="AJ66" s="662"/>
      <c r="AK66" s="662"/>
      <c r="AL66" s="662"/>
      <c r="AM66" s="662"/>
      <c r="AN66" s="662"/>
      <c r="AO66" s="662"/>
      <c r="AP66" s="662"/>
      <c r="AQ66" s="662"/>
      <c r="AR66" s="662"/>
      <c r="AS66" s="663"/>
      <c r="AT66" s="663"/>
      <c r="AU66" s="663"/>
      <c r="AV66" s="663"/>
      <c r="AW66" s="664"/>
      <c r="AX66" s="664"/>
      <c r="AY66" s="664"/>
      <c r="AZ66" s="664"/>
      <c r="BA66" s="664"/>
      <c r="BB66" s="664"/>
      <c r="BC66" s="664"/>
      <c r="BD66" s="664"/>
      <c r="BE66" s="664"/>
      <c r="BF66" s="664"/>
      <c r="BG66" s="664"/>
      <c r="BH66" s="664"/>
      <c r="BI66" s="664"/>
      <c r="BJ66" s="664"/>
      <c r="BK66" s="664"/>
      <c r="BL66" s="664"/>
      <c r="BM66" s="664"/>
      <c r="BN66" s="664"/>
      <c r="BO66" s="664"/>
      <c r="BP66" s="664"/>
      <c r="BQ66" s="664"/>
      <c r="BR66" s="664"/>
      <c r="BS66" s="664"/>
      <c r="BT66" s="664"/>
      <c r="BU66" s="664"/>
      <c r="BV66" s="664"/>
      <c r="BW66" s="664"/>
      <c r="BX66" s="664"/>
      <c r="BY66" s="664"/>
      <c r="BZ66" s="664"/>
      <c r="CA66" s="664"/>
      <c r="CB66" s="664"/>
      <c r="CC66" s="664"/>
      <c r="CD66" s="664"/>
      <c r="CE66" s="664"/>
      <c r="CF66" s="664"/>
      <c r="CG66" s="664"/>
      <c r="CH66" s="664"/>
      <c r="CI66" s="664"/>
      <c r="CJ66" s="664"/>
      <c r="CK66" s="664"/>
      <c r="CL66" s="664"/>
      <c r="CM66" s="664"/>
      <c r="CN66" s="664"/>
      <c r="CO66" s="664"/>
      <c r="CP66" s="664"/>
      <c r="CQ66" s="664"/>
      <c r="CR66" s="664"/>
      <c r="CS66" s="664"/>
      <c r="CT66" s="664"/>
      <c r="CU66" s="664"/>
    </row>
    <row r="67" spans="1:99" s="665" customFormat="1" ht="12.75" customHeight="1" x14ac:dyDescent="0.2">
      <c r="A67" s="868"/>
      <c r="B67" s="867"/>
      <c r="C67" s="867"/>
      <c r="D67" s="2138" t="str">
        <f>C29</f>
        <v>Lokales Produkt A</v>
      </c>
      <c r="E67" s="2138"/>
      <c r="F67" s="2138"/>
      <c r="G67" s="2138"/>
      <c r="H67" s="2139"/>
      <c r="I67" s="810"/>
      <c r="J67" s="811"/>
      <c r="K67" s="811"/>
      <c r="L67" s="811"/>
      <c r="M67" s="811"/>
      <c r="N67" s="811"/>
      <c r="O67" s="811"/>
      <c r="P67" s="811"/>
      <c r="Q67" s="811"/>
      <c r="R67" s="811"/>
      <c r="S67" s="811"/>
      <c r="T67" s="812"/>
      <c r="U67" s="813"/>
      <c r="V67" s="813"/>
      <c r="W67" s="813"/>
      <c r="X67" s="813"/>
      <c r="Y67" s="813"/>
      <c r="Z67" s="813"/>
      <c r="AA67" s="813"/>
      <c r="AB67" s="813"/>
      <c r="AC67" s="813"/>
      <c r="AD67" s="813"/>
      <c r="AE67" s="813"/>
      <c r="AF67" s="814"/>
      <c r="AG67" s="662"/>
      <c r="AH67" s="662"/>
      <c r="AI67" s="662"/>
      <c r="AJ67" s="662"/>
      <c r="AK67" s="662"/>
      <c r="AL67" s="662"/>
      <c r="AM67" s="662"/>
      <c r="AN67" s="662"/>
      <c r="AO67" s="662"/>
      <c r="AP67" s="662"/>
      <c r="AQ67" s="662"/>
      <c r="AR67" s="662"/>
      <c r="AS67" s="663"/>
      <c r="AT67" s="663"/>
      <c r="AU67" s="663"/>
      <c r="AV67" s="663"/>
      <c r="AW67" s="664"/>
      <c r="AX67" s="664"/>
      <c r="AY67" s="664"/>
      <c r="AZ67" s="664"/>
      <c r="BA67" s="664"/>
      <c r="BB67" s="664"/>
      <c r="BC67" s="664"/>
      <c r="BD67" s="664"/>
      <c r="BE67" s="664"/>
      <c r="BF67" s="664"/>
      <c r="BG67" s="664"/>
      <c r="BH67" s="664"/>
      <c r="BI67" s="664"/>
      <c r="BJ67" s="664"/>
      <c r="BK67" s="664"/>
      <c r="BL67" s="664"/>
      <c r="BM67" s="664"/>
      <c r="BN67" s="664"/>
      <c r="BO67" s="664"/>
      <c r="BP67" s="664"/>
      <c r="BQ67" s="664"/>
      <c r="BR67" s="664"/>
      <c r="BS67" s="664"/>
      <c r="BT67" s="664"/>
      <c r="BU67" s="664"/>
      <c r="BV67" s="664"/>
      <c r="BW67" s="664"/>
      <c r="BX67" s="664"/>
      <c r="BY67" s="664"/>
      <c r="BZ67" s="664"/>
      <c r="CA67" s="664"/>
      <c r="CB67" s="664"/>
      <c r="CC67" s="664"/>
      <c r="CD67" s="664"/>
      <c r="CE67" s="664"/>
      <c r="CF67" s="664"/>
      <c r="CG67" s="664"/>
      <c r="CH67" s="664"/>
      <c r="CI67" s="664"/>
      <c r="CJ67" s="664"/>
      <c r="CK67" s="664"/>
      <c r="CL67" s="664"/>
      <c r="CM67" s="664"/>
      <c r="CN67" s="664"/>
      <c r="CO67" s="664"/>
      <c r="CP67" s="664"/>
      <c r="CQ67" s="664"/>
      <c r="CR67" s="664"/>
      <c r="CS67" s="664"/>
      <c r="CT67" s="664"/>
      <c r="CU67" s="664"/>
    </row>
    <row r="68" spans="1:99" s="665" customFormat="1" ht="12.75" customHeight="1" x14ac:dyDescent="0.2">
      <c r="A68" s="868"/>
      <c r="B68" s="867"/>
      <c r="C68" s="867"/>
      <c r="D68" s="2138" t="str">
        <f>C33</f>
        <v>Lokales Produkt B</v>
      </c>
      <c r="E68" s="2138"/>
      <c r="F68" s="2138"/>
      <c r="G68" s="2138"/>
      <c r="H68" s="2139"/>
      <c r="I68" s="1575"/>
      <c r="J68" s="1576"/>
      <c r="K68" s="1576"/>
      <c r="L68" s="1576"/>
      <c r="M68" s="1576"/>
      <c r="N68" s="1576"/>
      <c r="O68" s="1576"/>
      <c r="P68" s="1576"/>
      <c r="Q68" s="1576"/>
      <c r="R68" s="1576"/>
      <c r="S68" s="1576"/>
      <c r="T68" s="1579"/>
      <c r="U68" s="1577"/>
      <c r="V68" s="1577"/>
      <c r="W68" s="1577"/>
      <c r="X68" s="1577"/>
      <c r="Y68" s="1577"/>
      <c r="Z68" s="1577"/>
      <c r="AA68" s="1577"/>
      <c r="AB68" s="1577"/>
      <c r="AC68" s="1577"/>
      <c r="AD68" s="1577"/>
      <c r="AE68" s="1577"/>
      <c r="AF68" s="1578"/>
      <c r="AG68" s="662"/>
      <c r="AH68" s="662"/>
      <c r="AI68" s="662"/>
      <c r="AJ68" s="662"/>
      <c r="AK68" s="662"/>
      <c r="AL68" s="662"/>
      <c r="AM68" s="662"/>
      <c r="AN68" s="662"/>
      <c r="AO68" s="662"/>
      <c r="AP68" s="662"/>
      <c r="AQ68" s="662"/>
      <c r="AR68" s="662"/>
      <c r="AS68" s="663"/>
      <c r="AT68" s="663"/>
      <c r="AU68" s="663"/>
      <c r="AV68" s="663"/>
      <c r="AW68" s="664"/>
      <c r="AX68" s="664"/>
      <c r="AY68" s="664"/>
      <c r="AZ68" s="664"/>
      <c r="BA68" s="664"/>
      <c r="BB68" s="664"/>
      <c r="BC68" s="664"/>
      <c r="BD68" s="664"/>
      <c r="BE68" s="664"/>
      <c r="BF68" s="664"/>
      <c r="BG68" s="664"/>
      <c r="BH68" s="664"/>
      <c r="BI68" s="664"/>
      <c r="BJ68" s="664"/>
      <c r="BK68" s="664"/>
      <c r="BL68" s="664"/>
      <c r="BM68" s="664"/>
      <c r="BN68" s="664"/>
      <c r="BO68" s="664"/>
      <c r="BP68" s="664"/>
      <c r="BQ68" s="664"/>
      <c r="BR68" s="664"/>
      <c r="BS68" s="664"/>
      <c r="BT68" s="664"/>
      <c r="BU68" s="664"/>
      <c r="BV68" s="664"/>
      <c r="BW68" s="664"/>
      <c r="BX68" s="664"/>
      <c r="BY68" s="664"/>
      <c r="BZ68" s="664"/>
      <c r="CA68" s="664"/>
      <c r="CB68" s="664"/>
      <c r="CC68" s="664"/>
      <c r="CD68" s="664"/>
      <c r="CE68" s="664"/>
      <c r="CF68" s="664"/>
      <c r="CG68" s="664"/>
      <c r="CH68" s="664"/>
      <c r="CI68" s="664"/>
      <c r="CJ68" s="664"/>
      <c r="CK68" s="664"/>
      <c r="CL68" s="664"/>
      <c r="CM68" s="664"/>
      <c r="CN68" s="664"/>
      <c r="CO68" s="664"/>
      <c r="CP68" s="664"/>
      <c r="CQ68" s="664"/>
      <c r="CR68" s="664"/>
      <c r="CS68" s="664"/>
      <c r="CT68" s="664"/>
      <c r="CU68" s="664"/>
    </row>
    <row r="69" spans="1:99" s="665" customFormat="1" ht="12.75" customHeight="1" x14ac:dyDescent="0.2">
      <c r="A69" s="868"/>
      <c r="B69" s="867"/>
      <c r="C69" s="867"/>
      <c r="D69" s="2138" t="str">
        <f>C37</f>
        <v>Lokales Produkt C</v>
      </c>
      <c r="E69" s="2138"/>
      <c r="F69" s="2138"/>
      <c r="G69" s="2138"/>
      <c r="H69" s="2139"/>
      <c r="I69" s="815"/>
      <c r="J69" s="816"/>
      <c r="K69" s="816"/>
      <c r="L69" s="816"/>
      <c r="M69" s="816"/>
      <c r="N69" s="816"/>
      <c r="O69" s="816"/>
      <c r="P69" s="816"/>
      <c r="Q69" s="816"/>
      <c r="R69" s="816"/>
      <c r="S69" s="816"/>
      <c r="T69" s="1580"/>
      <c r="U69" s="817"/>
      <c r="V69" s="817"/>
      <c r="W69" s="817"/>
      <c r="X69" s="817"/>
      <c r="Y69" s="817"/>
      <c r="Z69" s="817"/>
      <c r="AA69" s="817"/>
      <c r="AB69" s="817"/>
      <c r="AC69" s="817"/>
      <c r="AD69" s="817"/>
      <c r="AE69" s="817"/>
      <c r="AF69" s="818"/>
      <c r="AG69" s="662"/>
      <c r="AH69" s="662"/>
      <c r="AI69" s="662"/>
      <c r="AJ69" s="662"/>
      <c r="AK69" s="662"/>
      <c r="AL69" s="662"/>
      <c r="AM69" s="662"/>
      <c r="AN69" s="662"/>
      <c r="AO69" s="662"/>
      <c r="AP69" s="662"/>
      <c r="AQ69" s="662"/>
      <c r="AR69" s="662"/>
      <c r="AS69" s="663"/>
      <c r="AT69" s="663"/>
      <c r="AU69" s="663"/>
      <c r="AV69" s="663"/>
      <c r="AW69" s="664"/>
      <c r="AX69" s="664"/>
      <c r="AY69" s="664"/>
      <c r="AZ69" s="664"/>
      <c r="BA69" s="664"/>
      <c r="BB69" s="664"/>
      <c r="BC69" s="664"/>
      <c r="BD69" s="664"/>
      <c r="BE69" s="664"/>
      <c r="BF69" s="664"/>
      <c r="BG69" s="664"/>
      <c r="BH69" s="664"/>
      <c r="BI69" s="664"/>
      <c r="BJ69" s="664"/>
      <c r="BK69" s="664"/>
      <c r="BL69" s="664"/>
      <c r="BM69" s="664"/>
      <c r="BN69" s="664"/>
      <c r="BO69" s="664"/>
      <c r="BP69" s="664"/>
      <c r="BQ69" s="664"/>
      <c r="BR69" s="664"/>
      <c r="BS69" s="664"/>
      <c r="BT69" s="664"/>
      <c r="BU69" s="664"/>
      <c r="BV69" s="664"/>
      <c r="BW69" s="664"/>
      <c r="BX69" s="664"/>
      <c r="BY69" s="664"/>
      <c r="BZ69" s="664"/>
      <c r="CA69" s="664"/>
      <c r="CB69" s="664"/>
      <c r="CC69" s="664"/>
      <c r="CD69" s="664"/>
      <c r="CE69" s="664"/>
      <c r="CF69" s="664"/>
      <c r="CG69" s="664"/>
      <c r="CH69" s="664"/>
      <c r="CI69" s="664"/>
      <c r="CJ69" s="664"/>
      <c r="CK69" s="664"/>
      <c r="CL69" s="664"/>
      <c r="CM69" s="664"/>
      <c r="CN69" s="664"/>
      <c r="CO69" s="664"/>
      <c r="CP69" s="664"/>
      <c r="CQ69" s="664"/>
      <c r="CR69" s="664"/>
      <c r="CS69" s="664"/>
      <c r="CT69" s="664"/>
      <c r="CU69" s="664"/>
    </row>
    <row r="70" spans="1:99" s="656" customFormat="1" ht="12.75" customHeight="1" x14ac:dyDescent="0.2">
      <c r="A70" s="868"/>
      <c r="B70" s="869"/>
      <c r="C70" s="869"/>
      <c r="D70" s="1826" t="s">
        <v>243</v>
      </c>
      <c r="E70" s="1826"/>
      <c r="F70" s="1826"/>
      <c r="G70" s="1826"/>
      <c r="H70" s="2130"/>
      <c r="I70" s="1626" t="s">
        <v>814</v>
      </c>
      <c r="J70" s="1627"/>
      <c r="K70" s="1627"/>
      <c r="L70" s="1627"/>
      <c r="M70" s="1627"/>
      <c r="N70" s="1627"/>
      <c r="O70" s="1627"/>
      <c r="P70" s="1627"/>
      <c r="Q70" s="1752" t="s">
        <v>806</v>
      </c>
      <c r="R70" s="1752"/>
      <c r="S70" s="1750"/>
      <c r="T70" s="1751"/>
      <c r="U70" s="1572"/>
      <c r="V70" s="1573"/>
      <c r="W70" s="1573"/>
      <c r="X70" s="1573"/>
      <c r="Y70" s="1573"/>
      <c r="Z70" s="1573"/>
      <c r="AA70" s="1573"/>
      <c r="AB70" s="1573"/>
      <c r="AC70" s="1573"/>
      <c r="AD70" s="1573"/>
      <c r="AE70" s="1573"/>
      <c r="AF70" s="1574"/>
      <c r="AG70" s="655"/>
      <c r="AH70" s="655"/>
      <c r="AI70" s="655"/>
      <c r="AJ70" s="655"/>
      <c r="AK70" s="655"/>
      <c r="AL70" s="655"/>
      <c r="AM70" s="655"/>
      <c r="AN70" s="655"/>
      <c r="AO70" s="655"/>
      <c r="AP70" s="655"/>
      <c r="AQ70" s="655"/>
      <c r="AR70" s="655"/>
      <c r="AS70" s="657"/>
      <c r="AT70" s="657"/>
      <c r="AU70" s="657"/>
      <c r="AV70" s="657"/>
      <c r="AW70" s="658"/>
      <c r="AX70" s="658"/>
      <c r="AY70" s="658"/>
      <c r="AZ70" s="658"/>
      <c r="BA70" s="658"/>
      <c r="BB70" s="658"/>
      <c r="BC70" s="658"/>
      <c r="BD70" s="658"/>
      <c r="BE70" s="658"/>
      <c r="BF70" s="658"/>
      <c r="BG70" s="658"/>
      <c r="BH70" s="658"/>
      <c r="BI70" s="658"/>
      <c r="BJ70" s="658"/>
      <c r="BK70" s="658"/>
      <c r="BL70" s="658"/>
      <c r="BM70" s="658"/>
      <c r="BN70" s="658"/>
      <c r="BO70" s="658"/>
      <c r="BP70" s="658"/>
      <c r="BQ70" s="658"/>
      <c r="BR70" s="658"/>
      <c r="BS70" s="658"/>
      <c r="BT70" s="658"/>
      <c r="BU70" s="658"/>
      <c r="BV70" s="658"/>
      <c r="BW70" s="658"/>
      <c r="BX70" s="658"/>
      <c r="BY70" s="658"/>
      <c r="BZ70" s="658"/>
      <c r="CA70" s="658"/>
      <c r="CB70" s="658"/>
      <c r="CC70" s="658"/>
      <c r="CD70" s="658"/>
      <c r="CE70" s="658"/>
      <c r="CF70" s="658"/>
      <c r="CG70" s="658"/>
      <c r="CH70" s="658"/>
      <c r="CI70" s="658"/>
      <c r="CJ70" s="658"/>
      <c r="CK70" s="658"/>
      <c r="CL70" s="658"/>
      <c r="CM70" s="658"/>
      <c r="CN70" s="658"/>
      <c r="CO70" s="658"/>
      <c r="CP70" s="658"/>
      <c r="CQ70" s="658"/>
      <c r="CR70" s="658"/>
      <c r="CS70" s="658"/>
      <c r="CT70" s="658"/>
      <c r="CU70" s="658"/>
    </row>
    <row r="71" spans="1:99" s="656" customFormat="1" ht="12.75" customHeight="1" x14ac:dyDescent="0.2">
      <c r="A71" s="864" t="s">
        <v>208</v>
      </c>
      <c r="B71" s="870"/>
      <c r="C71" s="870"/>
      <c r="D71" s="1826" t="s">
        <v>32</v>
      </c>
      <c r="E71" s="1826"/>
      <c r="F71" s="1826"/>
      <c r="G71" s="1826"/>
      <c r="H71" s="2130"/>
      <c r="I71" s="1756" t="s">
        <v>812</v>
      </c>
      <c r="J71" s="1757"/>
      <c r="K71" s="1757"/>
      <c r="L71" s="1757"/>
      <c r="M71" s="1757"/>
      <c r="N71" s="1757"/>
      <c r="O71" s="1757"/>
      <c r="P71" s="1757"/>
      <c r="Q71" s="1757"/>
      <c r="R71" s="1757"/>
      <c r="S71" s="1757"/>
      <c r="T71" s="1758"/>
      <c r="U71" s="2019" t="s">
        <v>830</v>
      </c>
      <c r="V71" s="2019"/>
      <c r="W71" s="2019"/>
      <c r="X71" s="2019"/>
      <c r="Y71" s="2019"/>
      <c r="Z71" s="2019"/>
      <c r="AA71" s="2019"/>
      <c r="AB71" s="2019"/>
      <c r="AC71" s="2019"/>
      <c r="AD71" s="2019"/>
      <c r="AE71" s="2019"/>
      <c r="AF71" s="2020"/>
      <c r="AG71" s="655"/>
      <c r="AH71" s="655"/>
      <c r="AI71" s="655"/>
      <c r="AJ71" s="655"/>
      <c r="AK71" s="655"/>
      <c r="AL71" s="655"/>
      <c r="AM71" s="655"/>
      <c r="AN71" s="655"/>
      <c r="AO71" s="655"/>
      <c r="AP71" s="655"/>
      <c r="AQ71" s="655"/>
      <c r="AR71" s="655"/>
      <c r="AS71" s="657"/>
      <c r="AT71" s="657"/>
      <c r="AU71" s="657"/>
      <c r="AV71" s="657"/>
      <c r="AW71" s="658"/>
      <c r="AX71" s="658"/>
      <c r="AY71" s="658"/>
      <c r="AZ71" s="658"/>
      <c r="BA71" s="658"/>
      <c r="BB71" s="658"/>
      <c r="BC71" s="658"/>
      <c r="BD71" s="658"/>
      <c r="BE71" s="658"/>
      <c r="BF71" s="658"/>
      <c r="BG71" s="658"/>
      <c r="BH71" s="658"/>
      <c r="BI71" s="658"/>
      <c r="BJ71" s="658"/>
      <c r="BK71" s="658"/>
      <c r="BL71" s="658"/>
      <c r="BM71" s="658"/>
      <c r="BN71" s="658"/>
      <c r="BO71" s="658"/>
      <c r="BP71" s="658"/>
      <c r="BQ71" s="658"/>
      <c r="BR71" s="658"/>
      <c r="BS71" s="658"/>
      <c r="BT71" s="658"/>
      <c r="BU71" s="658"/>
      <c r="BV71" s="658"/>
      <c r="BW71" s="658"/>
      <c r="BX71" s="658"/>
      <c r="BY71" s="658"/>
      <c r="BZ71" s="658"/>
      <c r="CA71" s="658"/>
      <c r="CB71" s="658"/>
      <c r="CC71" s="658"/>
      <c r="CD71" s="658"/>
      <c r="CE71" s="658"/>
      <c r="CF71" s="658"/>
      <c r="CG71" s="658"/>
      <c r="CH71" s="658"/>
      <c r="CI71" s="658"/>
      <c r="CJ71" s="658"/>
      <c r="CK71" s="658"/>
      <c r="CL71" s="658"/>
      <c r="CM71" s="658"/>
      <c r="CN71" s="658"/>
      <c r="CO71" s="658"/>
      <c r="CP71" s="658"/>
      <c r="CQ71" s="658"/>
      <c r="CR71" s="658"/>
      <c r="CS71" s="658"/>
      <c r="CT71" s="658"/>
      <c r="CU71" s="658"/>
    </row>
    <row r="72" spans="1:99" s="656" customFormat="1" ht="12.75" customHeight="1" x14ac:dyDescent="0.2">
      <c r="A72" s="868"/>
      <c r="B72" s="872"/>
      <c r="C72" s="872"/>
      <c r="D72" s="1826" t="s">
        <v>15</v>
      </c>
      <c r="E72" s="1826"/>
      <c r="F72" s="1826"/>
      <c r="G72" s="1826"/>
      <c r="H72" s="2130"/>
      <c r="I72" s="1753" t="s">
        <v>829</v>
      </c>
      <c r="J72" s="1754"/>
      <c r="K72" s="1754"/>
      <c r="L72" s="1754"/>
      <c r="M72" s="1754"/>
      <c r="N72" s="1754"/>
      <c r="O72" s="1754"/>
      <c r="P72" s="1754"/>
      <c r="Q72" s="1754"/>
      <c r="R72" s="1754"/>
      <c r="S72" s="1754"/>
      <c r="T72" s="1755"/>
      <c r="U72" s="1753" t="s">
        <v>831</v>
      </c>
      <c r="V72" s="1754"/>
      <c r="W72" s="1754"/>
      <c r="X72" s="1754"/>
      <c r="Y72" s="1754"/>
      <c r="Z72" s="1754"/>
      <c r="AA72" s="1754"/>
      <c r="AB72" s="1754"/>
      <c r="AC72" s="1754"/>
      <c r="AD72" s="1754"/>
      <c r="AE72" s="1754"/>
      <c r="AF72" s="1755"/>
      <c r="AG72" s="655"/>
      <c r="AH72" s="655"/>
      <c r="AI72" s="655"/>
      <c r="AJ72" s="655"/>
      <c r="AK72" s="655"/>
      <c r="AL72" s="655"/>
      <c r="AM72" s="655"/>
      <c r="AN72" s="655"/>
      <c r="AO72" s="655"/>
      <c r="AP72" s="655"/>
      <c r="AQ72" s="655"/>
      <c r="AR72" s="655"/>
      <c r="AS72" s="657"/>
      <c r="AT72" s="657"/>
      <c r="AU72" s="657"/>
      <c r="AV72" s="657"/>
      <c r="AW72" s="658"/>
      <c r="AX72" s="658"/>
      <c r="AY72" s="658"/>
      <c r="AZ72" s="658"/>
      <c r="BA72" s="658"/>
      <c r="BB72" s="658"/>
      <c r="BC72" s="658"/>
      <c r="BD72" s="658"/>
      <c r="BE72" s="658"/>
      <c r="BF72" s="658"/>
      <c r="BG72" s="658"/>
      <c r="BH72" s="658"/>
      <c r="BI72" s="658"/>
      <c r="BJ72" s="658"/>
      <c r="BK72" s="658"/>
      <c r="BL72" s="658"/>
      <c r="BM72" s="658"/>
      <c r="BN72" s="658"/>
      <c r="BO72" s="658"/>
      <c r="BP72" s="658"/>
      <c r="BQ72" s="658"/>
      <c r="BR72" s="658"/>
      <c r="BS72" s="658"/>
      <c r="BT72" s="658"/>
      <c r="BU72" s="658"/>
      <c r="BV72" s="658"/>
      <c r="BW72" s="658"/>
      <c r="BX72" s="658"/>
      <c r="BY72" s="658"/>
      <c r="BZ72" s="658"/>
      <c r="CA72" s="658"/>
      <c r="CB72" s="658"/>
      <c r="CC72" s="658"/>
      <c r="CD72" s="658"/>
      <c r="CE72" s="658"/>
      <c r="CF72" s="658"/>
      <c r="CG72" s="658"/>
      <c r="CH72" s="658"/>
      <c r="CI72" s="658"/>
      <c r="CJ72" s="658"/>
      <c r="CK72" s="658"/>
      <c r="CL72" s="658"/>
      <c r="CM72" s="658"/>
      <c r="CN72" s="658"/>
      <c r="CO72" s="658"/>
      <c r="CP72" s="658"/>
      <c r="CQ72" s="658"/>
      <c r="CR72" s="658"/>
      <c r="CS72" s="658"/>
      <c r="CT72" s="658"/>
      <c r="CU72" s="658"/>
    </row>
    <row r="73" spans="1:99" s="656" customFormat="1" ht="12.75" customHeight="1" x14ac:dyDescent="0.2">
      <c r="A73" s="868"/>
      <c r="B73" s="872"/>
      <c r="C73" s="872"/>
      <c r="D73" s="1826" t="s">
        <v>785</v>
      </c>
      <c r="E73" s="1826"/>
      <c r="F73" s="1826"/>
      <c r="G73" s="1826"/>
      <c r="H73" s="2130"/>
      <c r="I73" s="1756"/>
      <c r="J73" s="1757"/>
      <c r="K73" s="1757"/>
      <c r="L73" s="1757"/>
      <c r="M73" s="1757"/>
      <c r="N73" s="1757"/>
      <c r="O73" s="1757"/>
      <c r="P73" s="1757"/>
      <c r="Q73" s="1757"/>
      <c r="R73" s="1757"/>
      <c r="S73" s="1757"/>
      <c r="T73" s="1758"/>
      <c r="U73" s="1757"/>
      <c r="V73" s="1757"/>
      <c r="W73" s="1757"/>
      <c r="X73" s="1757"/>
      <c r="Y73" s="1757"/>
      <c r="Z73" s="1757"/>
      <c r="AA73" s="1757"/>
      <c r="AB73" s="1757"/>
      <c r="AC73" s="1757"/>
      <c r="AD73" s="1757"/>
      <c r="AE73" s="1757"/>
      <c r="AF73" s="2003"/>
      <c r="AG73" s="655"/>
      <c r="AH73" s="655"/>
      <c r="AI73" s="655"/>
      <c r="AJ73" s="655"/>
      <c r="AK73" s="655"/>
      <c r="AL73" s="655"/>
      <c r="AM73" s="655"/>
      <c r="AN73" s="655"/>
      <c r="AO73" s="655"/>
      <c r="AP73" s="655"/>
      <c r="AQ73" s="655"/>
      <c r="AR73" s="655"/>
      <c r="AS73" s="657"/>
      <c r="AT73" s="657"/>
      <c r="AU73" s="657"/>
      <c r="AV73" s="657"/>
      <c r="AW73" s="658"/>
      <c r="AX73" s="658"/>
      <c r="AY73" s="658"/>
      <c r="AZ73" s="658"/>
      <c r="BA73" s="658"/>
      <c r="BB73" s="658"/>
      <c r="BC73" s="658"/>
      <c r="BD73" s="658"/>
      <c r="BE73" s="658"/>
      <c r="BF73" s="658"/>
      <c r="BG73" s="658"/>
      <c r="BH73" s="658"/>
      <c r="BI73" s="658"/>
      <c r="BJ73" s="658"/>
      <c r="BK73" s="658"/>
      <c r="BL73" s="658"/>
      <c r="BM73" s="658"/>
      <c r="BN73" s="658"/>
      <c r="BO73" s="658"/>
      <c r="BP73" s="658"/>
      <c r="BQ73" s="658"/>
      <c r="BR73" s="658"/>
      <c r="BS73" s="658"/>
      <c r="BT73" s="658"/>
      <c r="BU73" s="658"/>
      <c r="BV73" s="658"/>
      <c r="BW73" s="658"/>
      <c r="BX73" s="658"/>
      <c r="BY73" s="658"/>
      <c r="BZ73" s="658"/>
      <c r="CA73" s="658"/>
      <c r="CB73" s="658"/>
      <c r="CC73" s="658"/>
      <c r="CD73" s="658"/>
      <c r="CE73" s="658"/>
      <c r="CF73" s="658"/>
      <c r="CG73" s="658"/>
      <c r="CH73" s="658"/>
      <c r="CI73" s="658"/>
      <c r="CJ73" s="658"/>
      <c r="CK73" s="658"/>
      <c r="CL73" s="658"/>
      <c r="CM73" s="658"/>
      <c r="CN73" s="658"/>
      <c r="CO73" s="658"/>
      <c r="CP73" s="658"/>
      <c r="CQ73" s="658"/>
      <c r="CR73" s="658"/>
      <c r="CS73" s="658"/>
      <c r="CT73" s="658"/>
      <c r="CU73" s="658"/>
    </row>
    <row r="74" spans="1:99" s="656" customFormat="1" ht="12.75" customHeight="1" x14ac:dyDescent="0.2">
      <c r="A74" s="868"/>
      <c r="B74" s="872"/>
      <c r="C74" s="872"/>
      <c r="D74" s="1826" t="s">
        <v>791</v>
      </c>
      <c r="E74" s="1826"/>
      <c r="F74" s="1826"/>
      <c r="G74" s="1826"/>
      <c r="H74" s="2130"/>
      <c r="I74" s="1756"/>
      <c r="J74" s="1757"/>
      <c r="K74" s="1757"/>
      <c r="L74" s="1757"/>
      <c r="M74" s="1757"/>
      <c r="N74" s="1757"/>
      <c r="O74" s="1757"/>
      <c r="P74" s="1757"/>
      <c r="Q74" s="1757"/>
      <c r="R74" s="1757"/>
      <c r="S74" s="1757"/>
      <c r="T74" s="1758"/>
      <c r="U74" s="1757"/>
      <c r="V74" s="1757"/>
      <c r="W74" s="1757"/>
      <c r="X74" s="1757"/>
      <c r="Y74" s="1757"/>
      <c r="Z74" s="1757"/>
      <c r="AA74" s="1757"/>
      <c r="AB74" s="1757"/>
      <c r="AC74" s="1757"/>
      <c r="AD74" s="1757"/>
      <c r="AE74" s="1757"/>
      <c r="AF74" s="2003"/>
      <c r="AG74" s="655"/>
      <c r="AH74" s="655"/>
      <c r="AI74" s="655"/>
      <c r="AJ74" s="655"/>
      <c r="AK74" s="655"/>
      <c r="AL74" s="655"/>
      <c r="AM74" s="655"/>
      <c r="AN74" s="655"/>
      <c r="AO74" s="655"/>
      <c r="AP74" s="655"/>
      <c r="AQ74" s="655"/>
      <c r="AR74" s="655"/>
      <c r="AS74" s="657"/>
      <c r="AT74" s="657"/>
      <c r="AU74" s="657"/>
      <c r="AV74" s="657"/>
      <c r="AW74" s="658"/>
      <c r="AX74" s="658"/>
      <c r="AY74" s="658"/>
      <c r="AZ74" s="658"/>
      <c r="BA74" s="658"/>
      <c r="BB74" s="658"/>
      <c r="BC74" s="658"/>
      <c r="BD74" s="658"/>
      <c r="BE74" s="658"/>
      <c r="BF74" s="658"/>
      <c r="BG74" s="658"/>
      <c r="BH74" s="658"/>
      <c r="BI74" s="658"/>
      <c r="BJ74" s="658"/>
      <c r="BK74" s="658"/>
      <c r="BL74" s="658"/>
      <c r="BM74" s="658"/>
      <c r="BN74" s="658"/>
      <c r="BO74" s="658"/>
      <c r="BP74" s="658"/>
      <c r="BQ74" s="658"/>
      <c r="BR74" s="658"/>
      <c r="BS74" s="658"/>
      <c r="BT74" s="658"/>
      <c r="BU74" s="658"/>
      <c r="BV74" s="658"/>
      <c r="BW74" s="658"/>
      <c r="BX74" s="658"/>
      <c r="BY74" s="658"/>
      <c r="BZ74" s="658"/>
      <c r="CA74" s="658"/>
      <c r="CB74" s="658"/>
      <c r="CC74" s="658"/>
      <c r="CD74" s="658"/>
      <c r="CE74" s="658"/>
      <c r="CF74" s="658"/>
      <c r="CG74" s="658"/>
      <c r="CH74" s="658"/>
      <c r="CI74" s="658"/>
      <c r="CJ74" s="658"/>
      <c r="CK74" s="658"/>
      <c r="CL74" s="658"/>
      <c r="CM74" s="658"/>
      <c r="CN74" s="658"/>
      <c r="CO74" s="658"/>
      <c r="CP74" s="658"/>
      <c r="CQ74" s="658"/>
      <c r="CR74" s="658"/>
      <c r="CS74" s="658"/>
      <c r="CT74" s="658"/>
      <c r="CU74" s="658"/>
    </row>
    <row r="75" spans="1:99" s="656" customFormat="1" ht="12.75" customHeight="1" x14ac:dyDescent="0.2">
      <c r="A75" s="868"/>
      <c r="B75" s="872"/>
      <c r="C75" s="872"/>
      <c r="D75" s="1826" t="s">
        <v>14</v>
      </c>
      <c r="E75" s="1826"/>
      <c r="F75" s="1826"/>
      <c r="G75" s="1826"/>
      <c r="H75" s="2130"/>
      <c r="I75" s="1756"/>
      <c r="J75" s="1757"/>
      <c r="K75" s="1757"/>
      <c r="L75" s="1757"/>
      <c r="M75" s="1757"/>
      <c r="N75" s="1757"/>
      <c r="O75" s="1757"/>
      <c r="P75" s="1757"/>
      <c r="Q75" s="1757"/>
      <c r="R75" s="1757"/>
      <c r="S75" s="1757"/>
      <c r="T75" s="1758"/>
      <c r="U75" s="1757"/>
      <c r="V75" s="1757"/>
      <c r="W75" s="1757"/>
      <c r="X75" s="1757"/>
      <c r="Y75" s="1757"/>
      <c r="Z75" s="1757"/>
      <c r="AA75" s="1757"/>
      <c r="AB75" s="1757"/>
      <c r="AC75" s="1757"/>
      <c r="AD75" s="1757"/>
      <c r="AE75" s="1757"/>
      <c r="AF75" s="2003"/>
      <c r="AG75" s="655"/>
      <c r="AH75" s="655"/>
      <c r="AI75" s="655"/>
      <c r="AJ75" s="655"/>
      <c r="AK75" s="655"/>
      <c r="AL75" s="655"/>
      <c r="AM75" s="655"/>
      <c r="AN75" s="655"/>
      <c r="AO75" s="655"/>
      <c r="AP75" s="655"/>
      <c r="AQ75" s="655"/>
      <c r="AR75" s="655"/>
      <c r="AS75" s="657"/>
      <c r="AT75" s="657"/>
      <c r="AU75" s="657"/>
      <c r="AV75" s="657"/>
      <c r="AW75" s="658"/>
      <c r="AX75" s="658"/>
      <c r="AY75" s="658"/>
      <c r="AZ75" s="658"/>
      <c r="BA75" s="658"/>
      <c r="BB75" s="658"/>
      <c r="BC75" s="658"/>
      <c r="BD75" s="658"/>
      <c r="BE75" s="658"/>
      <c r="BF75" s="658"/>
      <c r="BG75" s="658"/>
      <c r="BH75" s="658"/>
      <c r="BI75" s="658"/>
      <c r="BJ75" s="658"/>
      <c r="BK75" s="658"/>
      <c r="BL75" s="658"/>
      <c r="BM75" s="658"/>
      <c r="BN75" s="658"/>
      <c r="BO75" s="658"/>
      <c r="BP75" s="658"/>
      <c r="BQ75" s="658"/>
      <c r="BR75" s="658"/>
      <c r="BS75" s="658"/>
      <c r="BT75" s="658"/>
      <c r="BU75" s="658"/>
      <c r="BV75" s="658"/>
      <c r="BW75" s="658"/>
      <c r="BX75" s="658"/>
      <c r="BY75" s="658"/>
      <c r="BZ75" s="658"/>
      <c r="CA75" s="658"/>
      <c r="CB75" s="658"/>
      <c r="CC75" s="658"/>
      <c r="CD75" s="658"/>
      <c r="CE75" s="658"/>
      <c r="CF75" s="658"/>
      <c r="CG75" s="658"/>
      <c r="CH75" s="658"/>
      <c r="CI75" s="658"/>
      <c r="CJ75" s="658"/>
      <c r="CK75" s="658"/>
      <c r="CL75" s="658"/>
      <c r="CM75" s="658"/>
      <c r="CN75" s="658"/>
      <c r="CO75" s="658"/>
      <c r="CP75" s="658"/>
      <c r="CQ75" s="658"/>
      <c r="CR75" s="658"/>
      <c r="CS75" s="658"/>
      <c r="CT75" s="658"/>
      <c r="CU75" s="658"/>
    </row>
    <row r="76" spans="1:99" s="656" customFormat="1" ht="12.75" customHeight="1" x14ac:dyDescent="0.2">
      <c r="A76" s="868"/>
      <c r="B76" s="872"/>
      <c r="C76" s="872"/>
      <c r="D76" s="1826" t="s">
        <v>43</v>
      </c>
      <c r="E76" s="1826"/>
      <c r="F76" s="1826"/>
      <c r="G76" s="1826"/>
      <c r="H76" s="2130"/>
      <c r="I76" s="1756"/>
      <c r="J76" s="1757"/>
      <c r="K76" s="1757"/>
      <c r="L76" s="1757"/>
      <c r="M76" s="1757"/>
      <c r="N76" s="1757"/>
      <c r="O76" s="1757"/>
      <c r="P76" s="1757"/>
      <c r="Q76" s="1757"/>
      <c r="R76" s="1757"/>
      <c r="S76" s="1757"/>
      <c r="T76" s="1758"/>
      <c r="U76" s="1757"/>
      <c r="V76" s="1757"/>
      <c r="W76" s="1757"/>
      <c r="X76" s="1757"/>
      <c r="Y76" s="1757"/>
      <c r="Z76" s="1757"/>
      <c r="AA76" s="1757"/>
      <c r="AB76" s="1757"/>
      <c r="AC76" s="1757"/>
      <c r="AD76" s="1757"/>
      <c r="AE76" s="1757"/>
      <c r="AF76" s="2003"/>
      <c r="AG76" s="655"/>
      <c r="AH76" s="655"/>
      <c r="AI76" s="655"/>
      <c r="AJ76" s="655"/>
      <c r="AK76" s="655"/>
      <c r="AL76" s="655"/>
      <c r="AM76" s="655"/>
      <c r="AN76" s="655"/>
      <c r="AO76" s="655"/>
      <c r="AP76" s="655"/>
      <c r="AQ76" s="655"/>
      <c r="AR76" s="655"/>
      <c r="AS76" s="657"/>
      <c r="AT76" s="657"/>
      <c r="AU76" s="657"/>
      <c r="AV76" s="657"/>
      <c r="AW76" s="658"/>
      <c r="AX76" s="658"/>
      <c r="AY76" s="658"/>
      <c r="AZ76" s="658"/>
      <c r="BA76" s="658"/>
      <c r="BB76" s="658"/>
      <c r="BC76" s="658"/>
      <c r="BD76" s="658"/>
      <c r="BE76" s="658"/>
      <c r="BF76" s="658"/>
      <c r="BG76" s="658"/>
      <c r="BH76" s="658"/>
      <c r="BI76" s="658"/>
      <c r="BJ76" s="658"/>
      <c r="BK76" s="658"/>
      <c r="BL76" s="658"/>
      <c r="BM76" s="658"/>
      <c r="BN76" s="658"/>
      <c r="BO76" s="658"/>
      <c r="BP76" s="658"/>
      <c r="BQ76" s="658"/>
      <c r="BR76" s="658"/>
      <c r="BS76" s="658"/>
      <c r="BT76" s="658"/>
      <c r="BU76" s="658"/>
      <c r="BV76" s="658"/>
      <c r="BW76" s="658"/>
      <c r="BX76" s="658"/>
      <c r="BY76" s="658"/>
      <c r="BZ76" s="658"/>
      <c r="CA76" s="658"/>
      <c r="CB76" s="658"/>
      <c r="CC76" s="658"/>
      <c r="CD76" s="658"/>
      <c r="CE76" s="658"/>
      <c r="CF76" s="658"/>
      <c r="CG76" s="658"/>
      <c r="CH76" s="658"/>
      <c r="CI76" s="658"/>
      <c r="CJ76" s="658"/>
      <c r="CK76" s="658"/>
      <c r="CL76" s="658"/>
      <c r="CM76" s="658"/>
      <c r="CN76" s="658"/>
      <c r="CO76" s="658"/>
      <c r="CP76" s="658"/>
      <c r="CQ76" s="658"/>
      <c r="CR76" s="658"/>
      <c r="CS76" s="658"/>
      <c r="CT76" s="658"/>
      <c r="CU76" s="658"/>
    </row>
    <row r="77" spans="1:99" s="660" customFormat="1" ht="12.75" customHeight="1" x14ac:dyDescent="0.2">
      <c r="A77" s="2132"/>
      <c r="B77" s="2133"/>
      <c r="C77" s="2133"/>
      <c r="D77" s="2148" t="str">
        <f>Eigener_Brennstoff</f>
        <v>Brennstoff XY</v>
      </c>
      <c r="E77" s="2148"/>
      <c r="F77" s="2148"/>
      <c r="G77" s="2148"/>
      <c r="H77" s="2149"/>
      <c r="I77" s="810"/>
      <c r="J77" s="811"/>
      <c r="K77" s="811"/>
      <c r="L77" s="811"/>
      <c r="M77" s="811"/>
      <c r="N77" s="811"/>
      <c r="O77" s="811"/>
      <c r="P77" s="811"/>
      <c r="Q77" s="811"/>
      <c r="R77" s="811"/>
      <c r="S77" s="811"/>
      <c r="T77" s="812"/>
      <c r="U77" s="813"/>
      <c r="V77" s="813"/>
      <c r="W77" s="813"/>
      <c r="X77" s="813"/>
      <c r="Y77" s="813"/>
      <c r="Z77" s="813"/>
      <c r="AA77" s="813"/>
      <c r="AB77" s="813"/>
      <c r="AC77" s="813"/>
      <c r="AD77" s="813"/>
      <c r="AE77" s="813"/>
      <c r="AF77" s="814"/>
      <c r="AO77" s="661"/>
      <c r="AP77" s="661"/>
      <c r="AQ77" s="661"/>
      <c r="AR77" s="661"/>
    </row>
    <row r="78" spans="1:99" s="660" customFormat="1" ht="12.75" customHeight="1" x14ac:dyDescent="0.2">
      <c r="A78" s="873"/>
      <c r="B78" s="874"/>
      <c r="C78" s="874"/>
      <c r="D78" s="2150"/>
      <c r="E78" s="2150"/>
      <c r="F78" s="2150"/>
      <c r="G78" s="2150"/>
      <c r="H78" s="2151"/>
      <c r="I78" s="815"/>
      <c r="J78" s="816"/>
      <c r="K78" s="816"/>
      <c r="L78" s="816"/>
      <c r="M78" s="816"/>
      <c r="N78" s="816"/>
      <c r="O78" s="816"/>
      <c r="P78" s="816"/>
      <c r="Q78" s="816"/>
      <c r="R78" s="816"/>
      <c r="S78" s="816"/>
      <c r="T78" s="816"/>
      <c r="U78" s="815"/>
      <c r="V78" s="817"/>
      <c r="W78" s="817"/>
      <c r="X78" s="817"/>
      <c r="Y78" s="817"/>
      <c r="Z78" s="817"/>
      <c r="AA78" s="817"/>
      <c r="AB78" s="817"/>
      <c r="AC78" s="817"/>
      <c r="AD78" s="817"/>
      <c r="AE78" s="817"/>
      <c r="AF78" s="818"/>
      <c r="AO78" s="661"/>
      <c r="AP78" s="661"/>
      <c r="AQ78" s="661"/>
      <c r="AR78" s="661"/>
    </row>
    <row r="79" spans="1:99" s="656" customFormat="1" ht="12.75" customHeight="1" x14ac:dyDescent="0.2">
      <c r="A79" s="864" t="s">
        <v>35</v>
      </c>
      <c r="B79" s="875"/>
      <c r="C79" s="875"/>
      <c r="D79" s="1826" t="s">
        <v>786</v>
      </c>
      <c r="E79" s="1826"/>
      <c r="F79" s="1826"/>
      <c r="G79" s="1826"/>
      <c r="H79" s="2130"/>
      <c r="I79" s="1756" t="s">
        <v>812</v>
      </c>
      <c r="J79" s="1757"/>
      <c r="K79" s="1757"/>
      <c r="L79" s="1757"/>
      <c r="M79" s="1757"/>
      <c r="N79" s="1757"/>
      <c r="O79" s="1757"/>
      <c r="P79" s="1757"/>
      <c r="Q79" s="1757"/>
      <c r="R79" s="1757"/>
      <c r="S79" s="1757"/>
      <c r="T79" s="1758"/>
      <c r="U79" s="2018" t="s">
        <v>808</v>
      </c>
      <c r="V79" s="2019"/>
      <c r="W79" s="2019"/>
      <c r="X79" s="2019"/>
      <c r="Y79" s="2019"/>
      <c r="Z79" s="2019"/>
      <c r="AA79" s="2019"/>
      <c r="AB79" s="2019"/>
      <c r="AC79" s="2019"/>
      <c r="AD79" s="2019"/>
      <c r="AE79" s="2019"/>
      <c r="AF79" s="2020"/>
      <c r="AG79" s="655"/>
      <c r="AH79" s="655"/>
      <c r="AI79" s="655"/>
      <c r="AJ79" s="655"/>
      <c r="AK79" s="655"/>
      <c r="AL79" s="655"/>
      <c r="AM79" s="655"/>
      <c r="AN79" s="655"/>
      <c r="AO79" s="655"/>
      <c r="AP79" s="655"/>
      <c r="AQ79" s="655"/>
      <c r="AR79" s="655"/>
      <c r="AS79" s="657"/>
      <c r="AT79" s="657"/>
      <c r="AU79" s="657"/>
      <c r="AV79" s="657"/>
      <c r="AW79" s="658"/>
      <c r="AX79" s="658"/>
      <c r="AY79" s="658"/>
      <c r="AZ79" s="658"/>
      <c r="BA79" s="658"/>
      <c r="BB79" s="658"/>
      <c r="BC79" s="658"/>
      <c r="BD79" s="658"/>
      <c r="BE79" s="658"/>
      <c r="BF79" s="658"/>
      <c r="BG79" s="658"/>
      <c r="BH79" s="658"/>
      <c r="BI79" s="658"/>
      <c r="BJ79" s="658"/>
      <c r="BK79" s="658"/>
      <c r="BL79" s="658"/>
      <c r="BM79" s="658"/>
      <c r="BN79" s="658"/>
      <c r="BO79" s="658"/>
      <c r="BP79" s="658"/>
      <c r="BQ79" s="658"/>
      <c r="BR79" s="658"/>
      <c r="BS79" s="658"/>
      <c r="BT79" s="658"/>
      <c r="BU79" s="658"/>
      <c r="BV79" s="658"/>
      <c r="BW79" s="658"/>
      <c r="BX79" s="658"/>
      <c r="BY79" s="658"/>
      <c r="BZ79" s="658"/>
      <c r="CA79" s="658"/>
      <c r="CB79" s="658"/>
      <c r="CC79" s="658"/>
      <c r="CD79" s="658"/>
      <c r="CE79" s="658"/>
      <c r="CF79" s="658"/>
      <c r="CG79" s="658"/>
      <c r="CH79" s="658"/>
      <c r="CI79" s="658"/>
      <c r="CJ79" s="658"/>
      <c r="CK79" s="658"/>
      <c r="CL79" s="658"/>
      <c r="CM79" s="658"/>
      <c r="CN79" s="658"/>
      <c r="CO79" s="658"/>
      <c r="CP79" s="658"/>
      <c r="CQ79" s="658"/>
      <c r="CR79" s="658"/>
      <c r="CS79" s="658"/>
      <c r="CT79" s="658"/>
      <c r="CU79" s="658"/>
    </row>
    <row r="80" spans="1:99" s="656" customFormat="1" ht="12.75" customHeight="1" x14ac:dyDescent="0.2">
      <c r="A80" s="868"/>
      <c r="B80" s="869"/>
      <c r="C80" s="869"/>
      <c r="D80" s="1827"/>
      <c r="E80" s="1827"/>
      <c r="F80" s="1827"/>
      <c r="G80" s="1827"/>
      <c r="H80" s="2140"/>
      <c r="I80" s="2006" t="s">
        <v>827</v>
      </c>
      <c r="J80" s="2007"/>
      <c r="K80" s="2007"/>
      <c r="L80" s="2007"/>
      <c r="M80" s="2007"/>
      <c r="N80" s="2007"/>
      <c r="O80" s="2007"/>
      <c r="P80" s="2007"/>
      <c r="Q80" s="2007"/>
      <c r="R80" s="2007"/>
      <c r="S80" s="2007"/>
      <c r="T80" s="2008"/>
      <c r="U80" s="2116" t="s">
        <v>809</v>
      </c>
      <c r="V80" s="2117"/>
      <c r="W80" s="2117"/>
      <c r="X80" s="2117"/>
      <c r="Y80" s="2117"/>
      <c r="Z80" s="2117"/>
      <c r="AA80" s="2117"/>
      <c r="AB80" s="2117"/>
      <c r="AC80" s="2117"/>
      <c r="AD80" s="2117"/>
      <c r="AE80" s="2117"/>
      <c r="AF80" s="2118"/>
      <c r="AG80" s="655"/>
      <c r="AH80" s="655"/>
      <c r="AJ80" s="655"/>
      <c r="AK80" s="655"/>
      <c r="AL80" s="655"/>
      <c r="AM80" s="655"/>
      <c r="AN80" s="655"/>
      <c r="AO80" s="655"/>
      <c r="AP80" s="655"/>
      <c r="AQ80" s="655"/>
      <c r="AR80" s="655"/>
      <c r="AS80" s="657"/>
      <c r="AT80" s="657"/>
      <c r="AU80" s="657"/>
      <c r="AV80" s="657"/>
      <c r="AW80" s="658"/>
      <c r="AX80" s="658"/>
      <c r="AY80" s="658"/>
      <c r="AZ80" s="658"/>
      <c r="BA80" s="658"/>
      <c r="BB80" s="658"/>
      <c r="BC80" s="658"/>
      <c r="BD80" s="658"/>
      <c r="BE80" s="658"/>
      <c r="BF80" s="658"/>
      <c r="BG80" s="658"/>
      <c r="BH80" s="658"/>
      <c r="BI80" s="658"/>
      <c r="BJ80" s="658"/>
      <c r="BK80" s="658"/>
      <c r="BL80" s="658"/>
      <c r="BM80" s="658"/>
      <c r="BN80" s="658"/>
      <c r="BO80" s="658"/>
      <c r="BP80" s="658"/>
      <c r="BQ80" s="658"/>
      <c r="BR80" s="658"/>
      <c r="BS80" s="658"/>
      <c r="BT80" s="658"/>
      <c r="BU80" s="658"/>
      <c r="BV80" s="658"/>
      <c r="BW80" s="658"/>
      <c r="BX80" s="658"/>
      <c r="BY80" s="658"/>
      <c r="BZ80" s="658"/>
      <c r="CA80" s="658"/>
      <c r="CB80" s="658"/>
      <c r="CC80" s="658"/>
      <c r="CD80" s="658"/>
      <c r="CE80" s="658"/>
      <c r="CF80" s="658"/>
      <c r="CG80" s="658"/>
      <c r="CH80" s="658"/>
      <c r="CI80" s="658"/>
      <c r="CJ80" s="658"/>
      <c r="CK80" s="658"/>
      <c r="CL80" s="658"/>
      <c r="CM80" s="658"/>
      <c r="CN80" s="658"/>
      <c r="CO80" s="658"/>
      <c r="CP80" s="658"/>
      <c r="CQ80" s="658"/>
      <c r="CR80" s="658"/>
      <c r="CS80" s="658"/>
      <c r="CT80" s="658"/>
      <c r="CU80" s="658"/>
    </row>
    <row r="81" spans="1:99" s="656" customFormat="1" ht="12.75" customHeight="1" x14ac:dyDescent="0.2">
      <c r="A81" s="868"/>
      <c r="B81" s="869"/>
      <c r="C81" s="869"/>
      <c r="D81" s="1826" t="s">
        <v>761</v>
      </c>
      <c r="E81" s="1826"/>
      <c r="F81" s="1826"/>
      <c r="G81" s="1826"/>
      <c r="H81" s="2130"/>
      <c r="I81" s="1756"/>
      <c r="J81" s="1757"/>
      <c r="K81" s="1757"/>
      <c r="L81" s="1757"/>
      <c r="M81" s="1757"/>
      <c r="N81" s="1757"/>
      <c r="O81" s="1757"/>
      <c r="P81" s="1757"/>
      <c r="Q81" s="1757"/>
      <c r="R81" s="1757"/>
      <c r="S81" s="1757"/>
      <c r="T81" s="1758"/>
      <c r="U81" s="2004" t="s">
        <v>793</v>
      </c>
      <c r="V81" s="2005"/>
      <c r="W81" s="2005"/>
      <c r="X81" s="2005"/>
      <c r="Y81" s="1740" t="s">
        <v>811</v>
      </c>
      <c r="Z81" s="1740"/>
      <c r="AA81" s="1740"/>
      <c r="AB81" s="1740"/>
      <c r="AC81" s="1740"/>
      <c r="AD81" s="1740"/>
      <c r="AE81" s="1740"/>
      <c r="AF81" s="1741"/>
      <c r="AG81" s="655"/>
      <c r="AH81" s="655"/>
      <c r="AJ81" s="655"/>
      <c r="AK81" s="655"/>
      <c r="AL81" s="655"/>
      <c r="AM81" s="655"/>
      <c r="AN81" s="655"/>
      <c r="AO81" s="655"/>
      <c r="AP81" s="655"/>
      <c r="AQ81" s="655"/>
      <c r="AR81" s="655"/>
      <c r="AS81" s="657"/>
      <c r="AT81" s="657"/>
      <c r="AU81" s="657"/>
      <c r="AV81" s="657"/>
      <c r="AW81" s="658"/>
      <c r="AX81" s="658"/>
      <c r="AY81" s="658"/>
      <c r="AZ81" s="658"/>
      <c r="BA81" s="658"/>
      <c r="BB81" s="658"/>
      <c r="BC81" s="658"/>
      <c r="BD81" s="658"/>
      <c r="BE81" s="658"/>
      <c r="BF81" s="658"/>
      <c r="BG81" s="658"/>
      <c r="BH81" s="658"/>
      <c r="BI81" s="658"/>
      <c r="BJ81" s="658"/>
      <c r="BK81" s="658"/>
      <c r="BL81" s="658"/>
      <c r="BM81" s="658"/>
      <c r="BN81" s="658"/>
      <c r="BO81" s="658"/>
      <c r="BP81" s="658"/>
      <c r="BQ81" s="658"/>
      <c r="BR81" s="658"/>
      <c r="BS81" s="658"/>
      <c r="BT81" s="658"/>
      <c r="BU81" s="658"/>
      <c r="BV81" s="658"/>
      <c r="BW81" s="658"/>
      <c r="BX81" s="658"/>
      <c r="BY81" s="658"/>
      <c r="BZ81" s="658"/>
      <c r="CA81" s="658"/>
      <c r="CB81" s="658"/>
      <c r="CC81" s="658"/>
      <c r="CD81" s="658"/>
      <c r="CE81" s="658"/>
      <c r="CF81" s="658"/>
      <c r="CG81" s="658"/>
      <c r="CH81" s="658"/>
      <c r="CI81" s="658"/>
      <c r="CJ81" s="658"/>
      <c r="CK81" s="658"/>
      <c r="CL81" s="658"/>
      <c r="CM81" s="658"/>
      <c r="CN81" s="658"/>
      <c r="CO81" s="658"/>
      <c r="CP81" s="658"/>
      <c r="CQ81" s="658"/>
      <c r="CR81" s="658"/>
      <c r="CS81" s="658"/>
      <c r="CT81" s="658"/>
      <c r="CU81" s="658"/>
    </row>
    <row r="82" spans="1:99" s="656" customFormat="1" ht="12.75" customHeight="1" x14ac:dyDescent="0.2">
      <c r="A82" s="871"/>
      <c r="B82" s="872"/>
      <c r="C82" s="872"/>
      <c r="D82" s="1865"/>
      <c r="E82" s="1865"/>
      <c r="F82" s="1865"/>
      <c r="G82" s="1865"/>
      <c r="H82" s="2147"/>
      <c r="I82" s="1756"/>
      <c r="J82" s="1757"/>
      <c r="K82" s="1757"/>
      <c r="L82" s="1757"/>
      <c r="M82" s="1757"/>
      <c r="N82" s="1757"/>
      <c r="O82" s="1757"/>
      <c r="P82" s="1757"/>
      <c r="Q82" s="1757"/>
      <c r="R82" s="1757"/>
      <c r="S82" s="1757"/>
      <c r="T82" s="1758"/>
      <c r="U82" s="2111"/>
      <c r="V82" s="2112"/>
      <c r="W82" s="2112"/>
      <c r="X82" s="1618"/>
      <c r="Y82" s="1742"/>
      <c r="Z82" s="1742"/>
      <c r="AA82" s="1742"/>
      <c r="AB82" s="1742"/>
      <c r="AC82" s="1742"/>
      <c r="AD82" s="1742"/>
      <c r="AE82" s="1742"/>
      <c r="AF82" s="1743"/>
      <c r="AG82" s="655"/>
      <c r="AH82" s="655"/>
      <c r="AI82" s="655"/>
      <c r="AJ82" s="655"/>
      <c r="AK82" s="655"/>
      <c r="AL82" s="655"/>
      <c r="AM82" s="655"/>
      <c r="AN82" s="655"/>
      <c r="AO82" s="655"/>
      <c r="AP82" s="655"/>
      <c r="AQ82" s="655"/>
      <c r="AR82" s="655"/>
      <c r="AS82" s="657"/>
      <c r="AT82" s="657"/>
      <c r="AU82" s="657"/>
      <c r="AV82" s="657"/>
      <c r="AW82" s="658"/>
      <c r="AX82" s="658"/>
      <c r="AY82" s="658"/>
      <c r="AZ82" s="658"/>
      <c r="BA82" s="658"/>
      <c r="BB82" s="658"/>
      <c r="BC82" s="658"/>
      <c r="BD82" s="658"/>
      <c r="BE82" s="658"/>
      <c r="BF82" s="658"/>
      <c r="BG82" s="658"/>
      <c r="BH82" s="658"/>
      <c r="BI82" s="658"/>
      <c r="BJ82" s="658"/>
      <c r="BK82" s="658"/>
      <c r="BL82" s="658"/>
      <c r="BM82" s="658"/>
      <c r="BN82" s="658"/>
      <c r="BO82" s="658"/>
      <c r="BP82" s="658"/>
      <c r="BQ82" s="658"/>
      <c r="BR82" s="658"/>
      <c r="BS82" s="658"/>
      <c r="BT82" s="658"/>
      <c r="BU82" s="658"/>
      <c r="BV82" s="658"/>
      <c r="BW82" s="658"/>
      <c r="BX82" s="658"/>
      <c r="BY82" s="658"/>
      <c r="BZ82" s="658"/>
      <c r="CA82" s="658"/>
      <c r="CB82" s="658"/>
      <c r="CC82" s="658"/>
      <c r="CD82" s="658"/>
      <c r="CE82" s="658"/>
      <c r="CF82" s="658"/>
      <c r="CG82" s="658"/>
      <c r="CH82" s="658"/>
      <c r="CI82" s="658"/>
      <c r="CJ82" s="658"/>
      <c r="CK82" s="658"/>
      <c r="CL82" s="658"/>
      <c r="CM82" s="658"/>
      <c r="CN82" s="658"/>
      <c r="CO82" s="658"/>
      <c r="CP82" s="658"/>
      <c r="CQ82" s="658"/>
      <c r="CR82" s="658"/>
      <c r="CS82" s="658"/>
      <c r="CT82" s="658"/>
      <c r="CU82" s="658"/>
    </row>
    <row r="83" spans="1:99" s="656" customFormat="1" ht="12.75" customHeight="1" x14ac:dyDescent="0.2">
      <c r="A83" s="871"/>
      <c r="B83" s="872"/>
      <c r="C83" s="872"/>
      <c r="D83" s="1586"/>
      <c r="E83" s="1586"/>
      <c r="F83" s="1586"/>
      <c r="G83" s="1586"/>
      <c r="H83" s="1589"/>
      <c r="I83" s="1756"/>
      <c r="J83" s="1757"/>
      <c r="K83" s="1757"/>
      <c r="L83" s="1757"/>
      <c r="M83" s="1757"/>
      <c r="N83" s="1757"/>
      <c r="O83" s="1757"/>
      <c r="P83" s="1757"/>
      <c r="Q83" s="1757"/>
      <c r="R83" s="1757"/>
      <c r="S83" s="1757"/>
      <c r="T83" s="1758"/>
      <c r="U83" s="2068" t="s">
        <v>794</v>
      </c>
      <c r="V83" s="2069"/>
      <c r="W83" s="2069"/>
      <c r="X83" s="2069"/>
      <c r="Y83" s="1744" t="s">
        <v>833</v>
      </c>
      <c r="Z83" s="1744"/>
      <c r="AA83" s="1744"/>
      <c r="AB83" s="1744"/>
      <c r="AC83" s="1744"/>
      <c r="AD83" s="1744"/>
      <c r="AE83" s="1744"/>
      <c r="AF83" s="1745"/>
      <c r="AG83" s="655"/>
      <c r="AH83" s="655"/>
      <c r="AI83" s="655"/>
      <c r="AJ83" s="655"/>
      <c r="AK83" s="655"/>
      <c r="AL83" s="655"/>
      <c r="AM83" s="655"/>
      <c r="AN83" s="655"/>
      <c r="AO83" s="655"/>
      <c r="AP83" s="655"/>
      <c r="AQ83" s="655"/>
      <c r="AR83" s="655"/>
      <c r="AS83" s="657"/>
      <c r="AT83" s="657"/>
      <c r="AU83" s="657"/>
      <c r="AV83" s="657"/>
      <c r="AW83" s="658"/>
      <c r="AX83" s="658"/>
      <c r="AY83" s="658"/>
      <c r="AZ83" s="658"/>
      <c r="BA83" s="658"/>
      <c r="BB83" s="658"/>
      <c r="BC83" s="658"/>
      <c r="BD83" s="658"/>
      <c r="BE83" s="658"/>
      <c r="BF83" s="658"/>
      <c r="BG83" s="658"/>
      <c r="BH83" s="658"/>
      <c r="BI83" s="658"/>
      <c r="BJ83" s="658"/>
      <c r="BK83" s="658"/>
      <c r="BL83" s="658"/>
      <c r="BM83" s="658"/>
      <c r="BN83" s="658"/>
      <c r="BO83" s="658"/>
      <c r="BP83" s="658"/>
      <c r="BQ83" s="658"/>
      <c r="BR83" s="658"/>
      <c r="BS83" s="658"/>
      <c r="BT83" s="658"/>
      <c r="BU83" s="658"/>
      <c r="BV83" s="658"/>
      <c r="BW83" s="658"/>
      <c r="BX83" s="658"/>
      <c r="BY83" s="658"/>
      <c r="BZ83" s="658"/>
      <c r="CA83" s="658"/>
      <c r="CB83" s="658"/>
      <c r="CC83" s="658"/>
      <c r="CD83" s="658"/>
      <c r="CE83" s="658"/>
      <c r="CF83" s="658"/>
      <c r="CG83" s="658"/>
      <c r="CH83" s="658"/>
      <c r="CI83" s="658"/>
      <c r="CJ83" s="658"/>
      <c r="CK83" s="658"/>
      <c r="CL83" s="658"/>
      <c r="CM83" s="658"/>
      <c r="CN83" s="658"/>
      <c r="CO83" s="658"/>
      <c r="CP83" s="658"/>
      <c r="CQ83" s="658"/>
      <c r="CR83" s="658"/>
      <c r="CS83" s="658"/>
      <c r="CT83" s="658"/>
      <c r="CU83" s="658"/>
    </row>
    <row r="84" spans="1:99" s="656" customFormat="1" ht="12.75" customHeight="1" x14ac:dyDescent="0.2">
      <c r="A84" s="871"/>
      <c r="B84" s="872"/>
      <c r="C84" s="872"/>
      <c r="D84" s="1586"/>
      <c r="E84" s="1586"/>
      <c r="F84" s="1586"/>
      <c r="G84" s="1586"/>
      <c r="H84" s="1589"/>
      <c r="I84" s="1759"/>
      <c r="J84" s="1760"/>
      <c r="K84" s="1760"/>
      <c r="L84" s="1760"/>
      <c r="M84" s="1760"/>
      <c r="N84" s="1760"/>
      <c r="O84" s="1760"/>
      <c r="P84" s="1760"/>
      <c r="Q84" s="1760"/>
      <c r="R84" s="1760"/>
      <c r="S84" s="1760"/>
      <c r="T84" s="1761"/>
      <c r="U84" s="1619"/>
      <c r="V84" s="1620"/>
      <c r="W84" s="1620"/>
      <c r="X84" s="1620"/>
      <c r="Y84" s="1746"/>
      <c r="Z84" s="1746"/>
      <c r="AA84" s="1746"/>
      <c r="AB84" s="1746"/>
      <c r="AC84" s="1746"/>
      <c r="AD84" s="1746"/>
      <c r="AE84" s="1746"/>
      <c r="AF84" s="1747"/>
      <c r="AG84" s="655"/>
      <c r="AH84" s="655"/>
      <c r="AI84" s="655"/>
      <c r="AJ84" s="655"/>
      <c r="AK84" s="655"/>
      <c r="AL84" s="655"/>
      <c r="AM84" s="655"/>
      <c r="AN84" s="655"/>
      <c r="AO84" s="655"/>
      <c r="AP84" s="655"/>
      <c r="AQ84" s="655"/>
      <c r="AR84" s="655"/>
      <c r="AS84" s="657"/>
      <c r="AT84" s="657"/>
      <c r="AU84" s="657"/>
      <c r="AV84" s="657"/>
      <c r="AW84" s="658"/>
      <c r="AX84" s="658"/>
      <c r="AY84" s="658"/>
      <c r="AZ84" s="658"/>
      <c r="BA84" s="658"/>
      <c r="BB84" s="658"/>
      <c r="BC84" s="658"/>
      <c r="BD84" s="658"/>
      <c r="BE84" s="658"/>
      <c r="BF84" s="658"/>
      <c r="BG84" s="658"/>
      <c r="BH84" s="658"/>
      <c r="BI84" s="658"/>
      <c r="BJ84" s="658"/>
      <c r="BK84" s="658"/>
      <c r="BL84" s="658"/>
      <c r="BM84" s="658"/>
      <c r="BN84" s="658"/>
      <c r="BO84" s="658"/>
      <c r="BP84" s="658"/>
      <c r="BQ84" s="658"/>
      <c r="BR84" s="658"/>
      <c r="BS84" s="658"/>
      <c r="BT84" s="658"/>
      <c r="BU84" s="658"/>
      <c r="BV84" s="658"/>
      <c r="BW84" s="658"/>
      <c r="BX84" s="658"/>
      <c r="BY84" s="658"/>
      <c r="BZ84" s="658"/>
      <c r="CA84" s="658"/>
      <c r="CB84" s="658"/>
      <c r="CC84" s="658"/>
      <c r="CD84" s="658"/>
      <c r="CE84" s="658"/>
      <c r="CF84" s="658"/>
      <c r="CG84" s="658"/>
      <c r="CH84" s="658"/>
      <c r="CI84" s="658"/>
      <c r="CJ84" s="658"/>
      <c r="CK84" s="658"/>
      <c r="CL84" s="658"/>
      <c r="CM84" s="658"/>
      <c r="CN84" s="658"/>
      <c r="CO84" s="658"/>
      <c r="CP84" s="658"/>
      <c r="CQ84" s="658"/>
      <c r="CR84" s="658"/>
      <c r="CS84" s="658"/>
      <c r="CT84" s="658"/>
      <c r="CU84" s="658"/>
    </row>
    <row r="85" spans="1:99" s="660" customFormat="1" ht="12.75" customHeight="1" x14ac:dyDescent="0.2">
      <c r="A85" s="876"/>
      <c r="B85" s="877"/>
      <c r="C85" s="877"/>
      <c r="D85" s="2082" t="str">
        <f>C54</f>
        <v>Fernwärme XY</v>
      </c>
      <c r="E85" s="2082"/>
      <c r="F85" s="2082"/>
      <c r="G85" s="2082"/>
      <c r="H85" s="2083"/>
      <c r="I85" s="1575"/>
      <c r="J85" s="1576"/>
      <c r="K85" s="1576"/>
      <c r="L85" s="1576"/>
      <c r="M85" s="1576"/>
      <c r="N85" s="1576"/>
      <c r="O85" s="1576"/>
      <c r="P85" s="1576"/>
      <c r="Q85" s="1576"/>
      <c r="R85" s="1576"/>
      <c r="S85" s="1576"/>
      <c r="T85" s="1579"/>
      <c r="U85" s="1577"/>
      <c r="V85" s="1577"/>
      <c r="W85" s="1577"/>
      <c r="X85" s="1577"/>
      <c r="Y85" s="1577"/>
      <c r="Z85" s="1577"/>
      <c r="AA85" s="1577"/>
      <c r="AB85" s="1577"/>
      <c r="AC85" s="1577"/>
      <c r="AD85" s="1577"/>
      <c r="AE85" s="1577"/>
      <c r="AF85" s="1578"/>
      <c r="AO85" s="661"/>
      <c r="AP85" s="661"/>
      <c r="AQ85" s="661"/>
      <c r="AR85" s="661"/>
    </row>
    <row r="86" spans="1:99" s="660" customFormat="1" ht="12.75" customHeight="1" x14ac:dyDescent="0.2">
      <c r="A86" s="876"/>
      <c r="B86" s="877"/>
      <c r="C86" s="877"/>
      <c r="D86" s="2084"/>
      <c r="E86" s="2084"/>
      <c r="F86" s="2084"/>
      <c r="G86" s="2084"/>
      <c r="H86" s="2085"/>
      <c r="I86" s="815"/>
      <c r="J86" s="816"/>
      <c r="K86" s="816"/>
      <c r="L86" s="816"/>
      <c r="M86" s="816"/>
      <c r="N86" s="816"/>
      <c r="O86" s="816"/>
      <c r="P86" s="816"/>
      <c r="Q86" s="816"/>
      <c r="R86" s="816"/>
      <c r="S86" s="816"/>
      <c r="T86" s="816"/>
      <c r="U86" s="815"/>
      <c r="V86" s="817"/>
      <c r="W86" s="817"/>
      <c r="X86" s="817"/>
      <c r="Y86" s="817"/>
      <c r="Z86" s="817"/>
      <c r="AA86" s="817"/>
      <c r="AB86" s="817"/>
      <c r="AC86" s="817"/>
      <c r="AD86" s="817"/>
      <c r="AE86" s="817"/>
      <c r="AF86" s="818"/>
      <c r="AO86" s="661"/>
      <c r="AP86" s="661"/>
      <c r="AQ86" s="661"/>
      <c r="AR86" s="661"/>
    </row>
    <row r="87" spans="1:99" s="660" customFormat="1" ht="12.75" customHeight="1" x14ac:dyDescent="0.2">
      <c r="A87" s="2134" t="s">
        <v>705</v>
      </c>
      <c r="B87" s="2135"/>
      <c r="C87" s="2135"/>
      <c r="D87" s="2082" t="str">
        <f>C$55</f>
        <v>Wärmeverbund XY</v>
      </c>
      <c r="E87" s="2082"/>
      <c r="F87" s="2082"/>
      <c r="G87" s="2082"/>
      <c r="H87" s="2083"/>
      <c r="I87" s="810"/>
      <c r="J87" s="811"/>
      <c r="K87" s="811"/>
      <c r="L87" s="811"/>
      <c r="M87" s="811"/>
      <c r="N87" s="811"/>
      <c r="O87" s="811"/>
      <c r="P87" s="811"/>
      <c r="Q87" s="811"/>
      <c r="R87" s="811"/>
      <c r="S87" s="811"/>
      <c r="T87" s="812"/>
      <c r="U87" s="813"/>
      <c r="V87" s="813"/>
      <c r="W87" s="813"/>
      <c r="X87" s="813"/>
      <c r="Y87" s="813"/>
      <c r="Z87" s="813"/>
      <c r="AA87" s="813"/>
      <c r="AB87" s="813"/>
      <c r="AC87" s="813"/>
      <c r="AD87" s="813"/>
      <c r="AE87" s="813"/>
      <c r="AF87" s="814"/>
      <c r="AO87" s="661"/>
      <c r="AP87" s="661"/>
      <c r="AQ87" s="661"/>
      <c r="AR87" s="661"/>
    </row>
    <row r="88" spans="1:99" s="660" customFormat="1" ht="12.75" customHeight="1" x14ac:dyDescent="0.2">
      <c r="A88" s="2136"/>
      <c r="B88" s="2137"/>
      <c r="C88" s="2137"/>
      <c r="D88" s="2119"/>
      <c r="E88" s="2119"/>
      <c r="F88" s="2119"/>
      <c r="G88" s="2119"/>
      <c r="H88" s="2120"/>
      <c r="I88" s="815"/>
      <c r="J88" s="816"/>
      <c r="K88" s="816"/>
      <c r="L88" s="816"/>
      <c r="M88" s="816"/>
      <c r="N88" s="816"/>
      <c r="O88" s="816"/>
      <c r="P88" s="816"/>
      <c r="Q88" s="816"/>
      <c r="R88" s="816"/>
      <c r="S88" s="816"/>
      <c r="T88" s="816"/>
      <c r="U88" s="815"/>
      <c r="V88" s="817"/>
      <c r="W88" s="817"/>
      <c r="X88" s="817"/>
      <c r="Y88" s="817"/>
      <c r="Z88" s="817"/>
      <c r="AA88" s="817"/>
      <c r="AB88" s="817"/>
      <c r="AC88" s="817"/>
      <c r="AD88" s="817"/>
      <c r="AE88" s="817"/>
      <c r="AF88" s="818"/>
      <c r="AO88" s="661"/>
      <c r="AP88" s="661"/>
      <c r="AQ88" s="661"/>
      <c r="AR88" s="661"/>
    </row>
    <row r="89" spans="1:99" s="660" customFormat="1" ht="12.75" customHeight="1" x14ac:dyDescent="0.2">
      <c r="A89" s="2132"/>
      <c r="B89" s="2133"/>
      <c r="C89" s="2133"/>
      <c r="D89" s="2119" t="str">
        <f>C$56</f>
        <v>Kälteverbund XY</v>
      </c>
      <c r="E89" s="2119"/>
      <c r="F89" s="2119"/>
      <c r="G89" s="2119"/>
      <c r="H89" s="2120"/>
      <c r="I89" s="810"/>
      <c r="J89" s="811"/>
      <c r="K89" s="811"/>
      <c r="L89" s="811"/>
      <c r="M89" s="811"/>
      <c r="N89" s="811"/>
      <c r="O89" s="811"/>
      <c r="P89" s="811"/>
      <c r="Q89" s="811"/>
      <c r="R89" s="811"/>
      <c r="S89" s="811"/>
      <c r="T89" s="812"/>
      <c r="U89" s="813"/>
      <c r="V89" s="813"/>
      <c r="W89" s="813"/>
      <c r="X89" s="813"/>
      <c r="Y89" s="813"/>
      <c r="Z89" s="813"/>
      <c r="AA89" s="813"/>
      <c r="AB89" s="813"/>
      <c r="AC89" s="813"/>
      <c r="AD89" s="813"/>
      <c r="AE89" s="813"/>
      <c r="AF89" s="814"/>
      <c r="AO89" s="661"/>
      <c r="AP89" s="661"/>
      <c r="AQ89" s="661"/>
      <c r="AR89" s="661"/>
    </row>
    <row r="90" spans="1:99" s="660" customFormat="1" ht="12.75" customHeight="1" x14ac:dyDescent="0.2">
      <c r="A90" s="878"/>
      <c r="B90" s="879"/>
      <c r="C90" s="879"/>
      <c r="D90" s="2121"/>
      <c r="E90" s="2121"/>
      <c r="F90" s="2121"/>
      <c r="G90" s="2121"/>
      <c r="H90" s="2122"/>
      <c r="I90" s="819"/>
      <c r="J90" s="820"/>
      <c r="K90" s="820"/>
      <c r="L90" s="820"/>
      <c r="M90" s="820"/>
      <c r="N90" s="820"/>
      <c r="O90" s="820"/>
      <c r="P90" s="820"/>
      <c r="Q90" s="820"/>
      <c r="R90" s="820"/>
      <c r="S90" s="820"/>
      <c r="T90" s="820"/>
      <c r="U90" s="819"/>
      <c r="V90" s="821"/>
      <c r="W90" s="821"/>
      <c r="X90" s="821"/>
      <c r="Y90" s="821"/>
      <c r="Z90" s="821"/>
      <c r="AA90" s="821"/>
      <c r="AB90" s="821"/>
      <c r="AC90" s="821"/>
      <c r="AD90" s="821"/>
      <c r="AE90" s="821"/>
      <c r="AF90" s="822"/>
      <c r="AO90" s="661"/>
      <c r="AP90" s="661"/>
      <c r="AQ90" s="661"/>
      <c r="AR90" s="661"/>
    </row>
    <row r="91" spans="1:99" s="120" customFormat="1" ht="12" customHeight="1" x14ac:dyDescent="0.2">
      <c r="B91" s="31"/>
      <c r="C91" s="31"/>
      <c r="D91" s="31"/>
      <c r="E91" s="31"/>
      <c r="F91" s="26"/>
      <c r="G91" s="27"/>
      <c r="H91" s="27"/>
      <c r="I91" s="27"/>
      <c r="J91" s="27"/>
      <c r="K91" s="27"/>
      <c r="L91" s="27"/>
      <c r="M91" s="27"/>
      <c r="N91" s="115"/>
      <c r="O91" s="115"/>
      <c r="P91" s="115"/>
      <c r="Q91" s="92"/>
      <c r="R91" s="115"/>
      <c r="S91" s="115"/>
      <c r="T91" s="115"/>
      <c r="U91" s="115"/>
      <c r="V91" s="115"/>
      <c r="W91" s="115"/>
      <c r="X91" s="115"/>
      <c r="Y91" s="1515"/>
      <c r="Z91" s="1515"/>
      <c r="AA91" s="114"/>
      <c r="AB91" s="114"/>
      <c r="AL91" s="115"/>
      <c r="AU91" s="152"/>
      <c r="AV91" s="152"/>
      <c r="AW91" s="152"/>
      <c r="AX91" s="152"/>
      <c r="AY91" s="152"/>
      <c r="AZ91" s="152"/>
      <c r="BA91" s="152"/>
      <c r="BB91" s="152"/>
      <c r="BC91" s="152"/>
      <c r="BD91" s="152"/>
      <c r="BE91" s="152"/>
      <c r="BF91" s="152"/>
      <c r="BG91" s="152"/>
      <c r="BH91" s="152"/>
      <c r="BI91" s="152"/>
      <c r="BJ91" s="152"/>
      <c r="BK91" s="152"/>
      <c r="BL91" s="152"/>
      <c r="BM91" s="152"/>
      <c r="BN91" s="152"/>
      <c r="BO91" s="152"/>
      <c r="BP91" s="152"/>
      <c r="BQ91" s="152"/>
      <c r="BR91" s="152"/>
      <c r="BS91" s="152"/>
      <c r="BT91" s="152"/>
      <c r="BU91" s="152"/>
      <c r="BV91" s="152"/>
      <c r="BW91" s="152"/>
      <c r="BX91" s="152"/>
      <c r="BY91" s="152"/>
      <c r="BZ91" s="152"/>
      <c r="CA91" s="152"/>
      <c r="CB91" s="152"/>
      <c r="CC91" s="152"/>
      <c r="CD91" s="152"/>
      <c r="CE91" s="152"/>
      <c r="CF91" s="152"/>
      <c r="CG91" s="152"/>
      <c r="CH91" s="152"/>
      <c r="CI91" s="152"/>
      <c r="CJ91" s="152"/>
      <c r="CK91" s="152"/>
      <c r="CL91" s="152"/>
      <c r="CM91" s="152"/>
      <c r="CN91" s="152"/>
      <c r="CO91" s="152"/>
      <c r="CP91" s="152"/>
      <c r="CQ91" s="152"/>
      <c r="CR91" s="152"/>
      <c r="CS91" s="152"/>
    </row>
    <row r="92" spans="1:99" s="120" customFormat="1" ht="15" customHeight="1" x14ac:dyDescent="0.2">
      <c r="A92" s="502" t="s">
        <v>656</v>
      </c>
      <c r="B92" s="30"/>
      <c r="C92" s="30"/>
      <c r="D92" s="30"/>
      <c r="E92" s="30"/>
      <c r="F92" s="28"/>
      <c r="G92" s="29"/>
      <c r="H92" s="29"/>
      <c r="I92" s="29"/>
      <c r="J92" s="29"/>
      <c r="K92" s="29"/>
      <c r="L92" s="29"/>
      <c r="M92" s="29"/>
      <c r="N92" s="115"/>
      <c r="O92" s="115"/>
      <c r="P92" s="115"/>
      <c r="Q92" s="115"/>
      <c r="R92" s="115"/>
      <c r="S92" s="115"/>
      <c r="T92" s="115"/>
      <c r="U92" s="115"/>
      <c r="V92" s="115"/>
      <c r="W92" s="115"/>
      <c r="X92" s="115"/>
      <c r="Y92" s="1515"/>
      <c r="Z92" s="1515"/>
      <c r="AA92" s="114"/>
      <c r="AB92" s="114"/>
      <c r="AL92" s="115"/>
      <c r="AM92" s="115"/>
      <c r="AU92" s="152"/>
      <c r="AV92" s="152"/>
      <c r="AW92" s="152"/>
      <c r="AX92" s="152"/>
      <c r="AY92" s="152"/>
      <c r="AZ92" s="152"/>
      <c r="BA92" s="152"/>
      <c r="BB92" s="152"/>
      <c r="BC92" s="152"/>
      <c r="BD92" s="152"/>
      <c r="BE92" s="152"/>
      <c r="BF92" s="152"/>
      <c r="BG92" s="152"/>
      <c r="BH92" s="152"/>
      <c r="BI92" s="152"/>
      <c r="BJ92" s="152"/>
      <c r="BK92" s="152"/>
      <c r="BL92" s="152"/>
      <c r="BM92" s="152"/>
      <c r="BN92" s="152"/>
      <c r="BO92" s="152"/>
      <c r="BP92" s="152"/>
      <c r="BQ92" s="152"/>
      <c r="BR92" s="152"/>
      <c r="BS92" s="152"/>
      <c r="BT92" s="152"/>
      <c r="BU92" s="152"/>
      <c r="BV92" s="152"/>
      <c r="BW92" s="152"/>
      <c r="BX92" s="152"/>
      <c r="BY92" s="152"/>
      <c r="BZ92" s="152"/>
      <c r="CA92" s="152"/>
      <c r="CB92" s="152"/>
      <c r="CC92" s="152"/>
      <c r="CD92" s="152"/>
      <c r="CE92" s="152"/>
      <c r="CF92" s="152"/>
      <c r="CG92" s="152"/>
      <c r="CH92" s="152"/>
      <c r="CI92" s="152"/>
      <c r="CJ92" s="152"/>
      <c r="CK92" s="152"/>
      <c r="CL92" s="152"/>
      <c r="CM92" s="152"/>
      <c r="CN92" s="152"/>
      <c r="CO92" s="152"/>
      <c r="CP92" s="152"/>
      <c r="CQ92" s="152"/>
      <c r="CR92" s="152"/>
      <c r="CS92" s="152"/>
    </row>
    <row r="93" spans="1:99" s="120" customFormat="1" ht="6" customHeight="1" x14ac:dyDescent="0.2">
      <c r="A93" s="502"/>
      <c r="B93" s="30"/>
      <c r="C93" s="30"/>
      <c r="D93" s="30"/>
      <c r="E93" s="30"/>
      <c r="F93" s="28"/>
      <c r="G93" s="29"/>
      <c r="H93" s="29"/>
      <c r="I93" s="29"/>
      <c r="J93" s="29"/>
      <c r="K93" s="29"/>
      <c r="L93" s="29"/>
      <c r="M93" s="29"/>
      <c r="N93" s="115"/>
      <c r="O93" s="115"/>
      <c r="P93" s="115"/>
      <c r="Q93" s="115"/>
      <c r="R93" s="115"/>
      <c r="S93" s="115"/>
      <c r="T93" s="115"/>
      <c r="U93" s="115"/>
      <c r="V93" s="115"/>
      <c r="W93" s="115"/>
      <c r="X93" s="115"/>
      <c r="Y93" s="1515"/>
      <c r="Z93" s="1515"/>
      <c r="AA93" s="114"/>
      <c r="AB93" s="114"/>
      <c r="AL93" s="115"/>
      <c r="AM93" s="115"/>
      <c r="AU93" s="152"/>
      <c r="AV93" s="152"/>
      <c r="AW93" s="152"/>
      <c r="AX93" s="152"/>
      <c r="AY93" s="152"/>
      <c r="AZ93" s="152"/>
      <c r="BA93" s="152"/>
      <c r="BB93" s="152"/>
      <c r="BC93" s="152"/>
      <c r="BD93" s="152"/>
      <c r="BE93" s="152"/>
      <c r="BF93" s="152"/>
      <c r="BG93" s="152"/>
      <c r="BH93" s="152"/>
      <c r="BI93" s="152"/>
      <c r="BJ93" s="152"/>
      <c r="BK93" s="152"/>
      <c r="BL93" s="152"/>
      <c r="BM93" s="152"/>
      <c r="BN93" s="152"/>
      <c r="BO93" s="152"/>
      <c r="BP93" s="152"/>
      <c r="BQ93" s="152"/>
      <c r="BR93" s="152"/>
      <c r="BS93" s="152"/>
      <c r="BT93" s="152"/>
      <c r="BU93" s="152"/>
      <c r="BV93" s="152"/>
      <c r="BW93" s="152"/>
      <c r="BX93" s="152"/>
      <c r="BY93" s="152"/>
      <c r="BZ93" s="152"/>
      <c r="CA93" s="152"/>
      <c r="CB93" s="152"/>
      <c r="CC93" s="152"/>
      <c r="CD93" s="152"/>
      <c r="CE93" s="152"/>
      <c r="CF93" s="152"/>
      <c r="CG93" s="152"/>
      <c r="CH93" s="152"/>
      <c r="CI93" s="152"/>
      <c r="CJ93" s="152"/>
      <c r="CK93" s="152"/>
      <c r="CL93" s="152"/>
      <c r="CM93" s="152"/>
      <c r="CN93" s="152"/>
      <c r="CO93" s="152"/>
      <c r="CP93" s="152"/>
      <c r="CQ93" s="152"/>
      <c r="CR93" s="152"/>
      <c r="CS93" s="152"/>
    </row>
    <row r="94" spans="1:99" s="117" customFormat="1" ht="13.5" customHeight="1" x14ac:dyDescent="0.2">
      <c r="A94" s="1241" t="s">
        <v>223</v>
      </c>
      <c r="B94" s="1242"/>
      <c r="C94" s="1242"/>
      <c r="D94" s="1242"/>
      <c r="E94" s="1242"/>
      <c r="F94" s="1242"/>
      <c r="G94" s="1242"/>
      <c r="H94" s="1242"/>
      <c r="I94" s="1242"/>
      <c r="J94" s="1242"/>
      <c r="K94" s="1242"/>
      <c r="L94" s="1242"/>
      <c r="M94" s="1242"/>
      <c r="N94" s="1242"/>
      <c r="O94" s="1242"/>
      <c r="P94" s="1242"/>
      <c r="Q94" s="1242"/>
      <c r="R94" s="1242"/>
      <c r="S94" s="1242"/>
      <c r="T94" s="1242"/>
      <c r="U94" s="1242"/>
      <c r="V94" s="1242"/>
      <c r="W94" s="1243"/>
      <c r="X94" s="60"/>
      <c r="Y94" s="118"/>
      <c r="Z94" s="118"/>
      <c r="AA94" s="668" t="s">
        <v>471</v>
      </c>
      <c r="AB94" s="669"/>
      <c r="AC94" s="669"/>
      <c r="AD94" s="669"/>
      <c r="AE94" s="669"/>
      <c r="AF94" s="759"/>
      <c r="AI94" s="371"/>
      <c r="AJ94"/>
      <c r="AK94"/>
      <c r="AL94"/>
      <c r="AM94"/>
      <c r="AN94"/>
      <c r="AT94" s="180"/>
      <c r="AV94" s="153"/>
      <c r="AW94" s="153"/>
      <c r="AX94" s="153"/>
      <c r="AY94" s="153"/>
      <c r="AZ94" s="153"/>
      <c r="BA94" s="153"/>
      <c r="BB94" s="153"/>
      <c r="BC94" s="153"/>
      <c r="BD94" s="153"/>
      <c r="BE94" s="153"/>
      <c r="BF94" s="153"/>
      <c r="BG94" s="153"/>
      <c r="BH94" s="153"/>
      <c r="BI94" s="153"/>
      <c r="BJ94" s="153"/>
      <c r="BK94" s="153"/>
      <c r="BL94" s="153"/>
      <c r="BM94" s="153"/>
      <c r="BN94" s="153"/>
      <c r="BO94" s="153"/>
      <c r="BP94" s="153"/>
      <c r="BQ94" s="153"/>
      <c r="BR94" s="153"/>
      <c r="BS94" s="153"/>
      <c r="BT94" s="153"/>
      <c r="BU94" s="153"/>
      <c r="BV94" s="153"/>
      <c r="BW94" s="153"/>
      <c r="BX94" s="153"/>
      <c r="BY94" s="153"/>
      <c r="BZ94" s="153"/>
      <c r="CA94" s="153"/>
      <c r="CB94" s="153"/>
      <c r="CC94" s="153"/>
      <c r="CD94" s="153"/>
      <c r="CE94" s="153"/>
      <c r="CF94" s="153"/>
      <c r="CG94" s="153"/>
      <c r="CH94" s="153"/>
      <c r="CI94" s="153"/>
      <c r="CJ94" s="153"/>
      <c r="CK94" s="153"/>
      <c r="CL94" s="153"/>
      <c r="CM94" s="153"/>
      <c r="CN94" s="153"/>
      <c r="CO94" s="153"/>
      <c r="CP94" s="153"/>
      <c r="CQ94" s="153"/>
      <c r="CR94" s="153"/>
      <c r="CS94" s="153"/>
      <c r="CT94" s="153"/>
    </row>
    <row r="95" spans="1:99" s="120" customFormat="1" ht="25.5" customHeight="1" x14ac:dyDescent="0.2">
      <c r="A95" s="826" t="s">
        <v>128</v>
      </c>
      <c r="B95" s="823"/>
      <c r="C95" s="823"/>
      <c r="D95" s="823"/>
      <c r="E95" s="823"/>
      <c r="F95" s="823"/>
      <c r="G95" s="823"/>
      <c r="H95" s="823"/>
      <c r="I95" s="823"/>
      <c r="J95" s="823"/>
      <c r="K95" s="2070" t="s">
        <v>129</v>
      </c>
      <c r="L95" s="2070"/>
      <c r="M95" s="2070"/>
      <c r="N95" s="2070"/>
      <c r="O95" s="2070" t="s">
        <v>483</v>
      </c>
      <c r="P95" s="2070"/>
      <c r="Q95" s="2070"/>
      <c r="R95" s="2070" t="s">
        <v>5</v>
      </c>
      <c r="S95" s="2070"/>
      <c r="T95" s="2070"/>
      <c r="U95" s="2074" t="s">
        <v>537</v>
      </c>
      <c r="V95" s="2074"/>
      <c r="W95" s="2075"/>
      <c r="X95" s="181"/>
      <c r="Y95" s="372"/>
      <c r="Z95" s="13"/>
      <c r="AA95" s="2113" t="s">
        <v>816</v>
      </c>
      <c r="AB95" s="2114"/>
      <c r="AC95" s="2114"/>
      <c r="AD95" s="2114"/>
      <c r="AE95" s="2114"/>
      <c r="AF95" s="2115"/>
      <c r="AG95"/>
      <c r="AH95"/>
      <c r="AI95"/>
      <c r="AJ95" s="1"/>
      <c r="AK95" s="1"/>
      <c r="AL95" s="1"/>
      <c r="AM95" s="1"/>
      <c r="AN95" s="1"/>
      <c r="AV95" s="152"/>
      <c r="AW95" s="152"/>
      <c r="AX95" s="152"/>
      <c r="AY95" s="152"/>
      <c r="AZ95" s="152"/>
      <c r="BA95" s="152"/>
      <c r="BB95" s="152"/>
      <c r="BC95" s="152"/>
      <c r="BD95" s="152"/>
      <c r="BE95" s="152"/>
      <c r="BF95" s="152"/>
      <c r="BG95" s="152"/>
      <c r="BH95" s="152"/>
      <c r="BI95" s="152"/>
      <c r="BJ95" s="152"/>
      <c r="BK95" s="152"/>
      <c r="BL95" s="152"/>
      <c r="BM95" s="152"/>
      <c r="BN95" s="152"/>
      <c r="BO95" s="152"/>
      <c r="BP95" s="152"/>
      <c r="BQ95" s="152"/>
      <c r="BR95" s="152"/>
      <c r="BS95" s="152"/>
      <c r="BT95" s="152"/>
      <c r="BU95" s="152"/>
      <c r="BV95" s="152"/>
      <c r="BW95" s="152"/>
      <c r="BX95" s="152"/>
      <c r="BY95" s="152"/>
      <c r="BZ95" s="152"/>
      <c r="CA95" s="152"/>
      <c r="CB95" s="152"/>
      <c r="CC95" s="152"/>
      <c r="CD95" s="152"/>
      <c r="CE95" s="152"/>
      <c r="CF95" s="152"/>
      <c r="CG95" s="152"/>
      <c r="CH95" s="152"/>
      <c r="CI95" s="152"/>
      <c r="CJ95" s="152"/>
      <c r="CK95" s="152"/>
      <c r="CL95" s="152"/>
      <c r="CM95" s="152"/>
      <c r="CN95" s="152"/>
      <c r="CO95" s="152"/>
      <c r="CP95" s="152"/>
      <c r="CQ95" s="152"/>
      <c r="CR95" s="152"/>
      <c r="CS95" s="152"/>
      <c r="CT95" s="152"/>
    </row>
    <row r="96" spans="1:99" s="120" customFormat="1" ht="13.5" customHeight="1" x14ac:dyDescent="0.2">
      <c r="A96" s="824"/>
      <c r="B96" s="825"/>
      <c r="C96" s="825"/>
      <c r="D96" s="825"/>
      <c r="E96" s="825"/>
      <c r="F96" s="825"/>
      <c r="G96" s="825"/>
      <c r="H96" s="825"/>
      <c r="I96" s="825"/>
      <c r="J96" s="825"/>
      <c r="K96" s="2109"/>
      <c r="L96" s="2109"/>
      <c r="M96" s="2109"/>
      <c r="N96" s="2109"/>
      <c r="O96" s="2110" t="s">
        <v>23</v>
      </c>
      <c r="P96" s="2110"/>
      <c r="Q96" s="2110"/>
      <c r="R96" s="2110" t="s">
        <v>222</v>
      </c>
      <c r="S96" s="2110"/>
      <c r="T96" s="2110"/>
      <c r="U96" s="2013" t="s">
        <v>815</v>
      </c>
      <c r="V96" s="2013"/>
      <c r="W96" s="2014"/>
      <c r="X96" s="666"/>
      <c r="Y96" s="666"/>
      <c r="Z96" s="55"/>
      <c r="AA96" s="1"/>
      <c r="AB96" s="1"/>
      <c r="AC96" s="1"/>
      <c r="AD96" s="1"/>
      <c r="AE96" s="1"/>
      <c r="AF96" s="1"/>
      <c r="AG96" s="1"/>
      <c r="AH96" s="1"/>
      <c r="AI96" s="1"/>
      <c r="AJ96" s="1"/>
      <c r="AK96" s="1"/>
      <c r="AL96" s="1"/>
      <c r="AM96" s="1"/>
      <c r="AN96" s="1"/>
      <c r="AR96" s="723"/>
      <c r="AV96" s="152"/>
      <c r="AW96" s="152"/>
      <c r="AX96" s="152"/>
      <c r="AY96" s="152"/>
      <c r="AZ96" s="152"/>
      <c r="BA96" s="152"/>
      <c r="BB96" s="152"/>
      <c r="BC96" s="152"/>
      <c r="BD96" s="152"/>
      <c r="BE96" s="152"/>
      <c r="BF96" s="152"/>
      <c r="BG96" s="152"/>
      <c r="BH96" s="152"/>
      <c r="BI96" s="152"/>
      <c r="BJ96" s="152"/>
      <c r="BK96" s="152"/>
      <c r="BL96" s="152"/>
      <c r="BM96" s="152"/>
      <c r="BN96" s="152"/>
      <c r="BO96" s="152"/>
      <c r="BP96" s="152"/>
      <c r="BQ96" s="152"/>
      <c r="BR96" s="152"/>
      <c r="BS96" s="152"/>
      <c r="BT96" s="152"/>
      <c r="BU96" s="152"/>
      <c r="BV96" s="152"/>
      <c r="BW96" s="152"/>
      <c r="BX96" s="152"/>
      <c r="BY96" s="152"/>
      <c r="BZ96" s="152"/>
      <c r="CA96" s="152"/>
      <c r="CB96" s="152"/>
      <c r="CC96" s="152"/>
      <c r="CD96" s="152"/>
      <c r="CE96" s="152"/>
      <c r="CF96" s="152"/>
      <c r="CG96" s="152"/>
      <c r="CH96" s="152"/>
      <c r="CI96" s="152"/>
      <c r="CJ96" s="152"/>
      <c r="CK96" s="152"/>
      <c r="CL96" s="152"/>
      <c r="CM96" s="152"/>
      <c r="CN96" s="152"/>
      <c r="CO96" s="152"/>
      <c r="CP96" s="152"/>
      <c r="CQ96" s="152"/>
      <c r="CR96" s="152"/>
      <c r="CS96" s="152"/>
      <c r="CT96" s="152"/>
    </row>
    <row r="97" spans="1:106" s="120" customFormat="1" ht="13.5" customHeight="1" x14ac:dyDescent="0.2">
      <c r="A97" s="827" t="s">
        <v>327</v>
      </c>
      <c r="B97" s="828"/>
      <c r="C97" s="828"/>
      <c r="D97" s="828"/>
      <c r="E97" s="828"/>
      <c r="F97" s="828"/>
      <c r="G97" s="828"/>
      <c r="H97" s="828"/>
      <c r="I97" s="828"/>
      <c r="J97" s="828"/>
      <c r="K97" s="2129" t="s">
        <v>219</v>
      </c>
      <c r="L97" s="2129"/>
      <c r="M97" s="2129"/>
      <c r="N97" s="2129"/>
      <c r="O97" s="2099">
        <v>0.03</v>
      </c>
      <c r="P97" s="2099"/>
      <c r="Q97" s="2099"/>
      <c r="R97" s="2099">
        <v>0.01</v>
      </c>
      <c r="S97" s="2099"/>
      <c r="T97" s="2099"/>
      <c r="U97" s="2127">
        <v>0</v>
      </c>
      <c r="V97" s="2127"/>
      <c r="W97" s="2128"/>
      <c r="X97" s="667"/>
      <c r="Y97" s="667"/>
      <c r="Z97" s="55"/>
      <c r="AA97" s="1"/>
      <c r="AB97" s="1"/>
      <c r="AC97" s="1"/>
      <c r="AD97" s="1"/>
      <c r="AE97" s="1"/>
      <c r="AF97" s="1"/>
      <c r="AG97" s="1"/>
      <c r="AH97" s="1"/>
      <c r="AI97" s="1"/>
      <c r="AJ97" s="1"/>
      <c r="AK97" s="1"/>
      <c r="AL97" s="1"/>
      <c r="AM97" s="1"/>
      <c r="AN97" s="1"/>
      <c r="AO97" s="2126"/>
      <c r="AP97" s="2126"/>
      <c r="AR97" s="723"/>
      <c r="AV97" s="152"/>
      <c r="AW97" s="152"/>
      <c r="AX97" s="152"/>
      <c r="AY97" s="152"/>
      <c r="AZ97" s="152"/>
      <c r="BA97" s="152"/>
      <c r="BB97" s="152"/>
      <c r="BC97" s="152"/>
      <c r="BD97" s="152"/>
      <c r="BE97" s="152"/>
      <c r="BF97" s="152"/>
      <c r="BG97" s="152"/>
      <c r="BH97" s="152"/>
      <c r="BI97" s="152"/>
      <c r="BJ97" s="152"/>
      <c r="BK97" s="152"/>
      <c r="BL97" s="152"/>
      <c r="BM97" s="152"/>
      <c r="BN97" s="152"/>
      <c r="BO97" s="152"/>
      <c r="BP97" s="152"/>
      <c r="BQ97" s="152"/>
      <c r="BR97" s="152"/>
      <c r="BS97" s="152"/>
      <c r="BT97" s="152"/>
      <c r="BU97" s="152"/>
      <c r="BV97" s="152"/>
      <c r="BW97" s="152"/>
      <c r="BX97" s="152"/>
      <c r="BY97" s="152"/>
      <c r="BZ97" s="152"/>
      <c r="CA97" s="152"/>
      <c r="CB97" s="152"/>
      <c r="CC97" s="152"/>
      <c r="CD97" s="152"/>
      <c r="CE97" s="152"/>
      <c r="CF97" s="152"/>
      <c r="CG97" s="152"/>
      <c r="CH97" s="152"/>
      <c r="CI97" s="152"/>
      <c r="CJ97" s="152"/>
      <c r="CK97" s="152"/>
      <c r="CL97" s="152"/>
      <c r="CM97" s="152"/>
      <c r="CN97" s="152"/>
      <c r="CO97" s="152"/>
      <c r="CP97" s="152"/>
      <c r="CQ97" s="152"/>
      <c r="CR97" s="152"/>
      <c r="CS97" s="152"/>
      <c r="CT97" s="152"/>
    </row>
    <row r="98" spans="1:106" s="120" customFormat="1" ht="13.5" customHeight="1" x14ac:dyDescent="0.2">
      <c r="A98" s="829" t="s">
        <v>817</v>
      </c>
      <c r="B98" s="830"/>
      <c r="C98" s="830"/>
      <c r="D98" s="830"/>
      <c r="E98" s="830"/>
      <c r="F98" s="830"/>
      <c r="G98" s="830"/>
      <c r="H98" s="830"/>
      <c r="I98" s="830"/>
      <c r="J98" s="830"/>
      <c r="K98" s="2017" t="s">
        <v>220</v>
      </c>
      <c r="L98" s="2017"/>
      <c r="M98" s="2017"/>
      <c r="N98" s="2017"/>
      <c r="O98" s="2072">
        <v>4.25</v>
      </c>
      <c r="P98" s="2072"/>
      <c r="Q98" s="2072"/>
      <c r="R98" s="2072">
        <v>1.52</v>
      </c>
      <c r="S98" s="2072"/>
      <c r="T98" s="2072"/>
      <c r="U98" s="2015">
        <v>2440</v>
      </c>
      <c r="V98" s="2015"/>
      <c r="W98" s="2016"/>
      <c r="X98" s="667"/>
      <c r="Y98" s="667"/>
      <c r="Z98" s="55"/>
      <c r="AA98" s="1"/>
      <c r="AB98" s="1"/>
      <c r="AC98" s="1"/>
      <c r="AD98" s="1"/>
      <c r="AE98" s="1"/>
      <c r="AF98" s="1"/>
      <c r="AG98" s="1"/>
      <c r="AH98" s="1"/>
      <c r="AI98" s="1"/>
      <c r="AJ98" s="1"/>
      <c r="AK98" s="1"/>
      <c r="AL98" s="1"/>
      <c r="AM98" s="1"/>
      <c r="AN98" s="1"/>
      <c r="AO98" s="2126"/>
      <c r="AP98" s="2126"/>
      <c r="AR98" s="723"/>
      <c r="AV98" s="152"/>
      <c r="AW98" s="152"/>
      <c r="AX98" s="152"/>
      <c r="AY98" s="152"/>
      <c r="AZ98" s="152"/>
      <c r="BA98" s="152"/>
      <c r="BB98" s="152"/>
      <c r="BC98" s="152"/>
      <c r="BD98" s="152"/>
      <c r="BE98" s="152"/>
      <c r="BF98" s="152"/>
      <c r="BG98" s="152"/>
      <c r="BH98" s="152"/>
      <c r="BI98" s="152"/>
      <c r="BJ98" s="152"/>
      <c r="BK98" s="152"/>
      <c r="BL98" s="152"/>
      <c r="BM98" s="152"/>
      <c r="BN98" s="152"/>
      <c r="BO98" s="152"/>
      <c r="BP98" s="152"/>
      <c r="BQ98" s="152"/>
      <c r="BR98" s="152"/>
      <c r="BS98" s="152"/>
      <c r="BT98" s="152"/>
      <c r="BU98" s="152"/>
      <c r="BV98" s="152"/>
      <c r="BW98" s="152"/>
      <c r="BX98" s="152"/>
      <c r="BY98" s="152"/>
      <c r="BZ98" s="152"/>
      <c r="CA98" s="152"/>
      <c r="CB98" s="152"/>
      <c r="CC98" s="152"/>
      <c r="CD98" s="152"/>
      <c r="CE98" s="152"/>
      <c r="CF98" s="152"/>
      <c r="CG98" s="152"/>
      <c r="CH98" s="152"/>
      <c r="CI98" s="152"/>
      <c r="CJ98" s="152"/>
      <c r="CK98" s="152"/>
      <c r="CL98" s="152"/>
      <c r="CM98" s="152"/>
      <c r="CN98" s="152"/>
      <c r="CO98" s="152"/>
      <c r="CP98" s="152"/>
      <c r="CQ98" s="152"/>
      <c r="CR98" s="152"/>
      <c r="CS98" s="152"/>
      <c r="CT98" s="152"/>
    </row>
    <row r="99" spans="1:106" s="120" customFormat="1" ht="13.5" customHeight="1" x14ac:dyDescent="0.2">
      <c r="A99" s="829" t="s">
        <v>818</v>
      </c>
      <c r="B99" s="830"/>
      <c r="C99" s="830"/>
      <c r="D99" s="830"/>
      <c r="E99" s="830"/>
      <c r="F99" s="830"/>
      <c r="G99" s="830"/>
      <c r="H99" s="830"/>
      <c r="I99" s="830"/>
      <c r="J99" s="830"/>
      <c r="K99" s="2017" t="s">
        <v>220</v>
      </c>
      <c r="L99" s="2017"/>
      <c r="M99" s="2017"/>
      <c r="N99" s="2017"/>
      <c r="O99" s="2072">
        <v>3.76</v>
      </c>
      <c r="P99" s="2072"/>
      <c r="Q99" s="2072"/>
      <c r="R99" s="2072">
        <v>1.49</v>
      </c>
      <c r="S99" s="2072"/>
      <c r="T99" s="2072"/>
      <c r="U99" s="2015">
        <v>2433</v>
      </c>
      <c r="V99" s="2015"/>
      <c r="W99" s="2016"/>
      <c r="X99" s="667"/>
      <c r="Y99" s="667"/>
      <c r="Z99" s="1"/>
      <c r="AA99" s="1"/>
      <c r="AB99" s="1"/>
      <c r="AC99" s="1"/>
      <c r="AD99" s="1"/>
      <c r="AE99" s="1"/>
      <c r="AF99" s="1"/>
      <c r="AG99" s="1"/>
      <c r="AH99" s="1"/>
      <c r="AI99" s="1"/>
      <c r="AJ99" s="1"/>
      <c r="AK99" s="1"/>
      <c r="AL99" s="1"/>
      <c r="AM99" s="1"/>
      <c r="AN99" s="1"/>
      <c r="AO99" s="2126"/>
      <c r="AP99" s="2126"/>
      <c r="AR99" s="723"/>
      <c r="AV99" s="152"/>
      <c r="AW99" s="152"/>
      <c r="AX99" s="152"/>
      <c r="AY99" s="152"/>
      <c r="AZ99" s="152"/>
      <c r="BA99" s="152"/>
      <c r="BB99" s="152"/>
      <c r="BC99" s="152"/>
      <c r="BD99" s="152"/>
      <c r="BE99" s="152"/>
      <c r="BF99" s="152"/>
      <c r="BG99" s="152"/>
      <c r="BH99" s="152"/>
      <c r="BI99" s="152"/>
      <c r="BJ99" s="152"/>
      <c r="BK99" s="152"/>
      <c r="BL99" s="152"/>
      <c r="BM99" s="152"/>
      <c r="BN99" s="152"/>
      <c r="BO99" s="152"/>
      <c r="BP99" s="152"/>
      <c r="BQ99" s="152"/>
      <c r="BR99" s="152"/>
      <c r="BS99" s="152"/>
      <c r="BT99" s="152"/>
      <c r="BU99" s="152"/>
      <c r="BV99" s="152"/>
      <c r="BW99" s="152"/>
      <c r="BX99" s="152"/>
      <c r="BY99" s="152"/>
      <c r="BZ99" s="152"/>
      <c r="CA99" s="152"/>
      <c r="CB99" s="152"/>
      <c r="CC99" s="152"/>
      <c r="CD99" s="152"/>
      <c r="CE99" s="152"/>
      <c r="CF99" s="152"/>
      <c r="CG99" s="152"/>
      <c r="CH99" s="152"/>
      <c r="CI99" s="152"/>
      <c r="CJ99" s="152"/>
      <c r="CK99" s="152"/>
      <c r="CL99" s="152"/>
      <c r="CM99" s="152"/>
      <c r="CN99" s="152"/>
      <c r="CO99" s="152"/>
      <c r="CP99" s="152"/>
      <c r="CQ99" s="152"/>
      <c r="CR99" s="152"/>
      <c r="CS99" s="152"/>
      <c r="CT99" s="152"/>
    </row>
    <row r="100" spans="1:106" s="120" customFormat="1" ht="13.5" customHeight="1" x14ac:dyDescent="0.2">
      <c r="A100" s="829" t="s">
        <v>819</v>
      </c>
      <c r="B100" s="830"/>
      <c r="C100" s="830"/>
      <c r="D100" s="1628">
        <v>0.2</v>
      </c>
      <c r="E100" s="830" t="s">
        <v>820</v>
      </c>
      <c r="F100" s="830"/>
      <c r="G100" s="830"/>
      <c r="H100" s="830"/>
      <c r="I100" s="830"/>
      <c r="J100" s="830"/>
      <c r="K100" s="2017" t="s">
        <v>85</v>
      </c>
      <c r="L100" s="2017"/>
      <c r="M100" s="2017"/>
      <c r="N100" s="2017"/>
      <c r="O100" s="2072">
        <f>29.26/$D100</f>
        <v>146.30000000000001</v>
      </c>
      <c r="P100" s="2072"/>
      <c r="Q100" s="2072"/>
      <c r="R100" s="2072">
        <f>8.03/$D100</f>
        <v>40.149999999999991</v>
      </c>
      <c r="S100" s="2072"/>
      <c r="T100" s="2072"/>
      <c r="U100" s="2015">
        <f>18260/$D100</f>
        <v>91300</v>
      </c>
      <c r="V100" s="2015"/>
      <c r="W100" s="2016"/>
      <c r="X100" s="667"/>
      <c r="Y100" s="667"/>
      <c r="Z100" s="1"/>
      <c r="AA100" s="1"/>
      <c r="AB100" s="1"/>
      <c r="AC100" s="1"/>
      <c r="AD100" s="1"/>
      <c r="AE100" s="1"/>
      <c r="AF100" s="1"/>
      <c r="AG100" s="1"/>
      <c r="AH100" s="1"/>
      <c r="AI100" s="1"/>
      <c r="AJ100" s="1"/>
      <c r="AK100" s="1"/>
      <c r="AL100" s="1"/>
      <c r="AM100" s="1"/>
      <c r="AN100" s="1"/>
      <c r="AO100" s="2126"/>
      <c r="AP100" s="2126"/>
      <c r="AV100" s="152"/>
      <c r="AW100" s="152"/>
      <c r="AX100" s="152"/>
      <c r="AY100" s="152"/>
      <c r="AZ100" s="152"/>
      <c r="BA100" s="152"/>
      <c r="BB100" s="152"/>
      <c r="BC100" s="152"/>
      <c r="BD100" s="152"/>
      <c r="BE100" s="152"/>
      <c r="BF100" s="152"/>
      <c r="BG100" s="152"/>
      <c r="BH100" s="152"/>
      <c r="BI100" s="152"/>
      <c r="BJ100" s="152"/>
      <c r="BK100" s="152"/>
      <c r="BL100" s="152"/>
      <c r="BM100" s="152"/>
      <c r="BN100" s="152"/>
      <c r="BO100" s="152"/>
      <c r="BP100" s="152"/>
      <c r="BQ100" s="152"/>
      <c r="BR100" s="152"/>
      <c r="BS100" s="152"/>
      <c r="BT100" s="152"/>
      <c r="BU100" s="152"/>
      <c r="BV100" s="152"/>
      <c r="BW100" s="152"/>
      <c r="BX100" s="152"/>
      <c r="BY100" s="152"/>
      <c r="BZ100" s="152"/>
      <c r="CA100" s="152"/>
      <c r="CB100" s="152"/>
      <c r="CC100" s="152"/>
      <c r="CD100" s="152"/>
      <c r="CE100" s="152"/>
      <c r="CF100" s="152"/>
      <c r="CG100" s="152"/>
      <c r="CH100" s="152"/>
      <c r="CI100" s="152"/>
      <c r="CJ100" s="152"/>
      <c r="CK100" s="152"/>
      <c r="CL100" s="152"/>
      <c r="CM100" s="152"/>
      <c r="CN100" s="152"/>
      <c r="CO100" s="152"/>
      <c r="CP100" s="152"/>
      <c r="CQ100" s="152"/>
      <c r="CR100" s="152"/>
      <c r="CS100" s="152"/>
      <c r="CT100" s="152"/>
    </row>
    <row r="101" spans="1:106" s="120" customFormat="1" ht="13.5" customHeight="1" x14ac:dyDescent="0.2">
      <c r="A101" s="831" t="s">
        <v>821</v>
      </c>
      <c r="B101" s="830"/>
      <c r="C101" s="830"/>
      <c r="D101" s="830"/>
      <c r="E101" s="830"/>
      <c r="F101" s="1628">
        <v>30</v>
      </c>
      <c r="G101" s="830" t="s">
        <v>822</v>
      </c>
      <c r="H101" s="830"/>
      <c r="I101" s="830"/>
      <c r="J101" s="830"/>
      <c r="K101" s="2017" t="s">
        <v>218</v>
      </c>
      <c r="L101" s="2017"/>
      <c r="M101" s="2017"/>
      <c r="N101" s="2017"/>
      <c r="O101" s="2072">
        <f>0.48/$F101*1000</f>
        <v>16</v>
      </c>
      <c r="P101" s="2072"/>
      <c r="Q101" s="2072"/>
      <c r="R101" s="2072">
        <f>0.13/$F101*1000</f>
        <v>4.333333333333333</v>
      </c>
      <c r="S101" s="2072"/>
      <c r="T101" s="2072"/>
      <c r="U101" s="2015">
        <f>271/$F101*1000</f>
        <v>9033.3333333333339</v>
      </c>
      <c r="V101" s="2015"/>
      <c r="W101" s="2016"/>
      <c r="X101" s="667"/>
      <c r="Y101" s="667"/>
      <c r="Z101" s="1"/>
      <c r="AA101" s="1"/>
      <c r="AB101" s="1"/>
      <c r="AC101" s="1"/>
      <c r="AD101" s="1"/>
      <c r="AE101" s="1"/>
      <c r="AF101" s="1"/>
      <c r="AG101" s="1"/>
      <c r="AH101" s="1"/>
      <c r="AI101" s="1"/>
      <c r="AJ101" s="1"/>
      <c r="AK101" s="1"/>
      <c r="AL101" s="1"/>
      <c r="AM101" s="1"/>
      <c r="AN101" s="1"/>
      <c r="AV101" s="152"/>
      <c r="AW101" s="152"/>
      <c r="AX101" s="152"/>
      <c r="AY101" s="152"/>
      <c r="AZ101" s="152"/>
      <c r="BA101" s="152"/>
      <c r="BB101" s="152"/>
      <c r="BC101" s="152"/>
      <c r="BD101" s="152"/>
      <c r="BE101" s="152"/>
      <c r="BF101" s="152"/>
      <c r="BG101" s="152"/>
      <c r="BH101" s="152"/>
      <c r="BI101" s="152"/>
      <c r="BJ101" s="152"/>
      <c r="BK101" s="152"/>
      <c r="BL101" s="152"/>
      <c r="BM101" s="152"/>
      <c r="BN101" s="152"/>
      <c r="BO101" s="152"/>
      <c r="BP101" s="152"/>
      <c r="BQ101" s="152"/>
      <c r="BR101" s="152"/>
      <c r="BS101" s="152"/>
      <c r="BT101" s="152"/>
      <c r="BU101" s="152"/>
      <c r="BV101" s="152"/>
      <c r="BW101" s="152"/>
      <c r="BX101" s="152"/>
      <c r="BY101" s="152"/>
      <c r="BZ101" s="152"/>
      <c r="CA101" s="152"/>
      <c r="CB101" s="152"/>
      <c r="CC101" s="152"/>
      <c r="CD101" s="152"/>
      <c r="CE101" s="152"/>
      <c r="CF101" s="152"/>
      <c r="CG101" s="152"/>
      <c r="CH101" s="152"/>
      <c r="CI101" s="152"/>
      <c r="CJ101" s="152"/>
      <c r="CK101" s="152"/>
      <c r="CL101" s="152"/>
      <c r="CM101" s="152"/>
      <c r="CN101" s="152"/>
      <c r="CO101" s="152"/>
      <c r="CP101" s="152"/>
      <c r="CQ101" s="152"/>
      <c r="CR101" s="152"/>
      <c r="CS101" s="152"/>
      <c r="CT101" s="152"/>
    </row>
    <row r="102" spans="1:106" s="120" customFormat="1" ht="13.5" customHeight="1" x14ac:dyDescent="0.2">
      <c r="A102" s="829" t="s">
        <v>823</v>
      </c>
      <c r="B102" s="830"/>
      <c r="C102" s="830"/>
      <c r="D102" s="830"/>
      <c r="E102" s="830"/>
      <c r="F102" s="1628">
        <v>20</v>
      </c>
      <c r="G102" s="830" t="s">
        <v>822</v>
      </c>
      <c r="H102" s="830"/>
      <c r="I102" s="830"/>
      <c r="J102" s="830"/>
      <c r="K102" s="2017" t="s">
        <v>218</v>
      </c>
      <c r="L102" s="2017"/>
      <c r="M102" s="2017"/>
      <c r="N102" s="2017"/>
      <c r="O102" s="2072">
        <f>1.02/$F102*1000</f>
        <v>51.000000000000007</v>
      </c>
      <c r="P102" s="2072"/>
      <c r="Q102" s="2072"/>
      <c r="R102" s="2072">
        <f>0.23/$F102*1000</f>
        <v>11.5</v>
      </c>
      <c r="S102" s="2072"/>
      <c r="T102" s="2072"/>
      <c r="U102" s="2015">
        <f>461/$F102*1000</f>
        <v>23050</v>
      </c>
      <c r="V102" s="2015"/>
      <c r="W102" s="2016"/>
      <c r="X102" s="667"/>
      <c r="Y102" s="667"/>
      <c r="Z102" s="1"/>
      <c r="AA102" s="1"/>
      <c r="AB102" s="1"/>
      <c r="AC102" s="1"/>
      <c r="AD102" s="1"/>
      <c r="AE102" s="1"/>
      <c r="AF102" s="1"/>
      <c r="AG102" s="1"/>
      <c r="AH102" s="1"/>
      <c r="AI102" s="1"/>
      <c r="AJ102" s="1"/>
      <c r="AK102" s="1"/>
      <c r="AL102" s="1"/>
      <c r="AM102" s="1"/>
      <c r="AN102" s="1"/>
      <c r="AV102" s="152"/>
      <c r="AW102" s="152"/>
      <c r="AX102" s="152"/>
      <c r="AY102" s="152"/>
      <c r="AZ102" s="152"/>
      <c r="BA102" s="152"/>
      <c r="BB102" s="152"/>
      <c r="BC102" s="152"/>
      <c r="BD102" s="152"/>
      <c r="BE102" s="152"/>
      <c r="BF102" s="152"/>
      <c r="BG102" s="152"/>
      <c r="BH102" s="152"/>
      <c r="BI102" s="152"/>
      <c r="BJ102" s="152"/>
      <c r="BK102" s="152"/>
      <c r="BL102" s="152"/>
      <c r="BM102" s="152"/>
      <c r="BN102" s="152"/>
      <c r="BO102" s="152"/>
      <c r="BP102" s="152"/>
      <c r="BQ102" s="152"/>
      <c r="BR102" s="152"/>
      <c r="BS102" s="152"/>
      <c r="BT102" s="152"/>
      <c r="BU102" s="152"/>
      <c r="BV102" s="152"/>
      <c r="BW102" s="152"/>
      <c r="BX102" s="152"/>
      <c r="BY102" s="152"/>
      <c r="BZ102" s="152"/>
      <c r="CA102" s="152"/>
      <c r="CB102" s="152"/>
      <c r="CC102" s="152"/>
      <c r="CD102" s="152"/>
      <c r="CE102" s="152"/>
      <c r="CF102" s="152"/>
      <c r="CG102" s="152"/>
      <c r="CH102" s="152"/>
      <c r="CI102" s="152"/>
      <c r="CJ102" s="152"/>
      <c r="CK102" s="152"/>
      <c r="CL102" s="152"/>
      <c r="CM102" s="152"/>
      <c r="CN102" s="152"/>
      <c r="CO102" s="152"/>
      <c r="CP102" s="152"/>
      <c r="CQ102" s="152"/>
      <c r="CR102" s="152"/>
      <c r="CS102" s="152"/>
      <c r="CT102" s="152"/>
    </row>
    <row r="103" spans="1:106" s="113" customFormat="1" ht="13.5" customHeight="1" x14ac:dyDescent="0.2">
      <c r="A103" s="832" t="s">
        <v>824</v>
      </c>
      <c r="B103" s="833"/>
      <c r="C103" s="833"/>
      <c r="D103" s="833"/>
      <c r="E103" s="833"/>
      <c r="F103" s="833"/>
      <c r="G103" s="833"/>
      <c r="H103" s="833"/>
      <c r="I103" s="833"/>
      <c r="J103" s="833"/>
      <c r="K103" s="2078" t="s">
        <v>221</v>
      </c>
      <c r="L103" s="2078"/>
      <c r="M103" s="2078"/>
      <c r="N103" s="2078"/>
      <c r="O103" s="2073">
        <f>667/30</f>
        <v>22.233333333333334</v>
      </c>
      <c r="P103" s="2073"/>
      <c r="Q103" s="2073"/>
      <c r="R103" s="2073">
        <f>168/30</f>
        <v>5.6</v>
      </c>
      <c r="S103" s="2073"/>
      <c r="T103" s="2073"/>
      <c r="U103" s="2076">
        <f>411000/30</f>
        <v>13700</v>
      </c>
      <c r="V103" s="2076"/>
      <c r="W103" s="2077"/>
      <c r="X103" s="667"/>
      <c r="Y103" s="667"/>
      <c r="Z103" s="1"/>
      <c r="AA103" s="1"/>
      <c r="AB103" s="1"/>
      <c r="AC103" s="1"/>
      <c r="AD103" s="1"/>
      <c r="AE103" s="1"/>
      <c r="AF103" s="1"/>
      <c r="AG103" s="1"/>
      <c r="AH103" s="1"/>
      <c r="AI103" s="1"/>
      <c r="AJ103"/>
      <c r="AK103"/>
      <c r="AL103"/>
      <c r="AM103"/>
      <c r="AS103" s="120"/>
      <c r="AU103" s="152"/>
      <c r="AV103" s="152"/>
      <c r="AW103" s="152"/>
      <c r="AX103" s="152"/>
      <c r="AY103" s="152"/>
      <c r="AZ103" s="152"/>
      <c r="BA103" s="152"/>
      <c r="BB103" s="152"/>
      <c r="BC103" s="152"/>
      <c r="BD103" s="152"/>
      <c r="BE103" s="152"/>
      <c r="BF103" s="152"/>
      <c r="BG103" s="152"/>
      <c r="BH103" s="152"/>
      <c r="BI103" s="152"/>
      <c r="BJ103" s="152"/>
      <c r="BK103" s="152"/>
      <c r="BL103" s="152"/>
      <c r="BM103" s="152"/>
      <c r="BN103" s="152"/>
      <c r="BO103" s="152"/>
      <c r="BP103" s="152"/>
      <c r="BQ103" s="152"/>
      <c r="BR103" s="152"/>
      <c r="BS103" s="152"/>
      <c r="BT103" s="152"/>
      <c r="BU103" s="152"/>
      <c r="BV103" s="152"/>
      <c r="BW103" s="152"/>
      <c r="BX103" s="152"/>
      <c r="BY103" s="152"/>
      <c r="BZ103" s="152"/>
      <c r="CA103" s="152"/>
      <c r="CB103" s="152"/>
      <c r="CC103" s="152"/>
      <c r="CD103" s="152"/>
      <c r="CE103" s="152"/>
      <c r="CF103" s="152"/>
      <c r="CG103" s="152"/>
      <c r="CH103" s="152"/>
      <c r="CI103" s="152"/>
      <c r="CJ103" s="152"/>
      <c r="CK103" s="152"/>
      <c r="CL103" s="152"/>
      <c r="CM103" s="152"/>
      <c r="CN103" s="152"/>
      <c r="CO103" s="152"/>
      <c r="CP103" s="152"/>
      <c r="CQ103" s="152"/>
      <c r="CR103" s="152"/>
      <c r="CS103" s="152"/>
    </row>
    <row r="104" spans="1:106" s="113" customFormat="1" ht="13.5" customHeight="1" x14ac:dyDescent="0.2">
      <c r="G104" s="114"/>
      <c r="H104" s="115"/>
      <c r="I104" s="115"/>
      <c r="J104" s="115"/>
      <c r="K104" s="115"/>
      <c r="L104" s="115"/>
      <c r="M104" s="115"/>
      <c r="N104" s="115"/>
      <c r="O104" s="115"/>
      <c r="P104" s="115"/>
      <c r="Q104" s="115"/>
      <c r="R104" s="115"/>
      <c r="S104" s="115"/>
      <c r="T104" s="115"/>
      <c r="U104" s="115"/>
      <c r="V104" s="115"/>
      <c r="W104" s="115"/>
      <c r="X104" s="115"/>
      <c r="Y104"/>
      <c r="Z104"/>
      <c r="AA104"/>
      <c r="AB104"/>
      <c r="AC104"/>
      <c r="AD104"/>
      <c r="AE104"/>
      <c r="AF104"/>
      <c r="AG104"/>
      <c r="AH104"/>
      <c r="AI104"/>
      <c r="AJ104"/>
      <c r="AK104"/>
      <c r="AL104"/>
      <c r="AM104"/>
      <c r="AN104"/>
      <c r="AO104"/>
      <c r="AP104"/>
      <c r="AQ104"/>
      <c r="AR104"/>
      <c r="AS104"/>
      <c r="AT104"/>
      <c r="AU104"/>
      <c r="BB104" s="120"/>
      <c r="BD104" s="152"/>
      <c r="BE104" s="152"/>
      <c r="BF104" s="152"/>
      <c r="BG104" s="152"/>
      <c r="BH104" s="152"/>
      <c r="BI104" s="152"/>
      <c r="BJ104" s="152"/>
      <c r="BK104" s="152"/>
      <c r="BL104" s="152"/>
      <c r="BM104" s="152"/>
      <c r="BN104" s="152"/>
      <c r="BO104" s="152"/>
      <c r="BP104" s="152"/>
      <c r="BQ104" s="152"/>
      <c r="BR104" s="152"/>
      <c r="BS104" s="152"/>
      <c r="BT104" s="152"/>
      <c r="BU104" s="152"/>
      <c r="BV104" s="152"/>
      <c r="BW104" s="152"/>
      <c r="BX104" s="152"/>
      <c r="BY104" s="152"/>
      <c r="BZ104" s="152"/>
      <c r="CA104" s="152"/>
      <c r="CB104" s="152"/>
      <c r="CC104" s="152"/>
      <c r="CD104" s="152"/>
      <c r="CE104" s="152"/>
      <c r="CF104" s="152"/>
      <c r="CG104" s="152"/>
      <c r="CH104" s="152"/>
      <c r="CI104" s="152"/>
      <c r="CJ104" s="152"/>
      <c r="CK104" s="152"/>
      <c r="CL104" s="152"/>
      <c r="CM104" s="152"/>
      <c r="CN104" s="152"/>
      <c r="CO104" s="152"/>
      <c r="CP104" s="152"/>
      <c r="CQ104" s="152"/>
      <c r="CR104" s="152"/>
      <c r="CS104" s="152"/>
      <c r="CT104" s="152"/>
      <c r="CU104" s="152"/>
      <c r="CV104" s="152"/>
      <c r="CW104" s="152"/>
      <c r="CX104" s="152"/>
      <c r="CY104" s="152"/>
      <c r="CZ104" s="152"/>
      <c r="DA104" s="152"/>
      <c r="DB104" s="152"/>
    </row>
    <row r="105" spans="1:106" s="120" customFormat="1" ht="13.5" customHeight="1" x14ac:dyDescent="0.2">
      <c r="A105" s="1500" t="s">
        <v>755</v>
      </c>
      <c r="B105" s="1501"/>
      <c r="C105" s="1501"/>
      <c r="D105" s="1501"/>
      <c r="E105" s="1501"/>
      <c r="F105" s="1501"/>
      <c r="G105" s="1501"/>
      <c r="H105" s="1501"/>
      <c r="I105" s="1501"/>
      <c r="J105" s="1502"/>
      <c r="K105" s="115"/>
      <c r="L105" s="115"/>
      <c r="M105" s="115"/>
      <c r="N105" s="115"/>
      <c r="O105" s="115"/>
      <c r="P105" s="115"/>
      <c r="Q105" s="115"/>
      <c r="R105" s="115"/>
      <c r="S105" s="115"/>
      <c r="T105" s="115"/>
      <c r="U105" s="115"/>
      <c r="V105" s="1615"/>
      <c r="W105" s="1615"/>
      <c r="X105" s="1615"/>
      <c r="Y105" s="722"/>
      <c r="Z105" s="722"/>
      <c r="AA105" s="680" t="s">
        <v>471</v>
      </c>
      <c r="AB105" s="670"/>
      <c r="AC105" s="670"/>
      <c r="AD105" s="670"/>
      <c r="AE105" s="670"/>
      <c r="AF105" s="671"/>
      <c r="AG105" s="1"/>
      <c r="AH105" s="1"/>
      <c r="AI105" s="1"/>
      <c r="AJ105" s="1"/>
      <c r="AR105" s="152"/>
      <c r="AS105" s="152"/>
      <c r="AT105" s="152"/>
      <c r="AU105" s="152"/>
      <c r="AV105" s="152"/>
      <c r="AW105" s="152"/>
      <c r="AX105" s="152"/>
      <c r="AY105" s="152"/>
      <c r="AZ105" s="152"/>
      <c r="BA105" s="152"/>
      <c r="BB105" s="152"/>
      <c r="BC105" s="152"/>
      <c r="BD105" s="152"/>
      <c r="BE105" s="152"/>
      <c r="BF105" s="152"/>
      <c r="BG105" s="152"/>
      <c r="BH105" s="152"/>
      <c r="BI105" s="152"/>
      <c r="BJ105" s="152"/>
      <c r="BK105" s="152"/>
      <c r="BL105" s="152"/>
      <c r="BM105" s="152"/>
      <c r="BN105" s="152"/>
      <c r="BO105" s="152"/>
      <c r="BP105" s="152"/>
      <c r="BQ105" s="152"/>
      <c r="BR105" s="152"/>
      <c r="BS105" s="152"/>
      <c r="BT105" s="152"/>
      <c r="BU105" s="152"/>
      <c r="BV105" s="152"/>
      <c r="BW105" s="152"/>
      <c r="BX105" s="152"/>
      <c r="BY105" s="152"/>
      <c r="BZ105" s="152"/>
      <c r="CA105" s="152"/>
      <c r="CB105" s="152"/>
      <c r="CC105" s="152"/>
      <c r="CD105" s="152"/>
      <c r="CE105" s="152"/>
      <c r="CF105" s="152"/>
      <c r="CG105" s="152"/>
      <c r="CH105" s="152"/>
      <c r="CI105" s="152"/>
      <c r="CJ105" s="152"/>
      <c r="CK105" s="152"/>
      <c r="CL105" s="152"/>
      <c r="CM105" s="152"/>
      <c r="CN105" s="152"/>
      <c r="CO105" s="152"/>
      <c r="CP105" s="152"/>
    </row>
    <row r="106" spans="1:106" s="120" customFormat="1" ht="27" customHeight="1" x14ac:dyDescent="0.2">
      <c r="A106" s="1244" t="s">
        <v>100</v>
      </c>
      <c r="B106" s="1245"/>
      <c r="C106" s="1245"/>
      <c r="D106" s="1245"/>
      <c r="E106" s="2009" t="s">
        <v>751</v>
      </c>
      <c r="F106" s="2009"/>
      <c r="G106" s="2009"/>
      <c r="H106" s="2010" t="s">
        <v>750</v>
      </c>
      <c r="I106" s="2011"/>
      <c r="J106" s="2012"/>
      <c r="K106" s="115"/>
      <c r="L106" s="115"/>
      <c r="M106" s="115"/>
      <c r="N106" s="115"/>
      <c r="O106" s="115"/>
      <c r="P106" s="115"/>
      <c r="Q106" s="115"/>
      <c r="R106" s="115"/>
      <c r="S106" s="115"/>
      <c r="T106" s="115"/>
      <c r="U106" s="115"/>
      <c r="V106" s="722"/>
      <c r="W106" s="722"/>
      <c r="X106" s="722"/>
      <c r="Y106" s="722"/>
      <c r="Z106" s="722"/>
      <c r="AA106" s="2123" t="s">
        <v>795</v>
      </c>
      <c r="AB106" s="2124"/>
      <c r="AC106" s="2124"/>
      <c r="AD106" s="2124"/>
      <c r="AE106" s="2124"/>
      <c r="AF106" s="2125"/>
      <c r="AG106" s="1"/>
      <c r="AH106" s="1"/>
      <c r="AI106" s="1"/>
      <c r="AJ106" s="1"/>
      <c r="AR106" s="152"/>
      <c r="AS106" s="152"/>
      <c r="AT106" s="152"/>
      <c r="AU106" s="152"/>
      <c r="AV106" s="152"/>
      <c r="AW106" s="152"/>
      <c r="AX106" s="152"/>
      <c r="AY106" s="152"/>
      <c r="AZ106" s="152"/>
      <c r="BA106" s="152"/>
      <c r="BB106" s="152"/>
      <c r="BC106" s="152"/>
      <c r="BD106" s="152"/>
      <c r="BE106" s="152"/>
      <c r="BF106" s="152"/>
      <c r="BG106" s="152"/>
      <c r="BH106" s="152"/>
      <c r="BI106" s="152"/>
      <c r="BJ106" s="152"/>
      <c r="BK106" s="152"/>
      <c r="BL106" s="152"/>
      <c r="BM106" s="152"/>
      <c r="BN106" s="152"/>
      <c r="BO106" s="152"/>
      <c r="BP106" s="152"/>
      <c r="BQ106" s="152"/>
      <c r="BR106" s="152"/>
      <c r="BS106" s="152"/>
      <c r="BT106" s="152"/>
      <c r="BU106" s="152"/>
      <c r="BV106" s="152"/>
      <c r="BW106" s="152"/>
      <c r="BX106" s="152"/>
      <c r="BY106" s="152"/>
      <c r="BZ106" s="152"/>
      <c r="CA106" s="152"/>
      <c r="CB106" s="152"/>
      <c r="CC106" s="152"/>
      <c r="CD106" s="152"/>
      <c r="CE106" s="152"/>
      <c r="CF106" s="152"/>
      <c r="CG106" s="152"/>
      <c r="CH106" s="152"/>
      <c r="CI106" s="152"/>
      <c r="CJ106" s="152"/>
      <c r="CK106" s="152"/>
      <c r="CL106" s="152"/>
      <c r="CM106" s="152"/>
      <c r="CN106" s="152"/>
      <c r="CO106" s="152"/>
      <c r="CP106" s="152"/>
    </row>
    <row r="107" spans="1:106" s="113" customFormat="1" ht="13.5" customHeight="1" x14ac:dyDescent="0.2">
      <c r="A107" s="1246"/>
      <c r="B107" s="1247"/>
      <c r="C107" s="1247"/>
      <c r="D107" s="1247"/>
      <c r="E107" s="2045" t="s">
        <v>224</v>
      </c>
      <c r="F107" s="2045"/>
      <c r="G107" s="2045"/>
      <c r="H107" s="2056" t="s">
        <v>224</v>
      </c>
      <c r="I107" s="2057"/>
      <c r="J107" s="2058"/>
      <c r="K107" s="115"/>
      <c r="L107" s="115"/>
      <c r="M107" s="115"/>
      <c r="N107" s="115"/>
      <c r="O107" s="115"/>
      <c r="P107" s="115"/>
      <c r="Q107" s="115"/>
      <c r="R107" s="115"/>
      <c r="S107" s="115"/>
      <c r="T107" s="115"/>
      <c r="U107" s="115"/>
      <c r="V107" s="722"/>
      <c r="W107" s="722"/>
      <c r="X107" s="722"/>
      <c r="Y107" s="722"/>
      <c r="Z107" s="722"/>
      <c r="AA107" s="1516" t="s">
        <v>825</v>
      </c>
      <c r="AB107" s="731"/>
      <c r="AC107" s="731"/>
      <c r="AD107" s="731"/>
      <c r="AE107" s="731"/>
      <c r="AF107" s="1517"/>
      <c r="AG107"/>
      <c r="AH107"/>
      <c r="AI107"/>
      <c r="AJ107"/>
      <c r="AP107" s="120"/>
      <c r="AR107" s="152"/>
      <c r="AS107" s="152"/>
      <c r="AT107" s="152"/>
      <c r="AU107" s="152"/>
      <c r="AV107" s="152"/>
      <c r="AW107" s="152"/>
      <c r="AX107" s="152"/>
      <c r="AY107" s="152"/>
      <c r="AZ107" s="152"/>
      <c r="BA107" s="152"/>
      <c r="BB107" s="152"/>
      <c r="BC107" s="152"/>
      <c r="BD107" s="152"/>
      <c r="BE107" s="152"/>
      <c r="BF107" s="152"/>
      <c r="BG107" s="152"/>
      <c r="BH107" s="152"/>
      <c r="BI107" s="152"/>
      <c r="BJ107" s="152"/>
      <c r="BK107" s="152"/>
      <c r="BL107" s="152"/>
      <c r="BM107" s="152"/>
      <c r="BN107" s="152"/>
      <c r="BO107" s="152"/>
      <c r="BP107" s="152"/>
      <c r="BQ107" s="152"/>
      <c r="BR107" s="152"/>
      <c r="BS107" s="152"/>
      <c r="BT107" s="152"/>
      <c r="BU107" s="152"/>
      <c r="BV107" s="152"/>
      <c r="BW107" s="152"/>
      <c r="BX107" s="152"/>
      <c r="BY107" s="152"/>
      <c r="BZ107" s="152"/>
      <c r="CA107" s="152"/>
      <c r="CB107" s="152"/>
      <c r="CC107" s="152"/>
      <c r="CD107" s="152"/>
      <c r="CE107" s="152"/>
      <c r="CF107" s="152"/>
      <c r="CG107" s="152"/>
      <c r="CH107" s="152"/>
      <c r="CI107" s="152"/>
      <c r="CJ107" s="152"/>
      <c r="CK107" s="152"/>
      <c r="CL107" s="152"/>
      <c r="CM107" s="152"/>
      <c r="CN107" s="152"/>
      <c r="CO107" s="152"/>
      <c r="CP107" s="152"/>
    </row>
    <row r="108" spans="1:106" s="113" customFormat="1" ht="13.5" customHeight="1" x14ac:dyDescent="0.2">
      <c r="A108" s="834" t="s">
        <v>106</v>
      </c>
      <c r="B108" s="835"/>
      <c r="C108" s="835"/>
      <c r="D108" s="835"/>
      <c r="E108" s="2062">
        <v>60</v>
      </c>
      <c r="F108" s="2062"/>
      <c r="G108" s="2062"/>
      <c r="H108" s="2047">
        <v>35</v>
      </c>
      <c r="I108" s="2048"/>
      <c r="J108" s="2060"/>
      <c r="K108" s="115"/>
      <c r="L108" s="115"/>
      <c r="M108" s="115"/>
      <c r="N108" s="115"/>
      <c r="O108" s="115"/>
      <c r="P108" s="115"/>
      <c r="Q108" s="115"/>
      <c r="R108" s="115"/>
      <c r="S108" s="115"/>
      <c r="T108" s="115"/>
      <c r="U108" s="115"/>
      <c r="V108"/>
      <c r="W108"/>
      <c r="X108"/>
      <c r="Y108"/>
      <c r="Z108"/>
      <c r="AA108" s="2229" t="s">
        <v>756</v>
      </c>
      <c r="AB108" s="2230"/>
      <c r="AC108" s="2230"/>
      <c r="AD108" s="2230"/>
      <c r="AE108" s="2230"/>
      <c r="AF108" s="2231"/>
      <c r="AG108"/>
      <c r="AH108"/>
      <c r="AI108"/>
      <c r="AJ108"/>
      <c r="AP108" s="120"/>
      <c r="AR108" s="152"/>
      <c r="AS108" s="152"/>
      <c r="AT108" s="152"/>
      <c r="AU108" s="152"/>
      <c r="AV108" s="152"/>
      <c r="AW108" s="152"/>
      <c r="AX108" s="152"/>
      <c r="AY108" s="152"/>
      <c r="AZ108" s="152"/>
      <c r="BA108" s="152"/>
      <c r="BB108" s="152"/>
      <c r="BC108" s="152"/>
      <c r="BD108" s="152"/>
      <c r="BE108" s="152"/>
      <c r="BF108" s="152"/>
      <c r="BG108" s="152"/>
      <c r="BH108" s="152"/>
      <c r="BI108" s="152"/>
      <c r="BJ108" s="152"/>
      <c r="BK108" s="152"/>
      <c r="BL108" s="152"/>
      <c r="BM108" s="152"/>
      <c r="BN108" s="152"/>
      <c r="BO108" s="152"/>
      <c r="BP108" s="152"/>
      <c r="BQ108" s="152"/>
      <c r="BR108" s="152"/>
      <c r="BS108" s="152"/>
      <c r="BT108" s="152"/>
      <c r="BU108" s="152"/>
      <c r="BV108" s="152"/>
      <c r="BW108" s="152"/>
      <c r="BX108" s="152"/>
      <c r="BY108" s="152"/>
      <c r="BZ108" s="152"/>
      <c r="CA108" s="152"/>
      <c r="CB108" s="152"/>
      <c r="CC108" s="152"/>
      <c r="CD108" s="152"/>
      <c r="CE108" s="152"/>
      <c r="CF108" s="152"/>
      <c r="CG108" s="152"/>
      <c r="CH108" s="152"/>
      <c r="CI108" s="152"/>
      <c r="CJ108" s="152"/>
      <c r="CK108" s="152"/>
      <c r="CL108" s="152"/>
      <c r="CM108" s="152"/>
      <c r="CN108" s="152"/>
      <c r="CO108" s="152"/>
      <c r="CP108" s="152"/>
    </row>
    <row r="109" spans="1:106" s="113" customFormat="1" ht="13.5" customHeight="1" x14ac:dyDescent="0.2">
      <c r="A109" s="836" t="s">
        <v>107</v>
      </c>
      <c r="B109" s="837"/>
      <c r="C109" s="837"/>
      <c r="D109" s="837"/>
      <c r="E109" s="2002">
        <v>60</v>
      </c>
      <c r="F109" s="2002"/>
      <c r="G109" s="2002"/>
      <c r="H109" s="1999">
        <v>35</v>
      </c>
      <c r="I109" s="2000"/>
      <c r="J109" s="2001"/>
      <c r="K109" s="115"/>
      <c r="L109" s="115"/>
      <c r="M109" s="115"/>
      <c r="N109" s="115"/>
      <c r="O109" s="115"/>
      <c r="P109" s="115"/>
      <c r="Q109" s="115"/>
      <c r="R109" s="115"/>
      <c r="S109" s="115"/>
      <c r="T109" s="115"/>
      <c r="U109" s="115"/>
      <c r="V109"/>
      <c r="W109"/>
      <c r="X109"/>
      <c r="Y109"/>
      <c r="Z109"/>
      <c r="AA109" s="2232"/>
      <c r="AB109" s="2233"/>
      <c r="AC109" s="2233"/>
      <c r="AD109" s="2233"/>
      <c r="AE109" s="2233"/>
      <c r="AF109" s="2234"/>
      <c r="AG109"/>
      <c r="AH109"/>
      <c r="AI109"/>
      <c r="AJ109"/>
      <c r="AP109" s="120"/>
      <c r="AR109" s="152"/>
      <c r="AS109" s="152"/>
      <c r="AT109" s="152"/>
      <c r="AU109" s="152"/>
      <c r="AV109" s="152"/>
      <c r="AW109" s="152"/>
      <c r="AX109" s="152"/>
      <c r="AY109" s="152"/>
      <c r="AZ109" s="152"/>
      <c r="BA109" s="152"/>
      <c r="BB109" s="152"/>
      <c r="BC109" s="152"/>
      <c r="BD109" s="152"/>
      <c r="BE109" s="152"/>
      <c r="BF109" s="152"/>
      <c r="BG109" s="152"/>
      <c r="BH109" s="152"/>
      <c r="BI109" s="152"/>
      <c r="BJ109" s="152"/>
      <c r="BK109" s="152"/>
      <c r="BL109" s="152"/>
      <c r="BM109" s="152"/>
      <c r="BN109" s="152"/>
      <c r="BO109" s="152"/>
      <c r="BP109" s="152"/>
      <c r="BQ109" s="152"/>
      <c r="BR109" s="152"/>
      <c r="BS109" s="152"/>
      <c r="BT109" s="152"/>
      <c r="BU109" s="152"/>
      <c r="BV109" s="152"/>
      <c r="BW109" s="152"/>
      <c r="BX109" s="152"/>
      <c r="BY109" s="152"/>
      <c r="BZ109" s="152"/>
      <c r="CA109" s="152"/>
      <c r="CB109" s="152"/>
      <c r="CC109" s="152"/>
      <c r="CD109" s="152"/>
      <c r="CE109" s="152"/>
      <c r="CF109" s="152"/>
      <c r="CG109" s="152"/>
      <c r="CH109" s="152"/>
      <c r="CI109" s="152"/>
      <c r="CJ109" s="152"/>
      <c r="CK109" s="152"/>
      <c r="CL109" s="152"/>
      <c r="CM109" s="152"/>
      <c r="CN109" s="152"/>
      <c r="CO109" s="152"/>
      <c r="CP109" s="152"/>
    </row>
    <row r="110" spans="1:106" s="113" customFormat="1" ht="13.5" customHeight="1" x14ac:dyDescent="0.2">
      <c r="A110" s="836" t="s">
        <v>108</v>
      </c>
      <c r="B110" s="837"/>
      <c r="C110" s="837"/>
      <c r="D110" s="837"/>
      <c r="E110" s="2002">
        <v>55</v>
      </c>
      <c r="F110" s="2002"/>
      <c r="G110" s="2002"/>
      <c r="H110" s="1999">
        <v>40</v>
      </c>
      <c r="I110" s="2000"/>
      <c r="J110" s="2001"/>
      <c r="K110" s="115"/>
      <c r="L110" s="115"/>
      <c r="M110" s="115"/>
      <c r="N110" s="115"/>
      <c r="O110" s="115"/>
      <c r="P110" s="115"/>
      <c r="Q110" s="115"/>
      <c r="R110" s="115"/>
      <c r="S110" s="115"/>
      <c r="T110" s="115"/>
      <c r="U110" s="115"/>
      <c r="V110"/>
      <c r="W110"/>
      <c r="X110"/>
      <c r="Y110"/>
      <c r="Z110"/>
      <c r="AA110"/>
      <c r="AB110"/>
      <c r="AC110"/>
      <c r="AD110"/>
      <c r="AE110"/>
      <c r="AF110"/>
      <c r="AG110"/>
      <c r="AH110"/>
      <c r="AI110"/>
      <c r="AJ110"/>
      <c r="AP110" s="120"/>
      <c r="AR110" s="152"/>
      <c r="AS110" s="152"/>
      <c r="AT110" s="152"/>
      <c r="AU110" s="152"/>
      <c r="AV110" s="152"/>
      <c r="AW110" s="152"/>
      <c r="AX110" s="152"/>
      <c r="AY110" s="152"/>
      <c r="AZ110" s="152"/>
      <c r="BA110" s="152"/>
      <c r="BB110" s="152"/>
      <c r="BC110" s="152"/>
      <c r="BD110" s="152"/>
      <c r="BE110" s="152"/>
      <c r="BF110" s="152"/>
      <c r="BG110" s="152"/>
      <c r="BH110" s="152"/>
      <c r="BI110" s="152"/>
      <c r="BJ110" s="152"/>
      <c r="BK110" s="152"/>
      <c r="BL110" s="152"/>
      <c r="BM110" s="152"/>
      <c r="BN110" s="152"/>
      <c r="BO110" s="152"/>
      <c r="BP110" s="152"/>
      <c r="BQ110" s="152"/>
      <c r="BR110" s="152"/>
      <c r="BS110" s="152"/>
      <c r="BT110" s="152"/>
      <c r="BU110" s="152"/>
      <c r="BV110" s="152"/>
      <c r="BW110" s="152"/>
      <c r="BX110" s="152"/>
      <c r="BY110" s="152"/>
      <c r="BZ110" s="152"/>
      <c r="CA110" s="152"/>
      <c r="CB110" s="152"/>
      <c r="CC110" s="152"/>
      <c r="CD110" s="152"/>
      <c r="CE110" s="152"/>
      <c r="CF110" s="152"/>
      <c r="CG110" s="152"/>
      <c r="CH110" s="152"/>
      <c r="CI110" s="152"/>
      <c r="CJ110" s="152"/>
      <c r="CK110" s="152"/>
      <c r="CL110" s="152"/>
      <c r="CM110" s="152"/>
      <c r="CN110" s="152"/>
      <c r="CO110" s="152"/>
      <c r="CP110" s="152"/>
    </row>
    <row r="111" spans="1:106" s="113" customFormat="1" ht="13.5" customHeight="1" x14ac:dyDescent="0.2">
      <c r="A111" s="836" t="s">
        <v>109</v>
      </c>
      <c r="B111" s="837"/>
      <c r="C111" s="837"/>
      <c r="D111" s="837"/>
      <c r="E111" s="2002">
        <v>55</v>
      </c>
      <c r="F111" s="2002"/>
      <c r="G111" s="2002"/>
      <c r="H111" s="1999">
        <v>35</v>
      </c>
      <c r="I111" s="2000"/>
      <c r="J111" s="2001"/>
      <c r="K111" s="115"/>
      <c r="L111" s="115"/>
      <c r="M111" s="115"/>
      <c r="N111" s="115"/>
      <c r="O111" s="115"/>
      <c r="P111" s="115"/>
      <c r="Q111" s="115"/>
      <c r="R111" s="115"/>
      <c r="S111" s="115"/>
      <c r="T111" s="115"/>
      <c r="U111" s="115"/>
      <c r="V111"/>
      <c r="W111"/>
      <c r="X111"/>
      <c r="Y111"/>
      <c r="Z111"/>
      <c r="AA111"/>
      <c r="AB111"/>
      <c r="AC111"/>
      <c r="AD111"/>
      <c r="AE111"/>
      <c r="AF111"/>
      <c r="AG111"/>
      <c r="AH111"/>
      <c r="AI111"/>
      <c r="AJ111"/>
      <c r="AP111" s="120"/>
      <c r="AR111" s="152"/>
      <c r="AS111" s="152"/>
      <c r="AT111" s="152"/>
      <c r="AU111" s="152"/>
      <c r="AV111" s="152"/>
      <c r="AW111" s="152"/>
      <c r="AX111" s="152"/>
      <c r="AY111" s="152"/>
      <c r="AZ111" s="152"/>
      <c r="BA111" s="152"/>
      <c r="BB111" s="152"/>
      <c r="BC111" s="152"/>
      <c r="BD111" s="152"/>
      <c r="BE111" s="152"/>
      <c r="BF111" s="152"/>
      <c r="BG111" s="152"/>
      <c r="BH111" s="152"/>
      <c r="BI111" s="152"/>
      <c r="BJ111" s="152"/>
      <c r="BK111" s="152"/>
      <c r="BL111" s="152"/>
      <c r="BM111" s="152"/>
      <c r="BN111" s="152"/>
      <c r="BO111" s="152"/>
      <c r="BP111" s="152"/>
      <c r="BQ111" s="152"/>
      <c r="BR111" s="152"/>
      <c r="BS111" s="152"/>
      <c r="BT111" s="152"/>
      <c r="BU111" s="152"/>
      <c r="BV111" s="152"/>
      <c r="BW111" s="152"/>
      <c r="BX111" s="152"/>
      <c r="BY111" s="152"/>
      <c r="BZ111" s="152"/>
      <c r="CA111" s="152"/>
      <c r="CB111" s="152"/>
      <c r="CC111" s="152"/>
      <c r="CD111" s="152"/>
      <c r="CE111" s="152"/>
      <c r="CF111" s="152"/>
      <c r="CG111" s="152"/>
      <c r="CH111" s="152"/>
      <c r="CI111" s="152"/>
      <c r="CJ111" s="152"/>
      <c r="CK111" s="152"/>
      <c r="CL111" s="152"/>
      <c r="CM111" s="152"/>
      <c r="CN111" s="152"/>
      <c r="CO111" s="152"/>
      <c r="CP111" s="152"/>
    </row>
    <row r="112" spans="1:106" s="113" customFormat="1" ht="13.5" customHeight="1" x14ac:dyDescent="0.2">
      <c r="A112" s="836" t="s">
        <v>110</v>
      </c>
      <c r="B112" s="837"/>
      <c r="C112" s="837"/>
      <c r="D112" s="837"/>
      <c r="E112" s="2002">
        <v>55</v>
      </c>
      <c r="F112" s="2002"/>
      <c r="G112" s="2002"/>
      <c r="H112" s="1999">
        <v>40</v>
      </c>
      <c r="I112" s="2000"/>
      <c r="J112" s="2001"/>
      <c r="K112" s="115"/>
      <c r="L112" s="115"/>
      <c r="M112" s="115"/>
      <c r="N112" s="115"/>
      <c r="O112" s="115"/>
      <c r="P112" s="115"/>
      <c r="Q112" s="115"/>
      <c r="R112" s="115"/>
      <c r="S112" s="115"/>
      <c r="T112" s="115"/>
      <c r="U112" s="115"/>
      <c r="V112"/>
      <c r="W112"/>
      <c r="X112"/>
      <c r="Y112"/>
      <c r="Z112"/>
      <c r="AA112"/>
      <c r="AB112"/>
      <c r="AC112"/>
      <c r="AD112"/>
      <c r="AE112"/>
      <c r="AF112"/>
      <c r="AG112"/>
      <c r="AH112"/>
      <c r="AI112"/>
      <c r="AJ112"/>
      <c r="AP112" s="120"/>
      <c r="AR112" s="152"/>
      <c r="AS112" s="152"/>
      <c r="AT112" s="152"/>
      <c r="AU112" s="152"/>
      <c r="AV112" s="152"/>
      <c r="AW112" s="152"/>
      <c r="AX112" s="152"/>
      <c r="AY112" s="152"/>
      <c r="AZ112" s="152"/>
      <c r="BA112" s="152"/>
      <c r="BB112" s="152"/>
      <c r="BC112" s="152"/>
      <c r="BD112" s="152"/>
      <c r="BE112" s="152"/>
      <c r="BF112" s="152"/>
      <c r="BG112" s="152"/>
      <c r="BH112" s="152"/>
      <c r="BI112" s="152"/>
      <c r="BJ112" s="152"/>
      <c r="BK112" s="152"/>
      <c r="BL112" s="152"/>
      <c r="BM112" s="152"/>
      <c r="BN112" s="152"/>
      <c r="BO112" s="152"/>
      <c r="BP112" s="152"/>
      <c r="BQ112" s="152"/>
      <c r="BR112" s="152"/>
      <c r="BS112" s="152"/>
      <c r="BT112" s="152"/>
      <c r="BU112" s="152"/>
      <c r="BV112" s="152"/>
      <c r="BW112" s="152"/>
      <c r="BX112" s="152"/>
      <c r="BY112" s="152"/>
      <c r="BZ112" s="152"/>
      <c r="CA112" s="152"/>
      <c r="CB112" s="152"/>
      <c r="CC112" s="152"/>
      <c r="CD112" s="152"/>
      <c r="CE112" s="152"/>
      <c r="CF112" s="152"/>
      <c r="CG112" s="152"/>
      <c r="CH112" s="152"/>
      <c r="CI112" s="152"/>
      <c r="CJ112" s="152"/>
      <c r="CK112" s="152"/>
      <c r="CL112" s="152"/>
      <c r="CM112" s="152"/>
      <c r="CN112" s="152"/>
      <c r="CO112" s="152"/>
      <c r="CP112" s="152"/>
    </row>
    <row r="113" spans="1:112" s="113" customFormat="1" ht="13.5" customHeight="1" x14ac:dyDescent="0.2">
      <c r="A113" s="836" t="s">
        <v>111</v>
      </c>
      <c r="B113" s="837"/>
      <c r="C113" s="837"/>
      <c r="D113" s="837"/>
      <c r="E113" s="2002">
        <v>65</v>
      </c>
      <c r="F113" s="2002"/>
      <c r="G113" s="2002"/>
      <c r="H113" s="1999">
        <v>45</v>
      </c>
      <c r="I113" s="2000"/>
      <c r="J113" s="2001"/>
      <c r="K113" s="115"/>
      <c r="L113" s="115"/>
      <c r="M113" s="115"/>
      <c r="N113" s="115"/>
      <c r="O113" s="115"/>
      <c r="P113" s="115"/>
      <c r="Q113" s="115"/>
      <c r="R113" s="115"/>
      <c r="S113" s="115"/>
      <c r="T113" s="115"/>
      <c r="U113" s="115"/>
      <c r="V113"/>
      <c r="W113"/>
      <c r="X113"/>
      <c r="Y113"/>
      <c r="Z113"/>
      <c r="AA113"/>
      <c r="AB113"/>
      <c r="AC113"/>
      <c r="AD113"/>
      <c r="AE113"/>
      <c r="AF113"/>
      <c r="AG113"/>
      <c r="AH113"/>
      <c r="AI113"/>
      <c r="AJ113"/>
      <c r="AP113" s="120"/>
      <c r="AR113" s="152"/>
      <c r="AS113" s="152"/>
      <c r="AT113" s="152"/>
      <c r="AU113" s="152"/>
      <c r="AV113" s="152"/>
      <c r="AW113" s="152"/>
      <c r="AX113" s="152"/>
      <c r="AY113" s="152"/>
      <c r="AZ113" s="152"/>
      <c r="BA113" s="152"/>
      <c r="BB113" s="152"/>
      <c r="BC113" s="152"/>
      <c r="BD113" s="152"/>
      <c r="BE113" s="152"/>
      <c r="BF113" s="152"/>
      <c r="BG113" s="152"/>
      <c r="BH113" s="152"/>
      <c r="BI113" s="152"/>
      <c r="BJ113" s="152"/>
      <c r="BK113" s="152"/>
      <c r="BL113" s="152"/>
      <c r="BM113" s="152"/>
      <c r="BN113" s="152"/>
      <c r="BO113" s="152"/>
      <c r="BP113" s="152"/>
      <c r="BQ113" s="152"/>
      <c r="BR113" s="152"/>
      <c r="BS113" s="152"/>
      <c r="BT113" s="152"/>
      <c r="BU113" s="152"/>
      <c r="BV113" s="152"/>
      <c r="BW113" s="152"/>
      <c r="BX113" s="152"/>
      <c r="BY113" s="152"/>
      <c r="BZ113" s="152"/>
      <c r="CA113" s="152"/>
      <c r="CB113" s="152"/>
      <c r="CC113" s="152"/>
      <c r="CD113" s="152"/>
      <c r="CE113" s="152"/>
      <c r="CF113" s="152"/>
      <c r="CG113" s="152"/>
      <c r="CH113" s="152"/>
      <c r="CI113" s="152"/>
      <c r="CJ113" s="152"/>
      <c r="CK113" s="152"/>
      <c r="CL113" s="152"/>
      <c r="CM113" s="152"/>
      <c r="CN113" s="152"/>
      <c r="CO113" s="152"/>
      <c r="CP113" s="152"/>
    </row>
    <row r="114" spans="1:112" s="113" customFormat="1" ht="13.5" customHeight="1" x14ac:dyDescent="0.2">
      <c r="A114" s="836" t="s">
        <v>112</v>
      </c>
      <c r="B114" s="837"/>
      <c r="C114" s="837"/>
      <c r="D114" s="837"/>
      <c r="E114" s="2002">
        <v>60</v>
      </c>
      <c r="F114" s="2002"/>
      <c r="G114" s="2002"/>
      <c r="H114" s="1999">
        <v>40</v>
      </c>
      <c r="I114" s="2000"/>
      <c r="J114" s="2001"/>
      <c r="K114" s="115"/>
      <c r="L114" s="115"/>
      <c r="M114" s="115"/>
      <c r="N114" s="115"/>
      <c r="O114" s="115"/>
      <c r="P114" s="115"/>
      <c r="Q114" s="115"/>
      <c r="R114" s="115"/>
      <c r="S114" s="115"/>
      <c r="T114" s="115"/>
      <c r="U114" s="115"/>
      <c r="V114"/>
      <c r="W114"/>
      <c r="X114"/>
      <c r="Y114"/>
      <c r="Z114"/>
      <c r="AA114"/>
      <c r="AB114"/>
      <c r="AC114"/>
      <c r="AD114"/>
      <c r="AE114"/>
      <c r="AF114"/>
      <c r="AG114"/>
      <c r="AH114"/>
      <c r="AI114"/>
      <c r="AJ114"/>
      <c r="AP114" s="120"/>
      <c r="AR114" s="152"/>
      <c r="AS114" s="152"/>
      <c r="AT114" s="152"/>
      <c r="AU114" s="152"/>
      <c r="AV114" s="152"/>
      <c r="AW114" s="152"/>
      <c r="AX114" s="152"/>
      <c r="AY114" s="152"/>
      <c r="AZ114" s="152"/>
      <c r="BA114" s="152"/>
      <c r="BB114" s="152"/>
      <c r="BC114" s="152"/>
      <c r="BD114" s="152"/>
      <c r="BE114" s="152"/>
      <c r="BF114" s="152"/>
      <c r="BG114" s="152"/>
      <c r="BH114" s="152"/>
      <c r="BI114" s="152"/>
      <c r="BJ114" s="152"/>
      <c r="BK114" s="152"/>
      <c r="BL114" s="152"/>
      <c r="BM114" s="152"/>
      <c r="BN114" s="152"/>
      <c r="BO114" s="152"/>
      <c r="BP114" s="152"/>
      <c r="BQ114" s="152"/>
      <c r="BR114" s="152"/>
      <c r="BS114" s="152"/>
      <c r="BT114" s="152"/>
      <c r="BU114" s="152"/>
      <c r="BV114" s="152"/>
      <c r="BW114" s="152"/>
      <c r="BX114" s="152"/>
      <c r="BY114" s="152"/>
      <c r="BZ114" s="152"/>
      <c r="CA114" s="152"/>
      <c r="CB114" s="152"/>
      <c r="CC114" s="152"/>
      <c r="CD114" s="152"/>
      <c r="CE114" s="152"/>
      <c r="CF114" s="152"/>
      <c r="CG114" s="152"/>
      <c r="CH114" s="152"/>
      <c r="CI114" s="152"/>
      <c r="CJ114" s="152"/>
      <c r="CK114" s="152"/>
      <c r="CL114" s="152"/>
      <c r="CM114" s="152"/>
      <c r="CN114" s="152"/>
      <c r="CO114" s="152"/>
      <c r="CP114" s="152"/>
    </row>
    <row r="115" spans="1:112" s="113" customFormat="1" ht="13.5" customHeight="1" x14ac:dyDescent="0.2">
      <c r="A115" s="836" t="s">
        <v>113</v>
      </c>
      <c r="B115" s="837"/>
      <c r="C115" s="837"/>
      <c r="D115" s="837"/>
      <c r="E115" s="2002">
        <v>85</v>
      </c>
      <c r="F115" s="2002"/>
      <c r="G115" s="2002"/>
      <c r="H115" s="1999">
        <v>70</v>
      </c>
      <c r="I115" s="2000"/>
      <c r="J115" s="2001"/>
      <c r="K115" s="115"/>
      <c r="L115" s="115"/>
      <c r="M115" s="115"/>
      <c r="N115" s="115"/>
      <c r="O115" s="115"/>
      <c r="P115" s="115"/>
      <c r="Q115" s="115"/>
      <c r="R115" s="115"/>
      <c r="S115" s="115"/>
      <c r="T115" s="115"/>
      <c r="U115" s="115"/>
      <c r="V115"/>
      <c r="W115"/>
      <c r="X115"/>
      <c r="Y115"/>
      <c r="Z115"/>
      <c r="AA115" s="722"/>
      <c r="AB115" s="722"/>
      <c r="AC115" s="722"/>
      <c r="AD115" s="722"/>
      <c r="AE115" s="722"/>
      <c r="AF115" s="722"/>
      <c r="AG115"/>
      <c r="AH115"/>
      <c r="AI115"/>
      <c r="AJ115"/>
      <c r="AP115" s="120"/>
      <c r="AR115" s="152"/>
      <c r="AS115" s="152"/>
      <c r="AT115" s="152"/>
      <c r="AU115" s="152"/>
      <c r="AV115" s="152"/>
      <c r="AW115" s="152"/>
      <c r="AX115" s="152"/>
      <c r="AY115" s="152"/>
      <c r="AZ115" s="152"/>
      <c r="BA115" s="152"/>
      <c r="BB115" s="152"/>
      <c r="BC115" s="152"/>
      <c r="BD115" s="152"/>
      <c r="BE115" s="152"/>
      <c r="BF115" s="152"/>
      <c r="BG115" s="152"/>
      <c r="BH115" s="152"/>
      <c r="BI115" s="152"/>
      <c r="BJ115" s="152"/>
      <c r="BK115" s="152"/>
      <c r="BL115" s="152"/>
      <c r="BM115" s="152"/>
      <c r="BN115" s="152"/>
      <c r="BO115" s="152"/>
      <c r="BP115" s="152"/>
      <c r="BQ115" s="152"/>
      <c r="BR115" s="152"/>
      <c r="BS115" s="152"/>
      <c r="BT115" s="152"/>
      <c r="BU115" s="152"/>
      <c r="BV115" s="152"/>
      <c r="BW115" s="152"/>
      <c r="BX115" s="152"/>
      <c r="BY115" s="152"/>
      <c r="BZ115" s="152"/>
      <c r="CA115" s="152"/>
      <c r="CB115" s="152"/>
      <c r="CC115" s="152"/>
      <c r="CD115" s="152"/>
      <c r="CE115" s="152"/>
      <c r="CF115" s="152"/>
      <c r="CG115" s="152"/>
      <c r="CH115" s="152"/>
      <c r="CI115" s="152"/>
      <c r="CJ115" s="152"/>
      <c r="CK115" s="152"/>
      <c r="CL115" s="152"/>
      <c r="CM115" s="152"/>
      <c r="CN115" s="152"/>
      <c r="CO115" s="152"/>
      <c r="CP115" s="152"/>
    </row>
    <row r="116" spans="1:112" s="113" customFormat="1" ht="13.5" customHeight="1" x14ac:dyDescent="0.2">
      <c r="A116" s="836" t="s">
        <v>114</v>
      </c>
      <c r="B116" s="837"/>
      <c r="C116" s="837"/>
      <c r="D116" s="837"/>
      <c r="E116" s="2002">
        <v>40</v>
      </c>
      <c r="F116" s="2002"/>
      <c r="G116" s="2002"/>
      <c r="H116" s="1999">
        <v>20</v>
      </c>
      <c r="I116" s="2000"/>
      <c r="J116" s="2001"/>
      <c r="K116" s="115"/>
      <c r="L116" s="115"/>
      <c r="M116" s="115"/>
      <c r="N116" s="115"/>
      <c r="O116" s="115"/>
      <c r="P116" s="115"/>
      <c r="Q116" s="115"/>
      <c r="R116" s="115"/>
      <c r="S116" s="115"/>
      <c r="T116" s="115"/>
      <c r="U116" s="115"/>
      <c r="V116"/>
      <c r="W116"/>
      <c r="X116"/>
      <c r="Y116"/>
      <c r="Z116"/>
      <c r="AA116"/>
      <c r="AB116"/>
      <c r="AC116"/>
      <c r="AD116"/>
      <c r="AE116"/>
      <c r="AF116"/>
      <c r="AG116"/>
      <c r="AH116"/>
      <c r="AI116"/>
      <c r="AJ116"/>
      <c r="AP116" s="120"/>
      <c r="AR116" s="152"/>
      <c r="AS116" s="152"/>
      <c r="AT116" s="152"/>
      <c r="AU116" s="152"/>
      <c r="AV116" s="152"/>
      <c r="AW116" s="152"/>
      <c r="AX116" s="152"/>
      <c r="AY116" s="152"/>
      <c r="AZ116" s="152"/>
      <c r="BA116" s="152"/>
      <c r="BB116" s="152"/>
      <c r="BC116" s="152"/>
      <c r="BD116" s="152"/>
      <c r="BE116" s="152"/>
      <c r="BF116" s="152"/>
      <c r="BG116" s="152"/>
      <c r="BH116" s="152"/>
      <c r="BI116" s="152"/>
      <c r="BJ116" s="152"/>
      <c r="BK116" s="152"/>
      <c r="BL116" s="152"/>
      <c r="BM116" s="152"/>
      <c r="BN116" s="152"/>
      <c r="BO116" s="152"/>
      <c r="BP116" s="152"/>
      <c r="BQ116" s="152"/>
      <c r="BR116" s="152"/>
      <c r="BS116" s="152"/>
      <c r="BT116" s="152"/>
      <c r="BU116" s="152"/>
      <c r="BV116" s="152"/>
      <c r="BW116" s="152"/>
      <c r="BX116" s="152"/>
      <c r="BY116" s="152"/>
      <c r="BZ116" s="152"/>
      <c r="CA116" s="152"/>
      <c r="CB116" s="152"/>
      <c r="CC116" s="152"/>
      <c r="CD116" s="152"/>
      <c r="CE116" s="152"/>
      <c r="CF116" s="152"/>
      <c r="CG116" s="152"/>
      <c r="CH116" s="152"/>
      <c r="CI116" s="152"/>
      <c r="CJ116" s="152"/>
      <c r="CK116" s="152"/>
      <c r="CL116" s="152"/>
      <c r="CM116" s="152"/>
      <c r="CN116" s="152"/>
      <c r="CO116" s="152"/>
      <c r="CP116" s="152"/>
    </row>
    <row r="117" spans="1:112" s="113" customFormat="1" ht="13.5" customHeight="1" x14ac:dyDescent="0.2">
      <c r="A117" s="836" t="s">
        <v>115</v>
      </c>
      <c r="B117" s="837"/>
      <c r="C117" s="837"/>
      <c r="D117" s="837"/>
      <c r="E117" s="2002">
        <v>35</v>
      </c>
      <c r="F117" s="2002"/>
      <c r="G117" s="2002"/>
      <c r="H117" s="1999">
        <v>20</v>
      </c>
      <c r="I117" s="2000"/>
      <c r="J117" s="2001"/>
      <c r="K117" s="115"/>
      <c r="L117" s="115"/>
      <c r="M117" s="115"/>
      <c r="N117" s="115"/>
      <c r="O117" s="115"/>
      <c r="P117" s="115"/>
      <c r="Q117" s="115"/>
      <c r="R117" s="115"/>
      <c r="S117" s="115"/>
      <c r="T117" s="115"/>
      <c r="U117" s="115"/>
      <c r="V117"/>
      <c r="W117"/>
      <c r="X117"/>
      <c r="Y117"/>
      <c r="Z117"/>
      <c r="AA117"/>
      <c r="AB117"/>
      <c r="AC117"/>
      <c r="AD117"/>
      <c r="AE117"/>
      <c r="AF117"/>
      <c r="AG117"/>
      <c r="AH117"/>
      <c r="AI117"/>
      <c r="AJ117"/>
      <c r="AP117" s="120"/>
      <c r="AR117" s="152"/>
      <c r="AS117" s="152"/>
      <c r="AT117" s="152"/>
      <c r="AU117" s="152"/>
      <c r="AV117" s="152"/>
      <c r="AW117" s="152"/>
      <c r="AX117" s="152"/>
      <c r="AY117" s="152"/>
      <c r="AZ117" s="152"/>
      <c r="BA117" s="152"/>
      <c r="BB117" s="152"/>
      <c r="BC117" s="152"/>
      <c r="BD117" s="152"/>
      <c r="BE117" s="152"/>
      <c r="BF117" s="152"/>
      <c r="BG117" s="152"/>
      <c r="BH117" s="152"/>
      <c r="BI117" s="152"/>
      <c r="BJ117" s="152"/>
      <c r="BK117" s="152"/>
      <c r="BL117" s="152"/>
      <c r="BM117" s="152"/>
      <c r="BN117" s="152"/>
      <c r="BO117" s="152"/>
      <c r="BP117" s="152"/>
      <c r="BQ117" s="152"/>
      <c r="BR117" s="152"/>
      <c r="BS117" s="152"/>
      <c r="BT117" s="152"/>
      <c r="BU117" s="152"/>
      <c r="BV117" s="152"/>
      <c r="BW117" s="152"/>
      <c r="BX117" s="152"/>
      <c r="BY117" s="152"/>
      <c r="BZ117" s="152"/>
      <c r="CA117" s="152"/>
      <c r="CB117" s="152"/>
      <c r="CC117" s="152"/>
      <c r="CD117" s="152"/>
      <c r="CE117" s="152"/>
      <c r="CF117" s="152"/>
      <c r="CG117" s="152"/>
      <c r="CH117" s="152"/>
      <c r="CI117" s="152"/>
      <c r="CJ117" s="152"/>
      <c r="CK117" s="152"/>
      <c r="CL117" s="152"/>
      <c r="CM117" s="152"/>
      <c r="CN117" s="152"/>
      <c r="CO117" s="152"/>
      <c r="CP117" s="152"/>
    </row>
    <row r="118" spans="1:112" s="113" customFormat="1" ht="13.5" customHeight="1" x14ac:dyDescent="0.2">
      <c r="A118" s="838" t="s">
        <v>116</v>
      </c>
      <c r="B118" s="839"/>
      <c r="C118" s="839"/>
      <c r="D118" s="839"/>
      <c r="E118" s="2059">
        <v>40</v>
      </c>
      <c r="F118" s="2059"/>
      <c r="G118" s="2059"/>
      <c r="H118" s="2090">
        <v>25</v>
      </c>
      <c r="I118" s="2091"/>
      <c r="J118" s="2092"/>
      <c r="K118" s="115"/>
      <c r="L118" s="115"/>
      <c r="M118" s="115"/>
      <c r="N118" s="115"/>
      <c r="O118" s="115"/>
      <c r="P118" s="115"/>
      <c r="Q118" s="115"/>
      <c r="R118" s="115"/>
      <c r="S118" s="115"/>
      <c r="T118" s="115"/>
      <c r="U118" s="115"/>
      <c r="V118"/>
      <c r="W118"/>
      <c r="X118"/>
      <c r="Y118"/>
      <c r="Z118"/>
      <c r="AA118"/>
      <c r="AB118"/>
      <c r="AC118"/>
      <c r="AD118"/>
      <c r="AE118"/>
      <c r="AF118"/>
      <c r="AG118" s="120"/>
      <c r="AP118" s="120"/>
      <c r="AR118" s="152"/>
      <c r="AS118" s="152"/>
      <c r="AT118" s="152"/>
      <c r="AU118" s="152"/>
      <c r="AV118" s="152"/>
      <c r="AW118" s="152"/>
      <c r="AX118" s="152"/>
      <c r="AY118" s="152"/>
      <c r="AZ118" s="152"/>
      <c r="BA118" s="152"/>
      <c r="BB118" s="152"/>
      <c r="BC118" s="152"/>
      <c r="BD118" s="152"/>
      <c r="BE118" s="152"/>
      <c r="BF118" s="152"/>
      <c r="BG118" s="152"/>
      <c r="BH118" s="152"/>
      <c r="BI118" s="152"/>
      <c r="BJ118" s="152"/>
      <c r="BK118" s="152"/>
      <c r="BL118" s="152"/>
      <c r="BM118" s="152"/>
      <c r="BN118" s="152"/>
      <c r="BO118" s="152"/>
      <c r="BP118" s="152"/>
      <c r="BQ118" s="152"/>
      <c r="BR118" s="152"/>
      <c r="BS118" s="152"/>
      <c r="BT118" s="152"/>
      <c r="BU118" s="152"/>
      <c r="BV118" s="152"/>
      <c r="BW118" s="152"/>
      <c r="BX118" s="152"/>
      <c r="BY118" s="152"/>
      <c r="BZ118" s="152"/>
      <c r="CA118" s="152"/>
      <c r="CB118" s="152"/>
      <c r="CC118" s="152"/>
      <c r="CD118" s="152"/>
      <c r="CE118" s="152"/>
      <c r="CF118" s="152"/>
      <c r="CG118" s="152"/>
      <c r="CH118" s="152"/>
      <c r="CI118" s="152"/>
      <c r="CJ118" s="152"/>
      <c r="CK118" s="152"/>
      <c r="CL118" s="152"/>
      <c r="CM118" s="152"/>
      <c r="CN118" s="152"/>
      <c r="CO118" s="152"/>
      <c r="CP118" s="152"/>
    </row>
    <row r="119" spans="1:112" s="120" customFormat="1" ht="13.5" customHeight="1" x14ac:dyDescent="0.2">
      <c r="A119" s="113"/>
      <c r="B119" s="113"/>
      <c r="C119" s="113"/>
      <c r="D119" s="113"/>
      <c r="E119" s="113"/>
      <c r="F119" s="113"/>
      <c r="G119" s="114"/>
      <c r="H119" s="115"/>
      <c r="I119" s="115"/>
      <c r="J119" s="115"/>
      <c r="K119" s="115"/>
      <c r="L119" s="115"/>
      <c r="M119" s="115"/>
      <c r="N119" s="115"/>
      <c r="O119" s="115"/>
      <c r="P119" s="115"/>
      <c r="Q119" s="115"/>
      <c r="R119" s="115"/>
      <c r="S119" s="115"/>
      <c r="T119" s="115"/>
      <c r="U119" s="115"/>
      <c r="V119" s="115"/>
      <c r="W119" s="115"/>
      <c r="X119" s="115"/>
      <c r="Y119" s="114"/>
      <c r="Z119" s="114"/>
      <c r="AA119" s="114"/>
      <c r="AB119" s="114"/>
      <c r="AS119" s="152"/>
      <c r="AT119" s="152"/>
      <c r="AU119" s="152"/>
      <c r="AV119" s="152"/>
      <c r="AW119" s="152"/>
      <c r="AX119" s="152"/>
      <c r="AY119" s="152"/>
      <c r="AZ119" s="152"/>
      <c r="BA119" s="152"/>
      <c r="BB119" s="152"/>
      <c r="BC119" s="152"/>
      <c r="BD119" s="152"/>
      <c r="BE119" s="152"/>
      <c r="BF119" s="152"/>
      <c r="BG119" s="152"/>
      <c r="BH119" s="152"/>
      <c r="BI119" s="152"/>
      <c r="BJ119" s="152"/>
      <c r="BK119" s="152"/>
      <c r="BL119" s="152"/>
      <c r="BM119" s="152"/>
      <c r="BN119" s="152"/>
      <c r="BO119" s="152"/>
      <c r="BP119" s="152"/>
      <c r="BQ119" s="152"/>
      <c r="BR119" s="152"/>
      <c r="BS119" s="152"/>
      <c r="BT119" s="152"/>
      <c r="BU119" s="152"/>
      <c r="BV119" s="152"/>
      <c r="BW119" s="152"/>
      <c r="BX119" s="152"/>
      <c r="BY119" s="152"/>
      <c r="BZ119" s="152"/>
      <c r="CA119" s="152"/>
      <c r="CB119" s="152"/>
      <c r="CC119" s="152"/>
      <c r="CD119" s="152"/>
      <c r="CE119" s="152"/>
      <c r="CF119" s="152"/>
      <c r="CG119" s="152"/>
      <c r="CH119" s="152"/>
      <c r="CI119" s="152"/>
      <c r="CJ119" s="152"/>
      <c r="CK119" s="152"/>
      <c r="CL119" s="152"/>
      <c r="CM119" s="152"/>
      <c r="CN119" s="152"/>
      <c r="CO119" s="152"/>
      <c r="CP119" s="152"/>
    </row>
    <row r="120" spans="1:112" s="120" customFormat="1" ht="13.5" customHeight="1" x14ac:dyDescent="0.2">
      <c r="A120" s="2093" t="s">
        <v>246</v>
      </c>
      <c r="B120" s="2094"/>
      <c r="C120" s="2094"/>
      <c r="D120" s="2094"/>
      <c r="E120" s="2094"/>
      <c r="F120" s="2094"/>
      <c r="G120" s="2094"/>
      <c r="H120" s="2094"/>
      <c r="I120" s="2094"/>
      <c r="J120" s="2094"/>
      <c r="K120" s="2094"/>
      <c r="L120" s="2094"/>
      <c r="M120" s="2094"/>
      <c r="N120" s="2094"/>
      <c r="O120" s="2094"/>
      <c r="P120" s="2094"/>
      <c r="Q120" s="2094"/>
      <c r="R120" s="2094"/>
      <c r="S120" s="2094"/>
      <c r="T120" s="2094"/>
      <c r="U120" s="2094"/>
      <c r="V120" s="2094"/>
      <c r="W120" s="2094"/>
      <c r="X120" s="2094"/>
      <c r="Y120" s="2095"/>
      <c r="AA120" s="680" t="s">
        <v>471</v>
      </c>
      <c r="AB120" s="670"/>
      <c r="AC120" s="670"/>
      <c r="AD120" s="670"/>
      <c r="AE120" s="670"/>
      <c r="AF120" s="671"/>
      <c r="AJ120" s="114"/>
      <c r="AK120" s="114"/>
      <c r="AL120" s="114"/>
      <c r="AM120" s="114"/>
      <c r="AN120" s="114"/>
      <c r="BG120" s="152"/>
      <c r="BH120" s="152"/>
      <c r="BI120" s="152"/>
      <c r="BJ120" s="152"/>
      <c r="BK120" s="152"/>
      <c r="BL120" s="152"/>
      <c r="BM120" s="152"/>
      <c r="BN120" s="152"/>
      <c r="BO120" s="152"/>
      <c r="BP120" s="152"/>
      <c r="BQ120" s="152"/>
      <c r="BR120" s="152"/>
      <c r="BS120" s="152"/>
      <c r="BT120" s="152"/>
      <c r="BU120" s="152"/>
      <c r="BV120" s="152"/>
      <c r="BW120" s="152"/>
      <c r="BX120" s="152"/>
      <c r="BY120" s="152"/>
      <c r="BZ120" s="152"/>
      <c r="CA120" s="152"/>
      <c r="CB120" s="152"/>
      <c r="CC120" s="152"/>
      <c r="CD120" s="152"/>
      <c r="CE120" s="152"/>
      <c r="CF120" s="152"/>
      <c r="CG120" s="152"/>
      <c r="CH120" s="152"/>
      <c r="CI120" s="152"/>
      <c r="CJ120" s="152"/>
      <c r="CK120" s="152"/>
      <c r="CL120" s="152"/>
      <c r="CM120" s="152"/>
      <c r="CN120" s="152"/>
      <c r="CO120" s="152"/>
      <c r="CP120" s="152"/>
      <c r="CQ120" s="152"/>
      <c r="CR120" s="152"/>
      <c r="CS120" s="152"/>
      <c r="CT120" s="152"/>
      <c r="CU120" s="152"/>
      <c r="CV120" s="152"/>
      <c r="CW120" s="152"/>
      <c r="CX120" s="152"/>
      <c r="CY120" s="152"/>
      <c r="CZ120" s="152"/>
      <c r="DA120" s="152"/>
      <c r="DB120" s="152"/>
      <c r="DC120" s="152"/>
      <c r="DD120" s="152"/>
      <c r="DE120" s="152"/>
    </row>
    <row r="121" spans="1:112" s="120" customFormat="1" ht="13.5" customHeight="1" x14ac:dyDescent="0.2">
      <c r="A121" s="2043"/>
      <c r="B121" s="2044"/>
      <c r="C121" s="2044"/>
      <c r="D121" s="2044"/>
      <c r="E121" s="2044"/>
      <c r="F121" s="2044"/>
      <c r="G121" s="2044"/>
      <c r="H121" s="2053" t="s">
        <v>425</v>
      </c>
      <c r="I121" s="2054"/>
      <c r="J121" s="2055"/>
      <c r="K121" s="2050" t="str">
        <f>Berechnungen!A36</f>
        <v>Holzpellets</v>
      </c>
      <c r="L121" s="2050"/>
      <c r="M121" s="2050"/>
      <c r="N121" s="2050" t="str">
        <f>Berechnungen!A35</f>
        <v>Holzschnitzel</v>
      </c>
      <c r="O121" s="2050"/>
      <c r="P121" s="2050"/>
      <c r="Q121" s="2050" t="str">
        <f>Berechnungen!A34</f>
        <v>Biogas</v>
      </c>
      <c r="R121" s="2050"/>
      <c r="S121" s="2050"/>
      <c r="T121" s="2050" t="str">
        <f>Berechnungen!A33</f>
        <v>Erdgas</v>
      </c>
      <c r="U121" s="2050"/>
      <c r="V121" s="2050"/>
      <c r="W121" s="2050" t="str">
        <f>Berechnungen!A32</f>
        <v>Heizöl EL</v>
      </c>
      <c r="X121" s="2050"/>
      <c r="Y121" s="2071"/>
      <c r="Z121" s="114"/>
      <c r="AA121" s="2123" t="s">
        <v>795</v>
      </c>
      <c r="AB121" s="2124"/>
      <c r="AC121" s="2124"/>
      <c r="AD121" s="2124"/>
      <c r="AE121" s="2124"/>
      <c r="AF121" s="2125"/>
      <c r="AG121" s="114"/>
      <c r="AH121" s="114"/>
      <c r="AI121" s="114"/>
      <c r="AJ121" s="114"/>
      <c r="AK121" s="114"/>
      <c r="AL121" s="114"/>
      <c r="AM121" s="114"/>
      <c r="AN121" s="114"/>
      <c r="BG121" s="152"/>
      <c r="BH121" s="152"/>
      <c r="BI121" s="152"/>
      <c r="BJ121" s="152"/>
      <c r="BK121" s="152"/>
      <c r="BL121" s="152"/>
      <c r="BM121" s="152"/>
      <c r="BN121" s="152"/>
      <c r="BO121" s="152"/>
      <c r="BP121" s="152"/>
      <c r="BQ121" s="152"/>
      <c r="BR121" s="152"/>
      <c r="BS121" s="152"/>
      <c r="BT121" s="152"/>
      <c r="BU121" s="152"/>
      <c r="BV121" s="152"/>
      <c r="BW121" s="152"/>
      <c r="BX121" s="152"/>
      <c r="BY121" s="152"/>
      <c r="BZ121" s="152"/>
      <c r="CA121" s="152"/>
      <c r="CB121" s="152"/>
      <c r="CC121" s="152"/>
      <c r="CD121" s="152"/>
      <c r="CE121" s="152"/>
      <c r="CF121" s="152"/>
      <c r="CG121" s="152"/>
      <c r="CH121" s="152"/>
      <c r="CI121" s="152"/>
      <c r="CJ121" s="152"/>
      <c r="CK121" s="152"/>
      <c r="CL121" s="152"/>
      <c r="CM121" s="152"/>
      <c r="CN121" s="152"/>
      <c r="CO121" s="152"/>
      <c r="CP121" s="152"/>
      <c r="CQ121" s="152"/>
      <c r="CR121" s="152"/>
      <c r="CS121" s="152"/>
      <c r="CT121" s="152"/>
      <c r="CU121" s="152"/>
      <c r="CV121" s="152"/>
      <c r="CW121" s="152"/>
      <c r="CX121" s="152"/>
      <c r="CY121" s="152"/>
      <c r="CZ121" s="152"/>
      <c r="DA121" s="152"/>
      <c r="DB121" s="152"/>
      <c r="DC121" s="152"/>
      <c r="DD121" s="152"/>
      <c r="DE121" s="152"/>
    </row>
    <row r="122" spans="1:112" s="120" customFormat="1" ht="13.5" customHeight="1" x14ac:dyDescent="0.2">
      <c r="A122" s="840" t="s">
        <v>247</v>
      </c>
      <c r="B122" s="841"/>
      <c r="C122" s="841"/>
      <c r="D122" s="841"/>
      <c r="E122" s="841"/>
      <c r="F122" s="841" t="s">
        <v>248</v>
      </c>
      <c r="G122" s="842"/>
      <c r="H122" s="2047">
        <v>500</v>
      </c>
      <c r="I122" s="2048"/>
      <c r="J122" s="2049"/>
      <c r="K122" s="2066"/>
      <c r="L122" s="2066"/>
      <c r="M122" s="2066"/>
      <c r="N122" s="2066"/>
      <c r="O122" s="2066"/>
      <c r="P122" s="2066"/>
      <c r="Q122" s="2066"/>
      <c r="R122" s="2066"/>
      <c r="S122" s="2066"/>
      <c r="T122" s="2066"/>
      <c r="U122" s="2066"/>
      <c r="V122" s="2066"/>
      <c r="W122" s="2066"/>
      <c r="X122" s="2066"/>
      <c r="Y122" s="2238"/>
      <c r="Z122" s="114"/>
      <c r="AA122" s="2123"/>
      <c r="AB122" s="2124"/>
      <c r="AC122" s="2124"/>
      <c r="AD122" s="2124"/>
      <c r="AE122" s="2124"/>
      <c r="AF122" s="2125"/>
      <c r="AG122" s="114"/>
      <c r="AH122" s="114"/>
      <c r="AI122" s="114"/>
      <c r="AJ122" s="114"/>
      <c r="AK122" s="114"/>
      <c r="AL122" s="114"/>
      <c r="AM122" s="114"/>
      <c r="AN122" s="114"/>
      <c r="BG122" s="152"/>
      <c r="BH122" s="152"/>
      <c r="BI122" s="152"/>
      <c r="BJ122" s="152"/>
      <c r="BK122" s="152"/>
      <c r="BL122" s="152"/>
      <c r="BM122" s="152"/>
      <c r="BN122" s="152"/>
      <c r="BO122" s="152"/>
      <c r="BP122" s="152"/>
      <c r="BQ122" s="152"/>
      <c r="BR122" s="152"/>
      <c r="BS122" s="152"/>
      <c r="BT122" s="152"/>
      <c r="BU122" s="152"/>
      <c r="BV122" s="152"/>
      <c r="BW122" s="152"/>
      <c r="BX122" s="152"/>
      <c r="BY122" s="152"/>
      <c r="BZ122" s="152"/>
      <c r="CA122" s="152"/>
      <c r="CB122" s="152"/>
      <c r="CC122" s="152"/>
      <c r="CD122" s="152"/>
      <c r="CE122" s="152"/>
      <c r="CF122" s="152"/>
      <c r="CG122" s="152"/>
      <c r="CH122" s="152"/>
      <c r="CI122" s="152"/>
      <c r="CJ122" s="152"/>
      <c r="CK122" s="152"/>
      <c r="CL122" s="152"/>
      <c r="CM122" s="152"/>
      <c r="CN122" s="152"/>
      <c r="CO122" s="152"/>
      <c r="CP122" s="152"/>
      <c r="CQ122" s="152"/>
      <c r="CR122" s="152"/>
      <c r="CS122" s="152"/>
      <c r="CT122" s="152"/>
      <c r="CU122" s="152"/>
      <c r="CV122" s="152"/>
      <c r="CW122" s="152"/>
      <c r="CX122" s="152"/>
      <c r="CY122" s="152"/>
      <c r="CZ122" s="152"/>
      <c r="DA122" s="152"/>
      <c r="DB122" s="152"/>
      <c r="DC122" s="152"/>
      <c r="DD122" s="152"/>
      <c r="DE122" s="152"/>
    </row>
    <row r="123" spans="1:112" s="120" customFormat="1" ht="13.5" customHeight="1" x14ac:dyDescent="0.2">
      <c r="A123" s="843" t="s">
        <v>249</v>
      </c>
      <c r="B123" s="844"/>
      <c r="C123" s="844"/>
      <c r="D123" s="844"/>
      <c r="E123" s="844"/>
      <c r="F123" s="844" t="s">
        <v>86</v>
      </c>
      <c r="G123" s="845"/>
      <c r="H123" s="1999">
        <v>875</v>
      </c>
      <c r="I123" s="2000"/>
      <c r="J123" s="2061"/>
      <c r="K123" s="2052"/>
      <c r="L123" s="2052"/>
      <c r="M123" s="2052"/>
      <c r="N123" s="2052"/>
      <c r="O123" s="2052"/>
      <c r="P123" s="2052"/>
      <c r="Q123" s="2052"/>
      <c r="R123" s="2052"/>
      <c r="S123" s="2052"/>
      <c r="T123" s="2052"/>
      <c r="U123" s="2052"/>
      <c r="V123" s="2052"/>
      <c r="W123" s="2052"/>
      <c r="X123" s="2052"/>
      <c r="Y123" s="2067"/>
      <c r="Z123" s="114"/>
      <c r="AA123" s="1516" t="s">
        <v>825</v>
      </c>
      <c r="AB123" s="731"/>
      <c r="AC123" s="731"/>
      <c r="AD123" s="731"/>
      <c r="AE123" s="731"/>
      <c r="AF123" s="1517"/>
      <c r="AG123" s="114"/>
      <c r="AH123" s="114"/>
      <c r="AI123" s="114"/>
      <c r="AJ123" s="114"/>
      <c r="AK123" s="114"/>
      <c r="AL123" s="114"/>
      <c r="AM123" s="114"/>
      <c r="AN123" s="114"/>
      <c r="BG123" s="152"/>
      <c r="BH123" s="152"/>
      <c r="BI123" s="152"/>
      <c r="BJ123" s="152"/>
      <c r="BK123" s="152"/>
      <c r="BL123" s="152"/>
      <c r="BM123" s="152"/>
      <c r="BN123" s="152"/>
      <c r="BO123" s="152"/>
      <c r="BP123" s="152"/>
      <c r="BQ123" s="152"/>
      <c r="BR123" s="152"/>
      <c r="BS123" s="152"/>
      <c r="BT123" s="152"/>
      <c r="BU123" s="152"/>
      <c r="BV123" s="152"/>
      <c r="BW123" s="152"/>
      <c r="BX123" s="152"/>
      <c r="BY123" s="152"/>
      <c r="BZ123" s="152"/>
      <c r="CA123" s="152"/>
      <c r="CB123" s="152"/>
      <c r="CC123" s="152"/>
      <c r="CD123" s="152"/>
      <c r="CE123" s="152"/>
      <c r="CF123" s="152"/>
      <c r="CG123" s="152"/>
      <c r="CH123" s="152"/>
      <c r="CI123" s="152"/>
      <c r="CJ123" s="152"/>
      <c r="CK123" s="152"/>
      <c r="CL123" s="152"/>
      <c r="CM123" s="152"/>
      <c r="CN123" s="152"/>
      <c r="CO123" s="152"/>
      <c r="CP123" s="152"/>
      <c r="CQ123" s="152"/>
      <c r="CR123" s="152"/>
      <c r="CS123" s="152"/>
      <c r="CT123" s="152"/>
      <c r="CU123" s="152"/>
      <c r="CV123" s="152"/>
      <c r="CW123" s="152"/>
      <c r="CX123" s="152"/>
      <c r="CY123" s="152"/>
      <c r="CZ123" s="152"/>
      <c r="DA123" s="152"/>
      <c r="DB123" s="152"/>
      <c r="DC123" s="152"/>
      <c r="DD123" s="152"/>
      <c r="DE123" s="152"/>
    </row>
    <row r="124" spans="1:112" s="120" customFormat="1" ht="13.5" customHeight="1" x14ac:dyDescent="0.2">
      <c r="A124" s="843" t="s">
        <v>250</v>
      </c>
      <c r="B124" s="844"/>
      <c r="C124" s="844"/>
      <c r="D124" s="844"/>
      <c r="E124" s="844"/>
      <c r="F124" s="844"/>
      <c r="G124" s="845"/>
      <c r="H124" s="2063">
        <v>0.85</v>
      </c>
      <c r="I124" s="2064"/>
      <c r="J124" s="2065"/>
      <c r="K124" s="2100">
        <v>0.85</v>
      </c>
      <c r="L124" s="2100"/>
      <c r="M124" s="2100"/>
      <c r="N124" s="2100">
        <v>0.75</v>
      </c>
      <c r="O124" s="2100"/>
      <c r="P124" s="2100"/>
      <c r="Q124" s="2100">
        <v>0.92</v>
      </c>
      <c r="R124" s="2100"/>
      <c r="S124" s="2100"/>
      <c r="T124" s="2100">
        <v>0.92</v>
      </c>
      <c r="U124" s="2100"/>
      <c r="V124" s="2100"/>
      <c r="W124" s="2100">
        <v>0.88</v>
      </c>
      <c r="X124" s="2100"/>
      <c r="Y124" s="2245"/>
      <c r="Z124" s="114"/>
      <c r="AA124" s="2229" t="s">
        <v>756</v>
      </c>
      <c r="AB124" s="2230"/>
      <c r="AC124" s="2230"/>
      <c r="AD124" s="2230"/>
      <c r="AE124" s="2230"/>
      <c r="AF124" s="2231"/>
      <c r="AG124" s="114"/>
      <c r="AH124" s="114"/>
      <c r="AI124" s="114"/>
      <c r="AJ124" s="114"/>
      <c r="AK124" s="114"/>
      <c r="AL124" s="114"/>
      <c r="AM124" s="114"/>
      <c r="AN124" s="114"/>
      <c r="BG124" s="152"/>
      <c r="BH124" s="152"/>
      <c r="BI124" s="152"/>
      <c r="BJ124" s="152"/>
      <c r="BK124" s="152"/>
      <c r="BL124" s="152"/>
      <c r="BM124" s="152"/>
      <c r="BN124" s="152"/>
      <c r="BO124" s="152"/>
      <c r="BP124" s="152"/>
      <c r="BQ124" s="152"/>
      <c r="BR124" s="152"/>
      <c r="BS124" s="152"/>
      <c r="BT124" s="152"/>
      <c r="BU124" s="152"/>
      <c r="BV124" s="152"/>
      <c r="BW124" s="152"/>
      <c r="BX124" s="152"/>
      <c r="BY124" s="152"/>
      <c r="BZ124" s="152"/>
      <c r="CA124" s="152"/>
      <c r="CB124" s="152"/>
      <c r="CC124" s="152"/>
      <c r="CD124" s="152"/>
      <c r="CE124" s="152"/>
      <c r="CF124" s="152"/>
      <c r="CG124" s="152"/>
      <c r="CH124" s="152"/>
      <c r="CI124" s="152"/>
      <c r="CJ124" s="152"/>
      <c r="CK124" s="152"/>
      <c r="CL124" s="152"/>
      <c r="CM124" s="152"/>
      <c r="CN124" s="152"/>
      <c r="CO124" s="152"/>
      <c r="CP124" s="152"/>
      <c r="CQ124" s="152"/>
      <c r="CR124" s="152"/>
      <c r="CS124" s="152"/>
      <c r="CT124" s="152"/>
      <c r="CU124" s="152"/>
      <c r="CV124" s="152"/>
      <c r="CW124" s="152"/>
      <c r="CX124" s="152"/>
      <c r="CY124" s="152"/>
      <c r="CZ124" s="152"/>
      <c r="DA124" s="152"/>
      <c r="DB124" s="152"/>
      <c r="DC124" s="152"/>
      <c r="DD124" s="152"/>
      <c r="DE124" s="152"/>
    </row>
    <row r="125" spans="1:112" s="120" customFormat="1" ht="13.5" customHeight="1" x14ac:dyDescent="0.2">
      <c r="A125" s="846" t="s">
        <v>251</v>
      </c>
      <c r="B125" s="847"/>
      <c r="C125" s="847"/>
      <c r="D125" s="847"/>
      <c r="E125" s="847"/>
      <c r="F125" s="847"/>
      <c r="G125" s="848"/>
      <c r="H125" s="2087">
        <v>0.7</v>
      </c>
      <c r="I125" s="2088"/>
      <c r="J125" s="2089"/>
      <c r="K125" s="2051">
        <v>0.85</v>
      </c>
      <c r="L125" s="2051"/>
      <c r="M125" s="2051"/>
      <c r="N125" s="2051">
        <v>0.75</v>
      </c>
      <c r="O125" s="2051"/>
      <c r="P125" s="2051"/>
      <c r="Q125" s="2051">
        <v>0.9</v>
      </c>
      <c r="R125" s="2051"/>
      <c r="S125" s="2051"/>
      <c r="T125" s="2051">
        <v>0.9</v>
      </c>
      <c r="U125" s="2051"/>
      <c r="V125" s="2051"/>
      <c r="W125" s="2051">
        <v>0.9</v>
      </c>
      <c r="X125" s="2051"/>
      <c r="Y125" s="2246"/>
      <c r="Z125" s="114"/>
      <c r="AA125" s="2232"/>
      <c r="AB125" s="2233"/>
      <c r="AC125" s="2233"/>
      <c r="AD125" s="2233"/>
      <c r="AE125" s="2233"/>
      <c r="AF125" s="2234"/>
      <c r="AG125" s="114"/>
      <c r="AH125" s="114"/>
      <c r="AI125" s="114"/>
      <c r="AJ125" s="114"/>
      <c r="AK125" s="114"/>
      <c r="AL125" s="114"/>
      <c r="AM125" s="114"/>
      <c r="AN125" s="114"/>
      <c r="AO125" s="114"/>
      <c r="AP125" s="114"/>
      <c r="AQ125" s="114"/>
      <c r="BJ125" s="152"/>
      <c r="BK125" s="152"/>
      <c r="BL125" s="152"/>
      <c r="BM125" s="152"/>
      <c r="BN125" s="152"/>
      <c r="BO125" s="152"/>
      <c r="BP125" s="152"/>
      <c r="BQ125" s="152"/>
      <c r="BR125" s="152"/>
      <c r="BS125" s="152"/>
      <c r="BT125" s="152"/>
      <c r="BU125" s="152"/>
      <c r="BV125" s="152"/>
      <c r="BW125" s="152"/>
      <c r="BX125" s="152"/>
      <c r="BY125" s="152"/>
      <c r="BZ125" s="152"/>
      <c r="CA125" s="152"/>
      <c r="CB125" s="152"/>
      <c r="CC125" s="152"/>
      <c r="CD125" s="152"/>
      <c r="CE125" s="152"/>
      <c r="CF125" s="152"/>
      <c r="CG125" s="152"/>
      <c r="CH125" s="152"/>
      <c r="CI125" s="152"/>
      <c r="CJ125" s="152"/>
      <c r="CK125" s="152"/>
      <c r="CL125" s="152"/>
      <c r="CM125" s="152"/>
      <c r="CN125" s="152"/>
      <c r="CO125" s="152"/>
      <c r="CP125" s="152"/>
      <c r="CQ125" s="152"/>
      <c r="CR125" s="152"/>
      <c r="CS125" s="152"/>
      <c r="CT125" s="152"/>
      <c r="CU125" s="152"/>
      <c r="CV125" s="152"/>
      <c r="CW125" s="152"/>
      <c r="CX125" s="152"/>
      <c r="CY125" s="152"/>
      <c r="CZ125" s="152"/>
      <c r="DA125" s="152"/>
      <c r="DB125" s="152"/>
      <c r="DC125" s="152"/>
      <c r="DD125" s="152"/>
      <c r="DE125" s="152"/>
      <c r="DF125" s="152"/>
      <c r="DG125" s="152"/>
      <c r="DH125" s="152"/>
    </row>
    <row r="126" spans="1:112" s="120" customFormat="1" ht="13.5" customHeight="1" x14ac:dyDescent="0.2">
      <c r="A126" s="2096"/>
      <c r="B126" s="2097"/>
      <c r="C126" s="2097"/>
      <c r="D126" s="2097"/>
      <c r="E126" s="2097"/>
      <c r="F126" s="2097"/>
      <c r="G126" s="2098"/>
      <c r="H126" s="2053" t="s">
        <v>425</v>
      </c>
      <c r="I126" s="2054"/>
      <c r="J126" s="2055"/>
      <c r="K126" s="2050" t="str">
        <f>EV_Var1!X13</f>
        <v>Erdsonden</v>
      </c>
      <c r="L126" s="2050"/>
      <c r="M126" s="2050"/>
      <c r="N126" s="2050" t="str">
        <f>EV_Var1!X14</f>
        <v>Grundwasser</v>
      </c>
      <c r="O126" s="2050"/>
      <c r="P126" s="2050"/>
      <c r="Q126" s="2050" t="str">
        <f>EV_Var1!X15</f>
        <v>Abwasser</v>
      </c>
      <c r="R126" s="2050"/>
      <c r="S126" s="2050"/>
      <c r="T126" s="2050" t="str">
        <f>EV_Var1!X16</f>
        <v>Aussenluft</v>
      </c>
      <c r="U126" s="2050"/>
      <c r="V126" s="2050"/>
      <c r="W126" s="2242" t="str">
        <f>$C$55</f>
        <v>Wärmeverbund XY</v>
      </c>
      <c r="X126" s="2242"/>
      <c r="Y126" s="2243"/>
      <c r="Z126" s="114"/>
      <c r="AA126" s="114"/>
      <c r="AB126" s="114"/>
      <c r="AC126" s="114"/>
      <c r="AD126" s="114"/>
      <c r="AE126" s="114"/>
      <c r="AF126" s="114"/>
      <c r="AG126" s="114"/>
      <c r="AH126" s="114"/>
      <c r="AI126" s="114"/>
      <c r="AJ126" s="114"/>
      <c r="AK126" s="114"/>
      <c r="AL126" s="114"/>
      <c r="AM126" s="114"/>
      <c r="AN126" s="114"/>
      <c r="AO126" s="114"/>
      <c r="AP126" s="114"/>
      <c r="AQ126" s="114"/>
      <c r="BJ126" s="152"/>
      <c r="BK126" s="152"/>
      <c r="BL126" s="152"/>
      <c r="BM126" s="152"/>
      <c r="BN126" s="152"/>
      <c r="BO126" s="152"/>
      <c r="BP126" s="152"/>
      <c r="BQ126" s="152"/>
      <c r="BR126" s="152"/>
      <c r="BS126" s="152"/>
      <c r="BT126" s="152"/>
      <c r="BU126" s="152"/>
      <c r="BV126" s="152"/>
      <c r="BW126" s="152"/>
      <c r="BX126" s="152"/>
      <c r="BY126" s="152"/>
      <c r="BZ126" s="152"/>
      <c r="CA126" s="152"/>
      <c r="CB126" s="152"/>
      <c r="CC126" s="152"/>
      <c r="CD126" s="152"/>
      <c r="CE126" s="152"/>
      <c r="CF126" s="152"/>
      <c r="CG126" s="152"/>
      <c r="CH126" s="152"/>
      <c r="CI126" s="152"/>
      <c r="CJ126" s="152"/>
      <c r="CK126" s="152"/>
      <c r="CL126" s="152"/>
      <c r="CM126" s="152"/>
      <c r="CN126" s="152"/>
      <c r="CO126" s="152"/>
      <c r="CP126" s="152"/>
      <c r="CQ126" s="152"/>
      <c r="CR126" s="152"/>
      <c r="CS126" s="152"/>
      <c r="CT126" s="152"/>
      <c r="CU126" s="152"/>
      <c r="CV126" s="152"/>
      <c r="CW126" s="152"/>
      <c r="CX126" s="152"/>
      <c r="CY126" s="152"/>
      <c r="CZ126" s="152"/>
      <c r="DA126" s="152"/>
      <c r="DB126" s="152"/>
      <c r="DC126" s="152"/>
      <c r="DD126" s="152"/>
      <c r="DE126" s="152"/>
      <c r="DF126" s="152"/>
      <c r="DG126" s="152"/>
      <c r="DH126" s="152"/>
    </row>
    <row r="127" spans="1:112" s="120" customFormat="1" ht="13.5" customHeight="1" x14ac:dyDescent="0.2">
      <c r="A127" s="840" t="s">
        <v>254</v>
      </c>
      <c r="B127" s="841"/>
      <c r="C127" s="841"/>
      <c r="D127" s="841"/>
      <c r="E127" s="841"/>
      <c r="F127" s="841"/>
      <c r="G127" s="842"/>
      <c r="H127" s="2101"/>
      <c r="I127" s="2102"/>
      <c r="J127" s="2103"/>
      <c r="K127" s="2046">
        <v>3.1</v>
      </c>
      <c r="L127" s="2046"/>
      <c r="M127" s="2046"/>
      <c r="N127" s="2046">
        <v>2.7</v>
      </c>
      <c r="O127" s="2046"/>
      <c r="P127" s="2046"/>
      <c r="Q127" s="2046">
        <v>3.4</v>
      </c>
      <c r="R127" s="2046"/>
      <c r="S127" s="2046"/>
      <c r="T127" s="2046">
        <v>2.2999999999999998</v>
      </c>
      <c r="U127" s="2046"/>
      <c r="V127" s="2046"/>
      <c r="W127" s="2046">
        <v>3.5</v>
      </c>
      <c r="X127" s="2046"/>
      <c r="Y127" s="2244"/>
      <c r="Z127" s="114"/>
      <c r="AA127" s="114"/>
      <c r="AB127" s="114"/>
      <c r="AC127" s="114"/>
      <c r="AD127" s="114"/>
      <c r="AE127" s="114"/>
      <c r="AF127" s="114"/>
      <c r="AG127" s="114"/>
      <c r="AH127" s="114"/>
      <c r="AI127" s="114"/>
      <c r="AJ127" s="114"/>
      <c r="AK127" s="114"/>
      <c r="AL127" s="114"/>
      <c r="AM127" s="114"/>
      <c r="AN127" s="114"/>
      <c r="AO127" s="114"/>
      <c r="AP127" s="114"/>
      <c r="AQ127" s="114"/>
      <c r="BJ127" s="152"/>
      <c r="BK127" s="152"/>
      <c r="BL127" s="152"/>
      <c r="BM127" s="152"/>
      <c r="BN127" s="152"/>
      <c r="BO127" s="152"/>
      <c r="BP127" s="152"/>
      <c r="BQ127" s="152"/>
      <c r="BR127" s="152"/>
      <c r="BS127" s="152"/>
      <c r="BT127" s="152"/>
      <c r="BU127" s="152"/>
      <c r="BV127" s="152"/>
      <c r="BW127" s="152"/>
      <c r="BX127" s="152"/>
      <c r="BY127" s="152"/>
      <c r="BZ127" s="152"/>
      <c r="CA127" s="152"/>
      <c r="CB127" s="152"/>
      <c r="CC127" s="152"/>
      <c r="CD127" s="152"/>
      <c r="CE127" s="152"/>
      <c r="CF127" s="152"/>
      <c r="CG127" s="152"/>
      <c r="CH127" s="152"/>
      <c r="CI127" s="152"/>
      <c r="CJ127" s="152"/>
      <c r="CK127" s="152"/>
      <c r="CL127" s="152"/>
      <c r="CM127" s="152"/>
      <c r="CN127" s="152"/>
      <c r="CO127" s="152"/>
      <c r="CP127" s="152"/>
      <c r="CQ127" s="152"/>
      <c r="CR127" s="152"/>
      <c r="CS127" s="152"/>
      <c r="CT127" s="152"/>
      <c r="CU127" s="152"/>
      <c r="CV127" s="152"/>
      <c r="CW127" s="152"/>
      <c r="CX127" s="152"/>
      <c r="CY127" s="152"/>
      <c r="CZ127" s="152"/>
      <c r="DA127" s="152"/>
      <c r="DB127" s="152"/>
      <c r="DC127" s="152"/>
      <c r="DD127" s="152"/>
      <c r="DE127" s="152"/>
      <c r="DF127" s="152"/>
      <c r="DG127" s="152"/>
      <c r="DH127" s="152"/>
    </row>
    <row r="128" spans="1:112" s="120" customFormat="1" ht="13.5" customHeight="1" x14ac:dyDescent="0.2">
      <c r="A128" s="843" t="s">
        <v>252</v>
      </c>
      <c r="B128" s="844"/>
      <c r="C128" s="844"/>
      <c r="D128" s="844"/>
      <c r="E128" s="844"/>
      <c r="F128" s="844"/>
      <c r="G128" s="845"/>
      <c r="H128" s="2247"/>
      <c r="I128" s="2248"/>
      <c r="J128" s="2249"/>
      <c r="K128" s="2086">
        <v>3.1</v>
      </c>
      <c r="L128" s="2086"/>
      <c r="M128" s="2086"/>
      <c r="N128" s="2086">
        <v>2.7</v>
      </c>
      <c r="O128" s="2086"/>
      <c r="P128" s="2086"/>
      <c r="Q128" s="2086">
        <v>3.4</v>
      </c>
      <c r="R128" s="2086"/>
      <c r="S128" s="2086"/>
      <c r="T128" s="2086">
        <v>2.2999999999999998</v>
      </c>
      <c r="U128" s="2086"/>
      <c r="V128" s="2086"/>
      <c r="W128" s="2086">
        <v>3.5</v>
      </c>
      <c r="X128" s="2086"/>
      <c r="Y128" s="2241"/>
      <c r="Z128" s="114"/>
      <c r="AA128" s="114"/>
      <c r="AB128" s="114"/>
      <c r="AC128" s="114"/>
      <c r="AD128" s="114"/>
      <c r="AE128" s="114"/>
      <c r="AF128" s="114"/>
      <c r="AG128" s="114"/>
      <c r="AH128" s="114"/>
      <c r="AI128" s="114"/>
      <c r="AJ128" s="114"/>
      <c r="AK128" s="114"/>
      <c r="AL128" s="114"/>
      <c r="AM128" s="114"/>
      <c r="AN128" s="114"/>
      <c r="AO128" s="114"/>
      <c r="AP128" s="114"/>
      <c r="AQ128" s="114"/>
      <c r="BJ128" s="152"/>
      <c r="BK128" s="152"/>
      <c r="BL128" s="152"/>
      <c r="BM128" s="152"/>
      <c r="BN128" s="152"/>
      <c r="BO128" s="152"/>
      <c r="BP128" s="152"/>
      <c r="BQ128" s="152"/>
      <c r="BR128" s="152"/>
      <c r="BS128" s="152"/>
      <c r="BT128" s="152"/>
      <c r="BU128" s="152"/>
      <c r="BV128" s="152"/>
      <c r="BW128" s="152"/>
      <c r="BX128" s="152"/>
      <c r="BY128" s="152"/>
      <c r="BZ128" s="152"/>
      <c r="CA128" s="152"/>
      <c r="CB128" s="152"/>
      <c r="CC128" s="152"/>
      <c r="CD128" s="152"/>
      <c r="CE128" s="152"/>
      <c r="CF128" s="152"/>
      <c r="CG128" s="152"/>
      <c r="CH128" s="152"/>
      <c r="CI128" s="152"/>
      <c r="CJ128" s="152"/>
      <c r="CK128" s="152"/>
      <c r="CL128" s="152"/>
      <c r="CM128" s="152"/>
      <c r="CN128" s="152"/>
      <c r="CO128" s="152"/>
      <c r="CP128" s="152"/>
      <c r="CQ128" s="152"/>
      <c r="CR128" s="152"/>
      <c r="CS128" s="152"/>
      <c r="CT128" s="152"/>
      <c r="CU128" s="152"/>
      <c r="CV128" s="152"/>
      <c r="CW128" s="152"/>
      <c r="CX128" s="152"/>
      <c r="CY128" s="152"/>
      <c r="CZ128" s="152"/>
      <c r="DA128" s="152"/>
      <c r="DB128" s="152"/>
      <c r="DC128" s="152"/>
      <c r="DD128" s="152"/>
      <c r="DE128" s="152"/>
      <c r="DF128" s="152"/>
      <c r="DG128" s="152"/>
      <c r="DH128" s="152"/>
    </row>
    <row r="129" spans="1:112" s="120" customFormat="1" ht="13.5" customHeight="1" x14ac:dyDescent="0.2">
      <c r="A129" s="843" t="s">
        <v>255</v>
      </c>
      <c r="B129" s="844"/>
      <c r="C129" s="844"/>
      <c r="D129" s="844"/>
      <c r="E129" s="844"/>
      <c r="F129" s="844"/>
      <c r="G129" s="845"/>
      <c r="H129" s="2079">
        <v>4</v>
      </c>
      <c r="I129" s="2080"/>
      <c r="J129" s="2081"/>
      <c r="K129" s="2052"/>
      <c r="L129" s="2052"/>
      <c r="M129" s="2052"/>
      <c r="N129" s="2052"/>
      <c r="O129" s="2052"/>
      <c r="P129" s="2052"/>
      <c r="Q129" s="2052"/>
      <c r="R129" s="2052"/>
      <c r="S129" s="2052"/>
      <c r="T129" s="2052"/>
      <c r="U129" s="2052"/>
      <c r="V129" s="2052"/>
      <c r="W129" s="2052"/>
      <c r="X129" s="2052"/>
      <c r="Y129" s="2067"/>
      <c r="Z129" s="114"/>
      <c r="AA129" s="114"/>
      <c r="AB129" s="114"/>
      <c r="AC129" s="114"/>
      <c r="AD129" s="114"/>
      <c r="AE129" s="114"/>
      <c r="AF129" s="114"/>
      <c r="AG129" s="114"/>
      <c r="AH129" s="114"/>
      <c r="AI129" s="114"/>
      <c r="AJ129" s="114"/>
      <c r="AK129" s="114"/>
      <c r="AL129" s="114"/>
      <c r="AM129" s="114"/>
      <c r="AN129" s="114"/>
      <c r="AO129" s="114"/>
      <c r="AP129" s="114"/>
      <c r="AQ129" s="114"/>
      <c r="BJ129" s="152"/>
      <c r="BK129" s="152"/>
      <c r="BL129" s="152"/>
      <c r="BM129" s="152"/>
      <c r="BN129" s="152"/>
      <c r="BO129" s="152"/>
      <c r="BP129" s="152"/>
      <c r="BQ129" s="152"/>
      <c r="BR129" s="152"/>
      <c r="BS129" s="152"/>
      <c r="BT129" s="152"/>
      <c r="BU129" s="152"/>
      <c r="BV129" s="152"/>
      <c r="BW129" s="152"/>
      <c r="BX129" s="152"/>
      <c r="BY129" s="152"/>
      <c r="BZ129" s="152"/>
      <c r="CA129" s="152"/>
      <c r="CB129" s="152"/>
      <c r="CC129" s="152"/>
      <c r="CD129" s="152"/>
      <c r="CE129" s="152"/>
      <c r="CF129" s="152"/>
      <c r="CG129" s="152"/>
      <c r="CH129" s="152"/>
      <c r="CI129" s="152"/>
      <c r="CJ129" s="152"/>
      <c r="CK129" s="152"/>
      <c r="CL129" s="152"/>
      <c r="CM129" s="152"/>
      <c r="CN129" s="152"/>
      <c r="CO129" s="152"/>
      <c r="CP129" s="152"/>
      <c r="CQ129" s="152"/>
      <c r="CR129" s="152"/>
      <c r="CS129" s="152"/>
      <c r="CT129" s="152"/>
      <c r="CU129" s="152"/>
      <c r="CV129" s="152"/>
      <c r="CW129" s="152"/>
      <c r="CX129" s="152"/>
      <c r="CY129" s="152"/>
      <c r="CZ129" s="152"/>
      <c r="DA129" s="152"/>
      <c r="DB129" s="152"/>
      <c r="DC129" s="152"/>
      <c r="DD129" s="152"/>
      <c r="DE129" s="152"/>
      <c r="DF129" s="152"/>
      <c r="DG129" s="152"/>
      <c r="DH129" s="152"/>
    </row>
    <row r="130" spans="1:112" s="120" customFormat="1" ht="13.5" customHeight="1" x14ac:dyDescent="0.2">
      <c r="A130" s="843" t="s">
        <v>253</v>
      </c>
      <c r="B130" s="844"/>
      <c r="C130" s="844"/>
      <c r="D130" s="844"/>
      <c r="E130" s="844"/>
      <c r="F130" s="844"/>
      <c r="G130" s="845"/>
      <c r="H130" s="2079">
        <v>0.7</v>
      </c>
      <c r="I130" s="2080"/>
      <c r="J130" s="2081"/>
      <c r="K130" s="2052"/>
      <c r="L130" s="2052"/>
      <c r="M130" s="2052"/>
      <c r="N130" s="2052"/>
      <c r="O130" s="2052"/>
      <c r="P130" s="2052"/>
      <c r="Q130" s="2052"/>
      <c r="R130" s="2052"/>
      <c r="S130" s="2052"/>
      <c r="T130" s="2052"/>
      <c r="U130" s="2052"/>
      <c r="V130" s="2052"/>
      <c r="W130" s="2052"/>
      <c r="X130" s="2052"/>
      <c r="Y130" s="2067"/>
      <c r="Z130" s="114"/>
      <c r="AA130" s="114"/>
      <c r="AB130" s="114"/>
      <c r="AC130" s="114"/>
      <c r="AD130" s="114"/>
      <c r="AE130" s="114"/>
      <c r="AF130" s="114"/>
      <c r="AG130" s="114"/>
      <c r="AH130" s="114"/>
      <c r="AI130" s="114"/>
      <c r="AJ130" s="114"/>
      <c r="AK130" s="114"/>
      <c r="AL130" s="114"/>
      <c r="AM130" s="114"/>
      <c r="AN130" s="114"/>
      <c r="AO130" s="114"/>
      <c r="AP130" s="114"/>
      <c r="AQ130" s="114"/>
      <c r="BJ130" s="152"/>
      <c r="BK130" s="152"/>
      <c r="BL130" s="152"/>
      <c r="BM130" s="152"/>
      <c r="BN130" s="152"/>
      <c r="BO130" s="152"/>
      <c r="BP130" s="152"/>
      <c r="BQ130" s="152"/>
      <c r="BR130" s="152"/>
      <c r="BS130" s="152"/>
      <c r="BT130" s="152"/>
      <c r="BU130" s="152"/>
      <c r="BV130" s="152"/>
      <c r="BW130" s="152"/>
      <c r="BX130" s="152"/>
      <c r="BY130" s="152"/>
      <c r="BZ130" s="152"/>
      <c r="CA130" s="152"/>
      <c r="CB130" s="152"/>
      <c r="CC130" s="152"/>
      <c r="CD130" s="152"/>
      <c r="CE130" s="152"/>
      <c r="CF130" s="152"/>
      <c r="CG130" s="152"/>
      <c r="CH130" s="152"/>
      <c r="CI130" s="152"/>
      <c r="CJ130" s="152"/>
      <c r="CK130" s="152"/>
      <c r="CL130" s="152"/>
      <c r="CM130" s="152"/>
      <c r="CN130" s="152"/>
      <c r="CO130" s="152"/>
      <c r="CP130" s="152"/>
      <c r="CQ130" s="152"/>
      <c r="CR130" s="152"/>
      <c r="CS130" s="152"/>
      <c r="CT130" s="152"/>
      <c r="CU130" s="152"/>
      <c r="CV130" s="152"/>
      <c r="CW130" s="152"/>
      <c r="CX130" s="152"/>
      <c r="CY130" s="152"/>
      <c r="CZ130" s="152"/>
      <c r="DA130" s="152"/>
      <c r="DB130" s="152"/>
      <c r="DC130" s="152"/>
      <c r="DD130" s="152"/>
      <c r="DE130" s="152"/>
      <c r="DF130" s="152"/>
      <c r="DG130" s="152"/>
      <c r="DH130" s="152"/>
    </row>
    <row r="131" spans="1:112" s="57" customFormat="1" ht="13.5" customHeight="1" x14ac:dyDescent="0.2">
      <c r="A131" s="846" t="s">
        <v>455</v>
      </c>
      <c r="B131" s="847"/>
      <c r="C131" s="847"/>
      <c r="D131" s="847"/>
      <c r="E131" s="847"/>
      <c r="F131" s="847"/>
      <c r="G131" s="848"/>
      <c r="H131" s="2226">
        <v>20</v>
      </c>
      <c r="I131" s="2227"/>
      <c r="J131" s="2228"/>
      <c r="K131" s="2235"/>
      <c r="L131" s="2236"/>
      <c r="M131" s="2237"/>
      <c r="N131" s="2235"/>
      <c r="O131" s="2236"/>
      <c r="P131" s="2237"/>
      <c r="Q131" s="2235"/>
      <c r="R131" s="2236"/>
      <c r="S131" s="2237"/>
      <c r="T131" s="2239"/>
      <c r="U131" s="2239"/>
      <c r="V131" s="2239"/>
      <c r="W131" s="2239"/>
      <c r="X131" s="2239"/>
      <c r="Y131" s="2240"/>
      <c r="Z131" s="114"/>
      <c r="AA131" s="116"/>
      <c r="AB131" s="116"/>
      <c r="AG131" s="114"/>
      <c r="AH131" s="114"/>
      <c r="AI131" s="114"/>
      <c r="AP131" s="11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5"/>
      <c r="BS131" s="185"/>
      <c r="BT131" s="185"/>
      <c r="BU131" s="185"/>
      <c r="BV131" s="185"/>
      <c r="BW131" s="185"/>
      <c r="BX131" s="185"/>
      <c r="BY131" s="185"/>
      <c r="BZ131" s="185"/>
      <c r="CA131" s="185"/>
      <c r="CB131" s="185"/>
      <c r="CC131" s="185"/>
      <c r="CD131" s="185"/>
      <c r="CE131" s="185"/>
      <c r="CF131" s="185"/>
      <c r="CG131" s="185"/>
      <c r="CH131" s="185"/>
      <c r="CI131" s="185"/>
      <c r="CJ131" s="185"/>
      <c r="CK131" s="185"/>
      <c r="CL131" s="185"/>
      <c r="CM131" s="185"/>
      <c r="CN131" s="185"/>
      <c r="CO131" s="185"/>
      <c r="CP131" s="185"/>
      <c r="CQ131" s="185"/>
      <c r="CR131" s="185"/>
      <c r="CS131" s="185"/>
    </row>
    <row r="132" spans="1:112" s="57" customFormat="1" x14ac:dyDescent="0.2">
      <c r="G132" s="116"/>
      <c r="H132" s="37"/>
      <c r="I132" s="37"/>
      <c r="J132" s="37"/>
      <c r="K132" s="37"/>
      <c r="L132" s="37"/>
      <c r="M132" s="37"/>
      <c r="N132" s="37"/>
      <c r="O132" s="37"/>
      <c r="P132" s="37"/>
      <c r="Q132" s="37"/>
      <c r="R132" s="37"/>
      <c r="S132" s="37"/>
      <c r="T132" s="37"/>
      <c r="U132" s="37"/>
      <c r="V132" s="37"/>
      <c r="W132" s="37"/>
      <c r="X132" s="37"/>
      <c r="Y132" s="116"/>
      <c r="Z132" s="116"/>
      <c r="AA132" s="116"/>
      <c r="AB132" s="116"/>
      <c r="AU132" s="185"/>
      <c r="AV132" s="185"/>
      <c r="AW132" s="185"/>
      <c r="AX132" s="185"/>
      <c r="AY132" s="185"/>
      <c r="AZ132" s="185"/>
      <c r="BA132" s="185"/>
      <c r="BB132" s="185"/>
      <c r="BC132" s="185"/>
      <c r="BD132" s="185"/>
      <c r="BE132" s="185"/>
      <c r="BF132" s="185"/>
      <c r="BG132" s="185"/>
      <c r="BH132" s="185"/>
      <c r="BI132" s="185"/>
      <c r="BJ132" s="185"/>
      <c r="BK132" s="185"/>
      <c r="BL132" s="185"/>
      <c r="BM132" s="185"/>
      <c r="BN132" s="185"/>
      <c r="BO132" s="185"/>
      <c r="BP132" s="185"/>
      <c r="BQ132" s="185"/>
      <c r="BR132" s="185"/>
      <c r="BS132" s="185"/>
      <c r="BT132" s="185"/>
      <c r="BU132" s="185"/>
      <c r="BV132" s="185"/>
      <c r="BW132" s="185"/>
      <c r="BX132" s="185"/>
      <c r="BY132" s="185"/>
      <c r="BZ132" s="185"/>
      <c r="CA132" s="185"/>
      <c r="CB132" s="185"/>
      <c r="CC132" s="185"/>
      <c r="CD132" s="185"/>
      <c r="CE132" s="185"/>
      <c r="CF132" s="185"/>
      <c r="CG132" s="185"/>
      <c r="CH132" s="185"/>
      <c r="CI132" s="185"/>
      <c r="CJ132" s="185"/>
      <c r="CK132" s="185"/>
      <c r="CL132" s="185"/>
      <c r="CM132" s="185"/>
      <c r="CN132" s="185"/>
      <c r="CO132" s="185"/>
      <c r="CP132" s="185"/>
      <c r="CQ132" s="185"/>
      <c r="CR132" s="185"/>
      <c r="CS132" s="185"/>
    </row>
    <row r="133" spans="1:112" s="57" customFormat="1" x14ac:dyDescent="0.2">
      <c r="G133" s="116"/>
      <c r="H133" s="37"/>
      <c r="I133" s="37"/>
      <c r="J133" s="37"/>
      <c r="K133" s="37"/>
      <c r="L133" s="37"/>
      <c r="M133" s="37"/>
      <c r="N133" s="37"/>
      <c r="O133" s="37"/>
      <c r="P133" s="37"/>
      <c r="Q133" s="37"/>
      <c r="R133" s="37"/>
      <c r="S133" s="37"/>
      <c r="T133" s="37"/>
      <c r="U133" s="37"/>
      <c r="V133" s="37"/>
      <c r="W133" s="37"/>
      <c r="X133" s="37"/>
      <c r="Y133" s="116"/>
      <c r="Z133" s="116"/>
      <c r="AA133" s="116"/>
      <c r="AB133" s="116"/>
      <c r="AU133" s="185"/>
      <c r="AV133" s="185"/>
      <c r="AW133" s="185"/>
      <c r="AX133" s="185"/>
      <c r="AY133" s="185"/>
      <c r="AZ133" s="185"/>
      <c r="BA133" s="185"/>
      <c r="BB133" s="185"/>
      <c r="BC133" s="185"/>
      <c r="BD133" s="185"/>
      <c r="BE133" s="185"/>
      <c r="BF133" s="185"/>
      <c r="BG133" s="185"/>
      <c r="BH133" s="185"/>
      <c r="BI133" s="185"/>
      <c r="BJ133" s="185"/>
      <c r="BK133" s="185"/>
      <c r="BL133" s="185"/>
      <c r="BM133" s="185"/>
      <c r="BN133" s="185"/>
      <c r="BO133" s="185"/>
      <c r="BP133" s="185"/>
      <c r="BQ133" s="185"/>
      <c r="BR133" s="185"/>
      <c r="BS133" s="185"/>
      <c r="BT133" s="185"/>
      <c r="BU133" s="185"/>
      <c r="BV133" s="185"/>
      <c r="BW133" s="185"/>
      <c r="BX133" s="185"/>
      <c r="BY133" s="185"/>
      <c r="BZ133" s="185"/>
      <c r="CA133" s="185"/>
      <c r="CB133" s="185"/>
      <c r="CC133" s="185"/>
      <c r="CD133" s="185"/>
      <c r="CE133" s="185"/>
      <c r="CF133" s="185"/>
      <c r="CG133" s="185"/>
      <c r="CH133" s="185"/>
      <c r="CI133" s="185"/>
      <c r="CJ133" s="185"/>
      <c r="CK133" s="185"/>
      <c r="CL133" s="185"/>
      <c r="CM133" s="185"/>
      <c r="CN133" s="185"/>
      <c r="CO133" s="185"/>
      <c r="CP133" s="185"/>
      <c r="CQ133" s="185"/>
      <c r="CR133" s="185"/>
      <c r="CS133" s="185"/>
    </row>
    <row r="134" spans="1:112" s="57" customFormat="1" x14ac:dyDescent="0.2">
      <c r="G134" s="116"/>
      <c r="H134" s="37"/>
      <c r="I134" s="37"/>
      <c r="J134" s="37"/>
      <c r="K134" s="37"/>
      <c r="L134" s="37"/>
      <c r="M134" s="37"/>
      <c r="N134" s="37"/>
      <c r="O134" s="37"/>
      <c r="P134" s="37"/>
      <c r="Q134" s="37"/>
      <c r="R134" s="37"/>
      <c r="S134" s="37"/>
      <c r="T134" s="37"/>
      <c r="U134" s="37"/>
      <c r="V134" s="37"/>
      <c r="W134" s="37"/>
      <c r="X134" s="37"/>
      <c r="Y134" s="116"/>
      <c r="Z134" s="116"/>
      <c r="AA134" s="116"/>
      <c r="AB134" s="116"/>
      <c r="AU134" s="185"/>
      <c r="AV134" s="185"/>
      <c r="AW134" s="185"/>
      <c r="AX134" s="185"/>
      <c r="AY134" s="185"/>
      <c r="AZ134" s="185"/>
      <c r="BA134" s="185"/>
      <c r="BB134" s="185"/>
      <c r="BC134" s="185"/>
      <c r="BD134" s="185"/>
      <c r="BE134" s="185"/>
      <c r="BF134" s="185"/>
      <c r="BG134" s="185"/>
      <c r="BH134" s="185"/>
      <c r="BI134" s="185"/>
      <c r="BJ134" s="185"/>
      <c r="BK134" s="185"/>
      <c r="BL134" s="185"/>
      <c r="BM134" s="185"/>
      <c r="BN134" s="185"/>
      <c r="BO134" s="185"/>
      <c r="BP134" s="185"/>
      <c r="BQ134" s="185"/>
      <c r="BR134" s="185"/>
      <c r="BS134" s="185"/>
      <c r="BT134" s="185"/>
      <c r="BU134" s="185"/>
      <c r="BV134" s="185"/>
      <c r="BW134" s="185"/>
      <c r="BX134" s="185"/>
      <c r="BY134" s="185"/>
      <c r="BZ134" s="185"/>
      <c r="CA134" s="185"/>
      <c r="CB134" s="185"/>
      <c r="CC134" s="185"/>
      <c r="CD134" s="185"/>
      <c r="CE134" s="185"/>
      <c r="CF134" s="185"/>
      <c r="CG134" s="185"/>
      <c r="CH134" s="185"/>
      <c r="CI134" s="185"/>
      <c r="CJ134" s="185"/>
      <c r="CK134" s="185"/>
      <c r="CL134" s="185"/>
      <c r="CM134" s="185"/>
      <c r="CN134" s="185"/>
      <c r="CO134" s="185"/>
      <c r="CP134" s="185"/>
      <c r="CQ134" s="185"/>
      <c r="CR134" s="185"/>
      <c r="CS134" s="185"/>
    </row>
    <row r="135" spans="1:112" s="57" customFormat="1" x14ac:dyDescent="0.2">
      <c r="G135" s="116"/>
      <c r="H135" s="37"/>
      <c r="I135" s="37"/>
      <c r="J135" s="37"/>
      <c r="K135" s="37"/>
      <c r="L135" s="37"/>
      <c r="M135" s="37"/>
      <c r="N135" s="37"/>
      <c r="O135" s="37"/>
      <c r="P135" s="37"/>
      <c r="Q135" s="37"/>
      <c r="R135" s="37"/>
      <c r="S135" s="37"/>
      <c r="T135" s="37"/>
      <c r="U135" s="37"/>
      <c r="V135" s="37"/>
      <c r="W135" s="37"/>
      <c r="X135" s="37"/>
      <c r="Y135" s="116"/>
      <c r="Z135" s="116"/>
      <c r="AA135" s="116"/>
      <c r="AB135" s="116"/>
      <c r="AU135" s="185"/>
      <c r="AV135" s="185"/>
      <c r="AW135" s="185"/>
      <c r="AX135" s="185"/>
      <c r="AY135" s="185"/>
      <c r="AZ135" s="185"/>
      <c r="BA135" s="185"/>
      <c r="BB135" s="185"/>
      <c r="BC135" s="185"/>
      <c r="BD135" s="185"/>
      <c r="BE135" s="185"/>
      <c r="BF135" s="185"/>
      <c r="BG135" s="185"/>
      <c r="BH135" s="185"/>
      <c r="BI135" s="185"/>
      <c r="BJ135" s="185"/>
      <c r="BK135" s="185"/>
      <c r="BL135" s="185"/>
      <c r="BM135" s="185"/>
      <c r="BN135" s="185"/>
      <c r="BO135" s="185"/>
      <c r="BP135" s="185"/>
      <c r="BQ135" s="185"/>
      <c r="BR135" s="185"/>
      <c r="BS135" s="185"/>
      <c r="BT135" s="185"/>
      <c r="BU135" s="185"/>
      <c r="BV135" s="185"/>
      <c r="BW135" s="185"/>
      <c r="BX135" s="185"/>
      <c r="BY135" s="185"/>
      <c r="BZ135" s="185"/>
      <c r="CA135" s="185"/>
      <c r="CB135" s="185"/>
      <c r="CC135" s="185"/>
      <c r="CD135" s="185"/>
      <c r="CE135" s="185"/>
      <c r="CF135" s="185"/>
      <c r="CG135" s="185"/>
      <c r="CH135" s="185"/>
      <c r="CI135" s="185"/>
      <c r="CJ135" s="185"/>
      <c r="CK135" s="185"/>
      <c r="CL135" s="185"/>
      <c r="CM135" s="185"/>
      <c r="CN135" s="185"/>
      <c r="CO135" s="185"/>
      <c r="CP135" s="185"/>
      <c r="CQ135" s="185"/>
      <c r="CR135" s="185"/>
      <c r="CS135" s="185"/>
    </row>
    <row r="136" spans="1:112" s="57" customFormat="1" x14ac:dyDescent="0.2">
      <c r="G136" s="116"/>
      <c r="H136" s="37"/>
      <c r="I136" s="37"/>
      <c r="J136" s="37"/>
      <c r="K136" s="37"/>
      <c r="L136" s="37"/>
      <c r="M136" s="37"/>
      <c r="N136" s="37"/>
      <c r="O136" s="37"/>
      <c r="P136" s="37"/>
      <c r="Q136" s="37"/>
      <c r="R136" s="37"/>
      <c r="S136" s="37"/>
      <c r="T136" s="37"/>
      <c r="U136" s="37"/>
      <c r="V136" s="37"/>
      <c r="W136" s="37"/>
      <c r="X136" s="37"/>
      <c r="Y136" s="116"/>
      <c r="Z136" s="116"/>
      <c r="AA136" s="116"/>
      <c r="AB136" s="116"/>
      <c r="AU136" s="185"/>
      <c r="AV136" s="185"/>
      <c r="AW136" s="185"/>
      <c r="AX136" s="185"/>
      <c r="AY136" s="185"/>
      <c r="AZ136" s="185"/>
      <c r="BA136" s="185"/>
      <c r="BB136" s="185"/>
      <c r="BC136" s="185"/>
      <c r="BD136" s="185"/>
      <c r="BE136" s="185"/>
      <c r="BF136" s="185"/>
      <c r="BG136" s="185"/>
      <c r="BH136" s="185"/>
      <c r="BI136" s="185"/>
      <c r="BJ136" s="185"/>
      <c r="BK136" s="185"/>
      <c r="BL136" s="185"/>
      <c r="BM136" s="185"/>
      <c r="BN136" s="185"/>
      <c r="BO136" s="185"/>
      <c r="BP136" s="185"/>
      <c r="BQ136" s="185"/>
      <c r="BR136" s="185"/>
      <c r="BS136" s="185"/>
      <c r="BT136" s="185"/>
      <c r="BU136" s="185"/>
      <c r="BV136" s="185"/>
      <c r="BW136" s="185"/>
      <c r="BX136" s="185"/>
      <c r="BY136" s="185"/>
      <c r="BZ136" s="185"/>
      <c r="CA136" s="185"/>
      <c r="CB136" s="185"/>
      <c r="CC136" s="185"/>
      <c r="CD136" s="185"/>
      <c r="CE136" s="185"/>
      <c r="CF136" s="185"/>
      <c r="CG136" s="185"/>
      <c r="CH136" s="185"/>
      <c r="CI136" s="185"/>
      <c r="CJ136" s="185"/>
      <c r="CK136" s="185"/>
      <c r="CL136" s="185"/>
      <c r="CM136" s="185"/>
      <c r="CN136" s="185"/>
      <c r="CO136" s="185"/>
      <c r="CP136" s="185"/>
      <c r="CQ136" s="185"/>
      <c r="CR136" s="185"/>
      <c r="CS136" s="185"/>
    </row>
    <row r="137" spans="1:112" s="57" customFormat="1" x14ac:dyDescent="0.2">
      <c r="G137" s="116"/>
      <c r="H137" s="37"/>
      <c r="I137" s="37"/>
      <c r="J137" s="37"/>
      <c r="K137" s="37"/>
      <c r="L137" s="37"/>
      <c r="M137" s="37"/>
      <c r="N137" s="37"/>
      <c r="O137" s="37"/>
      <c r="P137" s="37"/>
      <c r="Q137" s="37"/>
      <c r="R137" s="37"/>
      <c r="S137" s="37"/>
      <c r="T137" s="37"/>
      <c r="U137" s="37"/>
      <c r="V137" s="37"/>
      <c r="W137" s="37"/>
      <c r="X137" s="37"/>
      <c r="Y137" s="116"/>
      <c r="Z137" s="116"/>
      <c r="AA137" s="116"/>
      <c r="AB137" s="116"/>
      <c r="AU137" s="185"/>
      <c r="AV137" s="185"/>
      <c r="AW137" s="185"/>
      <c r="AX137" s="185"/>
      <c r="AY137" s="185"/>
      <c r="AZ137" s="185"/>
      <c r="BA137" s="185"/>
      <c r="BB137" s="185"/>
      <c r="BC137" s="185"/>
      <c r="BD137" s="185"/>
      <c r="BE137" s="185"/>
      <c r="BF137" s="185"/>
      <c r="BG137" s="185"/>
      <c r="BH137" s="185"/>
      <c r="BI137" s="185"/>
      <c r="BJ137" s="185"/>
      <c r="BK137" s="185"/>
      <c r="BL137" s="185"/>
      <c r="BM137" s="185"/>
      <c r="BN137" s="185"/>
      <c r="BO137" s="185"/>
      <c r="BP137" s="185"/>
      <c r="BQ137" s="185"/>
      <c r="BR137" s="185"/>
      <c r="BS137" s="185"/>
      <c r="BT137" s="185"/>
      <c r="BU137" s="185"/>
      <c r="BV137" s="185"/>
      <c r="BW137" s="185"/>
      <c r="BX137" s="185"/>
      <c r="BY137" s="185"/>
      <c r="BZ137" s="185"/>
      <c r="CA137" s="185"/>
      <c r="CB137" s="185"/>
      <c r="CC137" s="185"/>
      <c r="CD137" s="185"/>
      <c r="CE137" s="185"/>
      <c r="CF137" s="185"/>
      <c r="CG137" s="185"/>
      <c r="CH137" s="185"/>
      <c r="CI137" s="185"/>
      <c r="CJ137" s="185"/>
      <c r="CK137" s="185"/>
      <c r="CL137" s="185"/>
      <c r="CM137" s="185"/>
      <c r="CN137" s="185"/>
      <c r="CO137" s="185"/>
      <c r="CP137" s="185"/>
      <c r="CQ137" s="185"/>
      <c r="CR137" s="185"/>
      <c r="CS137" s="185"/>
    </row>
    <row r="138" spans="1:112" s="57" customFormat="1" x14ac:dyDescent="0.2">
      <c r="G138" s="116"/>
      <c r="H138" s="37"/>
      <c r="I138" s="37"/>
      <c r="J138" s="37"/>
      <c r="K138" s="37"/>
      <c r="L138" s="37"/>
      <c r="M138" s="37"/>
      <c r="N138" s="37"/>
      <c r="O138" s="37"/>
      <c r="P138" s="37"/>
      <c r="Q138" s="37"/>
      <c r="R138" s="37"/>
      <c r="S138" s="37"/>
      <c r="T138" s="37"/>
      <c r="U138" s="37"/>
      <c r="V138" s="37"/>
      <c r="W138" s="37"/>
      <c r="X138" s="37"/>
      <c r="Y138" s="116"/>
      <c r="Z138" s="116"/>
      <c r="AA138" s="116"/>
      <c r="AB138" s="116"/>
      <c r="AU138" s="185"/>
      <c r="AV138" s="185"/>
      <c r="AW138" s="185"/>
      <c r="AX138" s="185"/>
      <c r="AY138" s="185"/>
      <c r="AZ138" s="185"/>
      <c r="BA138" s="185"/>
      <c r="BB138" s="185"/>
      <c r="BC138" s="185"/>
      <c r="BD138" s="185"/>
      <c r="BE138" s="185"/>
      <c r="BF138" s="185"/>
      <c r="BG138" s="185"/>
      <c r="BH138" s="185"/>
      <c r="BI138" s="185"/>
      <c r="BJ138" s="185"/>
      <c r="BK138" s="185"/>
      <c r="BL138" s="185"/>
      <c r="BM138" s="185"/>
      <c r="BN138" s="185"/>
      <c r="BO138" s="185"/>
      <c r="BP138" s="185"/>
      <c r="BQ138" s="185"/>
      <c r="BR138" s="185"/>
      <c r="BS138" s="185"/>
      <c r="BT138" s="185"/>
      <c r="BU138" s="185"/>
      <c r="BV138" s="185"/>
      <c r="BW138" s="185"/>
      <c r="BX138" s="185"/>
      <c r="BY138" s="185"/>
      <c r="BZ138" s="185"/>
      <c r="CA138" s="185"/>
      <c r="CB138" s="185"/>
      <c r="CC138" s="185"/>
      <c r="CD138" s="185"/>
      <c r="CE138" s="185"/>
      <c r="CF138" s="185"/>
      <c r="CG138" s="185"/>
      <c r="CH138" s="185"/>
      <c r="CI138" s="185"/>
      <c r="CJ138" s="185"/>
      <c r="CK138" s="185"/>
      <c r="CL138" s="185"/>
      <c r="CM138" s="185"/>
      <c r="CN138" s="185"/>
      <c r="CO138" s="185"/>
      <c r="CP138" s="185"/>
      <c r="CQ138" s="185"/>
      <c r="CR138" s="185"/>
      <c r="CS138" s="185"/>
    </row>
    <row r="139" spans="1:112" s="57" customFormat="1" x14ac:dyDescent="0.2">
      <c r="G139" s="116"/>
      <c r="H139" s="37"/>
      <c r="I139" s="37"/>
      <c r="J139" s="37"/>
      <c r="K139" s="37"/>
      <c r="L139" s="37"/>
      <c r="M139" s="37"/>
      <c r="N139" s="37"/>
      <c r="O139" s="37"/>
      <c r="P139" s="37"/>
      <c r="Q139" s="37"/>
      <c r="R139" s="37"/>
      <c r="S139" s="37"/>
      <c r="T139" s="37"/>
      <c r="U139" s="37"/>
      <c r="V139" s="37"/>
      <c r="W139" s="37"/>
      <c r="X139" s="37"/>
      <c r="Y139" s="116"/>
      <c r="Z139" s="116"/>
      <c r="AA139" s="116"/>
      <c r="AB139" s="116"/>
      <c r="AU139" s="185"/>
      <c r="AV139" s="185"/>
      <c r="AW139" s="185"/>
      <c r="AX139" s="185"/>
      <c r="AY139" s="185"/>
      <c r="AZ139" s="185"/>
      <c r="BA139" s="185"/>
      <c r="BB139" s="185"/>
      <c r="BC139" s="185"/>
      <c r="BD139" s="185"/>
      <c r="BE139" s="185"/>
      <c r="BF139" s="185"/>
      <c r="BG139" s="185"/>
      <c r="BH139" s="185"/>
      <c r="BI139" s="185"/>
      <c r="BJ139" s="185"/>
      <c r="BK139" s="185"/>
      <c r="BL139" s="185"/>
      <c r="BM139" s="185"/>
      <c r="BN139" s="185"/>
      <c r="BO139" s="185"/>
      <c r="BP139" s="185"/>
      <c r="BQ139" s="185"/>
      <c r="BR139" s="185"/>
      <c r="BS139" s="185"/>
      <c r="BT139" s="185"/>
      <c r="BU139" s="185"/>
      <c r="BV139" s="185"/>
      <c r="BW139" s="185"/>
      <c r="BX139" s="185"/>
      <c r="BY139" s="185"/>
      <c r="BZ139" s="185"/>
      <c r="CA139" s="185"/>
      <c r="CB139" s="185"/>
      <c r="CC139" s="185"/>
      <c r="CD139" s="185"/>
      <c r="CE139" s="185"/>
      <c r="CF139" s="185"/>
      <c r="CG139" s="185"/>
      <c r="CH139" s="185"/>
      <c r="CI139" s="185"/>
      <c r="CJ139" s="185"/>
      <c r="CK139" s="185"/>
      <c r="CL139" s="185"/>
      <c r="CM139" s="185"/>
      <c r="CN139" s="185"/>
      <c r="CO139" s="185"/>
      <c r="CP139" s="185"/>
      <c r="CQ139" s="185"/>
      <c r="CR139" s="185"/>
      <c r="CS139" s="185"/>
    </row>
    <row r="140" spans="1:112" s="57" customFormat="1" x14ac:dyDescent="0.2">
      <c r="G140" s="116"/>
      <c r="H140" s="37"/>
      <c r="I140" s="37"/>
      <c r="J140" s="37"/>
      <c r="K140" s="37"/>
      <c r="L140" s="37"/>
      <c r="M140" s="37"/>
      <c r="N140" s="37"/>
      <c r="O140" s="37"/>
      <c r="P140" s="37"/>
      <c r="Q140" s="37"/>
      <c r="R140" s="37"/>
      <c r="S140" s="37"/>
      <c r="T140" s="37"/>
      <c r="U140" s="37"/>
      <c r="V140" s="37"/>
      <c r="W140" s="37"/>
      <c r="X140" s="37"/>
      <c r="Y140" s="116"/>
      <c r="Z140" s="116"/>
      <c r="AA140" s="116"/>
      <c r="AB140" s="116"/>
      <c r="AU140" s="185"/>
      <c r="AV140" s="185"/>
      <c r="AW140" s="185"/>
      <c r="AX140" s="185"/>
      <c r="AY140" s="185"/>
      <c r="AZ140" s="185"/>
      <c r="BA140" s="185"/>
      <c r="BB140" s="185"/>
      <c r="BC140" s="185"/>
      <c r="BD140" s="185"/>
      <c r="BE140" s="185"/>
      <c r="BF140" s="185"/>
      <c r="BG140" s="185"/>
      <c r="BH140" s="185"/>
      <c r="BI140" s="185"/>
      <c r="BJ140" s="185"/>
      <c r="BK140" s="185"/>
      <c r="BL140" s="185"/>
      <c r="BM140" s="185"/>
      <c r="BN140" s="185"/>
      <c r="BO140" s="185"/>
      <c r="BP140" s="185"/>
      <c r="BQ140" s="185"/>
      <c r="BR140" s="185"/>
      <c r="BS140" s="185"/>
      <c r="BT140" s="185"/>
      <c r="BU140" s="185"/>
      <c r="BV140" s="185"/>
      <c r="BW140" s="185"/>
      <c r="BX140" s="185"/>
      <c r="BY140" s="185"/>
      <c r="BZ140" s="185"/>
      <c r="CA140" s="185"/>
      <c r="CB140" s="185"/>
      <c r="CC140" s="185"/>
      <c r="CD140" s="185"/>
      <c r="CE140" s="185"/>
      <c r="CF140" s="185"/>
      <c r="CG140" s="185"/>
      <c r="CH140" s="185"/>
      <c r="CI140" s="185"/>
      <c r="CJ140" s="185"/>
      <c r="CK140" s="185"/>
      <c r="CL140" s="185"/>
      <c r="CM140" s="185"/>
      <c r="CN140" s="185"/>
      <c r="CO140" s="185"/>
      <c r="CP140" s="185"/>
      <c r="CQ140" s="185"/>
      <c r="CR140" s="185"/>
      <c r="CS140" s="185"/>
    </row>
    <row r="141" spans="1:112" s="57" customFormat="1" x14ac:dyDescent="0.2">
      <c r="G141" s="116"/>
      <c r="H141" s="37"/>
      <c r="I141" s="37"/>
      <c r="J141" s="37"/>
      <c r="K141" s="37"/>
      <c r="L141" s="37"/>
      <c r="M141" s="37"/>
      <c r="N141" s="37"/>
      <c r="O141" s="37"/>
      <c r="P141" s="37"/>
      <c r="Q141" s="37"/>
      <c r="R141" s="37"/>
      <c r="S141" s="37"/>
      <c r="T141" s="37"/>
      <c r="U141" s="37"/>
      <c r="V141" s="37"/>
      <c r="W141" s="37"/>
      <c r="X141" s="37"/>
      <c r="Y141" s="116"/>
      <c r="Z141" s="116"/>
      <c r="AA141" s="116"/>
      <c r="AB141" s="116"/>
      <c r="AU141" s="185"/>
      <c r="AV141" s="185"/>
      <c r="AW141" s="185"/>
      <c r="AX141" s="185"/>
      <c r="AY141" s="185"/>
      <c r="AZ141" s="185"/>
      <c r="BA141" s="185"/>
      <c r="BB141" s="185"/>
      <c r="BC141" s="185"/>
      <c r="BD141" s="185"/>
      <c r="BE141" s="185"/>
      <c r="BF141" s="185"/>
      <c r="BG141" s="185"/>
      <c r="BH141" s="185"/>
      <c r="BI141" s="185"/>
      <c r="BJ141" s="185"/>
      <c r="BK141" s="185"/>
      <c r="BL141" s="185"/>
      <c r="BM141" s="185"/>
      <c r="BN141" s="185"/>
      <c r="BO141" s="185"/>
      <c r="BP141" s="185"/>
      <c r="BQ141" s="185"/>
      <c r="BR141" s="185"/>
      <c r="BS141" s="185"/>
      <c r="BT141" s="185"/>
      <c r="BU141" s="185"/>
      <c r="BV141" s="185"/>
      <c r="BW141" s="185"/>
      <c r="BX141" s="185"/>
      <c r="BY141" s="185"/>
      <c r="BZ141" s="185"/>
      <c r="CA141" s="185"/>
      <c r="CB141" s="185"/>
      <c r="CC141" s="185"/>
      <c r="CD141" s="185"/>
      <c r="CE141" s="185"/>
      <c r="CF141" s="185"/>
      <c r="CG141" s="185"/>
      <c r="CH141" s="185"/>
      <c r="CI141" s="185"/>
      <c r="CJ141" s="185"/>
      <c r="CK141" s="185"/>
      <c r="CL141" s="185"/>
      <c r="CM141" s="185"/>
      <c r="CN141" s="185"/>
      <c r="CO141" s="185"/>
      <c r="CP141" s="185"/>
      <c r="CQ141" s="185"/>
      <c r="CR141" s="185"/>
      <c r="CS141" s="185"/>
    </row>
    <row r="142" spans="1:112" s="57" customFormat="1" x14ac:dyDescent="0.2">
      <c r="G142" s="116"/>
      <c r="H142" s="37"/>
      <c r="I142" s="37"/>
      <c r="J142" s="37"/>
      <c r="K142" s="37"/>
      <c r="L142" s="37"/>
      <c r="M142" s="37"/>
      <c r="N142" s="37"/>
      <c r="O142" s="37"/>
      <c r="P142" s="37"/>
      <c r="Q142" s="37"/>
      <c r="R142" s="37"/>
      <c r="S142" s="37"/>
      <c r="T142" s="37"/>
      <c r="U142" s="37"/>
      <c r="V142" s="37"/>
      <c r="W142" s="37"/>
      <c r="X142" s="37"/>
      <c r="Y142" s="116"/>
      <c r="Z142" s="116"/>
      <c r="AA142" s="116"/>
      <c r="AB142" s="116"/>
      <c r="AU142" s="185"/>
      <c r="AV142" s="185"/>
      <c r="AW142" s="185"/>
      <c r="AX142" s="185"/>
      <c r="AY142" s="185"/>
      <c r="AZ142" s="185"/>
      <c r="BA142" s="185"/>
      <c r="BB142" s="185"/>
      <c r="BC142" s="185"/>
      <c r="BD142" s="185"/>
      <c r="BE142" s="185"/>
      <c r="BF142" s="185"/>
      <c r="BG142" s="185"/>
      <c r="BH142" s="185"/>
      <c r="BI142" s="185"/>
      <c r="BJ142" s="185"/>
      <c r="BK142" s="185"/>
      <c r="BL142" s="185"/>
      <c r="BM142" s="185"/>
      <c r="BN142" s="185"/>
      <c r="BO142" s="185"/>
      <c r="BP142" s="185"/>
      <c r="BQ142" s="185"/>
      <c r="BR142" s="185"/>
      <c r="BS142" s="185"/>
      <c r="BT142" s="185"/>
      <c r="BU142" s="185"/>
      <c r="BV142" s="185"/>
      <c r="BW142" s="185"/>
      <c r="BX142" s="185"/>
      <c r="BY142" s="185"/>
      <c r="BZ142" s="185"/>
      <c r="CA142" s="185"/>
      <c r="CB142" s="185"/>
      <c r="CC142" s="185"/>
      <c r="CD142" s="185"/>
      <c r="CE142" s="185"/>
      <c r="CF142" s="185"/>
      <c r="CG142" s="185"/>
      <c r="CH142" s="185"/>
      <c r="CI142" s="185"/>
      <c r="CJ142" s="185"/>
      <c r="CK142" s="185"/>
      <c r="CL142" s="185"/>
      <c r="CM142" s="185"/>
      <c r="CN142" s="185"/>
      <c r="CO142" s="185"/>
      <c r="CP142" s="185"/>
      <c r="CQ142" s="185"/>
      <c r="CR142" s="185"/>
      <c r="CS142" s="185"/>
    </row>
    <row r="143" spans="1:112" s="57" customFormat="1" x14ac:dyDescent="0.2">
      <c r="G143" s="116"/>
      <c r="H143" s="37"/>
      <c r="I143" s="37"/>
      <c r="J143" s="37"/>
      <c r="K143" s="37"/>
      <c r="L143" s="37"/>
      <c r="M143" s="37"/>
      <c r="N143" s="37"/>
      <c r="O143" s="37"/>
      <c r="P143" s="37"/>
      <c r="Q143" s="37"/>
      <c r="R143" s="37"/>
      <c r="S143" s="37"/>
      <c r="T143" s="37"/>
      <c r="U143" s="37"/>
      <c r="V143" s="37"/>
      <c r="W143" s="37"/>
      <c r="X143" s="37"/>
      <c r="Y143" s="116"/>
      <c r="Z143" s="116"/>
      <c r="AA143" s="116"/>
      <c r="AB143" s="116"/>
      <c r="AU143" s="185"/>
      <c r="AV143" s="185"/>
      <c r="AW143" s="185"/>
      <c r="AX143" s="185"/>
      <c r="AY143" s="185"/>
      <c r="AZ143" s="185"/>
      <c r="BA143" s="185"/>
      <c r="BB143" s="185"/>
      <c r="BC143" s="185"/>
      <c r="BD143" s="185"/>
      <c r="BE143" s="185"/>
      <c r="BF143" s="185"/>
      <c r="BG143" s="185"/>
      <c r="BH143" s="185"/>
      <c r="BI143" s="185"/>
      <c r="BJ143" s="185"/>
      <c r="BK143" s="185"/>
      <c r="BL143" s="185"/>
      <c r="BM143" s="185"/>
      <c r="BN143" s="185"/>
      <c r="BO143" s="185"/>
      <c r="BP143" s="185"/>
      <c r="BQ143" s="185"/>
      <c r="BR143" s="185"/>
      <c r="BS143" s="185"/>
      <c r="BT143" s="185"/>
      <c r="BU143" s="185"/>
      <c r="BV143" s="185"/>
      <c r="BW143" s="185"/>
      <c r="BX143" s="185"/>
      <c r="BY143" s="185"/>
      <c r="BZ143" s="185"/>
      <c r="CA143" s="185"/>
      <c r="CB143" s="185"/>
      <c r="CC143" s="185"/>
      <c r="CD143" s="185"/>
      <c r="CE143" s="185"/>
      <c r="CF143" s="185"/>
      <c r="CG143" s="185"/>
      <c r="CH143" s="185"/>
      <c r="CI143" s="185"/>
      <c r="CJ143" s="185"/>
      <c r="CK143" s="185"/>
      <c r="CL143" s="185"/>
      <c r="CM143" s="185"/>
      <c r="CN143" s="185"/>
      <c r="CO143" s="185"/>
      <c r="CP143" s="185"/>
      <c r="CQ143" s="185"/>
      <c r="CR143" s="185"/>
      <c r="CS143" s="185"/>
    </row>
    <row r="144" spans="1:112" s="57" customFormat="1" x14ac:dyDescent="0.2">
      <c r="G144" s="116"/>
      <c r="H144" s="37"/>
      <c r="I144" s="37"/>
      <c r="J144" s="37"/>
      <c r="K144" s="37"/>
      <c r="L144" s="37"/>
      <c r="M144" s="37"/>
      <c r="N144" s="37"/>
      <c r="O144" s="37"/>
      <c r="P144" s="37"/>
      <c r="Q144" s="37"/>
      <c r="R144" s="37"/>
      <c r="S144" s="37"/>
      <c r="T144" s="37"/>
      <c r="U144" s="37"/>
      <c r="V144" s="37"/>
      <c r="W144" s="37"/>
      <c r="X144" s="37"/>
      <c r="Y144" s="116"/>
      <c r="Z144" s="116"/>
      <c r="AA144" s="116"/>
      <c r="AB144" s="116"/>
      <c r="AU144" s="185"/>
      <c r="AV144" s="185"/>
      <c r="AW144" s="185"/>
      <c r="AX144" s="185"/>
      <c r="AY144" s="185"/>
      <c r="AZ144" s="185"/>
      <c r="BA144" s="185"/>
      <c r="BB144" s="185"/>
      <c r="BC144" s="185"/>
      <c r="BD144" s="185"/>
      <c r="BE144" s="185"/>
      <c r="BF144" s="185"/>
      <c r="BG144" s="185"/>
      <c r="BH144" s="185"/>
      <c r="BI144" s="185"/>
      <c r="BJ144" s="185"/>
      <c r="BK144" s="185"/>
      <c r="BL144" s="185"/>
      <c r="BM144" s="185"/>
      <c r="BN144" s="185"/>
      <c r="BO144" s="185"/>
      <c r="BP144" s="185"/>
      <c r="BQ144" s="185"/>
      <c r="BR144" s="185"/>
      <c r="BS144" s="185"/>
      <c r="BT144" s="185"/>
      <c r="BU144" s="185"/>
      <c r="BV144" s="185"/>
      <c r="BW144" s="185"/>
      <c r="BX144" s="185"/>
      <c r="BY144" s="185"/>
      <c r="BZ144" s="185"/>
      <c r="CA144" s="185"/>
      <c r="CB144" s="185"/>
      <c r="CC144" s="185"/>
      <c r="CD144" s="185"/>
      <c r="CE144" s="185"/>
      <c r="CF144" s="185"/>
      <c r="CG144" s="185"/>
      <c r="CH144" s="185"/>
      <c r="CI144" s="185"/>
      <c r="CJ144" s="185"/>
      <c r="CK144" s="185"/>
      <c r="CL144" s="185"/>
      <c r="CM144" s="185"/>
      <c r="CN144" s="185"/>
      <c r="CO144" s="185"/>
      <c r="CP144" s="185"/>
      <c r="CQ144" s="185"/>
      <c r="CR144" s="185"/>
      <c r="CS144" s="185"/>
    </row>
    <row r="145" spans="7:97" s="57" customFormat="1" x14ac:dyDescent="0.2">
      <c r="G145" s="116"/>
      <c r="H145" s="37"/>
      <c r="I145" s="37"/>
      <c r="J145" s="37"/>
      <c r="K145" s="37"/>
      <c r="L145" s="37"/>
      <c r="M145" s="37"/>
      <c r="N145" s="37"/>
      <c r="O145" s="37"/>
      <c r="P145" s="37"/>
      <c r="Q145" s="37"/>
      <c r="R145" s="37"/>
      <c r="S145" s="37"/>
      <c r="T145" s="37"/>
      <c r="U145" s="37"/>
      <c r="V145" s="37"/>
      <c r="W145" s="37"/>
      <c r="X145" s="37"/>
      <c r="Y145" s="116"/>
      <c r="Z145" s="116"/>
      <c r="AA145" s="116"/>
      <c r="AB145" s="116"/>
      <c r="AU145" s="185"/>
      <c r="AV145" s="185"/>
      <c r="AW145" s="185"/>
      <c r="AX145" s="185"/>
      <c r="AY145" s="185"/>
      <c r="AZ145" s="185"/>
      <c r="BA145" s="185"/>
      <c r="BB145" s="185"/>
      <c r="BC145" s="185"/>
      <c r="BD145" s="185"/>
      <c r="BE145" s="185"/>
      <c r="BF145" s="185"/>
      <c r="BG145" s="185"/>
      <c r="BH145" s="185"/>
      <c r="BI145" s="185"/>
      <c r="BJ145" s="185"/>
      <c r="BK145" s="185"/>
      <c r="BL145" s="185"/>
      <c r="BM145" s="185"/>
      <c r="BN145" s="185"/>
      <c r="BO145" s="185"/>
      <c r="BP145" s="185"/>
      <c r="BQ145" s="185"/>
      <c r="BR145" s="185"/>
      <c r="BS145" s="185"/>
      <c r="BT145" s="185"/>
      <c r="BU145" s="185"/>
      <c r="BV145" s="185"/>
      <c r="BW145" s="185"/>
      <c r="BX145" s="185"/>
      <c r="BY145" s="185"/>
      <c r="BZ145" s="185"/>
      <c r="CA145" s="185"/>
      <c r="CB145" s="185"/>
      <c r="CC145" s="185"/>
      <c r="CD145" s="185"/>
      <c r="CE145" s="185"/>
      <c r="CF145" s="185"/>
      <c r="CG145" s="185"/>
      <c r="CH145" s="185"/>
      <c r="CI145" s="185"/>
      <c r="CJ145" s="185"/>
      <c r="CK145" s="185"/>
      <c r="CL145" s="185"/>
      <c r="CM145" s="185"/>
      <c r="CN145" s="185"/>
      <c r="CO145" s="185"/>
      <c r="CP145" s="185"/>
      <c r="CQ145" s="185"/>
      <c r="CR145" s="185"/>
      <c r="CS145" s="185"/>
    </row>
    <row r="146" spans="7:97" s="57" customFormat="1" x14ac:dyDescent="0.2">
      <c r="G146" s="116"/>
      <c r="H146" s="37"/>
      <c r="I146" s="37"/>
      <c r="J146" s="37"/>
      <c r="K146" s="37"/>
      <c r="L146" s="37"/>
      <c r="M146" s="37"/>
      <c r="N146" s="37"/>
      <c r="O146" s="37"/>
      <c r="P146" s="37"/>
      <c r="Q146" s="37"/>
      <c r="R146" s="37"/>
      <c r="S146" s="37"/>
      <c r="T146" s="37"/>
      <c r="U146" s="37"/>
      <c r="V146" s="37"/>
      <c r="W146" s="37"/>
      <c r="X146" s="37"/>
      <c r="Y146" s="116"/>
      <c r="Z146" s="116"/>
      <c r="AA146" s="116"/>
      <c r="AB146" s="116"/>
      <c r="AU146" s="185"/>
      <c r="AV146" s="185"/>
      <c r="AW146" s="185"/>
      <c r="AX146" s="185"/>
      <c r="AY146" s="185"/>
      <c r="AZ146" s="185"/>
      <c r="BA146" s="185"/>
      <c r="BB146" s="185"/>
      <c r="BC146" s="185"/>
      <c r="BD146" s="185"/>
      <c r="BE146" s="185"/>
      <c r="BF146" s="185"/>
      <c r="BG146" s="185"/>
      <c r="BH146" s="185"/>
      <c r="BI146" s="185"/>
      <c r="BJ146" s="185"/>
      <c r="BK146" s="185"/>
      <c r="BL146" s="185"/>
      <c r="BM146" s="185"/>
      <c r="BN146" s="185"/>
      <c r="BO146" s="185"/>
      <c r="BP146" s="185"/>
      <c r="BQ146" s="185"/>
      <c r="BR146" s="185"/>
      <c r="BS146" s="185"/>
      <c r="BT146" s="185"/>
      <c r="BU146" s="185"/>
      <c r="BV146" s="185"/>
      <c r="BW146" s="185"/>
      <c r="BX146" s="185"/>
      <c r="BY146" s="185"/>
      <c r="BZ146" s="185"/>
      <c r="CA146" s="185"/>
      <c r="CB146" s="185"/>
      <c r="CC146" s="185"/>
      <c r="CD146" s="185"/>
      <c r="CE146" s="185"/>
      <c r="CF146" s="185"/>
      <c r="CG146" s="185"/>
      <c r="CH146" s="185"/>
      <c r="CI146" s="185"/>
      <c r="CJ146" s="185"/>
      <c r="CK146" s="185"/>
      <c r="CL146" s="185"/>
      <c r="CM146" s="185"/>
      <c r="CN146" s="185"/>
      <c r="CO146" s="185"/>
      <c r="CP146" s="185"/>
      <c r="CQ146" s="185"/>
      <c r="CR146" s="185"/>
      <c r="CS146" s="185"/>
    </row>
    <row r="147" spans="7:97" s="57" customFormat="1" x14ac:dyDescent="0.2">
      <c r="G147" s="116"/>
      <c r="H147" s="37"/>
      <c r="I147" s="37"/>
      <c r="J147" s="37"/>
      <c r="K147" s="37"/>
      <c r="L147" s="37"/>
      <c r="M147" s="37"/>
      <c r="N147" s="37"/>
      <c r="O147" s="37"/>
      <c r="P147" s="37"/>
      <c r="Q147" s="37"/>
      <c r="R147" s="37"/>
      <c r="S147" s="37"/>
      <c r="T147" s="37"/>
      <c r="U147" s="37"/>
      <c r="V147" s="37"/>
      <c r="W147" s="37"/>
      <c r="X147" s="37"/>
      <c r="Y147" s="116"/>
      <c r="Z147" s="116"/>
      <c r="AA147" s="116"/>
      <c r="AB147" s="116"/>
      <c r="AU147" s="185"/>
      <c r="AV147" s="185"/>
      <c r="AW147" s="185"/>
      <c r="AX147" s="185"/>
      <c r="AY147" s="185"/>
      <c r="AZ147" s="185"/>
      <c r="BA147" s="185"/>
      <c r="BB147" s="185"/>
      <c r="BC147" s="185"/>
      <c r="BD147" s="185"/>
      <c r="BE147" s="185"/>
      <c r="BF147" s="185"/>
      <c r="BG147" s="185"/>
      <c r="BH147" s="185"/>
      <c r="BI147" s="185"/>
      <c r="BJ147" s="185"/>
      <c r="BK147" s="185"/>
      <c r="BL147" s="185"/>
      <c r="BM147" s="185"/>
      <c r="BN147" s="185"/>
      <c r="BO147" s="185"/>
      <c r="BP147" s="185"/>
      <c r="BQ147" s="185"/>
      <c r="BR147" s="185"/>
      <c r="BS147" s="185"/>
      <c r="BT147" s="185"/>
      <c r="BU147" s="185"/>
      <c r="BV147" s="185"/>
      <c r="BW147" s="185"/>
      <c r="BX147" s="185"/>
      <c r="BY147" s="185"/>
      <c r="BZ147" s="185"/>
      <c r="CA147" s="185"/>
      <c r="CB147" s="185"/>
      <c r="CC147" s="185"/>
      <c r="CD147" s="185"/>
      <c r="CE147" s="185"/>
      <c r="CF147" s="185"/>
      <c r="CG147" s="185"/>
      <c r="CH147" s="185"/>
      <c r="CI147" s="185"/>
      <c r="CJ147" s="185"/>
      <c r="CK147" s="185"/>
      <c r="CL147" s="185"/>
      <c r="CM147" s="185"/>
      <c r="CN147" s="185"/>
      <c r="CO147" s="185"/>
      <c r="CP147" s="185"/>
      <c r="CQ147" s="185"/>
      <c r="CR147" s="185"/>
      <c r="CS147" s="185"/>
    </row>
    <row r="148" spans="7:97" s="57" customFormat="1" x14ac:dyDescent="0.2">
      <c r="G148" s="116"/>
      <c r="H148" s="37"/>
      <c r="I148" s="37"/>
      <c r="J148" s="37"/>
      <c r="K148" s="37"/>
      <c r="L148" s="37"/>
      <c r="M148" s="37"/>
      <c r="N148" s="37"/>
      <c r="O148" s="37"/>
      <c r="P148" s="37"/>
      <c r="Q148" s="37"/>
      <c r="R148" s="37"/>
      <c r="S148" s="37"/>
      <c r="T148" s="37"/>
      <c r="U148" s="37"/>
      <c r="V148" s="37"/>
      <c r="W148" s="37"/>
      <c r="X148" s="37"/>
      <c r="Y148" s="116"/>
      <c r="Z148" s="116"/>
      <c r="AA148" s="116"/>
      <c r="AB148" s="116"/>
      <c r="AU148" s="185"/>
      <c r="AV148" s="185"/>
      <c r="AW148" s="185"/>
      <c r="AX148" s="185"/>
      <c r="AY148" s="185"/>
      <c r="AZ148" s="185"/>
      <c r="BA148" s="185"/>
      <c r="BB148" s="185"/>
      <c r="BC148" s="185"/>
      <c r="BD148" s="185"/>
      <c r="BE148" s="185"/>
      <c r="BF148" s="185"/>
      <c r="BG148" s="185"/>
      <c r="BH148" s="185"/>
      <c r="BI148" s="185"/>
      <c r="BJ148" s="185"/>
      <c r="BK148" s="185"/>
      <c r="BL148" s="185"/>
      <c r="BM148" s="185"/>
      <c r="BN148" s="185"/>
      <c r="BO148" s="185"/>
      <c r="BP148" s="185"/>
      <c r="BQ148" s="185"/>
      <c r="BR148" s="185"/>
      <c r="BS148" s="185"/>
      <c r="BT148" s="185"/>
      <c r="BU148" s="185"/>
      <c r="BV148" s="185"/>
      <c r="BW148" s="185"/>
      <c r="BX148" s="185"/>
      <c r="BY148" s="185"/>
      <c r="BZ148" s="185"/>
      <c r="CA148" s="185"/>
      <c r="CB148" s="185"/>
      <c r="CC148" s="185"/>
      <c r="CD148" s="185"/>
      <c r="CE148" s="185"/>
      <c r="CF148" s="185"/>
      <c r="CG148" s="185"/>
      <c r="CH148" s="185"/>
      <c r="CI148" s="185"/>
      <c r="CJ148" s="185"/>
      <c r="CK148" s="185"/>
      <c r="CL148" s="185"/>
      <c r="CM148" s="185"/>
      <c r="CN148" s="185"/>
      <c r="CO148" s="185"/>
      <c r="CP148" s="185"/>
      <c r="CQ148" s="185"/>
      <c r="CR148" s="185"/>
      <c r="CS148" s="185"/>
    </row>
    <row r="149" spans="7:97" s="57" customFormat="1" x14ac:dyDescent="0.2">
      <c r="G149" s="116"/>
      <c r="H149" s="37"/>
      <c r="I149" s="37"/>
      <c r="J149" s="37"/>
      <c r="K149" s="37"/>
      <c r="L149" s="37"/>
      <c r="M149" s="37"/>
      <c r="N149" s="37"/>
      <c r="O149" s="37"/>
      <c r="P149" s="37"/>
      <c r="Q149" s="37"/>
      <c r="R149" s="37"/>
      <c r="S149" s="37"/>
      <c r="T149" s="37"/>
      <c r="U149" s="37"/>
      <c r="V149" s="37"/>
      <c r="W149" s="37"/>
      <c r="X149" s="37"/>
      <c r="Y149" s="116"/>
      <c r="Z149" s="116"/>
      <c r="AA149" s="116"/>
      <c r="AB149" s="116"/>
      <c r="AU149" s="185"/>
      <c r="AV149" s="185"/>
      <c r="AW149" s="185"/>
      <c r="AX149" s="185"/>
      <c r="AY149" s="185"/>
      <c r="AZ149" s="185"/>
      <c r="BA149" s="185"/>
      <c r="BB149" s="185"/>
      <c r="BC149" s="185"/>
      <c r="BD149" s="185"/>
      <c r="BE149" s="185"/>
      <c r="BF149" s="185"/>
      <c r="BG149" s="185"/>
      <c r="BH149" s="185"/>
      <c r="BI149" s="185"/>
      <c r="BJ149" s="185"/>
      <c r="BK149" s="185"/>
      <c r="BL149" s="185"/>
      <c r="BM149" s="185"/>
      <c r="BN149" s="185"/>
      <c r="BO149" s="185"/>
      <c r="BP149" s="185"/>
      <c r="BQ149" s="185"/>
      <c r="BR149" s="185"/>
      <c r="BS149" s="185"/>
      <c r="BT149" s="185"/>
      <c r="BU149" s="185"/>
      <c r="BV149" s="185"/>
      <c r="BW149" s="185"/>
      <c r="BX149" s="185"/>
      <c r="BY149" s="185"/>
      <c r="BZ149" s="185"/>
      <c r="CA149" s="185"/>
      <c r="CB149" s="185"/>
      <c r="CC149" s="185"/>
      <c r="CD149" s="185"/>
      <c r="CE149" s="185"/>
      <c r="CF149" s="185"/>
      <c r="CG149" s="185"/>
      <c r="CH149" s="185"/>
      <c r="CI149" s="185"/>
      <c r="CJ149" s="185"/>
      <c r="CK149" s="185"/>
      <c r="CL149" s="185"/>
      <c r="CM149" s="185"/>
      <c r="CN149" s="185"/>
      <c r="CO149" s="185"/>
      <c r="CP149" s="185"/>
      <c r="CQ149" s="185"/>
      <c r="CR149" s="185"/>
      <c r="CS149" s="185"/>
    </row>
    <row r="150" spans="7:97" s="57" customFormat="1" x14ac:dyDescent="0.2">
      <c r="G150" s="116"/>
      <c r="H150" s="37"/>
      <c r="I150" s="37"/>
      <c r="J150" s="37"/>
      <c r="K150" s="37"/>
      <c r="L150" s="37"/>
      <c r="M150" s="37"/>
      <c r="N150" s="37"/>
      <c r="O150" s="37"/>
      <c r="P150" s="37"/>
      <c r="Q150" s="37"/>
      <c r="R150" s="37"/>
      <c r="S150" s="37"/>
      <c r="T150" s="37"/>
      <c r="U150" s="37"/>
      <c r="V150" s="37"/>
      <c r="W150" s="37"/>
      <c r="X150" s="37"/>
      <c r="Y150" s="116"/>
      <c r="Z150" s="116"/>
      <c r="AA150" s="116"/>
      <c r="AB150" s="116"/>
      <c r="AU150" s="185"/>
      <c r="AV150" s="185"/>
      <c r="AW150" s="185"/>
      <c r="AX150" s="185"/>
      <c r="AY150" s="185"/>
      <c r="AZ150" s="185"/>
      <c r="BA150" s="185"/>
      <c r="BB150" s="185"/>
      <c r="BC150" s="185"/>
      <c r="BD150" s="185"/>
      <c r="BE150" s="185"/>
      <c r="BF150" s="185"/>
      <c r="BG150" s="185"/>
      <c r="BH150" s="185"/>
      <c r="BI150" s="185"/>
      <c r="BJ150" s="185"/>
      <c r="BK150" s="185"/>
      <c r="BL150" s="185"/>
      <c r="BM150" s="185"/>
      <c r="BN150" s="185"/>
      <c r="BO150" s="185"/>
      <c r="BP150" s="185"/>
      <c r="BQ150" s="185"/>
      <c r="BR150" s="185"/>
      <c r="BS150" s="185"/>
      <c r="BT150" s="185"/>
      <c r="BU150" s="185"/>
      <c r="BV150" s="185"/>
      <c r="BW150" s="185"/>
      <c r="BX150" s="185"/>
      <c r="BY150" s="185"/>
      <c r="BZ150" s="185"/>
      <c r="CA150" s="185"/>
      <c r="CB150" s="185"/>
      <c r="CC150" s="185"/>
      <c r="CD150" s="185"/>
      <c r="CE150" s="185"/>
      <c r="CF150" s="185"/>
      <c r="CG150" s="185"/>
      <c r="CH150" s="185"/>
      <c r="CI150" s="185"/>
      <c r="CJ150" s="185"/>
      <c r="CK150" s="185"/>
      <c r="CL150" s="185"/>
      <c r="CM150" s="185"/>
      <c r="CN150" s="185"/>
      <c r="CO150" s="185"/>
      <c r="CP150" s="185"/>
      <c r="CQ150" s="185"/>
      <c r="CR150" s="185"/>
      <c r="CS150" s="185"/>
    </row>
    <row r="151" spans="7:97" s="57" customFormat="1" x14ac:dyDescent="0.2">
      <c r="G151" s="116"/>
      <c r="H151" s="37"/>
      <c r="I151" s="37"/>
      <c r="J151" s="37"/>
      <c r="K151" s="37"/>
      <c r="L151" s="37"/>
      <c r="M151" s="37"/>
      <c r="N151" s="37"/>
      <c r="O151" s="37"/>
      <c r="P151" s="37"/>
      <c r="Q151" s="37"/>
      <c r="R151" s="37"/>
      <c r="S151" s="37"/>
      <c r="T151" s="37"/>
      <c r="U151" s="37"/>
      <c r="V151" s="37"/>
      <c r="W151" s="37"/>
      <c r="X151" s="37"/>
      <c r="Y151" s="116"/>
      <c r="Z151" s="116"/>
      <c r="AA151" s="116"/>
      <c r="AB151" s="116"/>
      <c r="AU151" s="185"/>
      <c r="AV151" s="185"/>
      <c r="AW151" s="185"/>
      <c r="AX151" s="185"/>
      <c r="AY151" s="185"/>
      <c r="AZ151" s="185"/>
      <c r="BA151" s="185"/>
      <c r="BB151" s="185"/>
      <c r="BC151" s="185"/>
      <c r="BD151" s="185"/>
      <c r="BE151" s="185"/>
      <c r="BF151" s="185"/>
      <c r="BG151" s="185"/>
      <c r="BH151" s="185"/>
      <c r="BI151" s="185"/>
      <c r="BJ151" s="185"/>
      <c r="BK151" s="185"/>
      <c r="BL151" s="185"/>
      <c r="BM151" s="185"/>
      <c r="BN151" s="185"/>
      <c r="BO151" s="185"/>
      <c r="BP151" s="185"/>
      <c r="BQ151" s="185"/>
      <c r="BR151" s="185"/>
      <c r="BS151" s="185"/>
      <c r="BT151" s="185"/>
      <c r="BU151" s="185"/>
      <c r="BV151" s="185"/>
      <c r="BW151" s="185"/>
      <c r="BX151" s="185"/>
      <c r="BY151" s="185"/>
      <c r="BZ151" s="185"/>
      <c r="CA151" s="185"/>
      <c r="CB151" s="185"/>
      <c r="CC151" s="185"/>
      <c r="CD151" s="185"/>
      <c r="CE151" s="185"/>
      <c r="CF151" s="185"/>
      <c r="CG151" s="185"/>
      <c r="CH151" s="185"/>
      <c r="CI151" s="185"/>
      <c r="CJ151" s="185"/>
      <c r="CK151" s="185"/>
      <c r="CL151" s="185"/>
      <c r="CM151" s="185"/>
      <c r="CN151" s="185"/>
      <c r="CO151" s="185"/>
      <c r="CP151" s="185"/>
      <c r="CQ151" s="185"/>
      <c r="CR151" s="185"/>
      <c r="CS151" s="185"/>
    </row>
    <row r="152" spans="7:97" s="57" customFormat="1" x14ac:dyDescent="0.2">
      <c r="G152" s="116"/>
      <c r="H152" s="37"/>
      <c r="I152" s="37"/>
      <c r="J152" s="37"/>
      <c r="K152" s="37"/>
      <c r="L152" s="37"/>
      <c r="M152" s="37"/>
      <c r="N152" s="37"/>
      <c r="O152" s="37"/>
      <c r="P152" s="37"/>
      <c r="Q152" s="37"/>
      <c r="R152" s="37"/>
      <c r="S152" s="37"/>
      <c r="T152" s="37"/>
      <c r="U152" s="37"/>
      <c r="V152" s="37"/>
      <c r="W152" s="37"/>
      <c r="X152" s="37"/>
      <c r="Y152" s="116"/>
      <c r="Z152" s="116"/>
      <c r="AA152" s="116"/>
      <c r="AB152" s="116"/>
      <c r="AU152" s="185"/>
      <c r="AV152" s="185"/>
      <c r="AW152" s="185"/>
      <c r="AX152" s="185"/>
      <c r="AY152" s="185"/>
      <c r="AZ152" s="185"/>
      <c r="BA152" s="185"/>
      <c r="BB152" s="185"/>
      <c r="BC152" s="185"/>
      <c r="BD152" s="185"/>
      <c r="BE152" s="185"/>
      <c r="BF152" s="185"/>
      <c r="BG152" s="185"/>
      <c r="BH152" s="185"/>
      <c r="BI152" s="185"/>
      <c r="BJ152" s="185"/>
      <c r="BK152" s="185"/>
      <c r="BL152" s="185"/>
      <c r="BM152" s="185"/>
      <c r="BN152" s="185"/>
      <c r="BO152" s="185"/>
      <c r="BP152" s="185"/>
      <c r="BQ152" s="185"/>
      <c r="BR152" s="185"/>
      <c r="BS152" s="185"/>
      <c r="BT152" s="185"/>
      <c r="BU152" s="185"/>
      <c r="BV152" s="185"/>
      <c r="BW152" s="185"/>
      <c r="BX152" s="185"/>
      <c r="BY152" s="185"/>
      <c r="BZ152" s="185"/>
      <c r="CA152" s="185"/>
      <c r="CB152" s="185"/>
      <c r="CC152" s="185"/>
      <c r="CD152" s="185"/>
      <c r="CE152" s="185"/>
      <c r="CF152" s="185"/>
      <c r="CG152" s="185"/>
      <c r="CH152" s="185"/>
      <c r="CI152" s="185"/>
      <c r="CJ152" s="185"/>
      <c r="CK152" s="185"/>
      <c r="CL152" s="185"/>
      <c r="CM152" s="185"/>
      <c r="CN152" s="185"/>
      <c r="CO152" s="185"/>
      <c r="CP152" s="185"/>
      <c r="CQ152" s="185"/>
      <c r="CR152" s="185"/>
      <c r="CS152" s="185"/>
    </row>
    <row r="153" spans="7:97" s="57" customFormat="1" x14ac:dyDescent="0.2">
      <c r="G153" s="116"/>
      <c r="H153" s="37"/>
      <c r="I153" s="37"/>
      <c r="J153" s="37"/>
      <c r="K153" s="37"/>
      <c r="L153" s="37"/>
      <c r="M153" s="37"/>
      <c r="N153" s="37"/>
      <c r="O153" s="37"/>
      <c r="P153" s="37"/>
      <c r="Q153" s="37"/>
      <c r="R153" s="37"/>
      <c r="S153" s="37"/>
      <c r="T153" s="37"/>
      <c r="U153" s="37"/>
      <c r="V153" s="37"/>
      <c r="W153" s="37"/>
      <c r="X153" s="37"/>
      <c r="Y153" s="116"/>
      <c r="Z153" s="116"/>
      <c r="AA153" s="116"/>
      <c r="AB153" s="116"/>
      <c r="AU153" s="185"/>
      <c r="AV153" s="185"/>
      <c r="AW153" s="185"/>
      <c r="AX153" s="185"/>
      <c r="AY153" s="185"/>
      <c r="AZ153" s="185"/>
      <c r="BA153" s="185"/>
      <c r="BB153" s="185"/>
      <c r="BC153" s="185"/>
      <c r="BD153" s="185"/>
      <c r="BE153" s="185"/>
      <c r="BF153" s="185"/>
      <c r="BG153" s="185"/>
      <c r="BH153" s="185"/>
      <c r="BI153" s="185"/>
      <c r="BJ153" s="185"/>
      <c r="BK153" s="185"/>
      <c r="BL153" s="185"/>
      <c r="BM153" s="185"/>
      <c r="BN153" s="185"/>
      <c r="BO153" s="185"/>
      <c r="BP153" s="185"/>
      <c r="BQ153" s="185"/>
      <c r="BR153" s="185"/>
      <c r="BS153" s="185"/>
      <c r="BT153" s="185"/>
      <c r="BU153" s="185"/>
      <c r="BV153" s="185"/>
      <c r="BW153" s="185"/>
      <c r="BX153" s="185"/>
      <c r="BY153" s="185"/>
      <c r="BZ153" s="185"/>
      <c r="CA153" s="185"/>
      <c r="CB153" s="185"/>
      <c r="CC153" s="185"/>
      <c r="CD153" s="185"/>
      <c r="CE153" s="185"/>
      <c r="CF153" s="185"/>
      <c r="CG153" s="185"/>
      <c r="CH153" s="185"/>
      <c r="CI153" s="185"/>
      <c r="CJ153" s="185"/>
      <c r="CK153" s="185"/>
      <c r="CL153" s="185"/>
      <c r="CM153" s="185"/>
      <c r="CN153" s="185"/>
      <c r="CO153" s="185"/>
      <c r="CP153" s="185"/>
      <c r="CQ153" s="185"/>
      <c r="CR153" s="185"/>
      <c r="CS153" s="185"/>
    </row>
    <row r="154" spans="7:97" s="57" customFormat="1" x14ac:dyDescent="0.2">
      <c r="G154" s="116"/>
      <c r="H154" s="37"/>
      <c r="I154" s="37"/>
      <c r="J154" s="37"/>
      <c r="K154" s="37"/>
      <c r="L154" s="37"/>
      <c r="M154" s="37"/>
      <c r="N154" s="37"/>
      <c r="O154" s="37"/>
      <c r="P154" s="37"/>
      <c r="Q154" s="37"/>
      <c r="R154" s="37"/>
      <c r="S154" s="37"/>
      <c r="T154" s="37"/>
      <c r="U154" s="37"/>
      <c r="V154" s="37"/>
      <c r="W154" s="37"/>
      <c r="X154" s="37"/>
      <c r="Y154" s="116"/>
      <c r="Z154" s="116"/>
      <c r="AA154" s="116"/>
      <c r="AB154" s="116"/>
      <c r="AU154" s="185"/>
      <c r="AV154" s="185"/>
      <c r="AW154" s="185"/>
      <c r="AX154" s="185"/>
      <c r="AY154" s="185"/>
      <c r="AZ154" s="185"/>
      <c r="BA154" s="185"/>
      <c r="BB154" s="185"/>
      <c r="BC154" s="185"/>
      <c r="BD154" s="185"/>
      <c r="BE154" s="185"/>
      <c r="BF154" s="185"/>
      <c r="BG154" s="185"/>
      <c r="BH154" s="185"/>
      <c r="BI154" s="185"/>
      <c r="BJ154" s="185"/>
      <c r="BK154" s="185"/>
      <c r="BL154" s="185"/>
      <c r="BM154" s="185"/>
      <c r="BN154" s="185"/>
      <c r="BO154" s="185"/>
      <c r="BP154" s="185"/>
      <c r="BQ154" s="185"/>
      <c r="BR154" s="185"/>
      <c r="BS154" s="185"/>
      <c r="BT154" s="185"/>
      <c r="BU154" s="185"/>
      <c r="BV154" s="185"/>
      <c r="BW154" s="185"/>
      <c r="BX154" s="185"/>
      <c r="BY154" s="185"/>
      <c r="BZ154" s="185"/>
      <c r="CA154" s="185"/>
      <c r="CB154" s="185"/>
      <c r="CC154" s="185"/>
      <c r="CD154" s="185"/>
      <c r="CE154" s="185"/>
      <c r="CF154" s="185"/>
      <c r="CG154" s="185"/>
      <c r="CH154" s="185"/>
      <c r="CI154" s="185"/>
      <c r="CJ154" s="185"/>
      <c r="CK154" s="185"/>
      <c r="CL154" s="185"/>
      <c r="CM154" s="185"/>
      <c r="CN154" s="185"/>
      <c r="CO154" s="185"/>
      <c r="CP154" s="185"/>
      <c r="CQ154" s="185"/>
      <c r="CR154" s="185"/>
      <c r="CS154" s="185"/>
    </row>
    <row r="155" spans="7:97" s="57" customFormat="1" x14ac:dyDescent="0.2">
      <c r="G155" s="116"/>
      <c r="H155" s="37"/>
      <c r="I155" s="37"/>
      <c r="J155" s="37"/>
      <c r="K155" s="37"/>
      <c r="L155" s="37"/>
      <c r="M155" s="37"/>
      <c r="N155" s="37"/>
      <c r="O155" s="37"/>
      <c r="P155" s="37"/>
      <c r="Q155" s="37"/>
      <c r="R155" s="37"/>
      <c r="S155" s="37"/>
      <c r="T155" s="37"/>
      <c r="U155" s="37"/>
      <c r="V155" s="37"/>
      <c r="W155" s="37"/>
      <c r="X155" s="37"/>
      <c r="Y155" s="116"/>
      <c r="Z155" s="116"/>
      <c r="AA155" s="116"/>
      <c r="AB155" s="116"/>
      <c r="AU155" s="185"/>
      <c r="AV155" s="185"/>
      <c r="AW155" s="185"/>
      <c r="AX155" s="185"/>
      <c r="AY155" s="185"/>
      <c r="AZ155" s="185"/>
      <c r="BA155" s="185"/>
      <c r="BB155" s="185"/>
      <c r="BC155" s="185"/>
      <c r="BD155" s="185"/>
      <c r="BE155" s="185"/>
      <c r="BF155" s="185"/>
      <c r="BG155" s="185"/>
      <c r="BH155" s="185"/>
      <c r="BI155" s="185"/>
      <c r="BJ155" s="185"/>
      <c r="BK155" s="185"/>
      <c r="BL155" s="185"/>
      <c r="BM155" s="185"/>
      <c r="BN155" s="185"/>
      <c r="BO155" s="185"/>
      <c r="BP155" s="185"/>
      <c r="BQ155" s="185"/>
      <c r="BR155" s="185"/>
      <c r="BS155" s="185"/>
      <c r="BT155" s="185"/>
      <c r="BU155" s="185"/>
      <c r="BV155" s="185"/>
      <c r="BW155" s="185"/>
      <c r="BX155" s="185"/>
      <c r="BY155" s="185"/>
      <c r="BZ155" s="185"/>
      <c r="CA155" s="185"/>
      <c r="CB155" s="185"/>
      <c r="CC155" s="185"/>
      <c r="CD155" s="185"/>
      <c r="CE155" s="185"/>
      <c r="CF155" s="185"/>
      <c r="CG155" s="185"/>
      <c r="CH155" s="185"/>
      <c r="CI155" s="185"/>
      <c r="CJ155" s="185"/>
      <c r="CK155" s="185"/>
      <c r="CL155" s="185"/>
      <c r="CM155" s="185"/>
      <c r="CN155" s="185"/>
      <c r="CO155" s="185"/>
      <c r="CP155" s="185"/>
      <c r="CQ155" s="185"/>
      <c r="CR155" s="185"/>
      <c r="CS155" s="185"/>
    </row>
    <row r="156" spans="7:97" s="57" customFormat="1" x14ac:dyDescent="0.2">
      <c r="G156" s="116"/>
      <c r="H156" s="37"/>
      <c r="I156" s="37"/>
      <c r="J156" s="37"/>
      <c r="K156" s="37"/>
      <c r="L156" s="37"/>
      <c r="M156" s="37"/>
      <c r="N156" s="37"/>
      <c r="O156" s="37"/>
      <c r="P156" s="37"/>
      <c r="Q156" s="37"/>
      <c r="R156" s="37"/>
      <c r="S156" s="37"/>
      <c r="T156" s="37"/>
      <c r="U156" s="37"/>
      <c r="V156" s="37"/>
      <c r="W156" s="37"/>
      <c r="X156" s="37"/>
      <c r="Y156" s="116"/>
      <c r="Z156" s="116"/>
      <c r="AA156" s="116"/>
      <c r="AB156" s="116"/>
      <c r="AU156" s="185"/>
      <c r="AV156" s="185"/>
      <c r="AW156" s="185"/>
      <c r="AX156" s="185"/>
      <c r="AY156" s="185"/>
      <c r="AZ156" s="185"/>
      <c r="BA156" s="185"/>
      <c r="BB156" s="185"/>
      <c r="BC156" s="185"/>
      <c r="BD156" s="185"/>
      <c r="BE156" s="185"/>
      <c r="BF156" s="185"/>
      <c r="BG156" s="185"/>
      <c r="BH156" s="185"/>
      <c r="BI156" s="185"/>
      <c r="BJ156" s="185"/>
      <c r="BK156" s="185"/>
      <c r="BL156" s="185"/>
      <c r="BM156" s="185"/>
      <c r="BN156" s="185"/>
      <c r="BO156" s="185"/>
      <c r="BP156" s="185"/>
      <c r="BQ156" s="185"/>
      <c r="BR156" s="185"/>
      <c r="BS156" s="185"/>
      <c r="BT156" s="185"/>
      <c r="BU156" s="185"/>
      <c r="BV156" s="185"/>
      <c r="BW156" s="185"/>
      <c r="BX156" s="185"/>
      <c r="BY156" s="185"/>
      <c r="BZ156" s="185"/>
      <c r="CA156" s="185"/>
      <c r="CB156" s="185"/>
      <c r="CC156" s="185"/>
      <c r="CD156" s="185"/>
      <c r="CE156" s="185"/>
      <c r="CF156" s="185"/>
      <c r="CG156" s="185"/>
      <c r="CH156" s="185"/>
      <c r="CI156" s="185"/>
      <c r="CJ156" s="185"/>
      <c r="CK156" s="185"/>
      <c r="CL156" s="185"/>
      <c r="CM156" s="185"/>
      <c r="CN156" s="185"/>
      <c r="CO156" s="185"/>
      <c r="CP156" s="185"/>
      <c r="CQ156" s="185"/>
      <c r="CR156" s="185"/>
      <c r="CS156" s="185"/>
    </row>
    <row r="157" spans="7:97" s="57" customFormat="1" x14ac:dyDescent="0.2">
      <c r="G157" s="116"/>
      <c r="H157" s="37"/>
      <c r="I157" s="37"/>
      <c r="J157" s="37"/>
      <c r="K157" s="37"/>
      <c r="L157" s="37"/>
      <c r="M157" s="37"/>
      <c r="N157" s="37"/>
      <c r="O157" s="37"/>
      <c r="P157" s="37"/>
      <c r="Q157" s="37"/>
      <c r="R157" s="37"/>
      <c r="S157" s="37"/>
      <c r="T157" s="37"/>
      <c r="U157" s="37"/>
      <c r="V157" s="37"/>
      <c r="W157" s="37"/>
      <c r="X157" s="37"/>
      <c r="Y157" s="116"/>
      <c r="Z157" s="116"/>
      <c r="AA157" s="116"/>
      <c r="AB157" s="116"/>
      <c r="AU157" s="185"/>
      <c r="AV157" s="185"/>
      <c r="AW157" s="185"/>
      <c r="AX157" s="185"/>
      <c r="AY157" s="185"/>
      <c r="AZ157" s="185"/>
      <c r="BA157" s="185"/>
      <c r="BB157" s="185"/>
      <c r="BC157" s="185"/>
      <c r="BD157" s="185"/>
      <c r="BE157" s="185"/>
      <c r="BF157" s="185"/>
      <c r="BG157" s="185"/>
      <c r="BH157" s="185"/>
      <c r="BI157" s="185"/>
      <c r="BJ157" s="185"/>
      <c r="BK157" s="185"/>
      <c r="BL157" s="185"/>
      <c r="BM157" s="185"/>
      <c r="BN157" s="185"/>
      <c r="BO157" s="185"/>
      <c r="BP157" s="185"/>
      <c r="BQ157" s="185"/>
      <c r="BR157" s="185"/>
      <c r="BS157" s="185"/>
      <c r="BT157" s="185"/>
      <c r="BU157" s="185"/>
      <c r="BV157" s="185"/>
      <c r="BW157" s="185"/>
      <c r="BX157" s="185"/>
      <c r="BY157" s="185"/>
      <c r="BZ157" s="185"/>
      <c r="CA157" s="185"/>
      <c r="CB157" s="185"/>
      <c r="CC157" s="185"/>
      <c r="CD157" s="185"/>
      <c r="CE157" s="185"/>
      <c r="CF157" s="185"/>
      <c r="CG157" s="185"/>
      <c r="CH157" s="185"/>
      <c r="CI157" s="185"/>
      <c r="CJ157" s="185"/>
      <c r="CK157" s="185"/>
      <c r="CL157" s="185"/>
      <c r="CM157" s="185"/>
      <c r="CN157" s="185"/>
      <c r="CO157" s="185"/>
      <c r="CP157" s="185"/>
      <c r="CQ157" s="185"/>
      <c r="CR157" s="185"/>
      <c r="CS157" s="185"/>
    </row>
    <row r="158" spans="7:97" s="57" customFormat="1" x14ac:dyDescent="0.2">
      <c r="G158" s="116"/>
      <c r="H158" s="37"/>
      <c r="I158" s="37"/>
      <c r="J158" s="37"/>
      <c r="K158" s="37"/>
      <c r="L158" s="37"/>
      <c r="M158" s="37"/>
      <c r="N158" s="37"/>
      <c r="O158" s="37"/>
      <c r="P158" s="37"/>
      <c r="Q158" s="37"/>
      <c r="R158" s="37"/>
      <c r="S158" s="37"/>
      <c r="T158" s="37"/>
      <c r="U158" s="37"/>
      <c r="V158" s="37"/>
      <c r="W158" s="37"/>
      <c r="X158" s="37"/>
      <c r="Y158" s="116"/>
      <c r="Z158" s="116"/>
      <c r="AA158" s="116"/>
      <c r="AB158" s="116"/>
      <c r="AU158" s="185"/>
      <c r="AV158" s="185"/>
      <c r="AW158" s="185"/>
      <c r="AX158" s="185"/>
      <c r="AY158" s="185"/>
      <c r="AZ158" s="185"/>
      <c r="BA158" s="185"/>
      <c r="BB158" s="185"/>
      <c r="BC158" s="185"/>
      <c r="BD158" s="185"/>
      <c r="BE158" s="185"/>
      <c r="BF158" s="185"/>
      <c r="BG158" s="185"/>
      <c r="BH158" s="185"/>
      <c r="BI158" s="185"/>
      <c r="BJ158" s="185"/>
      <c r="BK158" s="185"/>
      <c r="BL158" s="185"/>
      <c r="BM158" s="185"/>
      <c r="BN158" s="185"/>
      <c r="BO158" s="185"/>
      <c r="BP158" s="185"/>
      <c r="BQ158" s="185"/>
      <c r="BR158" s="185"/>
      <c r="BS158" s="185"/>
      <c r="BT158" s="185"/>
      <c r="BU158" s="185"/>
      <c r="BV158" s="185"/>
      <c r="BW158" s="185"/>
      <c r="BX158" s="185"/>
      <c r="BY158" s="185"/>
      <c r="BZ158" s="185"/>
      <c r="CA158" s="185"/>
      <c r="CB158" s="185"/>
      <c r="CC158" s="185"/>
      <c r="CD158" s="185"/>
      <c r="CE158" s="185"/>
      <c r="CF158" s="185"/>
      <c r="CG158" s="185"/>
      <c r="CH158" s="185"/>
      <c r="CI158" s="185"/>
      <c r="CJ158" s="185"/>
      <c r="CK158" s="185"/>
      <c r="CL158" s="185"/>
      <c r="CM158" s="185"/>
      <c r="CN158" s="185"/>
      <c r="CO158" s="185"/>
      <c r="CP158" s="185"/>
      <c r="CQ158" s="185"/>
      <c r="CR158" s="185"/>
      <c r="CS158" s="185"/>
    </row>
    <row r="159" spans="7:97" s="57" customFormat="1" x14ac:dyDescent="0.2">
      <c r="G159" s="116"/>
      <c r="H159" s="37"/>
      <c r="I159" s="37"/>
      <c r="J159" s="37"/>
      <c r="K159" s="37"/>
      <c r="L159" s="37"/>
      <c r="M159" s="37"/>
      <c r="N159" s="37"/>
      <c r="O159" s="37"/>
      <c r="P159" s="37"/>
      <c r="Q159" s="37"/>
      <c r="R159" s="37"/>
      <c r="S159" s="37"/>
      <c r="T159" s="37"/>
      <c r="U159" s="37"/>
      <c r="V159" s="37"/>
      <c r="W159" s="37"/>
      <c r="X159" s="37"/>
      <c r="Y159" s="116"/>
      <c r="Z159" s="116"/>
      <c r="AA159" s="116"/>
      <c r="AB159" s="116"/>
      <c r="AU159" s="185"/>
      <c r="AV159" s="185"/>
      <c r="AW159" s="185"/>
      <c r="AX159" s="185"/>
      <c r="AY159" s="185"/>
      <c r="AZ159" s="185"/>
      <c r="BA159" s="185"/>
      <c r="BB159" s="185"/>
      <c r="BC159" s="185"/>
      <c r="BD159" s="185"/>
      <c r="BE159" s="185"/>
      <c r="BF159" s="185"/>
      <c r="BG159" s="185"/>
      <c r="BH159" s="185"/>
      <c r="BI159" s="185"/>
      <c r="BJ159" s="185"/>
      <c r="BK159" s="185"/>
      <c r="BL159" s="185"/>
      <c r="BM159" s="185"/>
      <c r="BN159" s="185"/>
      <c r="BO159" s="185"/>
      <c r="BP159" s="185"/>
      <c r="BQ159" s="185"/>
      <c r="BR159" s="185"/>
      <c r="BS159" s="185"/>
      <c r="BT159" s="185"/>
      <c r="BU159" s="185"/>
      <c r="BV159" s="185"/>
      <c r="BW159" s="185"/>
      <c r="BX159" s="185"/>
      <c r="BY159" s="185"/>
      <c r="BZ159" s="185"/>
      <c r="CA159" s="185"/>
      <c r="CB159" s="185"/>
      <c r="CC159" s="185"/>
      <c r="CD159" s="185"/>
      <c r="CE159" s="185"/>
      <c r="CF159" s="185"/>
      <c r="CG159" s="185"/>
      <c r="CH159" s="185"/>
      <c r="CI159" s="185"/>
      <c r="CJ159" s="185"/>
      <c r="CK159" s="185"/>
      <c r="CL159" s="185"/>
      <c r="CM159" s="185"/>
      <c r="CN159" s="185"/>
      <c r="CO159" s="185"/>
      <c r="CP159" s="185"/>
      <c r="CQ159" s="185"/>
      <c r="CR159" s="185"/>
      <c r="CS159" s="185"/>
    </row>
    <row r="160" spans="7:97" s="57" customFormat="1" x14ac:dyDescent="0.2">
      <c r="G160" s="116"/>
      <c r="H160" s="37"/>
      <c r="I160" s="37"/>
      <c r="J160" s="37"/>
      <c r="K160" s="37"/>
      <c r="L160" s="37"/>
      <c r="M160" s="37"/>
      <c r="N160" s="37"/>
      <c r="O160" s="37"/>
      <c r="P160" s="37"/>
      <c r="Q160" s="37"/>
      <c r="R160" s="37"/>
      <c r="S160" s="37"/>
      <c r="T160" s="37"/>
      <c r="U160" s="37"/>
      <c r="V160" s="37"/>
      <c r="W160" s="37"/>
      <c r="X160" s="37"/>
      <c r="Y160" s="116"/>
      <c r="Z160" s="116"/>
      <c r="AA160" s="116"/>
      <c r="AB160" s="116"/>
      <c r="AU160" s="185"/>
      <c r="AV160" s="185"/>
      <c r="AW160" s="185"/>
      <c r="AX160" s="185"/>
      <c r="AY160" s="185"/>
      <c r="AZ160" s="185"/>
      <c r="BA160" s="185"/>
      <c r="BB160" s="185"/>
      <c r="BC160" s="185"/>
      <c r="BD160" s="185"/>
      <c r="BE160" s="185"/>
      <c r="BF160" s="185"/>
      <c r="BG160" s="185"/>
      <c r="BH160" s="185"/>
      <c r="BI160" s="185"/>
      <c r="BJ160" s="185"/>
      <c r="BK160" s="185"/>
      <c r="BL160" s="185"/>
      <c r="BM160" s="185"/>
      <c r="BN160" s="185"/>
      <c r="BO160" s="185"/>
      <c r="BP160" s="185"/>
      <c r="BQ160" s="185"/>
      <c r="BR160" s="185"/>
      <c r="BS160" s="185"/>
      <c r="BT160" s="185"/>
      <c r="BU160" s="185"/>
      <c r="BV160" s="185"/>
      <c r="BW160" s="185"/>
      <c r="BX160" s="185"/>
      <c r="BY160" s="185"/>
      <c r="BZ160" s="185"/>
      <c r="CA160" s="185"/>
      <c r="CB160" s="185"/>
      <c r="CC160" s="185"/>
      <c r="CD160" s="185"/>
      <c r="CE160" s="185"/>
      <c r="CF160" s="185"/>
      <c r="CG160" s="185"/>
      <c r="CH160" s="185"/>
      <c r="CI160" s="185"/>
      <c r="CJ160" s="185"/>
      <c r="CK160" s="185"/>
      <c r="CL160" s="185"/>
      <c r="CM160" s="185"/>
      <c r="CN160" s="185"/>
      <c r="CO160" s="185"/>
      <c r="CP160" s="185"/>
      <c r="CQ160" s="185"/>
      <c r="CR160" s="185"/>
      <c r="CS160" s="185"/>
    </row>
    <row r="161" spans="7:97" s="57" customFormat="1" x14ac:dyDescent="0.2">
      <c r="G161" s="116"/>
      <c r="H161" s="37"/>
      <c r="I161" s="37"/>
      <c r="J161" s="37"/>
      <c r="K161" s="37"/>
      <c r="L161" s="37"/>
      <c r="M161" s="37"/>
      <c r="N161" s="37"/>
      <c r="O161" s="37"/>
      <c r="P161" s="37"/>
      <c r="Q161" s="37"/>
      <c r="R161" s="37"/>
      <c r="S161" s="37"/>
      <c r="T161" s="37"/>
      <c r="U161" s="37"/>
      <c r="V161" s="37"/>
      <c r="W161" s="37"/>
      <c r="X161" s="37"/>
      <c r="Y161" s="116"/>
      <c r="Z161" s="116"/>
      <c r="AA161" s="116"/>
      <c r="AB161" s="116"/>
      <c r="AU161" s="185"/>
      <c r="AV161" s="185"/>
      <c r="AW161" s="185"/>
      <c r="AX161" s="185"/>
      <c r="AY161" s="185"/>
      <c r="AZ161" s="185"/>
      <c r="BA161" s="185"/>
      <c r="BB161" s="185"/>
      <c r="BC161" s="185"/>
      <c r="BD161" s="185"/>
      <c r="BE161" s="185"/>
      <c r="BF161" s="185"/>
      <c r="BG161" s="185"/>
      <c r="BH161" s="185"/>
      <c r="BI161" s="185"/>
      <c r="BJ161" s="185"/>
      <c r="BK161" s="185"/>
      <c r="BL161" s="185"/>
      <c r="BM161" s="185"/>
      <c r="BN161" s="185"/>
      <c r="BO161" s="185"/>
      <c r="BP161" s="185"/>
      <c r="BQ161" s="185"/>
      <c r="BR161" s="185"/>
      <c r="BS161" s="185"/>
      <c r="BT161" s="185"/>
      <c r="BU161" s="185"/>
      <c r="BV161" s="185"/>
      <c r="BW161" s="185"/>
      <c r="BX161" s="185"/>
      <c r="BY161" s="185"/>
      <c r="BZ161" s="185"/>
      <c r="CA161" s="185"/>
      <c r="CB161" s="185"/>
      <c r="CC161" s="185"/>
      <c r="CD161" s="185"/>
      <c r="CE161" s="185"/>
      <c r="CF161" s="185"/>
      <c r="CG161" s="185"/>
      <c r="CH161" s="185"/>
      <c r="CI161" s="185"/>
      <c r="CJ161" s="185"/>
      <c r="CK161" s="185"/>
      <c r="CL161" s="185"/>
      <c r="CM161" s="185"/>
      <c r="CN161" s="185"/>
      <c r="CO161" s="185"/>
      <c r="CP161" s="185"/>
      <c r="CQ161" s="185"/>
      <c r="CR161" s="185"/>
      <c r="CS161" s="185"/>
    </row>
    <row r="162" spans="7:97" s="57" customFormat="1" x14ac:dyDescent="0.2">
      <c r="G162" s="116"/>
      <c r="H162" s="37"/>
      <c r="I162" s="37"/>
      <c r="J162" s="37"/>
      <c r="K162" s="37"/>
      <c r="L162" s="37"/>
      <c r="M162" s="37"/>
      <c r="N162" s="37"/>
      <c r="O162" s="37"/>
      <c r="P162" s="37"/>
      <c r="Q162" s="37"/>
      <c r="R162" s="37"/>
      <c r="S162" s="37"/>
      <c r="T162" s="37"/>
      <c r="U162" s="37"/>
      <c r="V162" s="37"/>
      <c r="W162" s="37"/>
      <c r="X162" s="37"/>
      <c r="Y162" s="116"/>
      <c r="Z162" s="116"/>
      <c r="AA162" s="116"/>
      <c r="AB162" s="116"/>
      <c r="AU162" s="185"/>
      <c r="AV162" s="185"/>
      <c r="AW162" s="185"/>
      <c r="AX162" s="185"/>
      <c r="AY162" s="185"/>
      <c r="AZ162" s="185"/>
      <c r="BA162" s="185"/>
      <c r="BB162" s="185"/>
      <c r="BC162" s="185"/>
      <c r="BD162" s="185"/>
      <c r="BE162" s="185"/>
      <c r="BF162" s="185"/>
      <c r="BG162" s="185"/>
      <c r="BH162" s="185"/>
      <c r="BI162" s="185"/>
      <c r="BJ162" s="185"/>
      <c r="BK162" s="185"/>
      <c r="BL162" s="185"/>
      <c r="BM162" s="185"/>
      <c r="BN162" s="185"/>
      <c r="BO162" s="185"/>
      <c r="BP162" s="185"/>
      <c r="BQ162" s="185"/>
      <c r="BR162" s="185"/>
      <c r="BS162" s="185"/>
      <c r="BT162" s="185"/>
      <c r="BU162" s="185"/>
      <c r="BV162" s="185"/>
      <c r="BW162" s="185"/>
      <c r="BX162" s="185"/>
      <c r="BY162" s="185"/>
      <c r="BZ162" s="185"/>
      <c r="CA162" s="185"/>
      <c r="CB162" s="185"/>
      <c r="CC162" s="185"/>
      <c r="CD162" s="185"/>
      <c r="CE162" s="185"/>
      <c r="CF162" s="185"/>
      <c r="CG162" s="185"/>
      <c r="CH162" s="185"/>
      <c r="CI162" s="185"/>
      <c r="CJ162" s="185"/>
      <c r="CK162" s="185"/>
      <c r="CL162" s="185"/>
      <c r="CM162" s="185"/>
      <c r="CN162" s="185"/>
      <c r="CO162" s="185"/>
      <c r="CP162" s="185"/>
      <c r="CQ162" s="185"/>
      <c r="CR162" s="185"/>
      <c r="CS162" s="185"/>
    </row>
    <row r="163" spans="7:97" s="57" customFormat="1" x14ac:dyDescent="0.2">
      <c r="G163" s="116"/>
      <c r="H163" s="37"/>
      <c r="I163" s="37"/>
      <c r="J163" s="37"/>
      <c r="K163" s="37"/>
      <c r="L163" s="37"/>
      <c r="M163" s="37"/>
      <c r="N163" s="37"/>
      <c r="O163" s="37"/>
      <c r="P163" s="37"/>
      <c r="Q163" s="37"/>
      <c r="R163" s="37"/>
      <c r="S163" s="37"/>
      <c r="T163" s="37"/>
      <c r="U163" s="37"/>
      <c r="V163" s="37"/>
      <c r="W163" s="37"/>
      <c r="X163" s="37"/>
      <c r="Y163" s="116"/>
      <c r="Z163" s="116"/>
      <c r="AA163" s="116"/>
      <c r="AB163" s="116"/>
      <c r="AU163" s="185"/>
      <c r="AV163" s="185"/>
      <c r="AW163" s="185"/>
      <c r="AX163" s="185"/>
      <c r="AY163" s="185"/>
      <c r="AZ163" s="185"/>
      <c r="BA163" s="185"/>
      <c r="BB163" s="185"/>
      <c r="BC163" s="185"/>
      <c r="BD163" s="185"/>
      <c r="BE163" s="185"/>
      <c r="BF163" s="185"/>
      <c r="BG163" s="185"/>
      <c r="BH163" s="185"/>
      <c r="BI163" s="185"/>
      <c r="BJ163" s="185"/>
      <c r="BK163" s="185"/>
      <c r="BL163" s="185"/>
      <c r="BM163" s="185"/>
      <c r="BN163" s="185"/>
      <c r="BO163" s="185"/>
      <c r="BP163" s="185"/>
      <c r="BQ163" s="185"/>
      <c r="BR163" s="185"/>
      <c r="BS163" s="185"/>
      <c r="BT163" s="185"/>
      <c r="BU163" s="185"/>
      <c r="BV163" s="185"/>
      <c r="BW163" s="185"/>
      <c r="BX163" s="185"/>
      <c r="BY163" s="185"/>
      <c r="BZ163" s="185"/>
      <c r="CA163" s="185"/>
      <c r="CB163" s="185"/>
      <c r="CC163" s="185"/>
      <c r="CD163" s="185"/>
      <c r="CE163" s="185"/>
      <c r="CF163" s="185"/>
      <c r="CG163" s="185"/>
      <c r="CH163" s="185"/>
      <c r="CI163" s="185"/>
      <c r="CJ163" s="185"/>
      <c r="CK163" s="185"/>
      <c r="CL163" s="185"/>
      <c r="CM163" s="185"/>
      <c r="CN163" s="185"/>
      <c r="CO163" s="185"/>
      <c r="CP163" s="185"/>
      <c r="CQ163" s="185"/>
      <c r="CR163" s="185"/>
      <c r="CS163" s="185"/>
    </row>
    <row r="164" spans="7:97" s="57" customFormat="1" x14ac:dyDescent="0.2">
      <c r="G164" s="116"/>
      <c r="H164" s="37"/>
      <c r="I164" s="37"/>
      <c r="J164" s="37"/>
      <c r="K164" s="37"/>
      <c r="L164" s="37"/>
      <c r="M164" s="37"/>
      <c r="N164" s="37"/>
      <c r="O164" s="37"/>
      <c r="P164" s="37"/>
      <c r="Q164" s="37"/>
      <c r="R164" s="37"/>
      <c r="S164" s="37"/>
      <c r="T164" s="37"/>
      <c r="U164" s="37"/>
      <c r="V164" s="37"/>
      <c r="W164" s="37"/>
      <c r="X164" s="37"/>
      <c r="Y164" s="116"/>
      <c r="Z164" s="116"/>
      <c r="AA164" s="116"/>
      <c r="AB164" s="116"/>
      <c r="AU164" s="185"/>
      <c r="AV164" s="185"/>
      <c r="AW164" s="185"/>
      <c r="AX164" s="185"/>
      <c r="AY164" s="185"/>
      <c r="AZ164" s="185"/>
      <c r="BA164" s="185"/>
      <c r="BB164" s="185"/>
      <c r="BC164" s="185"/>
      <c r="BD164" s="185"/>
      <c r="BE164" s="185"/>
      <c r="BF164" s="185"/>
      <c r="BG164" s="185"/>
      <c r="BH164" s="185"/>
      <c r="BI164" s="185"/>
      <c r="BJ164" s="185"/>
      <c r="BK164" s="185"/>
      <c r="BL164" s="185"/>
      <c r="BM164" s="185"/>
      <c r="BN164" s="185"/>
      <c r="BO164" s="185"/>
      <c r="BP164" s="185"/>
      <c r="BQ164" s="185"/>
      <c r="BR164" s="185"/>
      <c r="BS164" s="185"/>
      <c r="BT164" s="185"/>
      <c r="BU164" s="185"/>
      <c r="BV164" s="185"/>
      <c r="BW164" s="185"/>
      <c r="BX164" s="185"/>
      <c r="BY164" s="185"/>
      <c r="BZ164" s="185"/>
      <c r="CA164" s="185"/>
      <c r="CB164" s="185"/>
      <c r="CC164" s="185"/>
      <c r="CD164" s="185"/>
      <c r="CE164" s="185"/>
      <c r="CF164" s="185"/>
      <c r="CG164" s="185"/>
      <c r="CH164" s="185"/>
      <c r="CI164" s="185"/>
      <c r="CJ164" s="185"/>
      <c r="CK164" s="185"/>
      <c r="CL164" s="185"/>
      <c r="CM164" s="185"/>
      <c r="CN164" s="185"/>
      <c r="CO164" s="185"/>
      <c r="CP164" s="185"/>
      <c r="CQ164" s="185"/>
      <c r="CR164" s="185"/>
      <c r="CS164" s="185"/>
    </row>
    <row r="165" spans="7:97" s="57" customFormat="1" x14ac:dyDescent="0.2">
      <c r="G165" s="116"/>
      <c r="H165" s="37"/>
      <c r="I165" s="37"/>
      <c r="J165" s="37"/>
      <c r="K165" s="37"/>
      <c r="L165" s="37"/>
      <c r="M165" s="37"/>
      <c r="N165" s="37"/>
      <c r="O165" s="37"/>
      <c r="P165" s="37"/>
      <c r="Q165" s="37"/>
      <c r="R165" s="37"/>
      <c r="S165" s="37"/>
      <c r="T165" s="37"/>
      <c r="U165" s="37"/>
      <c r="V165" s="37"/>
      <c r="W165" s="37"/>
      <c r="X165" s="37"/>
      <c r="Y165" s="116"/>
      <c r="Z165" s="116"/>
      <c r="AA165" s="116"/>
      <c r="AB165" s="116"/>
      <c r="AU165" s="185"/>
      <c r="AV165" s="185"/>
      <c r="AW165" s="185"/>
      <c r="AX165" s="185"/>
      <c r="AY165" s="185"/>
      <c r="AZ165" s="185"/>
      <c r="BA165" s="185"/>
      <c r="BB165" s="185"/>
      <c r="BC165" s="185"/>
      <c r="BD165" s="185"/>
      <c r="BE165" s="185"/>
      <c r="BF165" s="185"/>
      <c r="BG165" s="185"/>
      <c r="BH165" s="185"/>
      <c r="BI165" s="185"/>
      <c r="BJ165" s="185"/>
      <c r="BK165" s="185"/>
      <c r="BL165" s="185"/>
      <c r="BM165" s="185"/>
      <c r="BN165" s="185"/>
      <c r="BO165" s="185"/>
      <c r="BP165" s="185"/>
      <c r="BQ165" s="185"/>
      <c r="BR165" s="185"/>
      <c r="BS165" s="185"/>
      <c r="BT165" s="185"/>
      <c r="BU165" s="185"/>
      <c r="BV165" s="185"/>
      <c r="BW165" s="185"/>
      <c r="BX165" s="185"/>
      <c r="BY165" s="185"/>
      <c r="BZ165" s="185"/>
      <c r="CA165" s="185"/>
      <c r="CB165" s="185"/>
      <c r="CC165" s="185"/>
      <c r="CD165" s="185"/>
      <c r="CE165" s="185"/>
      <c r="CF165" s="185"/>
      <c r="CG165" s="185"/>
      <c r="CH165" s="185"/>
      <c r="CI165" s="185"/>
      <c r="CJ165" s="185"/>
      <c r="CK165" s="185"/>
      <c r="CL165" s="185"/>
      <c r="CM165" s="185"/>
      <c r="CN165" s="185"/>
      <c r="CO165" s="185"/>
      <c r="CP165" s="185"/>
      <c r="CQ165" s="185"/>
      <c r="CR165" s="185"/>
      <c r="CS165" s="185"/>
    </row>
    <row r="166" spans="7:97" s="57" customFormat="1" x14ac:dyDescent="0.2">
      <c r="G166" s="116"/>
      <c r="H166" s="37"/>
      <c r="I166" s="37"/>
      <c r="J166" s="37"/>
      <c r="K166" s="37"/>
      <c r="L166" s="37"/>
      <c r="M166" s="37"/>
      <c r="N166" s="37"/>
      <c r="O166" s="37"/>
      <c r="P166" s="37"/>
      <c r="Q166" s="37"/>
      <c r="R166" s="37"/>
      <c r="S166" s="37"/>
      <c r="T166" s="37"/>
      <c r="U166" s="37"/>
      <c r="V166" s="37"/>
      <c r="W166" s="37"/>
      <c r="X166" s="37"/>
      <c r="Y166" s="116"/>
      <c r="Z166" s="116"/>
      <c r="AA166" s="116"/>
      <c r="AB166" s="116"/>
      <c r="AU166" s="185"/>
      <c r="AV166" s="185"/>
      <c r="AW166" s="185"/>
      <c r="AX166" s="185"/>
      <c r="AY166" s="185"/>
      <c r="AZ166" s="185"/>
      <c r="BA166" s="185"/>
      <c r="BB166" s="185"/>
      <c r="BC166" s="185"/>
      <c r="BD166" s="185"/>
      <c r="BE166" s="185"/>
      <c r="BF166" s="185"/>
      <c r="BG166" s="185"/>
      <c r="BH166" s="185"/>
      <c r="BI166" s="185"/>
      <c r="BJ166" s="185"/>
      <c r="BK166" s="185"/>
      <c r="BL166" s="185"/>
      <c r="BM166" s="185"/>
      <c r="BN166" s="185"/>
      <c r="BO166" s="185"/>
      <c r="BP166" s="185"/>
      <c r="BQ166" s="185"/>
      <c r="BR166" s="185"/>
      <c r="BS166" s="185"/>
      <c r="BT166" s="185"/>
      <c r="BU166" s="185"/>
      <c r="BV166" s="185"/>
      <c r="BW166" s="185"/>
      <c r="BX166" s="185"/>
      <c r="BY166" s="185"/>
      <c r="BZ166" s="185"/>
      <c r="CA166" s="185"/>
      <c r="CB166" s="185"/>
      <c r="CC166" s="185"/>
      <c r="CD166" s="185"/>
      <c r="CE166" s="185"/>
      <c r="CF166" s="185"/>
      <c r="CG166" s="185"/>
      <c r="CH166" s="185"/>
      <c r="CI166" s="185"/>
      <c r="CJ166" s="185"/>
      <c r="CK166" s="185"/>
      <c r="CL166" s="185"/>
      <c r="CM166" s="185"/>
      <c r="CN166" s="185"/>
      <c r="CO166" s="185"/>
      <c r="CP166" s="185"/>
      <c r="CQ166" s="185"/>
      <c r="CR166" s="185"/>
      <c r="CS166" s="185"/>
    </row>
    <row r="167" spans="7:97" s="57" customFormat="1" x14ac:dyDescent="0.2">
      <c r="G167" s="116"/>
      <c r="H167" s="37"/>
      <c r="I167" s="37"/>
      <c r="J167" s="37"/>
      <c r="K167" s="37"/>
      <c r="L167" s="37"/>
      <c r="M167" s="37"/>
      <c r="N167" s="37"/>
      <c r="O167" s="37"/>
      <c r="P167" s="37"/>
      <c r="Q167" s="37"/>
      <c r="R167" s="37"/>
      <c r="S167" s="37"/>
      <c r="T167" s="37"/>
      <c r="U167" s="37"/>
      <c r="V167" s="37"/>
      <c r="W167" s="37"/>
      <c r="X167" s="37"/>
      <c r="Y167" s="116"/>
      <c r="Z167" s="116"/>
      <c r="AA167" s="116"/>
      <c r="AB167" s="116"/>
      <c r="AU167" s="185"/>
      <c r="AV167" s="185"/>
      <c r="AW167" s="185"/>
      <c r="AX167" s="185"/>
      <c r="AY167" s="185"/>
      <c r="AZ167" s="185"/>
      <c r="BA167" s="185"/>
      <c r="BB167" s="185"/>
      <c r="BC167" s="185"/>
      <c r="BD167" s="185"/>
      <c r="BE167" s="185"/>
      <c r="BF167" s="185"/>
      <c r="BG167" s="185"/>
      <c r="BH167" s="185"/>
      <c r="BI167" s="185"/>
      <c r="BJ167" s="185"/>
      <c r="BK167" s="185"/>
      <c r="BL167" s="185"/>
      <c r="BM167" s="185"/>
      <c r="BN167" s="185"/>
      <c r="BO167" s="185"/>
      <c r="BP167" s="185"/>
      <c r="BQ167" s="185"/>
      <c r="BR167" s="185"/>
      <c r="BS167" s="185"/>
      <c r="BT167" s="185"/>
      <c r="BU167" s="185"/>
      <c r="BV167" s="185"/>
      <c r="BW167" s="185"/>
      <c r="BX167" s="185"/>
      <c r="BY167" s="185"/>
      <c r="BZ167" s="185"/>
      <c r="CA167" s="185"/>
      <c r="CB167" s="185"/>
      <c r="CC167" s="185"/>
      <c r="CD167" s="185"/>
      <c r="CE167" s="185"/>
      <c r="CF167" s="185"/>
      <c r="CG167" s="185"/>
      <c r="CH167" s="185"/>
      <c r="CI167" s="185"/>
      <c r="CJ167" s="185"/>
      <c r="CK167" s="185"/>
      <c r="CL167" s="185"/>
      <c r="CM167" s="185"/>
      <c r="CN167" s="185"/>
      <c r="CO167" s="185"/>
      <c r="CP167" s="185"/>
      <c r="CQ167" s="185"/>
      <c r="CR167" s="185"/>
      <c r="CS167" s="185"/>
    </row>
    <row r="168" spans="7:97" s="57" customFormat="1" x14ac:dyDescent="0.2">
      <c r="G168" s="116"/>
      <c r="H168" s="37"/>
      <c r="I168" s="37"/>
      <c r="J168" s="37"/>
      <c r="K168" s="37"/>
      <c r="L168" s="37"/>
      <c r="M168" s="37"/>
      <c r="N168" s="37"/>
      <c r="O168" s="37"/>
      <c r="P168" s="37"/>
      <c r="Q168" s="37"/>
      <c r="R168" s="37"/>
      <c r="S168" s="37"/>
      <c r="T168" s="37"/>
      <c r="U168" s="37"/>
      <c r="V168" s="37"/>
      <c r="W168" s="37"/>
      <c r="X168" s="37"/>
      <c r="Y168" s="116"/>
      <c r="Z168" s="116"/>
      <c r="AA168" s="116"/>
      <c r="AB168" s="116"/>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5"/>
      <c r="BS168" s="185"/>
      <c r="BT168" s="185"/>
      <c r="BU168" s="185"/>
      <c r="BV168" s="185"/>
      <c r="BW168" s="185"/>
      <c r="BX168" s="185"/>
      <c r="BY168" s="185"/>
      <c r="BZ168" s="185"/>
      <c r="CA168" s="185"/>
      <c r="CB168" s="185"/>
      <c r="CC168" s="185"/>
      <c r="CD168" s="185"/>
      <c r="CE168" s="185"/>
      <c r="CF168" s="185"/>
      <c r="CG168" s="185"/>
      <c r="CH168" s="185"/>
      <c r="CI168" s="185"/>
      <c r="CJ168" s="185"/>
      <c r="CK168" s="185"/>
      <c r="CL168" s="185"/>
      <c r="CM168" s="185"/>
      <c r="CN168" s="185"/>
      <c r="CO168" s="185"/>
      <c r="CP168" s="185"/>
      <c r="CQ168" s="185"/>
      <c r="CR168" s="185"/>
      <c r="CS168" s="185"/>
    </row>
    <row r="169" spans="7:97" s="57" customFormat="1" x14ac:dyDescent="0.2">
      <c r="G169" s="116"/>
      <c r="H169" s="37"/>
      <c r="I169" s="37"/>
      <c r="J169" s="37"/>
      <c r="K169" s="37"/>
      <c r="L169" s="37"/>
      <c r="M169" s="37"/>
      <c r="N169" s="37"/>
      <c r="O169" s="37"/>
      <c r="P169" s="37"/>
      <c r="Q169" s="37"/>
      <c r="R169" s="37"/>
      <c r="S169" s="37"/>
      <c r="T169" s="37"/>
      <c r="U169" s="37"/>
      <c r="V169" s="37"/>
      <c r="W169" s="37"/>
      <c r="X169" s="37"/>
      <c r="Y169" s="116"/>
      <c r="Z169" s="116"/>
      <c r="AA169" s="116"/>
      <c r="AB169" s="116"/>
      <c r="AU169" s="185"/>
      <c r="AV169" s="185"/>
      <c r="AW169" s="185"/>
      <c r="AX169" s="185"/>
      <c r="AY169" s="185"/>
      <c r="AZ169" s="185"/>
      <c r="BA169" s="185"/>
      <c r="BB169" s="185"/>
      <c r="BC169" s="185"/>
      <c r="BD169" s="185"/>
      <c r="BE169" s="185"/>
      <c r="BF169" s="185"/>
      <c r="BG169" s="185"/>
      <c r="BH169" s="185"/>
      <c r="BI169" s="185"/>
      <c r="BJ169" s="185"/>
      <c r="BK169" s="185"/>
      <c r="BL169" s="185"/>
      <c r="BM169" s="185"/>
      <c r="BN169" s="185"/>
      <c r="BO169" s="185"/>
      <c r="BP169" s="185"/>
      <c r="BQ169" s="185"/>
      <c r="BR169" s="185"/>
      <c r="BS169" s="185"/>
      <c r="BT169" s="185"/>
      <c r="BU169" s="185"/>
      <c r="BV169" s="185"/>
      <c r="BW169" s="185"/>
      <c r="BX169" s="185"/>
      <c r="BY169" s="185"/>
      <c r="BZ169" s="185"/>
      <c r="CA169" s="185"/>
      <c r="CB169" s="185"/>
      <c r="CC169" s="185"/>
      <c r="CD169" s="185"/>
      <c r="CE169" s="185"/>
      <c r="CF169" s="185"/>
      <c r="CG169" s="185"/>
      <c r="CH169" s="185"/>
      <c r="CI169" s="185"/>
      <c r="CJ169" s="185"/>
      <c r="CK169" s="185"/>
      <c r="CL169" s="185"/>
      <c r="CM169" s="185"/>
      <c r="CN169" s="185"/>
      <c r="CO169" s="185"/>
      <c r="CP169" s="185"/>
      <c r="CQ169" s="185"/>
      <c r="CR169" s="185"/>
      <c r="CS169" s="185"/>
    </row>
    <row r="170" spans="7:97" s="57" customFormat="1" x14ac:dyDescent="0.2">
      <c r="G170" s="116"/>
      <c r="H170" s="37"/>
      <c r="I170" s="37"/>
      <c r="J170" s="37"/>
      <c r="K170" s="37"/>
      <c r="L170" s="37"/>
      <c r="M170" s="37"/>
      <c r="N170" s="37"/>
      <c r="O170" s="37"/>
      <c r="P170" s="37"/>
      <c r="Q170" s="37"/>
      <c r="R170" s="37"/>
      <c r="S170" s="37"/>
      <c r="T170" s="37"/>
      <c r="U170" s="37"/>
      <c r="V170" s="37"/>
      <c r="W170" s="37"/>
      <c r="X170" s="37"/>
      <c r="Y170" s="116"/>
      <c r="Z170" s="116"/>
      <c r="AA170" s="116"/>
      <c r="AB170" s="116"/>
      <c r="AU170" s="185"/>
      <c r="AV170" s="185"/>
      <c r="AW170" s="185"/>
      <c r="AX170" s="185"/>
      <c r="AY170" s="185"/>
      <c r="AZ170" s="185"/>
      <c r="BA170" s="185"/>
      <c r="BB170" s="185"/>
      <c r="BC170" s="185"/>
      <c r="BD170" s="185"/>
      <c r="BE170" s="185"/>
      <c r="BF170" s="185"/>
      <c r="BG170" s="185"/>
      <c r="BH170" s="185"/>
      <c r="BI170" s="185"/>
      <c r="BJ170" s="185"/>
      <c r="BK170" s="185"/>
      <c r="BL170" s="185"/>
      <c r="BM170" s="185"/>
      <c r="BN170" s="185"/>
      <c r="BO170" s="185"/>
      <c r="BP170" s="185"/>
      <c r="BQ170" s="185"/>
      <c r="BR170" s="185"/>
      <c r="BS170" s="185"/>
      <c r="BT170" s="185"/>
      <c r="BU170" s="185"/>
      <c r="BV170" s="185"/>
      <c r="BW170" s="185"/>
      <c r="BX170" s="185"/>
      <c r="BY170" s="185"/>
      <c r="BZ170" s="185"/>
      <c r="CA170" s="185"/>
      <c r="CB170" s="185"/>
      <c r="CC170" s="185"/>
      <c r="CD170" s="185"/>
      <c r="CE170" s="185"/>
      <c r="CF170" s="185"/>
      <c r="CG170" s="185"/>
      <c r="CH170" s="185"/>
      <c r="CI170" s="185"/>
      <c r="CJ170" s="185"/>
      <c r="CK170" s="185"/>
      <c r="CL170" s="185"/>
      <c r="CM170" s="185"/>
      <c r="CN170" s="185"/>
      <c r="CO170" s="185"/>
      <c r="CP170" s="185"/>
      <c r="CQ170" s="185"/>
      <c r="CR170" s="185"/>
      <c r="CS170" s="185"/>
    </row>
    <row r="171" spans="7:97" s="57" customFormat="1" x14ac:dyDescent="0.2">
      <c r="G171" s="116"/>
      <c r="H171" s="37"/>
      <c r="I171" s="37"/>
      <c r="J171" s="37"/>
      <c r="K171" s="37"/>
      <c r="L171" s="37"/>
      <c r="M171" s="37"/>
      <c r="N171" s="37"/>
      <c r="O171" s="37"/>
      <c r="P171" s="37"/>
      <c r="Q171" s="37"/>
      <c r="R171" s="37"/>
      <c r="S171" s="37"/>
      <c r="T171" s="37"/>
      <c r="U171" s="37"/>
      <c r="V171" s="37"/>
      <c r="W171" s="37"/>
      <c r="X171" s="37"/>
      <c r="Y171" s="116"/>
      <c r="Z171" s="116"/>
      <c r="AA171" s="116"/>
      <c r="AB171" s="116"/>
      <c r="AU171" s="185"/>
      <c r="AV171" s="185"/>
      <c r="AW171" s="185"/>
      <c r="AX171" s="185"/>
      <c r="AY171" s="185"/>
      <c r="AZ171" s="185"/>
      <c r="BA171" s="185"/>
      <c r="BB171" s="185"/>
      <c r="BC171" s="185"/>
      <c r="BD171" s="185"/>
      <c r="BE171" s="185"/>
      <c r="BF171" s="185"/>
      <c r="BG171" s="185"/>
      <c r="BH171" s="185"/>
      <c r="BI171" s="185"/>
      <c r="BJ171" s="185"/>
      <c r="BK171" s="185"/>
      <c r="BL171" s="185"/>
      <c r="BM171" s="185"/>
      <c r="BN171" s="185"/>
      <c r="BO171" s="185"/>
      <c r="BP171" s="185"/>
      <c r="BQ171" s="185"/>
      <c r="BR171" s="185"/>
      <c r="BS171" s="185"/>
      <c r="BT171" s="185"/>
      <c r="BU171" s="185"/>
      <c r="BV171" s="185"/>
      <c r="BW171" s="185"/>
      <c r="BX171" s="185"/>
      <c r="BY171" s="185"/>
      <c r="BZ171" s="185"/>
      <c r="CA171" s="185"/>
      <c r="CB171" s="185"/>
      <c r="CC171" s="185"/>
      <c r="CD171" s="185"/>
      <c r="CE171" s="185"/>
      <c r="CF171" s="185"/>
      <c r="CG171" s="185"/>
      <c r="CH171" s="185"/>
      <c r="CI171" s="185"/>
      <c r="CJ171" s="185"/>
      <c r="CK171" s="185"/>
      <c r="CL171" s="185"/>
      <c r="CM171" s="185"/>
      <c r="CN171" s="185"/>
      <c r="CO171" s="185"/>
      <c r="CP171" s="185"/>
      <c r="CQ171" s="185"/>
      <c r="CR171" s="185"/>
      <c r="CS171" s="185"/>
    </row>
    <row r="172" spans="7:97" s="57" customFormat="1" x14ac:dyDescent="0.2">
      <c r="G172" s="116"/>
      <c r="H172" s="37"/>
      <c r="I172" s="37"/>
      <c r="J172" s="37"/>
      <c r="K172" s="37"/>
      <c r="L172" s="37"/>
      <c r="M172" s="37"/>
      <c r="N172" s="37"/>
      <c r="O172" s="37"/>
      <c r="P172" s="37"/>
      <c r="Q172" s="37"/>
      <c r="R172" s="37"/>
      <c r="S172" s="37"/>
      <c r="T172" s="37"/>
      <c r="U172" s="37"/>
      <c r="V172" s="37"/>
      <c r="W172" s="37"/>
      <c r="X172" s="37"/>
      <c r="Y172" s="116"/>
      <c r="Z172" s="116"/>
      <c r="AA172" s="116"/>
      <c r="AB172" s="116"/>
      <c r="AU172" s="185"/>
      <c r="AV172" s="185"/>
      <c r="AW172" s="185"/>
      <c r="AX172" s="185"/>
      <c r="AY172" s="185"/>
      <c r="AZ172" s="185"/>
      <c r="BA172" s="185"/>
      <c r="BB172" s="185"/>
      <c r="BC172" s="185"/>
      <c r="BD172" s="185"/>
      <c r="BE172" s="185"/>
      <c r="BF172" s="185"/>
      <c r="BG172" s="185"/>
      <c r="BH172" s="185"/>
      <c r="BI172" s="185"/>
      <c r="BJ172" s="185"/>
      <c r="BK172" s="185"/>
      <c r="BL172" s="185"/>
      <c r="BM172" s="185"/>
      <c r="BN172" s="185"/>
      <c r="BO172" s="185"/>
      <c r="BP172" s="185"/>
      <c r="BQ172" s="185"/>
      <c r="BR172" s="185"/>
      <c r="BS172" s="185"/>
      <c r="BT172" s="185"/>
      <c r="BU172" s="185"/>
      <c r="BV172" s="185"/>
      <c r="BW172" s="185"/>
      <c r="BX172" s="185"/>
      <c r="BY172" s="185"/>
      <c r="BZ172" s="185"/>
      <c r="CA172" s="185"/>
      <c r="CB172" s="185"/>
      <c r="CC172" s="185"/>
      <c r="CD172" s="185"/>
      <c r="CE172" s="185"/>
      <c r="CF172" s="185"/>
      <c r="CG172" s="185"/>
      <c r="CH172" s="185"/>
      <c r="CI172" s="185"/>
      <c r="CJ172" s="185"/>
      <c r="CK172" s="185"/>
      <c r="CL172" s="185"/>
      <c r="CM172" s="185"/>
      <c r="CN172" s="185"/>
      <c r="CO172" s="185"/>
      <c r="CP172" s="185"/>
      <c r="CQ172" s="185"/>
      <c r="CR172" s="185"/>
      <c r="CS172" s="185"/>
    </row>
    <row r="173" spans="7:97" s="57" customFormat="1" x14ac:dyDescent="0.2">
      <c r="G173" s="116"/>
      <c r="H173" s="37"/>
      <c r="I173" s="37"/>
      <c r="J173" s="37"/>
      <c r="K173" s="37"/>
      <c r="L173" s="37"/>
      <c r="M173" s="37"/>
      <c r="N173" s="37"/>
      <c r="O173" s="37"/>
      <c r="P173" s="37"/>
      <c r="Q173" s="37"/>
      <c r="R173" s="37"/>
      <c r="S173" s="37"/>
      <c r="T173" s="37"/>
      <c r="U173" s="37"/>
      <c r="V173" s="37"/>
      <c r="W173" s="37"/>
      <c r="X173" s="37"/>
      <c r="Y173" s="116"/>
      <c r="Z173" s="116"/>
      <c r="AA173" s="116"/>
      <c r="AB173" s="116"/>
      <c r="AU173" s="185"/>
      <c r="AV173" s="185"/>
      <c r="AW173" s="185"/>
      <c r="AX173" s="185"/>
      <c r="AY173" s="185"/>
      <c r="AZ173" s="185"/>
      <c r="BA173" s="185"/>
      <c r="BB173" s="185"/>
      <c r="BC173" s="185"/>
      <c r="BD173" s="185"/>
      <c r="BE173" s="185"/>
      <c r="BF173" s="185"/>
      <c r="BG173" s="185"/>
      <c r="BH173" s="185"/>
      <c r="BI173" s="185"/>
      <c r="BJ173" s="185"/>
      <c r="BK173" s="185"/>
      <c r="BL173" s="185"/>
      <c r="BM173" s="185"/>
      <c r="BN173" s="185"/>
      <c r="BO173" s="185"/>
      <c r="BP173" s="185"/>
      <c r="BQ173" s="185"/>
      <c r="BR173" s="185"/>
      <c r="BS173" s="185"/>
      <c r="BT173" s="185"/>
      <c r="BU173" s="185"/>
      <c r="BV173" s="185"/>
      <c r="BW173" s="185"/>
      <c r="BX173" s="185"/>
      <c r="BY173" s="185"/>
      <c r="BZ173" s="185"/>
      <c r="CA173" s="185"/>
      <c r="CB173" s="185"/>
      <c r="CC173" s="185"/>
      <c r="CD173" s="185"/>
      <c r="CE173" s="185"/>
      <c r="CF173" s="185"/>
      <c r="CG173" s="185"/>
      <c r="CH173" s="185"/>
      <c r="CI173" s="185"/>
      <c r="CJ173" s="185"/>
      <c r="CK173" s="185"/>
      <c r="CL173" s="185"/>
      <c r="CM173" s="185"/>
      <c r="CN173" s="185"/>
      <c r="CO173" s="185"/>
      <c r="CP173" s="185"/>
      <c r="CQ173" s="185"/>
      <c r="CR173" s="185"/>
      <c r="CS173" s="185"/>
    </row>
    <row r="174" spans="7:97" s="57" customFormat="1" x14ac:dyDescent="0.2">
      <c r="G174" s="116"/>
      <c r="H174" s="37"/>
      <c r="I174" s="37"/>
      <c r="J174" s="37"/>
      <c r="K174" s="37"/>
      <c r="L174" s="37"/>
      <c r="M174" s="37"/>
      <c r="N174" s="37"/>
      <c r="O174" s="37"/>
      <c r="P174" s="37"/>
      <c r="Q174" s="37"/>
      <c r="R174" s="37"/>
      <c r="S174" s="37"/>
      <c r="T174" s="37"/>
      <c r="U174" s="37"/>
      <c r="V174" s="37"/>
      <c r="W174" s="37"/>
      <c r="X174" s="37"/>
      <c r="Y174" s="116"/>
      <c r="Z174" s="116"/>
      <c r="AA174" s="116"/>
      <c r="AB174" s="116"/>
      <c r="AU174" s="185"/>
      <c r="AV174" s="185"/>
      <c r="AW174" s="185"/>
      <c r="AX174" s="185"/>
      <c r="AY174" s="185"/>
      <c r="AZ174" s="185"/>
      <c r="BA174" s="185"/>
      <c r="BB174" s="185"/>
      <c r="BC174" s="185"/>
      <c r="BD174" s="185"/>
      <c r="BE174" s="185"/>
      <c r="BF174" s="185"/>
      <c r="BG174" s="185"/>
      <c r="BH174" s="185"/>
      <c r="BI174" s="185"/>
      <c r="BJ174" s="185"/>
      <c r="BK174" s="185"/>
      <c r="BL174" s="185"/>
      <c r="BM174" s="185"/>
      <c r="BN174" s="185"/>
      <c r="BO174" s="185"/>
      <c r="BP174" s="185"/>
      <c r="BQ174" s="185"/>
      <c r="BR174" s="185"/>
      <c r="BS174" s="185"/>
      <c r="BT174" s="185"/>
      <c r="BU174" s="185"/>
      <c r="BV174" s="185"/>
      <c r="BW174" s="185"/>
      <c r="BX174" s="185"/>
      <c r="BY174" s="185"/>
      <c r="BZ174" s="185"/>
      <c r="CA174" s="185"/>
      <c r="CB174" s="185"/>
      <c r="CC174" s="185"/>
      <c r="CD174" s="185"/>
      <c r="CE174" s="185"/>
      <c r="CF174" s="185"/>
      <c r="CG174" s="185"/>
      <c r="CH174" s="185"/>
      <c r="CI174" s="185"/>
      <c r="CJ174" s="185"/>
      <c r="CK174" s="185"/>
      <c r="CL174" s="185"/>
      <c r="CM174" s="185"/>
      <c r="CN174" s="185"/>
      <c r="CO174" s="185"/>
      <c r="CP174" s="185"/>
      <c r="CQ174" s="185"/>
      <c r="CR174" s="185"/>
      <c r="CS174" s="185"/>
    </row>
    <row r="175" spans="7:97" s="57" customFormat="1" x14ac:dyDescent="0.2">
      <c r="G175" s="116"/>
      <c r="H175" s="37"/>
      <c r="I175" s="37"/>
      <c r="J175" s="37"/>
      <c r="K175" s="37"/>
      <c r="L175" s="37"/>
      <c r="M175" s="37"/>
      <c r="N175" s="37"/>
      <c r="O175" s="37"/>
      <c r="P175" s="37"/>
      <c r="Q175" s="37"/>
      <c r="R175" s="37"/>
      <c r="S175" s="37"/>
      <c r="T175" s="37"/>
      <c r="U175" s="37"/>
      <c r="V175" s="37"/>
      <c r="W175" s="37"/>
      <c r="X175" s="37"/>
      <c r="Y175" s="116"/>
      <c r="Z175" s="116"/>
      <c r="AA175" s="116"/>
      <c r="AB175" s="116"/>
      <c r="AU175" s="185"/>
      <c r="AV175" s="185"/>
      <c r="AW175" s="185"/>
      <c r="AX175" s="185"/>
      <c r="AY175" s="185"/>
      <c r="AZ175" s="185"/>
      <c r="BA175" s="185"/>
      <c r="BB175" s="185"/>
      <c r="BC175" s="185"/>
      <c r="BD175" s="185"/>
      <c r="BE175" s="185"/>
      <c r="BF175" s="185"/>
      <c r="BG175" s="185"/>
      <c r="BH175" s="185"/>
      <c r="BI175" s="185"/>
      <c r="BJ175" s="185"/>
      <c r="BK175" s="185"/>
      <c r="BL175" s="185"/>
      <c r="BM175" s="185"/>
      <c r="BN175" s="185"/>
      <c r="BO175" s="185"/>
      <c r="BP175" s="185"/>
      <c r="BQ175" s="185"/>
      <c r="BR175" s="185"/>
      <c r="BS175" s="185"/>
      <c r="BT175" s="185"/>
      <c r="BU175" s="185"/>
      <c r="BV175" s="185"/>
      <c r="BW175" s="185"/>
      <c r="BX175" s="185"/>
      <c r="BY175" s="185"/>
      <c r="BZ175" s="185"/>
      <c r="CA175" s="185"/>
      <c r="CB175" s="185"/>
      <c r="CC175" s="185"/>
      <c r="CD175" s="185"/>
      <c r="CE175" s="185"/>
      <c r="CF175" s="185"/>
      <c r="CG175" s="185"/>
      <c r="CH175" s="185"/>
      <c r="CI175" s="185"/>
      <c r="CJ175" s="185"/>
      <c r="CK175" s="185"/>
      <c r="CL175" s="185"/>
      <c r="CM175" s="185"/>
      <c r="CN175" s="185"/>
      <c r="CO175" s="185"/>
      <c r="CP175" s="185"/>
      <c r="CQ175" s="185"/>
      <c r="CR175" s="185"/>
      <c r="CS175" s="185"/>
    </row>
    <row r="176" spans="7:97" s="57" customFormat="1" x14ac:dyDescent="0.2">
      <c r="G176" s="116"/>
      <c r="H176" s="37"/>
      <c r="I176" s="37"/>
      <c r="J176" s="37"/>
      <c r="K176" s="37"/>
      <c r="L176" s="37"/>
      <c r="M176" s="37"/>
      <c r="N176" s="37"/>
      <c r="O176" s="37"/>
      <c r="P176" s="37"/>
      <c r="Q176" s="37"/>
      <c r="R176" s="37"/>
      <c r="S176" s="37"/>
      <c r="T176" s="37"/>
      <c r="U176" s="37"/>
      <c r="V176" s="37"/>
      <c r="W176" s="37"/>
      <c r="X176" s="37"/>
      <c r="Y176" s="116"/>
      <c r="Z176" s="116"/>
      <c r="AA176" s="116"/>
      <c r="AB176" s="116"/>
      <c r="AU176" s="185"/>
      <c r="AV176" s="185"/>
      <c r="AW176" s="185"/>
      <c r="AX176" s="185"/>
      <c r="AY176" s="185"/>
      <c r="AZ176" s="185"/>
      <c r="BA176" s="185"/>
      <c r="BB176" s="185"/>
      <c r="BC176" s="185"/>
      <c r="BD176" s="185"/>
      <c r="BE176" s="185"/>
      <c r="BF176" s="185"/>
      <c r="BG176" s="185"/>
      <c r="BH176" s="185"/>
      <c r="BI176" s="185"/>
      <c r="BJ176" s="185"/>
      <c r="BK176" s="185"/>
      <c r="BL176" s="185"/>
      <c r="BM176" s="185"/>
      <c r="BN176" s="185"/>
      <c r="BO176" s="185"/>
      <c r="BP176" s="185"/>
      <c r="BQ176" s="185"/>
      <c r="BR176" s="185"/>
      <c r="BS176" s="185"/>
      <c r="BT176" s="185"/>
      <c r="BU176" s="185"/>
      <c r="BV176" s="185"/>
      <c r="BW176" s="185"/>
      <c r="BX176" s="185"/>
      <c r="BY176" s="185"/>
      <c r="BZ176" s="185"/>
      <c r="CA176" s="185"/>
      <c r="CB176" s="185"/>
      <c r="CC176" s="185"/>
      <c r="CD176" s="185"/>
      <c r="CE176" s="185"/>
      <c r="CF176" s="185"/>
      <c r="CG176" s="185"/>
      <c r="CH176" s="185"/>
      <c r="CI176" s="185"/>
      <c r="CJ176" s="185"/>
      <c r="CK176" s="185"/>
      <c r="CL176" s="185"/>
      <c r="CM176" s="185"/>
      <c r="CN176" s="185"/>
      <c r="CO176" s="185"/>
      <c r="CP176" s="185"/>
      <c r="CQ176" s="185"/>
      <c r="CR176" s="185"/>
      <c r="CS176" s="185"/>
    </row>
    <row r="177" spans="7:97" s="57" customFormat="1" x14ac:dyDescent="0.2">
      <c r="G177" s="116"/>
      <c r="H177" s="37"/>
      <c r="I177" s="37"/>
      <c r="J177" s="37"/>
      <c r="K177" s="37"/>
      <c r="L177" s="37"/>
      <c r="M177" s="37"/>
      <c r="N177" s="37"/>
      <c r="O177" s="37"/>
      <c r="P177" s="37"/>
      <c r="Q177" s="37"/>
      <c r="R177" s="37"/>
      <c r="S177" s="37"/>
      <c r="T177" s="37"/>
      <c r="U177" s="37"/>
      <c r="V177" s="37"/>
      <c r="W177" s="37"/>
      <c r="X177" s="37"/>
      <c r="Y177" s="116"/>
      <c r="Z177" s="116"/>
      <c r="AA177" s="116"/>
      <c r="AB177" s="116"/>
      <c r="AU177" s="185"/>
      <c r="AV177" s="185"/>
      <c r="AW177" s="185"/>
      <c r="AX177" s="185"/>
      <c r="AY177" s="185"/>
      <c r="AZ177" s="185"/>
      <c r="BA177" s="185"/>
      <c r="BB177" s="185"/>
      <c r="BC177" s="185"/>
      <c r="BD177" s="185"/>
      <c r="BE177" s="185"/>
      <c r="BF177" s="185"/>
      <c r="BG177" s="185"/>
      <c r="BH177" s="185"/>
      <c r="BI177" s="185"/>
      <c r="BJ177" s="185"/>
      <c r="BK177" s="185"/>
      <c r="BL177" s="185"/>
      <c r="BM177" s="185"/>
      <c r="BN177" s="185"/>
      <c r="BO177" s="185"/>
      <c r="BP177" s="185"/>
      <c r="BQ177" s="185"/>
      <c r="BR177" s="185"/>
      <c r="BS177" s="185"/>
      <c r="BT177" s="185"/>
      <c r="BU177" s="185"/>
      <c r="BV177" s="185"/>
      <c r="BW177" s="185"/>
      <c r="BX177" s="185"/>
      <c r="BY177" s="185"/>
      <c r="BZ177" s="185"/>
      <c r="CA177" s="185"/>
      <c r="CB177" s="185"/>
      <c r="CC177" s="185"/>
      <c r="CD177" s="185"/>
      <c r="CE177" s="185"/>
      <c r="CF177" s="185"/>
      <c r="CG177" s="185"/>
      <c r="CH177" s="185"/>
      <c r="CI177" s="185"/>
      <c r="CJ177" s="185"/>
      <c r="CK177" s="185"/>
      <c r="CL177" s="185"/>
      <c r="CM177" s="185"/>
      <c r="CN177" s="185"/>
      <c r="CO177" s="185"/>
      <c r="CP177" s="185"/>
      <c r="CQ177" s="185"/>
      <c r="CR177" s="185"/>
      <c r="CS177" s="185"/>
    </row>
    <row r="178" spans="7:97" s="57" customFormat="1" x14ac:dyDescent="0.2">
      <c r="G178" s="116"/>
      <c r="H178" s="37"/>
      <c r="I178" s="37"/>
      <c r="J178" s="37"/>
      <c r="K178" s="37"/>
      <c r="L178" s="37"/>
      <c r="M178" s="37"/>
      <c r="N178" s="37"/>
      <c r="O178" s="37"/>
      <c r="P178" s="37"/>
      <c r="Q178" s="37"/>
      <c r="R178" s="37"/>
      <c r="S178" s="37"/>
      <c r="T178" s="37"/>
      <c r="U178" s="37"/>
      <c r="V178" s="37"/>
      <c r="W178" s="37"/>
      <c r="X178" s="37"/>
      <c r="Y178" s="116"/>
      <c r="Z178" s="116"/>
      <c r="AA178" s="116"/>
      <c r="AB178" s="116"/>
      <c r="AU178" s="185"/>
      <c r="AV178" s="185"/>
      <c r="AW178" s="185"/>
      <c r="AX178" s="185"/>
      <c r="AY178" s="185"/>
      <c r="AZ178" s="185"/>
      <c r="BA178" s="185"/>
      <c r="BB178" s="185"/>
      <c r="BC178" s="185"/>
      <c r="BD178" s="185"/>
      <c r="BE178" s="185"/>
      <c r="BF178" s="185"/>
      <c r="BG178" s="185"/>
      <c r="BH178" s="185"/>
      <c r="BI178" s="185"/>
      <c r="BJ178" s="185"/>
      <c r="BK178" s="185"/>
      <c r="BL178" s="185"/>
      <c r="BM178" s="185"/>
      <c r="BN178" s="185"/>
      <c r="BO178" s="185"/>
      <c r="BP178" s="185"/>
      <c r="BQ178" s="185"/>
      <c r="BR178" s="185"/>
      <c r="BS178" s="185"/>
      <c r="BT178" s="185"/>
      <c r="BU178" s="185"/>
      <c r="BV178" s="185"/>
      <c r="BW178" s="185"/>
      <c r="BX178" s="185"/>
      <c r="BY178" s="185"/>
      <c r="BZ178" s="185"/>
      <c r="CA178" s="185"/>
      <c r="CB178" s="185"/>
      <c r="CC178" s="185"/>
      <c r="CD178" s="185"/>
      <c r="CE178" s="185"/>
      <c r="CF178" s="185"/>
      <c r="CG178" s="185"/>
      <c r="CH178" s="185"/>
      <c r="CI178" s="185"/>
      <c r="CJ178" s="185"/>
      <c r="CK178" s="185"/>
      <c r="CL178" s="185"/>
      <c r="CM178" s="185"/>
      <c r="CN178" s="185"/>
      <c r="CO178" s="185"/>
      <c r="CP178" s="185"/>
      <c r="CQ178" s="185"/>
      <c r="CR178" s="185"/>
      <c r="CS178" s="185"/>
    </row>
    <row r="179" spans="7:97" s="57" customFormat="1" x14ac:dyDescent="0.2">
      <c r="G179" s="116"/>
      <c r="H179" s="37"/>
      <c r="I179" s="37"/>
      <c r="J179" s="37"/>
      <c r="K179" s="37"/>
      <c r="L179" s="37"/>
      <c r="M179" s="37"/>
      <c r="N179" s="37"/>
      <c r="O179" s="37"/>
      <c r="P179" s="37"/>
      <c r="Q179" s="37"/>
      <c r="R179" s="37"/>
      <c r="S179" s="37"/>
      <c r="T179" s="37"/>
      <c r="U179" s="37"/>
      <c r="V179" s="37"/>
      <c r="W179" s="37"/>
      <c r="X179" s="37"/>
      <c r="Y179" s="116"/>
      <c r="Z179" s="116"/>
      <c r="AA179" s="116"/>
      <c r="AB179" s="116"/>
      <c r="AU179" s="185"/>
      <c r="AV179" s="185"/>
      <c r="AW179" s="185"/>
      <c r="AX179" s="185"/>
      <c r="AY179" s="185"/>
      <c r="AZ179" s="185"/>
      <c r="BA179" s="185"/>
      <c r="BB179" s="185"/>
      <c r="BC179" s="185"/>
      <c r="BD179" s="185"/>
      <c r="BE179" s="185"/>
      <c r="BF179" s="185"/>
      <c r="BG179" s="185"/>
      <c r="BH179" s="185"/>
      <c r="BI179" s="185"/>
      <c r="BJ179" s="185"/>
      <c r="BK179" s="185"/>
      <c r="BL179" s="185"/>
      <c r="BM179" s="185"/>
      <c r="BN179" s="185"/>
      <c r="BO179" s="185"/>
      <c r="BP179" s="185"/>
      <c r="BQ179" s="185"/>
      <c r="BR179" s="185"/>
      <c r="BS179" s="185"/>
      <c r="BT179" s="185"/>
      <c r="BU179" s="185"/>
      <c r="BV179" s="185"/>
      <c r="BW179" s="185"/>
      <c r="BX179" s="185"/>
      <c r="BY179" s="185"/>
      <c r="BZ179" s="185"/>
      <c r="CA179" s="185"/>
      <c r="CB179" s="185"/>
      <c r="CC179" s="185"/>
      <c r="CD179" s="185"/>
      <c r="CE179" s="185"/>
      <c r="CF179" s="185"/>
      <c r="CG179" s="185"/>
      <c r="CH179" s="185"/>
      <c r="CI179" s="185"/>
      <c r="CJ179" s="185"/>
      <c r="CK179" s="185"/>
      <c r="CL179" s="185"/>
      <c r="CM179" s="185"/>
      <c r="CN179" s="185"/>
      <c r="CO179" s="185"/>
      <c r="CP179" s="185"/>
      <c r="CQ179" s="185"/>
      <c r="CR179" s="185"/>
      <c r="CS179" s="185"/>
    </row>
    <row r="180" spans="7:97" s="57" customFormat="1" x14ac:dyDescent="0.2">
      <c r="G180" s="116"/>
      <c r="H180" s="37"/>
      <c r="I180" s="37"/>
      <c r="J180" s="37"/>
      <c r="K180" s="37"/>
      <c r="L180" s="37"/>
      <c r="M180" s="37"/>
      <c r="N180" s="37"/>
      <c r="O180" s="37"/>
      <c r="P180" s="37"/>
      <c r="Q180" s="37"/>
      <c r="R180" s="37"/>
      <c r="S180" s="37"/>
      <c r="T180" s="37"/>
      <c r="U180" s="37"/>
      <c r="V180" s="37"/>
      <c r="W180" s="37"/>
      <c r="X180" s="37"/>
      <c r="Y180" s="116"/>
      <c r="Z180" s="116"/>
      <c r="AA180" s="116"/>
      <c r="AB180" s="116"/>
      <c r="AU180" s="185"/>
      <c r="AV180" s="185"/>
      <c r="AW180" s="185"/>
      <c r="AX180" s="185"/>
      <c r="AY180" s="185"/>
      <c r="AZ180" s="185"/>
      <c r="BA180" s="185"/>
      <c r="BB180" s="185"/>
      <c r="BC180" s="185"/>
      <c r="BD180" s="185"/>
      <c r="BE180" s="185"/>
      <c r="BF180" s="185"/>
      <c r="BG180" s="185"/>
      <c r="BH180" s="185"/>
      <c r="BI180" s="185"/>
      <c r="BJ180" s="185"/>
      <c r="BK180" s="185"/>
      <c r="BL180" s="185"/>
      <c r="BM180" s="185"/>
      <c r="BN180" s="185"/>
      <c r="BO180" s="185"/>
      <c r="BP180" s="185"/>
      <c r="BQ180" s="185"/>
      <c r="BR180" s="185"/>
      <c r="BS180" s="185"/>
      <c r="BT180" s="185"/>
      <c r="BU180" s="185"/>
      <c r="BV180" s="185"/>
      <c r="BW180" s="185"/>
      <c r="BX180" s="185"/>
      <c r="BY180" s="185"/>
      <c r="BZ180" s="185"/>
      <c r="CA180" s="185"/>
      <c r="CB180" s="185"/>
      <c r="CC180" s="185"/>
      <c r="CD180" s="185"/>
      <c r="CE180" s="185"/>
      <c r="CF180" s="185"/>
      <c r="CG180" s="185"/>
      <c r="CH180" s="185"/>
      <c r="CI180" s="185"/>
      <c r="CJ180" s="185"/>
      <c r="CK180" s="185"/>
      <c r="CL180" s="185"/>
      <c r="CM180" s="185"/>
      <c r="CN180" s="185"/>
      <c r="CO180" s="185"/>
      <c r="CP180" s="185"/>
      <c r="CQ180" s="185"/>
      <c r="CR180" s="185"/>
      <c r="CS180" s="185"/>
    </row>
    <row r="181" spans="7:97" s="57" customFormat="1" x14ac:dyDescent="0.2">
      <c r="G181" s="116"/>
      <c r="H181" s="37"/>
      <c r="I181" s="37"/>
      <c r="J181" s="37"/>
      <c r="K181" s="37"/>
      <c r="L181" s="37"/>
      <c r="M181" s="37"/>
      <c r="N181" s="37"/>
      <c r="O181" s="37"/>
      <c r="P181" s="37"/>
      <c r="Q181" s="37"/>
      <c r="R181" s="37"/>
      <c r="S181" s="37"/>
      <c r="T181" s="37"/>
      <c r="U181" s="37"/>
      <c r="V181" s="37"/>
      <c r="W181" s="37"/>
      <c r="X181" s="37"/>
      <c r="Y181" s="116"/>
      <c r="Z181" s="116"/>
      <c r="AA181" s="116"/>
      <c r="AB181" s="116"/>
      <c r="AU181" s="185"/>
      <c r="AV181" s="185"/>
      <c r="AW181" s="185"/>
      <c r="AX181" s="185"/>
      <c r="AY181" s="185"/>
      <c r="AZ181" s="185"/>
      <c r="BA181" s="185"/>
      <c r="BB181" s="185"/>
      <c r="BC181" s="185"/>
      <c r="BD181" s="185"/>
      <c r="BE181" s="185"/>
      <c r="BF181" s="185"/>
      <c r="BG181" s="185"/>
      <c r="BH181" s="185"/>
      <c r="BI181" s="185"/>
      <c r="BJ181" s="185"/>
      <c r="BK181" s="185"/>
      <c r="BL181" s="185"/>
      <c r="BM181" s="185"/>
      <c r="BN181" s="185"/>
      <c r="BO181" s="185"/>
      <c r="BP181" s="185"/>
      <c r="BQ181" s="185"/>
      <c r="BR181" s="185"/>
      <c r="BS181" s="185"/>
      <c r="BT181" s="185"/>
      <c r="BU181" s="185"/>
      <c r="BV181" s="185"/>
      <c r="BW181" s="185"/>
      <c r="BX181" s="185"/>
      <c r="BY181" s="185"/>
      <c r="BZ181" s="185"/>
      <c r="CA181" s="185"/>
      <c r="CB181" s="185"/>
      <c r="CC181" s="185"/>
      <c r="CD181" s="185"/>
      <c r="CE181" s="185"/>
      <c r="CF181" s="185"/>
      <c r="CG181" s="185"/>
      <c r="CH181" s="185"/>
      <c r="CI181" s="185"/>
      <c r="CJ181" s="185"/>
      <c r="CK181" s="185"/>
      <c r="CL181" s="185"/>
      <c r="CM181" s="185"/>
      <c r="CN181" s="185"/>
      <c r="CO181" s="185"/>
      <c r="CP181" s="185"/>
      <c r="CQ181" s="185"/>
      <c r="CR181" s="185"/>
      <c r="CS181" s="185"/>
    </row>
    <row r="182" spans="7:97" s="57" customFormat="1" x14ac:dyDescent="0.2">
      <c r="G182" s="116"/>
      <c r="H182" s="37"/>
      <c r="I182" s="37"/>
      <c r="J182" s="37"/>
      <c r="K182" s="37"/>
      <c r="L182" s="37"/>
      <c r="M182" s="37"/>
      <c r="N182" s="37"/>
      <c r="O182" s="37"/>
      <c r="P182" s="37"/>
      <c r="Q182" s="37"/>
      <c r="R182" s="37"/>
      <c r="S182" s="37"/>
      <c r="T182" s="37"/>
      <c r="U182" s="37"/>
      <c r="V182" s="37"/>
      <c r="W182" s="37"/>
      <c r="X182" s="37"/>
      <c r="Y182" s="116"/>
      <c r="Z182" s="116"/>
      <c r="AA182" s="116"/>
      <c r="AB182" s="116"/>
      <c r="AU182" s="185"/>
      <c r="AV182" s="185"/>
      <c r="AW182" s="185"/>
      <c r="AX182" s="185"/>
      <c r="AY182" s="185"/>
      <c r="AZ182" s="185"/>
      <c r="BA182" s="185"/>
      <c r="BB182" s="185"/>
      <c r="BC182" s="185"/>
      <c r="BD182" s="185"/>
      <c r="BE182" s="185"/>
      <c r="BF182" s="185"/>
      <c r="BG182" s="185"/>
      <c r="BH182" s="185"/>
      <c r="BI182" s="185"/>
      <c r="BJ182" s="185"/>
      <c r="BK182" s="185"/>
      <c r="BL182" s="185"/>
      <c r="BM182" s="185"/>
      <c r="BN182" s="185"/>
      <c r="BO182" s="185"/>
      <c r="BP182" s="185"/>
      <c r="BQ182" s="185"/>
      <c r="BR182" s="185"/>
      <c r="BS182" s="185"/>
      <c r="BT182" s="185"/>
      <c r="BU182" s="185"/>
      <c r="BV182" s="185"/>
      <c r="BW182" s="185"/>
      <c r="BX182" s="185"/>
      <c r="BY182" s="185"/>
      <c r="BZ182" s="185"/>
      <c r="CA182" s="185"/>
      <c r="CB182" s="185"/>
      <c r="CC182" s="185"/>
      <c r="CD182" s="185"/>
      <c r="CE182" s="185"/>
      <c r="CF182" s="185"/>
      <c r="CG182" s="185"/>
      <c r="CH182" s="185"/>
      <c r="CI182" s="185"/>
      <c r="CJ182" s="185"/>
      <c r="CK182" s="185"/>
      <c r="CL182" s="185"/>
      <c r="CM182" s="185"/>
      <c r="CN182" s="185"/>
      <c r="CO182" s="185"/>
      <c r="CP182" s="185"/>
      <c r="CQ182" s="185"/>
      <c r="CR182" s="185"/>
      <c r="CS182" s="185"/>
    </row>
    <row r="183" spans="7:97" s="57" customFormat="1" x14ac:dyDescent="0.2">
      <c r="G183" s="116"/>
      <c r="H183" s="37"/>
      <c r="I183" s="37"/>
      <c r="J183" s="37"/>
      <c r="K183" s="37"/>
      <c r="L183" s="37"/>
      <c r="M183" s="37"/>
      <c r="N183" s="37"/>
      <c r="O183" s="37"/>
      <c r="P183" s="37"/>
      <c r="Q183" s="37"/>
      <c r="R183" s="37"/>
      <c r="S183" s="37"/>
      <c r="T183" s="37"/>
      <c r="U183" s="37"/>
      <c r="V183" s="37"/>
      <c r="W183" s="37"/>
      <c r="X183" s="37"/>
      <c r="Y183" s="116"/>
      <c r="Z183" s="116"/>
      <c r="AA183" s="116"/>
      <c r="AB183" s="116"/>
      <c r="AU183" s="185"/>
      <c r="AV183" s="185"/>
      <c r="AW183" s="185"/>
      <c r="AX183" s="185"/>
      <c r="AY183" s="185"/>
      <c r="AZ183" s="185"/>
      <c r="BA183" s="185"/>
      <c r="BB183" s="185"/>
      <c r="BC183" s="185"/>
      <c r="BD183" s="185"/>
      <c r="BE183" s="185"/>
      <c r="BF183" s="185"/>
      <c r="BG183" s="185"/>
      <c r="BH183" s="185"/>
      <c r="BI183" s="185"/>
      <c r="BJ183" s="185"/>
      <c r="BK183" s="185"/>
      <c r="BL183" s="185"/>
      <c r="BM183" s="185"/>
      <c r="BN183" s="185"/>
      <c r="BO183" s="185"/>
      <c r="BP183" s="185"/>
      <c r="BQ183" s="185"/>
      <c r="BR183" s="185"/>
      <c r="BS183" s="185"/>
      <c r="BT183" s="185"/>
      <c r="BU183" s="185"/>
      <c r="BV183" s="185"/>
      <c r="BW183" s="185"/>
      <c r="BX183" s="185"/>
      <c r="BY183" s="185"/>
      <c r="BZ183" s="185"/>
      <c r="CA183" s="185"/>
      <c r="CB183" s="185"/>
      <c r="CC183" s="185"/>
      <c r="CD183" s="185"/>
      <c r="CE183" s="185"/>
      <c r="CF183" s="185"/>
      <c r="CG183" s="185"/>
      <c r="CH183" s="185"/>
      <c r="CI183" s="185"/>
      <c r="CJ183" s="185"/>
      <c r="CK183" s="185"/>
      <c r="CL183" s="185"/>
      <c r="CM183" s="185"/>
      <c r="CN183" s="185"/>
      <c r="CO183" s="185"/>
      <c r="CP183" s="185"/>
      <c r="CQ183" s="185"/>
      <c r="CR183" s="185"/>
      <c r="CS183" s="185"/>
    </row>
    <row r="184" spans="7:97" s="57" customFormat="1" x14ac:dyDescent="0.2">
      <c r="G184" s="116"/>
      <c r="H184" s="37"/>
      <c r="I184" s="37"/>
      <c r="J184" s="37"/>
      <c r="K184" s="37"/>
      <c r="L184" s="37"/>
      <c r="M184" s="37"/>
      <c r="N184" s="37"/>
      <c r="O184" s="37"/>
      <c r="P184" s="37"/>
      <c r="Q184" s="37"/>
      <c r="R184" s="37"/>
      <c r="S184" s="37"/>
      <c r="T184" s="37"/>
      <c r="U184" s="37"/>
      <c r="V184" s="37"/>
      <c r="W184" s="37"/>
      <c r="X184" s="37"/>
      <c r="Y184" s="116"/>
      <c r="Z184" s="116"/>
      <c r="AA184" s="116"/>
      <c r="AB184" s="116"/>
      <c r="AU184" s="185"/>
      <c r="AV184" s="185"/>
      <c r="AW184" s="185"/>
      <c r="AX184" s="185"/>
      <c r="AY184" s="185"/>
      <c r="AZ184" s="185"/>
      <c r="BA184" s="185"/>
      <c r="BB184" s="185"/>
      <c r="BC184" s="185"/>
      <c r="BD184" s="185"/>
      <c r="BE184" s="185"/>
      <c r="BF184" s="185"/>
      <c r="BG184" s="185"/>
      <c r="BH184" s="185"/>
      <c r="BI184" s="185"/>
      <c r="BJ184" s="185"/>
      <c r="BK184" s="185"/>
      <c r="BL184" s="185"/>
      <c r="BM184" s="185"/>
      <c r="BN184" s="185"/>
      <c r="BO184" s="185"/>
      <c r="BP184" s="185"/>
      <c r="BQ184" s="185"/>
      <c r="BR184" s="185"/>
      <c r="BS184" s="185"/>
      <c r="BT184" s="185"/>
      <c r="BU184" s="185"/>
      <c r="BV184" s="185"/>
      <c r="BW184" s="185"/>
      <c r="BX184" s="185"/>
      <c r="BY184" s="185"/>
      <c r="BZ184" s="185"/>
      <c r="CA184" s="185"/>
      <c r="CB184" s="185"/>
      <c r="CC184" s="185"/>
      <c r="CD184" s="185"/>
      <c r="CE184" s="185"/>
      <c r="CF184" s="185"/>
      <c r="CG184" s="185"/>
      <c r="CH184" s="185"/>
      <c r="CI184" s="185"/>
      <c r="CJ184" s="185"/>
      <c r="CK184" s="185"/>
      <c r="CL184" s="185"/>
      <c r="CM184" s="185"/>
      <c r="CN184" s="185"/>
      <c r="CO184" s="185"/>
      <c r="CP184" s="185"/>
      <c r="CQ184" s="185"/>
      <c r="CR184" s="185"/>
      <c r="CS184" s="185"/>
    </row>
    <row r="185" spans="7:97" s="57" customFormat="1" x14ac:dyDescent="0.2">
      <c r="G185" s="116"/>
      <c r="H185" s="37"/>
      <c r="I185" s="37"/>
      <c r="J185" s="37"/>
      <c r="K185" s="37"/>
      <c r="L185" s="37"/>
      <c r="M185" s="37"/>
      <c r="N185" s="37"/>
      <c r="O185" s="37"/>
      <c r="P185" s="37"/>
      <c r="Q185" s="37"/>
      <c r="R185" s="37"/>
      <c r="S185" s="37"/>
      <c r="T185" s="37"/>
      <c r="U185" s="37"/>
      <c r="V185" s="37"/>
      <c r="W185" s="37"/>
      <c r="X185" s="37"/>
      <c r="Y185" s="116"/>
      <c r="Z185" s="116"/>
      <c r="AA185" s="116"/>
      <c r="AB185" s="116"/>
      <c r="AU185" s="185"/>
      <c r="AV185" s="185"/>
      <c r="AW185" s="185"/>
      <c r="AX185" s="185"/>
      <c r="AY185" s="185"/>
      <c r="AZ185" s="185"/>
      <c r="BA185" s="185"/>
      <c r="BB185" s="185"/>
      <c r="BC185" s="185"/>
      <c r="BD185" s="185"/>
      <c r="BE185" s="185"/>
      <c r="BF185" s="185"/>
      <c r="BG185" s="185"/>
      <c r="BH185" s="185"/>
      <c r="BI185" s="185"/>
      <c r="BJ185" s="185"/>
      <c r="BK185" s="185"/>
      <c r="BL185" s="185"/>
      <c r="BM185" s="185"/>
      <c r="BN185" s="185"/>
      <c r="BO185" s="185"/>
      <c r="BP185" s="185"/>
      <c r="BQ185" s="185"/>
      <c r="BR185" s="185"/>
      <c r="BS185" s="185"/>
      <c r="BT185" s="185"/>
      <c r="BU185" s="185"/>
      <c r="BV185" s="185"/>
      <c r="BW185" s="185"/>
      <c r="BX185" s="185"/>
      <c r="BY185" s="185"/>
      <c r="BZ185" s="185"/>
      <c r="CA185" s="185"/>
      <c r="CB185" s="185"/>
      <c r="CC185" s="185"/>
      <c r="CD185" s="185"/>
      <c r="CE185" s="185"/>
      <c r="CF185" s="185"/>
      <c r="CG185" s="185"/>
      <c r="CH185" s="185"/>
      <c r="CI185" s="185"/>
      <c r="CJ185" s="185"/>
      <c r="CK185" s="185"/>
      <c r="CL185" s="185"/>
      <c r="CM185" s="185"/>
      <c r="CN185" s="185"/>
      <c r="CO185" s="185"/>
      <c r="CP185" s="185"/>
      <c r="CQ185" s="185"/>
      <c r="CR185" s="185"/>
      <c r="CS185" s="185"/>
    </row>
    <row r="186" spans="7:97" s="57" customFormat="1" x14ac:dyDescent="0.2">
      <c r="G186" s="116"/>
      <c r="H186" s="37"/>
      <c r="I186" s="37"/>
      <c r="J186" s="37"/>
      <c r="K186" s="37"/>
      <c r="L186" s="37"/>
      <c r="M186" s="37"/>
      <c r="N186" s="37"/>
      <c r="O186" s="37"/>
      <c r="P186" s="37"/>
      <c r="Q186" s="37"/>
      <c r="R186" s="37"/>
      <c r="S186" s="37"/>
      <c r="T186" s="37"/>
      <c r="U186" s="37"/>
      <c r="V186" s="37"/>
      <c r="W186" s="37"/>
      <c r="X186" s="37"/>
      <c r="Y186" s="116"/>
      <c r="Z186" s="116"/>
      <c r="AA186" s="116"/>
      <c r="AB186" s="116"/>
      <c r="AU186" s="185"/>
      <c r="AV186" s="185"/>
      <c r="AW186" s="185"/>
      <c r="AX186" s="185"/>
      <c r="AY186" s="185"/>
      <c r="AZ186" s="185"/>
      <c r="BA186" s="185"/>
      <c r="BB186" s="185"/>
      <c r="BC186" s="185"/>
      <c r="BD186" s="185"/>
      <c r="BE186" s="185"/>
      <c r="BF186" s="185"/>
      <c r="BG186" s="185"/>
      <c r="BH186" s="185"/>
      <c r="BI186" s="185"/>
      <c r="BJ186" s="185"/>
      <c r="BK186" s="185"/>
      <c r="BL186" s="185"/>
      <c r="BM186" s="185"/>
      <c r="BN186" s="185"/>
      <c r="BO186" s="185"/>
      <c r="BP186" s="185"/>
      <c r="BQ186" s="185"/>
      <c r="BR186" s="185"/>
      <c r="BS186" s="185"/>
      <c r="BT186" s="185"/>
      <c r="BU186" s="185"/>
      <c r="BV186" s="185"/>
      <c r="BW186" s="185"/>
      <c r="BX186" s="185"/>
      <c r="BY186" s="185"/>
      <c r="BZ186" s="185"/>
      <c r="CA186" s="185"/>
      <c r="CB186" s="185"/>
      <c r="CC186" s="185"/>
      <c r="CD186" s="185"/>
      <c r="CE186" s="185"/>
      <c r="CF186" s="185"/>
      <c r="CG186" s="185"/>
      <c r="CH186" s="185"/>
      <c r="CI186" s="185"/>
      <c r="CJ186" s="185"/>
      <c r="CK186" s="185"/>
      <c r="CL186" s="185"/>
      <c r="CM186" s="185"/>
      <c r="CN186" s="185"/>
      <c r="CO186" s="185"/>
      <c r="CP186" s="185"/>
      <c r="CQ186" s="185"/>
      <c r="CR186" s="185"/>
      <c r="CS186" s="185"/>
    </row>
    <row r="187" spans="7:97" s="57" customFormat="1" x14ac:dyDescent="0.2">
      <c r="G187" s="116"/>
      <c r="H187" s="37"/>
      <c r="I187" s="37"/>
      <c r="J187" s="37"/>
      <c r="K187" s="37"/>
      <c r="L187" s="37"/>
      <c r="M187" s="37"/>
      <c r="N187" s="37"/>
      <c r="O187" s="37"/>
      <c r="P187" s="37"/>
      <c r="Q187" s="37"/>
      <c r="R187" s="37"/>
      <c r="S187" s="37"/>
      <c r="T187" s="37"/>
      <c r="U187" s="37"/>
      <c r="V187" s="37"/>
      <c r="W187" s="37"/>
      <c r="X187" s="37"/>
      <c r="Y187" s="116"/>
      <c r="Z187" s="116"/>
      <c r="AA187" s="116"/>
      <c r="AB187" s="116"/>
      <c r="AU187" s="185"/>
      <c r="AV187" s="185"/>
      <c r="AW187" s="185"/>
      <c r="AX187" s="185"/>
      <c r="AY187" s="185"/>
      <c r="AZ187" s="185"/>
      <c r="BA187" s="185"/>
      <c r="BB187" s="185"/>
      <c r="BC187" s="185"/>
      <c r="BD187" s="185"/>
      <c r="BE187" s="185"/>
      <c r="BF187" s="185"/>
      <c r="BG187" s="185"/>
      <c r="BH187" s="185"/>
      <c r="BI187" s="185"/>
      <c r="BJ187" s="185"/>
      <c r="BK187" s="185"/>
      <c r="BL187" s="185"/>
      <c r="BM187" s="185"/>
      <c r="BN187" s="185"/>
      <c r="BO187" s="185"/>
      <c r="BP187" s="185"/>
      <c r="BQ187" s="185"/>
      <c r="BR187" s="185"/>
      <c r="BS187" s="185"/>
      <c r="BT187" s="185"/>
      <c r="BU187" s="185"/>
      <c r="BV187" s="185"/>
      <c r="BW187" s="185"/>
      <c r="BX187" s="185"/>
      <c r="BY187" s="185"/>
      <c r="BZ187" s="185"/>
      <c r="CA187" s="185"/>
      <c r="CB187" s="185"/>
      <c r="CC187" s="185"/>
      <c r="CD187" s="185"/>
      <c r="CE187" s="185"/>
      <c r="CF187" s="185"/>
      <c r="CG187" s="185"/>
      <c r="CH187" s="185"/>
      <c r="CI187" s="185"/>
      <c r="CJ187" s="185"/>
      <c r="CK187" s="185"/>
      <c r="CL187" s="185"/>
      <c r="CM187" s="185"/>
      <c r="CN187" s="185"/>
      <c r="CO187" s="185"/>
      <c r="CP187" s="185"/>
      <c r="CQ187" s="185"/>
      <c r="CR187" s="185"/>
      <c r="CS187" s="185"/>
    </row>
    <row r="188" spans="7:97" s="57" customFormat="1" x14ac:dyDescent="0.2">
      <c r="G188" s="116"/>
      <c r="H188" s="37"/>
      <c r="I188" s="37"/>
      <c r="J188" s="37"/>
      <c r="K188" s="37"/>
      <c r="L188" s="37"/>
      <c r="M188" s="37"/>
      <c r="N188" s="37"/>
      <c r="O188" s="37"/>
      <c r="P188" s="37"/>
      <c r="Q188" s="37"/>
      <c r="R188" s="37"/>
      <c r="S188" s="37"/>
      <c r="T188" s="37"/>
      <c r="U188" s="37"/>
      <c r="V188" s="37"/>
      <c r="W188" s="37"/>
      <c r="X188" s="37"/>
      <c r="Y188" s="116"/>
      <c r="Z188" s="116"/>
      <c r="AA188" s="116"/>
      <c r="AB188" s="116"/>
      <c r="AU188" s="185"/>
      <c r="AV188" s="185"/>
      <c r="AW188" s="185"/>
      <c r="AX188" s="185"/>
      <c r="AY188" s="185"/>
      <c r="AZ188" s="185"/>
      <c r="BA188" s="185"/>
      <c r="BB188" s="185"/>
      <c r="BC188" s="185"/>
      <c r="BD188" s="185"/>
      <c r="BE188" s="185"/>
      <c r="BF188" s="185"/>
      <c r="BG188" s="185"/>
      <c r="BH188" s="185"/>
      <c r="BI188" s="185"/>
      <c r="BJ188" s="185"/>
      <c r="BK188" s="185"/>
      <c r="BL188" s="185"/>
      <c r="BM188" s="185"/>
      <c r="BN188" s="185"/>
      <c r="BO188" s="185"/>
      <c r="BP188" s="185"/>
      <c r="BQ188" s="185"/>
      <c r="BR188" s="185"/>
      <c r="BS188" s="185"/>
      <c r="BT188" s="185"/>
      <c r="BU188" s="185"/>
      <c r="BV188" s="185"/>
      <c r="BW188" s="185"/>
      <c r="BX188" s="185"/>
      <c r="BY188" s="185"/>
      <c r="BZ188" s="185"/>
      <c r="CA188" s="185"/>
      <c r="CB188" s="185"/>
      <c r="CC188" s="185"/>
      <c r="CD188" s="185"/>
      <c r="CE188" s="185"/>
      <c r="CF188" s="185"/>
      <c r="CG188" s="185"/>
      <c r="CH188" s="185"/>
      <c r="CI188" s="185"/>
      <c r="CJ188" s="185"/>
      <c r="CK188" s="185"/>
      <c r="CL188" s="185"/>
      <c r="CM188" s="185"/>
      <c r="CN188" s="185"/>
      <c r="CO188" s="185"/>
      <c r="CP188" s="185"/>
      <c r="CQ188" s="185"/>
      <c r="CR188" s="185"/>
      <c r="CS188" s="185"/>
    </row>
    <row r="189" spans="7:97" s="57" customFormat="1" x14ac:dyDescent="0.2">
      <c r="G189" s="116"/>
      <c r="H189" s="37"/>
      <c r="I189" s="37"/>
      <c r="J189" s="37"/>
      <c r="K189" s="37"/>
      <c r="L189" s="37"/>
      <c r="M189" s="37"/>
      <c r="N189" s="37"/>
      <c r="O189" s="37"/>
      <c r="P189" s="37"/>
      <c r="Q189" s="37"/>
      <c r="R189" s="37"/>
      <c r="S189" s="37"/>
      <c r="T189" s="37"/>
      <c r="U189" s="37"/>
      <c r="V189" s="37"/>
      <c r="W189" s="37"/>
      <c r="X189" s="37"/>
      <c r="Y189" s="116"/>
      <c r="Z189" s="116"/>
      <c r="AA189" s="116"/>
      <c r="AB189" s="116"/>
      <c r="AU189" s="185"/>
      <c r="AV189" s="185"/>
      <c r="AW189" s="185"/>
      <c r="AX189" s="185"/>
      <c r="AY189" s="185"/>
      <c r="AZ189" s="185"/>
      <c r="BA189" s="185"/>
      <c r="BB189" s="185"/>
      <c r="BC189" s="185"/>
      <c r="BD189" s="185"/>
      <c r="BE189" s="185"/>
      <c r="BF189" s="185"/>
      <c r="BG189" s="185"/>
      <c r="BH189" s="185"/>
      <c r="BI189" s="185"/>
      <c r="BJ189" s="185"/>
      <c r="BK189" s="185"/>
      <c r="BL189" s="185"/>
      <c r="BM189" s="185"/>
      <c r="BN189" s="185"/>
      <c r="BO189" s="185"/>
      <c r="BP189" s="185"/>
      <c r="BQ189" s="185"/>
      <c r="BR189" s="185"/>
      <c r="BS189" s="185"/>
      <c r="BT189" s="185"/>
      <c r="BU189" s="185"/>
      <c r="BV189" s="185"/>
      <c r="BW189" s="185"/>
      <c r="BX189" s="185"/>
      <c r="BY189" s="185"/>
      <c r="BZ189" s="185"/>
      <c r="CA189" s="185"/>
      <c r="CB189" s="185"/>
      <c r="CC189" s="185"/>
      <c r="CD189" s="185"/>
      <c r="CE189" s="185"/>
      <c r="CF189" s="185"/>
      <c r="CG189" s="185"/>
      <c r="CH189" s="185"/>
      <c r="CI189" s="185"/>
      <c r="CJ189" s="185"/>
      <c r="CK189" s="185"/>
      <c r="CL189" s="185"/>
      <c r="CM189" s="185"/>
      <c r="CN189" s="185"/>
      <c r="CO189" s="185"/>
      <c r="CP189" s="185"/>
      <c r="CQ189" s="185"/>
      <c r="CR189" s="185"/>
      <c r="CS189" s="185"/>
    </row>
    <row r="190" spans="7:97" s="57" customFormat="1" x14ac:dyDescent="0.2">
      <c r="G190" s="116"/>
      <c r="H190" s="37"/>
      <c r="I190" s="37"/>
      <c r="J190" s="37"/>
      <c r="K190" s="37"/>
      <c r="L190" s="37"/>
      <c r="M190" s="37"/>
      <c r="N190" s="37"/>
      <c r="O190" s="37"/>
      <c r="P190" s="37"/>
      <c r="Q190" s="37"/>
      <c r="R190" s="37"/>
      <c r="S190" s="37"/>
      <c r="T190" s="37"/>
      <c r="U190" s="37"/>
      <c r="V190" s="37"/>
      <c r="W190" s="37"/>
      <c r="X190" s="37"/>
      <c r="Y190" s="116"/>
      <c r="Z190" s="116"/>
      <c r="AA190" s="116"/>
      <c r="AB190" s="116"/>
      <c r="AU190" s="185"/>
      <c r="AV190" s="185"/>
      <c r="AW190" s="185"/>
      <c r="AX190" s="185"/>
      <c r="AY190" s="185"/>
      <c r="AZ190" s="185"/>
      <c r="BA190" s="185"/>
      <c r="BB190" s="185"/>
      <c r="BC190" s="185"/>
      <c r="BD190" s="185"/>
      <c r="BE190" s="185"/>
      <c r="BF190" s="185"/>
      <c r="BG190" s="185"/>
      <c r="BH190" s="185"/>
      <c r="BI190" s="185"/>
      <c r="BJ190" s="185"/>
      <c r="BK190" s="185"/>
      <c r="BL190" s="185"/>
      <c r="BM190" s="185"/>
      <c r="BN190" s="185"/>
      <c r="BO190" s="185"/>
      <c r="BP190" s="185"/>
      <c r="BQ190" s="185"/>
      <c r="BR190" s="185"/>
      <c r="BS190" s="185"/>
      <c r="BT190" s="185"/>
      <c r="BU190" s="185"/>
      <c r="BV190" s="185"/>
      <c r="BW190" s="185"/>
      <c r="BX190" s="185"/>
      <c r="BY190" s="185"/>
      <c r="BZ190" s="185"/>
      <c r="CA190" s="185"/>
      <c r="CB190" s="185"/>
      <c r="CC190" s="185"/>
      <c r="CD190" s="185"/>
      <c r="CE190" s="185"/>
      <c r="CF190" s="185"/>
      <c r="CG190" s="185"/>
      <c r="CH190" s="185"/>
      <c r="CI190" s="185"/>
      <c r="CJ190" s="185"/>
      <c r="CK190" s="185"/>
      <c r="CL190" s="185"/>
      <c r="CM190" s="185"/>
      <c r="CN190" s="185"/>
      <c r="CO190" s="185"/>
      <c r="CP190" s="185"/>
      <c r="CQ190" s="185"/>
      <c r="CR190" s="185"/>
      <c r="CS190" s="185"/>
    </row>
    <row r="191" spans="7:97" s="57" customFormat="1" x14ac:dyDescent="0.2">
      <c r="G191" s="116"/>
      <c r="H191" s="37"/>
      <c r="I191" s="37"/>
      <c r="J191" s="37"/>
      <c r="K191" s="37"/>
      <c r="L191" s="37"/>
      <c r="M191" s="37"/>
      <c r="N191" s="37"/>
      <c r="O191" s="37"/>
      <c r="P191" s="37"/>
      <c r="Q191" s="37"/>
      <c r="R191" s="37"/>
      <c r="S191" s="37"/>
      <c r="T191" s="37"/>
      <c r="U191" s="37"/>
      <c r="V191" s="37"/>
      <c r="W191" s="37"/>
      <c r="X191" s="37"/>
      <c r="Y191" s="116"/>
      <c r="Z191" s="116"/>
      <c r="AA191" s="116"/>
      <c r="AB191" s="116"/>
      <c r="AU191" s="185"/>
      <c r="AV191" s="185"/>
      <c r="AW191" s="185"/>
      <c r="AX191" s="185"/>
      <c r="AY191" s="185"/>
      <c r="AZ191" s="185"/>
      <c r="BA191" s="185"/>
      <c r="BB191" s="185"/>
      <c r="BC191" s="185"/>
      <c r="BD191" s="185"/>
      <c r="BE191" s="185"/>
      <c r="BF191" s="185"/>
      <c r="BG191" s="185"/>
      <c r="BH191" s="185"/>
      <c r="BI191" s="185"/>
      <c r="BJ191" s="185"/>
      <c r="BK191" s="185"/>
      <c r="BL191" s="185"/>
      <c r="BM191" s="185"/>
      <c r="BN191" s="185"/>
      <c r="BO191" s="185"/>
      <c r="BP191" s="185"/>
      <c r="BQ191" s="185"/>
      <c r="BR191" s="185"/>
      <c r="BS191" s="185"/>
      <c r="BT191" s="185"/>
      <c r="BU191" s="185"/>
      <c r="BV191" s="185"/>
      <c r="BW191" s="185"/>
      <c r="BX191" s="185"/>
      <c r="BY191" s="185"/>
      <c r="BZ191" s="185"/>
      <c r="CA191" s="185"/>
      <c r="CB191" s="185"/>
      <c r="CC191" s="185"/>
      <c r="CD191" s="185"/>
      <c r="CE191" s="185"/>
      <c r="CF191" s="185"/>
      <c r="CG191" s="185"/>
      <c r="CH191" s="185"/>
      <c r="CI191" s="185"/>
      <c r="CJ191" s="185"/>
      <c r="CK191" s="185"/>
      <c r="CL191" s="185"/>
      <c r="CM191" s="185"/>
      <c r="CN191" s="185"/>
      <c r="CO191" s="185"/>
      <c r="CP191" s="185"/>
      <c r="CQ191" s="185"/>
      <c r="CR191" s="185"/>
      <c r="CS191" s="185"/>
    </row>
    <row r="192" spans="7:97" s="57" customFormat="1" x14ac:dyDescent="0.2">
      <c r="G192" s="116"/>
      <c r="H192" s="37"/>
      <c r="I192" s="37"/>
      <c r="J192" s="37"/>
      <c r="K192" s="37"/>
      <c r="L192" s="37"/>
      <c r="M192" s="37"/>
      <c r="N192" s="37"/>
      <c r="O192" s="37"/>
      <c r="P192" s="37"/>
      <c r="Q192" s="37"/>
      <c r="R192" s="37"/>
      <c r="S192" s="37"/>
      <c r="T192" s="37"/>
      <c r="U192" s="37"/>
      <c r="V192" s="37"/>
      <c r="W192" s="37"/>
      <c r="X192" s="37"/>
      <c r="Y192" s="116"/>
      <c r="Z192" s="116"/>
      <c r="AA192" s="116"/>
      <c r="AB192" s="116"/>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5"/>
      <c r="BS192" s="185"/>
      <c r="BT192" s="185"/>
      <c r="BU192" s="185"/>
      <c r="BV192" s="185"/>
      <c r="BW192" s="185"/>
      <c r="BX192" s="185"/>
      <c r="BY192" s="185"/>
      <c r="BZ192" s="185"/>
      <c r="CA192" s="185"/>
      <c r="CB192" s="185"/>
      <c r="CC192" s="185"/>
      <c r="CD192" s="185"/>
      <c r="CE192" s="185"/>
      <c r="CF192" s="185"/>
      <c r="CG192" s="185"/>
      <c r="CH192" s="185"/>
      <c r="CI192" s="185"/>
      <c r="CJ192" s="185"/>
      <c r="CK192" s="185"/>
      <c r="CL192" s="185"/>
      <c r="CM192" s="185"/>
      <c r="CN192" s="185"/>
      <c r="CO192" s="185"/>
      <c r="CP192" s="185"/>
      <c r="CQ192" s="185"/>
      <c r="CR192" s="185"/>
      <c r="CS192" s="185"/>
    </row>
    <row r="193" spans="7:97" s="57" customFormat="1" x14ac:dyDescent="0.2">
      <c r="G193" s="116"/>
      <c r="H193" s="37"/>
      <c r="I193" s="37"/>
      <c r="J193" s="37"/>
      <c r="K193" s="37"/>
      <c r="L193" s="37"/>
      <c r="M193" s="37"/>
      <c r="N193" s="37"/>
      <c r="O193" s="37"/>
      <c r="P193" s="37"/>
      <c r="Q193" s="37"/>
      <c r="R193" s="37"/>
      <c r="S193" s="37"/>
      <c r="T193" s="37"/>
      <c r="U193" s="37"/>
      <c r="V193" s="37"/>
      <c r="W193" s="37"/>
      <c r="X193" s="37"/>
      <c r="Y193" s="116"/>
      <c r="Z193" s="116"/>
      <c r="AA193" s="116"/>
      <c r="AB193" s="116"/>
      <c r="AU193" s="185"/>
      <c r="AV193" s="185"/>
      <c r="AW193" s="185"/>
      <c r="AX193" s="185"/>
      <c r="AY193" s="185"/>
      <c r="AZ193" s="185"/>
      <c r="BA193" s="185"/>
      <c r="BB193" s="185"/>
      <c r="BC193" s="185"/>
      <c r="BD193" s="185"/>
      <c r="BE193" s="185"/>
      <c r="BF193" s="185"/>
      <c r="BG193" s="185"/>
      <c r="BH193" s="185"/>
      <c r="BI193" s="185"/>
      <c r="BJ193" s="185"/>
      <c r="BK193" s="185"/>
      <c r="BL193" s="185"/>
      <c r="BM193" s="185"/>
      <c r="BN193" s="185"/>
      <c r="BO193" s="185"/>
      <c r="BP193" s="185"/>
      <c r="BQ193" s="185"/>
      <c r="BR193" s="185"/>
      <c r="BS193" s="185"/>
      <c r="BT193" s="185"/>
      <c r="BU193" s="185"/>
      <c r="BV193" s="185"/>
      <c r="BW193" s="185"/>
      <c r="BX193" s="185"/>
      <c r="BY193" s="185"/>
      <c r="BZ193" s="185"/>
      <c r="CA193" s="185"/>
      <c r="CB193" s="185"/>
      <c r="CC193" s="185"/>
      <c r="CD193" s="185"/>
      <c r="CE193" s="185"/>
      <c r="CF193" s="185"/>
      <c r="CG193" s="185"/>
      <c r="CH193" s="185"/>
      <c r="CI193" s="185"/>
      <c r="CJ193" s="185"/>
      <c r="CK193" s="185"/>
      <c r="CL193" s="185"/>
      <c r="CM193" s="185"/>
      <c r="CN193" s="185"/>
      <c r="CO193" s="185"/>
      <c r="CP193" s="185"/>
      <c r="CQ193" s="185"/>
      <c r="CR193" s="185"/>
      <c r="CS193" s="185"/>
    </row>
    <row r="194" spans="7:97" s="57" customFormat="1" x14ac:dyDescent="0.2">
      <c r="G194" s="116"/>
      <c r="H194" s="37"/>
      <c r="I194" s="37"/>
      <c r="J194" s="37"/>
      <c r="K194" s="37"/>
      <c r="L194" s="37"/>
      <c r="M194" s="37"/>
      <c r="N194" s="37"/>
      <c r="O194" s="37"/>
      <c r="P194" s="37"/>
      <c r="Q194" s="37"/>
      <c r="R194" s="37"/>
      <c r="S194" s="37"/>
      <c r="T194" s="37"/>
      <c r="U194" s="37"/>
      <c r="V194" s="37"/>
      <c r="W194" s="37"/>
      <c r="X194" s="37"/>
      <c r="Y194" s="116"/>
      <c r="Z194" s="116"/>
      <c r="AA194" s="116"/>
      <c r="AB194" s="116"/>
      <c r="AU194" s="185"/>
      <c r="AV194" s="185"/>
      <c r="AW194" s="185"/>
      <c r="AX194" s="185"/>
      <c r="AY194" s="185"/>
      <c r="AZ194" s="185"/>
      <c r="BA194" s="185"/>
      <c r="BB194" s="185"/>
      <c r="BC194" s="185"/>
      <c r="BD194" s="185"/>
      <c r="BE194" s="185"/>
      <c r="BF194" s="185"/>
      <c r="BG194" s="185"/>
      <c r="BH194" s="185"/>
      <c r="BI194" s="185"/>
      <c r="BJ194" s="185"/>
      <c r="BK194" s="185"/>
      <c r="BL194" s="185"/>
      <c r="BM194" s="185"/>
      <c r="BN194" s="185"/>
      <c r="BO194" s="185"/>
      <c r="BP194" s="185"/>
      <c r="BQ194" s="185"/>
      <c r="BR194" s="185"/>
      <c r="BS194" s="185"/>
      <c r="BT194" s="185"/>
      <c r="BU194" s="185"/>
      <c r="BV194" s="185"/>
      <c r="BW194" s="185"/>
      <c r="BX194" s="185"/>
      <c r="BY194" s="185"/>
      <c r="BZ194" s="185"/>
      <c r="CA194" s="185"/>
      <c r="CB194" s="185"/>
      <c r="CC194" s="185"/>
      <c r="CD194" s="185"/>
      <c r="CE194" s="185"/>
      <c r="CF194" s="185"/>
      <c r="CG194" s="185"/>
      <c r="CH194" s="185"/>
      <c r="CI194" s="185"/>
      <c r="CJ194" s="185"/>
      <c r="CK194" s="185"/>
      <c r="CL194" s="185"/>
      <c r="CM194" s="185"/>
      <c r="CN194" s="185"/>
      <c r="CO194" s="185"/>
      <c r="CP194" s="185"/>
      <c r="CQ194" s="185"/>
      <c r="CR194" s="185"/>
      <c r="CS194" s="185"/>
    </row>
    <row r="195" spans="7:97" s="57" customFormat="1" x14ac:dyDescent="0.2">
      <c r="G195" s="116"/>
      <c r="H195" s="37"/>
      <c r="I195" s="37"/>
      <c r="J195" s="37"/>
      <c r="K195" s="37"/>
      <c r="L195" s="37"/>
      <c r="M195" s="37"/>
      <c r="N195" s="37"/>
      <c r="O195" s="37"/>
      <c r="P195" s="37"/>
      <c r="Q195" s="37"/>
      <c r="R195" s="37"/>
      <c r="S195" s="37"/>
      <c r="T195" s="37"/>
      <c r="U195" s="37"/>
      <c r="V195" s="37"/>
      <c r="W195" s="37"/>
      <c r="X195" s="37"/>
      <c r="Y195" s="116"/>
      <c r="Z195" s="116"/>
      <c r="AA195" s="116"/>
      <c r="AB195" s="116"/>
      <c r="AU195" s="185"/>
      <c r="AV195" s="185"/>
      <c r="AW195" s="185"/>
      <c r="AX195" s="185"/>
      <c r="AY195" s="185"/>
      <c r="AZ195" s="185"/>
      <c r="BA195" s="185"/>
      <c r="BB195" s="185"/>
      <c r="BC195" s="185"/>
      <c r="BD195" s="185"/>
      <c r="BE195" s="185"/>
      <c r="BF195" s="185"/>
      <c r="BG195" s="185"/>
      <c r="BH195" s="185"/>
      <c r="BI195" s="185"/>
      <c r="BJ195" s="185"/>
      <c r="BK195" s="185"/>
      <c r="BL195" s="185"/>
      <c r="BM195" s="185"/>
      <c r="BN195" s="185"/>
      <c r="BO195" s="185"/>
      <c r="BP195" s="185"/>
      <c r="BQ195" s="185"/>
      <c r="BR195" s="185"/>
      <c r="BS195" s="185"/>
      <c r="BT195" s="185"/>
      <c r="BU195" s="185"/>
      <c r="BV195" s="185"/>
      <c r="BW195" s="185"/>
      <c r="BX195" s="185"/>
      <c r="BY195" s="185"/>
      <c r="BZ195" s="185"/>
      <c r="CA195" s="185"/>
      <c r="CB195" s="185"/>
      <c r="CC195" s="185"/>
      <c r="CD195" s="185"/>
      <c r="CE195" s="185"/>
      <c r="CF195" s="185"/>
      <c r="CG195" s="185"/>
      <c r="CH195" s="185"/>
      <c r="CI195" s="185"/>
      <c r="CJ195" s="185"/>
      <c r="CK195" s="185"/>
      <c r="CL195" s="185"/>
      <c r="CM195" s="185"/>
      <c r="CN195" s="185"/>
      <c r="CO195" s="185"/>
      <c r="CP195" s="185"/>
      <c r="CQ195" s="185"/>
      <c r="CR195" s="185"/>
      <c r="CS195" s="185"/>
    </row>
    <row r="196" spans="7:97" s="57" customFormat="1" x14ac:dyDescent="0.2">
      <c r="G196" s="116"/>
      <c r="H196" s="37"/>
      <c r="I196" s="37"/>
      <c r="J196" s="37"/>
      <c r="K196" s="37"/>
      <c r="L196" s="37"/>
      <c r="M196" s="37"/>
      <c r="N196" s="37"/>
      <c r="O196" s="37"/>
      <c r="P196" s="37"/>
      <c r="Q196" s="37"/>
      <c r="R196" s="37"/>
      <c r="S196" s="37"/>
      <c r="T196" s="37"/>
      <c r="U196" s="37"/>
      <c r="V196" s="37"/>
      <c r="W196" s="37"/>
      <c r="X196" s="37"/>
      <c r="Y196" s="116"/>
      <c r="Z196" s="116"/>
      <c r="AA196" s="116"/>
      <c r="AB196" s="116"/>
      <c r="AU196" s="185"/>
      <c r="AV196" s="185"/>
      <c r="AW196" s="185"/>
      <c r="AX196" s="185"/>
      <c r="AY196" s="185"/>
      <c r="AZ196" s="185"/>
      <c r="BA196" s="185"/>
      <c r="BB196" s="185"/>
      <c r="BC196" s="185"/>
      <c r="BD196" s="185"/>
      <c r="BE196" s="185"/>
      <c r="BF196" s="185"/>
      <c r="BG196" s="185"/>
      <c r="BH196" s="185"/>
      <c r="BI196" s="185"/>
      <c r="BJ196" s="185"/>
      <c r="BK196" s="185"/>
      <c r="BL196" s="185"/>
      <c r="BM196" s="185"/>
      <c r="BN196" s="185"/>
      <c r="BO196" s="185"/>
      <c r="BP196" s="185"/>
      <c r="BQ196" s="185"/>
      <c r="BR196" s="185"/>
      <c r="BS196" s="185"/>
      <c r="BT196" s="185"/>
      <c r="BU196" s="185"/>
      <c r="BV196" s="185"/>
      <c r="BW196" s="185"/>
      <c r="BX196" s="185"/>
      <c r="BY196" s="185"/>
      <c r="BZ196" s="185"/>
      <c r="CA196" s="185"/>
      <c r="CB196" s="185"/>
      <c r="CC196" s="185"/>
      <c r="CD196" s="185"/>
      <c r="CE196" s="185"/>
      <c r="CF196" s="185"/>
      <c r="CG196" s="185"/>
      <c r="CH196" s="185"/>
      <c r="CI196" s="185"/>
      <c r="CJ196" s="185"/>
      <c r="CK196" s="185"/>
      <c r="CL196" s="185"/>
      <c r="CM196" s="185"/>
      <c r="CN196" s="185"/>
      <c r="CO196" s="185"/>
      <c r="CP196" s="185"/>
      <c r="CQ196" s="185"/>
      <c r="CR196" s="185"/>
      <c r="CS196" s="185"/>
    </row>
    <row r="197" spans="7:97" s="57" customFormat="1" x14ac:dyDescent="0.2">
      <c r="G197" s="116"/>
      <c r="H197" s="37"/>
      <c r="I197" s="37"/>
      <c r="J197" s="37"/>
      <c r="K197" s="37"/>
      <c r="L197" s="37"/>
      <c r="M197" s="37"/>
      <c r="N197" s="37"/>
      <c r="O197" s="37"/>
      <c r="P197" s="37"/>
      <c r="Q197" s="37"/>
      <c r="R197" s="37"/>
      <c r="S197" s="37"/>
      <c r="T197" s="37"/>
      <c r="U197" s="37"/>
      <c r="V197" s="37"/>
      <c r="W197" s="37"/>
      <c r="X197" s="37"/>
      <c r="Y197" s="116"/>
      <c r="Z197" s="116"/>
      <c r="AA197" s="116"/>
      <c r="AB197" s="116"/>
      <c r="AU197" s="185"/>
      <c r="AV197" s="185"/>
      <c r="AW197" s="185"/>
      <c r="AX197" s="185"/>
      <c r="AY197" s="185"/>
      <c r="AZ197" s="185"/>
      <c r="BA197" s="185"/>
      <c r="BB197" s="185"/>
      <c r="BC197" s="185"/>
      <c r="BD197" s="185"/>
      <c r="BE197" s="185"/>
      <c r="BF197" s="185"/>
      <c r="BG197" s="185"/>
      <c r="BH197" s="185"/>
      <c r="BI197" s="185"/>
      <c r="BJ197" s="185"/>
      <c r="BK197" s="185"/>
      <c r="BL197" s="185"/>
      <c r="BM197" s="185"/>
      <c r="BN197" s="185"/>
      <c r="BO197" s="185"/>
      <c r="BP197" s="185"/>
      <c r="BQ197" s="185"/>
      <c r="BR197" s="185"/>
      <c r="BS197" s="185"/>
      <c r="BT197" s="185"/>
      <c r="BU197" s="185"/>
      <c r="BV197" s="185"/>
      <c r="BW197" s="185"/>
      <c r="BX197" s="185"/>
      <c r="BY197" s="185"/>
      <c r="BZ197" s="185"/>
      <c r="CA197" s="185"/>
      <c r="CB197" s="185"/>
      <c r="CC197" s="185"/>
      <c r="CD197" s="185"/>
      <c r="CE197" s="185"/>
      <c r="CF197" s="185"/>
      <c r="CG197" s="185"/>
      <c r="CH197" s="185"/>
      <c r="CI197" s="185"/>
      <c r="CJ197" s="185"/>
      <c r="CK197" s="185"/>
      <c r="CL197" s="185"/>
      <c r="CM197" s="185"/>
      <c r="CN197" s="185"/>
      <c r="CO197" s="185"/>
      <c r="CP197" s="185"/>
      <c r="CQ197" s="185"/>
      <c r="CR197" s="185"/>
      <c r="CS197" s="185"/>
    </row>
    <row r="198" spans="7:97" s="57" customFormat="1" x14ac:dyDescent="0.2">
      <c r="G198" s="116"/>
      <c r="H198" s="37"/>
      <c r="I198" s="37"/>
      <c r="J198" s="37"/>
      <c r="K198" s="37"/>
      <c r="L198" s="37"/>
      <c r="M198" s="37"/>
      <c r="N198" s="37"/>
      <c r="O198" s="37"/>
      <c r="P198" s="37"/>
      <c r="Q198" s="37"/>
      <c r="R198" s="37"/>
      <c r="S198" s="37"/>
      <c r="T198" s="37"/>
      <c r="U198" s="37"/>
      <c r="V198" s="37"/>
      <c r="W198" s="37"/>
      <c r="X198" s="37"/>
      <c r="Y198" s="116"/>
      <c r="Z198" s="116"/>
      <c r="AA198" s="116"/>
      <c r="AB198" s="116"/>
      <c r="AU198" s="185"/>
      <c r="AV198" s="185"/>
      <c r="AW198" s="185"/>
      <c r="AX198" s="185"/>
      <c r="AY198" s="185"/>
      <c r="AZ198" s="185"/>
      <c r="BA198" s="185"/>
      <c r="BB198" s="185"/>
      <c r="BC198" s="185"/>
      <c r="BD198" s="185"/>
      <c r="BE198" s="185"/>
      <c r="BF198" s="185"/>
      <c r="BG198" s="185"/>
      <c r="BH198" s="185"/>
      <c r="BI198" s="185"/>
      <c r="BJ198" s="185"/>
      <c r="BK198" s="185"/>
      <c r="BL198" s="185"/>
      <c r="BM198" s="185"/>
      <c r="BN198" s="185"/>
      <c r="BO198" s="185"/>
      <c r="BP198" s="185"/>
      <c r="BQ198" s="185"/>
      <c r="BR198" s="185"/>
      <c r="BS198" s="185"/>
      <c r="BT198" s="185"/>
      <c r="BU198" s="185"/>
      <c r="BV198" s="185"/>
      <c r="BW198" s="185"/>
      <c r="BX198" s="185"/>
      <c r="BY198" s="185"/>
      <c r="BZ198" s="185"/>
      <c r="CA198" s="185"/>
      <c r="CB198" s="185"/>
      <c r="CC198" s="185"/>
      <c r="CD198" s="185"/>
      <c r="CE198" s="185"/>
      <c r="CF198" s="185"/>
      <c r="CG198" s="185"/>
      <c r="CH198" s="185"/>
      <c r="CI198" s="185"/>
      <c r="CJ198" s="185"/>
      <c r="CK198" s="185"/>
      <c r="CL198" s="185"/>
      <c r="CM198" s="185"/>
      <c r="CN198" s="185"/>
      <c r="CO198" s="185"/>
      <c r="CP198" s="185"/>
      <c r="CQ198" s="185"/>
      <c r="CR198" s="185"/>
      <c r="CS198" s="185"/>
    </row>
    <row r="199" spans="7:97" s="57" customFormat="1" x14ac:dyDescent="0.2">
      <c r="G199" s="116"/>
      <c r="H199" s="37"/>
      <c r="I199" s="37"/>
      <c r="J199" s="37"/>
      <c r="K199" s="37"/>
      <c r="L199" s="37"/>
      <c r="M199" s="37"/>
      <c r="N199" s="37"/>
      <c r="O199" s="37"/>
      <c r="P199" s="37"/>
      <c r="Q199" s="37"/>
      <c r="R199" s="37"/>
      <c r="S199" s="37"/>
      <c r="T199" s="37"/>
      <c r="U199" s="37"/>
      <c r="V199" s="37"/>
      <c r="W199" s="37"/>
      <c r="X199" s="37"/>
      <c r="Y199" s="116"/>
      <c r="Z199" s="116"/>
      <c r="AA199" s="116"/>
      <c r="AB199" s="116"/>
      <c r="AU199" s="185"/>
      <c r="AV199" s="185"/>
      <c r="AW199" s="185"/>
      <c r="AX199" s="185"/>
      <c r="AY199" s="185"/>
      <c r="AZ199" s="185"/>
      <c r="BA199" s="185"/>
      <c r="BB199" s="185"/>
      <c r="BC199" s="185"/>
      <c r="BD199" s="185"/>
      <c r="BE199" s="185"/>
      <c r="BF199" s="185"/>
      <c r="BG199" s="185"/>
      <c r="BH199" s="185"/>
      <c r="BI199" s="185"/>
      <c r="BJ199" s="185"/>
      <c r="BK199" s="185"/>
      <c r="BL199" s="185"/>
      <c r="BM199" s="185"/>
      <c r="BN199" s="185"/>
      <c r="BO199" s="185"/>
      <c r="BP199" s="185"/>
      <c r="BQ199" s="185"/>
      <c r="BR199" s="185"/>
      <c r="BS199" s="185"/>
      <c r="BT199" s="185"/>
      <c r="BU199" s="185"/>
      <c r="BV199" s="185"/>
      <c r="BW199" s="185"/>
      <c r="BX199" s="185"/>
      <c r="BY199" s="185"/>
      <c r="BZ199" s="185"/>
      <c r="CA199" s="185"/>
      <c r="CB199" s="185"/>
      <c r="CC199" s="185"/>
      <c r="CD199" s="185"/>
      <c r="CE199" s="185"/>
      <c r="CF199" s="185"/>
      <c r="CG199" s="185"/>
      <c r="CH199" s="185"/>
      <c r="CI199" s="185"/>
      <c r="CJ199" s="185"/>
      <c r="CK199" s="185"/>
      <c r="CL199" s="185"/>
      <c r="CM199" s="185"/>
      <c r="CN199" s="185"/>
      <c r="CO199" s="185"/>
      <c r="CP199" s="185"/>
      <c r="CQ199" s="185"/>
      <c r="CR199" s="185"/>
      <c r="CS199" s="185"/>
    </row>
    <row r="200" spans="7:97" s="57" customFormat="1" x14ac:dyDescent="0.2">
      <c r="G200" s="116"/>
      <c r="H200" s="37"/>
      <c r="I200" s="37"/>
      <c r="J200" s="37"/>
      <c r="K200" s="37"/>
      <c r="L200" s="37"/>
      <c r="M200" s="37"/>
      <c r="N200" s="37"/>
      <c r="O200" s="37"/>
      <c r="P200" s="37"/>
      <c r="Q200" s="37"/>
      <c r="R200" s="37"/>
      <c r="S200" s="37"/>
      <c r="T200" s="37"/>
      <c r="U200" s="37"/>
      <c r="V200" s="37"/>
      <c r="W200" s="37"/>
      <c r="X200" s="37"/>
      <c r="Y200" s="116"/>
      <c r="Z200" s="116"/>
      <c r="AA200" s="116"/>
      <c r="AB200" s="116"/>
      <c r="AU200" s="185"/>
      <c r="AV200" s="185"/>
      <c r="AW200" s="185"/>
      <c r="AX200" s="185"/>
      <c r="AY200" s="185"/>
      <c r="AZ200" s="185"/>
      <c r="BA200" s="185"/>
      <c r="BB200" s="185"/>
      <c r="BC200" s="185"/>
      <c r="BD200" s="185"/>
      <c r="BE200" s="185"/>
      <c r="BF200" s="185"/>
      <c r="BG200" s="185"/>
      <c r="BH200" s="185"/>
      <c r="BI200" s="185"/>
      <c r="BJ200" s="185"/>
      <c r="BK200" s="185"/>
      <c r="BL200" s="185"/>
      <c r="BM200" s="185"/>
      <c r="BN200" s="185"/>
      <c r="BO200" s="185"/>
      <c r="BP200" s="185"/>
      <c r="BQ200" s="185"/>
      <c r="BR200" s="185"/>
      <c r="BS200" s="185"/>
      <c r="BT200" s="185"/>
      <c r="BU200" s="185"/>
      <c r="BV200" s="185"/>
      <c r="BW200" s="185"/>
      <c r="BX200" s="185"/>
      <c r="BY200" s="185"/>
      <c r="BZ200" s="185"/>
      <c r="CA200" s="185"/>
      <c r="CB200" s="185"/>
      <c r="CC200" s="185"/>
      <c r="CD200" s="185"/>
      <c r="CE200" s="185"/>
      <c r="CF200" s="185"/>
      <c r="CG200" s="185"/>
      <c r="CH200" s="185"/>
      <c r="CI200" s="185"/>
      <c r="CJ200" s="185"/>
      <c r="CK200" s="185"/>
      <c r="CL200" s="185"/>
      <c r="CM200" s="185"/>
      <c r="CN200" s="185"/>
      <c r="CO200" s="185"/>
      <c r="CP200" s="185"/>
      <c r="CQ200" s="185"/>
      <c r="CR200" s="185"/>
      <c r="CS200" s="185"/>
    </row>
    <row r="201" spans="7:97" s="57" customFormat="1" x14ac:dyDescent="0.2">
      <c r="G201" s="116"/>
      <c r="H201" s="37"/>
      <c r="I201" s="37"/>
      <c r="J201" s="37"/>
      <c r="K201" s="37"/>
      <c r="L201" s="37"/>
      <c r="M201" s="37"/>
      <c r="N201" s="37"/>
      <c r="O201" s="37"/>
      <c r="P201" s="37"/>
      <c r="Q201" s="37"/>
      <c r="R201" s="37"/>
      <c r="S201" s="37"/>
      <c r="T201" s="37"/>
      <c r="U201" s="37"/>
      <c r="V201" s="37"/>
      <c r="W201" s="37"/>
      <c r="X201" s="37"/>
      <c r="Y201" s="116"/>
      <c r="Z201" s="116"/>
      <c r="AA201" s="116"/>
      <c r="AB201" s="116"/>
      <c r="AU201" s="185"/>
      <c r="AV201" s="185"/>
      <c r="AW201" s="185"/>
      <c r="AX201" s="185"/>
      <c r="AY201" s="185"/>
      <c r="AZ201" s="185"/>
      <c r="BA201" s="185"/>
      <c r="BB201" s="185"/>
      <c r="BC201" s="185"/>
      <c r="BD201" s="185"/>
      <c r="BE201" s="185"/>
      <c r="BF201" s="185"/>
      <c r="BG201" s="185"/>
      <c r="BH201" s="185"/>
      <c r="BI201" s="185"/>
      <c r="BJ201" s="185"/>
      <c r="BK201" s="185"/>
      <c r="BL201" s="185"/>
      <c r="BM201" s="185"/>
      <c r="BN201" s="185"/>
      <c r="BO201" s="185"/>
      <c r="BP201" s="185"/>
      <c r="BQ201" s="185"/>
      <c r="BR201" s="185"/>
      <c r="BS201" s="185"/>
      <c r="BT201" s="185"/>
      <c r="BU201" s="185"/>
      <c r="BV201" s="185"/>
      <c r="BW201" s="185"/>
      <c r="BX201" s="185"/>
      <c r="BY201" s="185"/>
      <c r="BZ201" s="185"/>
      <c r="CA201" s="185"/>
      <c r="CB201" s="185"/>
      <c r="CC201" s="185"/>
      <c r="CD201" s="185"/>
      <c r="CE201" s="185"/>
      <c r="CF201" s="185"/>
      <c r="CG201" s="185"/>
      <c r="CH201" s="185"/>
      <c r="CI201" s="185"/>
      <c r="CJ201" s="185"/>
      <c r="CK201" s="185"/>
      <c r="CL201" s="185"/>
      <c r="CM201" s="185"/>
      <c r="CN201" s="185"/>
      <c r="CO201" s="185"/>
      <c r="CP201" s="185"/>
      <c r="CQ201" s="185"/>
      <c r="CR201" s="185"/>
      <c r="CS201" s="185"/>
    </row>
    <row r="202" spans="7:97" s="57" customFormat="1" x14ac:dyDescent="0.2">
      <c r="G202" s="116"/>
      <c r="H202" s="37"/>
      <c r="I202" s="37"/>
      <c r="J202" s="37"/>
      <c r="K202" s="37"/>
      <c r="L202" s="37"/>
      <c r="M202" s="37"/>
      <c r="N202" s="37"/>
      <c r="O202" s="37"/>
      <c r="P202" s="37"/>
      <c r="Q202" s="37"/>
      <c r="R202" s="37"/>
      <c r="S202" s="37"/>
      <c r="T202" s="37"/>
      <c r="U202" s="37"/>
      <c r="V202" s="37"/>
      <c r="W202" s="37"/>
      <c r="X202" s="37"/>
      <c r="Y202" s="116"/>
      <c r="Z202" s="116"/>
      <c r="AA202" s="116"/>
      <c r="AB202" s="116"/>
      <c r="AU202" s="185"/>
      <c r="AV202" s="185"/>
      <c r="AW202" s="185"/>
      <c r="AX202" s="185"/>
      <c r="AY202" s="185"/>
      <c r="AZ202" s="185"/>
      <c r="BA202" s="185"/>
      <c r="BB202" s="185"/>
      <c r="BC202" s="185"/>
      <c r="BD202" s="185"/>
      <c r="BE202" s="185"/>
      <c r="BF202" s="185"/>
      <c r="BG202" s="185"/>
      <c r="BH202" s="185"/>
      <c r="BI202" s="185"/>
      <c r="BJ202" s="185"/>
      <c r="BK202" s="185"/>
      <c r="BL202" s="185"/>
      <c r="BM202" s="185"/>
      <c r="BN202" s="185"/>
      <c r="BO202" s="185"/>
      <c r="BP202" s="185"/>
      <c r="BQ202" s="185"/>
      <c r="BR202" s="185"/>
      <c r="BS202" s="185"/>
      <c r="BT202" s="185"/>
      <c r="BU202" s="185"/>
      <c r="BV202" s="185"/>
      <c r="BW202" s="185"/>
      <c r="BX202" s="185"/>
      <c r="BY202" s="185"/>
      <c r="BZ202" s="185"/>
      <c r="CA202" s="185"/>
      <c r="CB202" s="185"/>
      <c r="CC202" s="185"/>
      <c r="CD202" s="185"/>
      <c r="CE202" s="185"/>
      <c r="CF202" s="185"/>
      <c r="CG202" s="185"/>
      <c r="CH202" s="185"/>
      <c r="CI202" s="185"/>
      <c r="CJ202" s="185"/>
      <c r="CK202" s="185"/>
      <c r="CL202" s="185"/>
      <c r="CM202" s="185"/>
      <c r="CN202" s="185"/>
      <c r="CO202" s="185"/>
      <c r="CP202" s="185"/>
      <c r="CQ202" s="185"/>
      <c r="CR202" s="185"/>
      <c r="CS202" s="185"/>
    </row>
    <row r="203" spans="7:97" s="57" customFormat="1" x14ac:dyDescent="0.2">
      <c r="G203" s="116"/>
      <c r="H203" s="37"/>
      <c r="I203" s="37"/>
      <c r="J203" s="37"/>
      <c r="K203" s="37"/>
      <c r="L203" s="37"/>
      <c r="M203" s="37"/>
      <c r="N203" s="37"/>
      <c r="O203" s="37"/>
      <c r="P203" s="37"/>
      <c r="Q203" s="37"/>
      <c r="R203" s="37"/>
      <c r="S203" s="37"/>
      <c r="T203" s="37"/>
      <c r="U203" s="37"/>
      <c r="V203" s="37"/>
      <c r="W203" s="37"/>
      <c r="X203" s="37"/>
      <c r="Y203" s="116"/>
      <c r="Z203" s="116"/>
      <c r="AA203" s="116"/>
      <c r="AB203" s="116"/>
      <c r="AU203" s="185"/>
      <c r="AV203" s="185"/>
      <c r="AW203" s="185"/>
      <c r="AX203" s="185"/>
      <c r="AY203" s="185"/>
      <c r="AZ203" s="185"/>
      <c r="BA203" s="185"/>
      <c r="BB203" s="185"/>
      <c r="BC203" s="185"/>
      <c r="BD203" s="185"/>
      <c r="BE203" s="185"/>
      <c r="BF203" s="185"/>
      <c r="BG203" s="185"/>
      <c r="BH203" s="185"/>
      <c r="BI203" s="185"/>
      <c r="BJ203" s="185"/>
      <c r="BK203" s="185"/>
      <c r="BL203" s="185"/>
      <c r="BM203" s="185"/>
      <c r="BN203" s="185"/>
      <c r="BO203" s="185"/>
      <c r="BP203" s="185"/>
      <c r="BQ203" s="185"/>
      <c r="BR203" s="185"/>
      <c r="BS203" s="185"/>
      <c r="BT203" s="185"/>
      <c r="BU203" s="185"/>
      <c r="BV203" s="185"/>
      <c r="BW203" s="185"/>
      <c r="BX203" s="185"/>
      <c r="BY203" s="185"/>
      <c r="BZ203" s="185"/>
      <c r="CA203" s="185"/>
      <c r="CB203" s="185"/>
      <c r="CC203" s="185"/>
      <c r="CD203" s="185"/>
      <c r="CE203" s="185"/>
      <c r="CF203" s="185"/>
      <c r="CG203" s="185"/>
      <c r="CH203" s="185"/>
      <c r="CI203" s="185"/>
      <c r="CJ203" s="185"/>
      <c r="CK203" s="185"/>
      <c r="CL203" s="185"/>
      <c r="CM203" s="185"/>
      <c r="CN203" s="185"/>
      <c r="CO203" s="185"/>
      <c r="CP203" s="185"/>
      <c r="CQ203" s="185"/>
      <c r="CR203" s="185"/>
      <c r="CS203" s="185"/>
    </row>
    <row r="204" spans="7:97" s="57" customFormat="1" x14ac:dyDescent="0.2">
      <c r="G204" s="116"/>
      <c r="H204" s="37"/>
      <c r="I204" s="37"/>
      <c r="J204" s="37"/>
      <c r="K204" s="37"/>
      <c r="L204" s="37"/>
      <c r="M204" s="37"/>
      <c r="N204" s="37"/>
      <c r="O204" s="37"/>
      <c r="P204" s="37"/>
      <c r="Q204" s="37"/>
      <c r="R204" s="37"/>
      <c r="S204" s="37"/>
      <c r="T204" s="37"/>
      <c r="U204" s="37"/>
      <c r="V204" s="37"/>
      <c r="W204" s="37"/>
      <c r="X204" s="37"/>
      <c r="Y204" s="116"/>
      <c r="Z204" s="116"/>
      <c r="AA204" s="116"/>
      <c r="AB204" s="116"/>
      <c r="AU204" s="185"/>
      <c r="AV204" s="185"/>
      <c r="AW204" s="185"/>
      <c r="AX204" s="185"/>
      <c r="AY204" s="185"/>
      <c r="AZ204" s="185"/>
      <c r="BA204" s="185"/>
      <c r="BB204" s="185"/>
      <c r="BC204" s="185"/>
      <c r="BD204" s="185"/>
      <c r="BE204" s="185"/>
      <c r="BF204" s="185"/>
      <c r="BG204" s="185"/>
      <c r="BH204" s="185"/>
      <c r="BI204" s="185"/>
      <c r="BJ204" s="185"/>
      <c r="BK204" s="185"/>
      <c r="BL204" s="185"/>
      <c r="BM204" s="185"/>
      <c r="BN204" s="185"/>
      <c r="BO204" s="185"/>
      <c r="BP204" s="185"/>
      <c r="BQ204" s="185"/>
      <c r="BR204" s="185"/>
      <c r="BS204" s="185"/>
      <c r="BT204" s="185"/>
      <c r="BU204" s="185"/>
      <c r="BV204" s="185"/>
      <c r="BW204" s="185"/>
      <c r="BX204" s="185"/>
      <c r="BY204" s="185"/>
      <c r="BZ204" s="185"/>
      <c r="CA204" s="185"/>
      <c r="CB204" s="185"/>
      <c r="CC204" s="185"/>
      <c r="CD204" s="185"/>
      <c r="CE204" s="185"/>
      <c r="CF204" s="185"/>
      <c r="CG204" s="185"/>
      <c r="CH204" s="185"/>
      <c r="CI204" s="185"/>
      <c r="CJ204" s="185"/>
      <c r="CK204" s="185"/>
      <c r="CL204" s="185"/>
      <c r="CM204" s="185"/>
      <c r="CN204" s="185"/>
      <c r="CO204" s="185"/>
      <c r="CP204" s="185"/>
      <c r="CQ204" s="185"/>
      <c r="CR204" s="185"/>
      <c r="CS204" s="185"/>
    </row>
    <row r="205" spans="7:97" s="57" customFormat="1" x14ac:dyDescent="0.2">
      <c r="G205" s="116"/>
      <c r="H205" s="37"/>
      <c r="I205" s="37"/>
      <c r="J205" s="37"/>
      <c r="K205" s="37"/>
      <c r="L205" s="37"/>
      <c r="M205" s="37"/>
      <c r="N205" s="37"/>
      <c r="O205" s="37"/>
      <c r="P205" s="37"/>
      <c r="Q205" s="37"/>
      <c r="R205" s="37"/>
      <c r="S205" s="37"/>
      <c r="T205" s="37"/>
      <c r="U205" s="37"/>
      <c r="V205" s="37"/>
      <c r="W205" s="37"/>
      <c r="X205" s="37"/>
      <c r="Y205" s="116"/>
      <c r="Z205" s="116"/>
      <c r="AA205" s="116"/>
      <c r="AB205" s="116"/>
      <c r="AU205" s="185"/>
      <c r="AV205" s="185"/>
      <c r="AW205" s="185"/>
      <c r="AX205" s="185"/>
      <c r="AY205" s="185"/>
      <c r="AZ205" s="185"/>
      <c r="BA205" s="185"/>
      <c r="BB205" s="185"/>
      <c r="BC205" s="185"/>
      <c r="BD205" s="185"/>
      <c r="BE205" s="185"/>
      <c r="BF205" s="185"/>
      <c r="BG205" s="185"/>
      <c r="BH205" s="185"/>
      <c r="BI205" s="185"/>
      <c r="BJ205" s="185"/>
      <c r="BK205" s="185"/>
      <c r="BL205" s="185"/>
      <c r="BM205" s="185"/>
      <c r="BN205" s="185"/>
      <c r="BO205" s="185"/>
      <c r="BP205" s="185"/>
      <c r="BQ205" s="185"/>
      <c r="BR205" s="185"/>
      <c r="BS205" s="185"/>
      <c r="BT205" s="185"/>
      <c r="BU205" s="185"/>
      <c r="BV205" s="185"/>
      <c r="BW205" s="185"/>
      <c r="BX205" s="185"/>
      <c r="BY205" s="185"/>
      <c r="BZ205" s="185"/>
      <c r="CA205" s="185"/>
      <c r="CB205" s="185"/>
      <c r="CC205" s="185"/>
      <c r="CD205" s="185"/>
      <c r="CE205" s="185"/>
      <c r="CF205" s="185"/>
      <c r="CG205" s="185"/>
      <c r="CH205" s="185"/>
      <c r="CI205" s="185"/>
      <c r="CJ205" s="185"/>
      <c r="CK205" s="185"/>
      <c r="CL205" s="185"/>
      <c r="CM205" s="185"/>
      <c r="CN205" s="185"/>
      <c r="CO205" s="185"/>
      <c r="CP205" s="185"/>
      <c r="CQ205" s="185"/>
      <c r="CR205" s="185"/>
      <c r="CS205" s="185"/>
    </row>
    <row r="206" spans="7:97" s="57" customFormat="1" x14ac:dyDescent="0.2">
      <c r="G206" s="116"/>
      <c r="H206" s="37"/>
      <c r="I206" s="37"/>
      <c r="J206" s="37"/>
      <c r="K206" s="37"/>
      <c r="L206" s="37"/>
      <c r="M206" s="37"/>
      <c r="N206" s="37"/>
      <c r="O206" s="37"/>
      <c r="P206" s="37"/>
      <c r="Q206" s="37"/>
      <c r="R206" s="37"/>
      <c r="S206" s="37"/>
      <c r="T206" s="37"/>
      <c r="U206" s="37"/>
      <c r="V206" s="37"/>
      <c r="W206" s="37"/>
      <c r="X206" s="37"/>
      <c r="Y206" s="116"/>
      <c r="Z206" s="116"/>
      <c r="AA206" s="116"/>
      <c r="AB206" s="116"/>
      <c r="AU206" s="185"/>
      <c r="AV206" s="185"/>
      <c r="AW206" s="185"/>
      <c r="AX206" s="185"/>
      <c r="AY206" s="185"/>
      <c r="AZ206" s="185"/>
      <c r="BA206" s="185"/>
      <c r="BB206" s="185"/>
      <c r="BC206" s="185"/>
      <c r="BD206" s="185"/>
      <c r="BE206" s="185"/>
      <c r="BF206" s="185"/>
      <c r="BG206" s="185"/>
      <c r="BH206" s="185"/>
      <c r="BI206" s="185"/>
      <c r="BJ206" s="185"/>
      <c r="BK206" s="185"/>
      <c r="BL206" s="185"/>
      <c r="BM206" s="185"/>
      <c r="BN206" s="185"/>
      <c r="BO206" s="185"/>
      <c r="BP206" s="185"/>
      <c r="BQ206" s="185"/>
      <c r="BR206" s="185"/>
      <c r="BS206" s="185"/>
      <c r="BT206" s="185"/>
      <c r="BU206" s="185"/>
      <c r="BV206" s="185"/>
      <c r="BW206" s="185"/>
      <c r="BX206" s="185"/>
      <c r="BY206" s="185"/>
      <c r="BZ206" s="185"/>
      <c r="CA206" s="185"/>
      <c r="CB206" s="185"/>
      <c r="CC206" s="185"/>
      <c r="CD206" s="185"/>
      <c r="CE206" s="185"/>
      <c r="CF206" s="185"/>
      <c r="CG206" s="185"/>
      <c r="CH206" s="185"/>
      <c r="CI206" s="185"/>
      <c r="CJ206" s="185"/>
      <c r="CK206" s="185"/>
      <c r="CL206" s="185"/>
      <c r="CM206" s="185"/>
      <c r="CN206" s="185"/>
      <c r="CO206" s="185"/>
      <c r="CP206" s="185"/>
      <c r="CQ206" s="185"/>
      <c r="CR206" s="185"/>
      <c r="CS206" s="185"/>
    </row>
    <row r="207" spans="7:97" s="57" customFormat="1" x14ac:dyDescent="0.2">
      <c r="G207" s="116"/>
      <c r="H207" s="37"/>
      <c r="I207" s="37"/>
      <c r="J207" s="37"/>
      <c r="K207" s="37"/>
      <c r="L207" s="37"/>
      <c r="M207" s="37"/>
      <c r="N207" s="37"/>
      <c r="O207" s="37"/>
      <c r="P207" s="37"/>
      <c r="Q207" s="37"/>
      <c r="R207" s="37"/>
      <c r="S207" s="37"/>
      <c r="T207" s="37"/>
      <c r="U207" s="37"/>
      <c r="V207" s="37"/>
      <c r="W207" s="37"/>
      <c r="X207" s="37"/>
      <c r="Y207" s="116"/>
      <c r="Z207" s="116"/>
      <c r="AA207" s="116"/>
      <c r="AB207" s="116"/>
      <c r="AU207" s="185"/>
      <c r="AV207" s="185"/>
      <c r="AW207" s="185"/>
      <c r="AX207" s="185"/>
      <c r="AY207" s="185"/>
      <c r="AZ207" s="185"/>
      <c r="BA207" s="185"/>
      <c r="BB207" s="185"/>
      <c r="BC207" s="185"/>
      <c r="BD207" s="185"/>
      <c r="BE207" s="185"/>
      <c r="BF207" s="185"/>
      <c r="BG207" s="185"/>
      <c r="BH207" s="185"/>
      <c r="BI207" s="185"/>
      <c r="BJ207" s="185"/>
      <c r="BK207" s="185"/>
      <c r="BL207" s="185"/>
      <c r="BM207" s="185"/>
      <c r="BN207" s="185"/>
      <c r="BO207" s="185"/>
      <c r="BP207" s="185"/>
      <c r="BQ207" s="185"/>
      <c r="BR207" s="185"/>
      <c r="BS207" s="185"/>
      <c r="BT207" s="185"/>
      <c r="BU207" s="185"/>
      <c r="BV207" s="185"/>
      <c r="BW207" s="185"/>
      <c r="BX207" s="185"/>
      <c r="BY207" s="185"/>
      <c r="BZ207" s="185"/>
      <c r="CA207" s="185"/>
      <c r="CB207" s="185"/>
      <c r="CC207" s="185"/>
      <c r="CD207" s="185"/>
      <c r="CE207" s="185"/>
      <c r="CF207" s="185"/>
      <c r="CG207" s="185"/>
      <c r="CH207" s="185"/>
      <c r="CI207" s="185"/>
      <c r="CJ207" s="185"/>
      <c r="CK207" s="185"/>
      <c r="CL207" s="185"/>
      <c r="CM207" s="185"/>
      <c r="CN207" s="185"/>
      <c r="CO207" s="185"/>
      <c r="CP207" s="185"/>
      <c r="CQ207" s="185"/>
      <c r="CR207" s="185"/>
      <c r="CS207" s="185"/>
    </row>
    <row r="208" spans="7:97" s="57" customFormat="1" x14ac:dyDescent="0.2">
      <c r="G208" s="116"/>
      <c r="H208" s="37"/>
      <c r="I208" s="37"/>
      <c r="J208" s="37"/>
      <c r="K208" s="37"/>
      <c r="L208" s="37"/>
      <c r="M208" s="37"/>
      <c r="N208" s="37"/>
      <c r="O208" s="37"/>
      <c r="P208" s="37"/>
      <c r="Q208" s="37"/>
      <c r="R208" s="37"/>
      <c r="S208" s="37"/>
      <c r="T208" s="37"/>
      <c r="U208" s="37"/>
      <c r="V208" s="37"/>
      <c r="W208" s="37"/>
      <c r="X208" s="37"/>
      <c r="Y208" s="116"/>
      <c r="Z208" s="116"/>
      <c r="AA208" s="116"/>
      <c r="AB208" s="116"/>
      <c r="AU208" s="185"/>
      <c r="AV208" s="185"/>
      <c r="AW208" s="185"/>
      <c r="AX208" s="185"/>
      <c r="AY208" s="185"/>
      <c r="AZ208" s="185"/>
      <c r="BA208" s="185"/>
      <c r="BB208" s="185"/>
      <c r="BC208" s="185"/>
      <c r="BD208" s="185"/>
      <c r="BE208" s="185"/>
      <c r="BF208" s="185"/>
      <c r="BG208" s="185"/>
      <c r="BH208" s="185"/>
      <c r="BI208" s="185"/>
      <c r="BJ208" s="185"/>
      <c r="BK208" s="185"/>
      <c r="BL208" s="185"/>
      <c r="BM208" s="185"/>
      <c r="BN208" s="185"/>
      <c r="BO208" s="185"/>
      <c r="BP208" s="185"/>
      <c r="BQ208" s="185"/>
      <c r="BR208" s="185"/>
      <c r="BS208" s="185"/>
      <c r="BT208" s="185"/>
      <c r="BU208" s="185"/>
      <c r="BV208" s="185"/>
      <c r="BW208" s="185"/>
      <c r="BX208" s="185"/>
      <c r="BY208" s="185"/>
      <c r="BZ208" s="185"/>
      <c r="CA208" s="185"/>
      <c r="CB208" s="185"/>
      <c r="CC208" s="185"/>
      <c r="CD208" s="185"/>
      <c r="CE208" s="185"/>
      <c r="CF208" s="185"/>
      <c r="CG208" s="185"/>
      <c r="CH208" s="185"/>
      <c r="CI208" s="185"/>
      <c r="CJ208" s="185"/>
      <c r="CK208" s="185"/>
      <c r="CL208" s="185"/>
      <c r="CM208" s="185"/>
      <c r="CN208" s="185"/>
      <c r="CO208" s="185"/>
      <c r="CP208" s="185"/>
      <c r="CQ208" s="185"/>
      <c r="CR208" s="185"/>
      <c r="CS208" s="185"/>
    </row>
    <row r="209" spans="1:97" s="57" customFormat="1" x14ac:dyDescent="0.2">
      <c r="G209" s="116"/>
      <c r="H209" s="37"/>
      <c r="I209" s="37"/>
      <c r="J209" s="37"/>
      <c r="K209" s="37"/>
      <c r="L209" s="37"/>
      <c r="M209" s="37"/>
      <c r="N209" s="37"/>
      <c r="O209" s="37"/>
      <c r="P209" s="37"/>
      <c r="Q209" s="37"/>
      <c r="R209" s="37"/>
      <c r="S209" s="37"/>
      <c r="T209" s="37"/>
      <c r="U209" s="37"/>
      <c r="V209" s="37"/>
      <c r="W209" s="37"/>
      <c r="X209" s="37"/>
      <c r="Y209" s="116"/>
      <c r="Z209" s="116"/>
      <c r="AA209" s="116"/>
      <c r="AB209" s="116"/>
      <c r="AU209" s="185"/>
      <c r="AV209" s="185"/>
      <c r="AW209" s="185"/>
      <c r="AX209" s="185"/>
      <c r="AY209" s="185"/>
      <c r="AZ209" s="185"/>
      <c r="BA209" s="185"/>
      <c r="BB209" s="185"/>
      <c r="BC209" s="185"/>
      <c r="BD209" s="185"/>
      <c r="BE209" s="185"/>
      <c r="BF209" s="185"/>
      <c r="BG209" s="185"/>
      <c r="BH209" s="185"/>
      <c r="BI209" s="185"/>
      <c r="BJ209" s="185"/>
      <c r="BK209" s="185"/>
      <c r="BL209" s="185"/>
      <c r="BM209" s="185"/>
      <c r="BN209" s="185"/>
      <c r="BO209" s="185"/>
      <c r="BP209" s="185"/>
      <c r="BQ209" s="185"/>
      <c r="BR209" s="185"/>
      <c r="BS209" s="185"/>
      <c r="BT209" s="185"/>
      <c r="BU209" s="185"/>
      <c r="BV209" s="185"/>
      <c r="BW209" s="185"/>
      <c r="BX209" s="185"/>
      <c r="BY209" s="185"/>
      <c r="BZ209" s="185"/>
      <c r="CA209" s="185"/>
      <c r="CB209" s="185"/>
      <c r="CC209" s="185"/>
      <c r="CD209" s="185"/>
      <c r="CE209" s="185"/>
      <c r="CF209" s="185"/>
      <c r="CG209" s="185"/>
      <c r="CH209" s="185"/>
      <c r="CI209" s="185"/>
      <c r="CJ209" s="185"/>
      <c r="CK209" s="185"/>
      <c r="CL209" s="185"/>
      <c r="CM209" s="185"/>
      <c r="CN209" s="185"/>
      <c r="CO209" s="185"/>
      <c r="CP209" s="185"/>
      <c r="CQ209" s="185"/>
      <c r="CR209" s="185"/>
      <c r="CS209" s="185"/>
    </row>
    <row r="210" spans="1:97" s="57" customFormat="1" x14ac:dyDescent="0.2">
      <c r="G210" s="116"/>
      <c r="H210" s="37"/>
      <c r="I210" s="37"/>
      <c r="J210" s="37"/>
      <c r="K210" s="37"/>
      <c r="L210" s="37"/>
      <c r="M210" s="37"/>
      <c r="N210" s="37"/>
      <c r="O210" s="37"/>
      <c r="P210" s="37"/>
      <c r="Q210" s="37"/>
      <c r="R210" s="37"/>
      <c r="S210" s="37"/>
      <c r="T210" s="37"/>
      <c r="U210" s="37"/>
      <c r="V210" s="37"/>
      <c r="W210" s="37"/>
      <c r="X210" s="37"/>
      <c r="Y210" s="116"/>
      <c r="Z210" s="116"/>
      <c r="AA210" s="116"/>
      <c r="AB210" s="116"/>
      <c r="AU210" s="185"/>
      <c r="AV210" s="185"/>
      <c r="AW210" s="185"/>
      <c r="AX210" s="185"/>
      <c r="AY210" s="185"/>
      <c r="AZ210" s="185"/>
      <c r="BA210" s="185"/>
      <c r="BB210" s="185"/>
      <c r="BC210" s="185"/>
      <c r="BD210" s="185"/>
      <c r="BE210" s="185"/>
      <c r="BF210" s="185"/>
      <c r="BG210" s="185"/>
      <c r="BH210" s="185"/>
      <c r="BI210" s="185"/>
      <c r="BJ210" s="185"/>
      <c r="BK210" s="185"/>
      <c r="BL210" s="185"/>
      <c r="BM210" s="185"/>
      <c r="BN210" s="185"/>
      <c r="BO210" s="185"/>
      <c r="BP210" s="185"/>
      <c r="BQ210" s="185"/>
      <c r="BR210" s="185"/>
      <c r="BS210" s="185"/>
      <c r="BT210" s="185"/>
      <c r="BU210" s="185"/>
      <c r="BV210" s="185"/>
      <c r="BW210" s="185"/>
      <c r="BX210" s="185"/>
      <c r="BY210" s="185"/>
      <c r="BZ210" s="185"/>
      <c r="CA210" s="185"/>
      <c r="CB210" s="185"/>
      <c r="CC210" s="185"/>
      <c r="CD210" s="185"/>
      <c r="CE210" s="185"/>
      <c r="CF210" s="185"/>
      <c r="CG210" s="185"/>
      <c r="CH210" s="185"/>
      <c r="CI210" s="185"/>
      <c r="CJ210" s="185"/>
      <c r="CK210" s="185"/>
      <c r="CL210" s="185"/>
      <c r="CM210" s="185"/>
      <c r="CN210" s="185"/>
      <c r="CO210" s="185"/>
      <c r="CP210" s="185"/>
      <c r="CQ210" s="185"/>
      <c r="CR210" s="185"/>
      <c r="CS210" s="185"/>
    </row>
    <row r="211" spans="1:97" s="57" customFormat="1" x14ac:dyDescent="0.2">
      <c r="G211" s="116"/>
      <c r="H211" s="37"/>
      <c r="I211" s="37"/>
      <c r="J211" s="37"/>
      <c r="K211" s="37"/>
      <c r="L211" s="37"/>
      <c r="M211" s="37"/>
      <c r="N211" s="37"/>
      <c r="O211" s="37"/>
      <c r="P211" s="37"/>
      <c r="Q211" s="37"/>
      <c r="R211" s="37"/>
      <c r="S211" s="37"/>
      <c r="T211" s="37"/>
      <c r="U211" s="37"/>
      <c r="V211" s="37"/>
      <c r="W211" s="37"/>
      <c r="X211" s="37"/>
      <c r="Y211" s="116"/>
      <c r="Z211" s="116"/>
      <c r="AA211" s="116"/>
      <c r="AB211" s="116"/>
      <c r="AL211" s="23"/>
      <c r="AU211" s="185"/>
      <c r="AV211" s="185"/>
      <c r="AW211" s="185"/>
      <c r="AX211" s="185"/>
      <c r="AY211" s="185"/>
      <c r="AZ211" s="185"/>
      <c r="BA211" s="185"/>
      <c r="BB211" s="185"/>
      <c r="BC211" s="185"/>
      <c r="BD211" s="185"/>
      <c r="BE211" s="185"/>
      <c r="BF211" s="185"/>
      <c r="BG211" s="185"/>
      <c r="BH211" s="185"/>
      <c r="BI211" s="185"/>
      <c r="BJ211" s="185"/>
      <c r="BK211" s="185"/>
      <c r="BL211" s="185"/>
      <c r="BM211" s="185"/>
      <c r="BN211" s="185"/>
      <c r="BO211" s="185"/>
      <c r="BP211" s="185"/>
      <c r="BQ211" s="185"/>
      <c r="BR211" s="185"/>
      <c r="BS211" s="185"/>
      <c r="BT211" s="185"/>
      <c r="BU211" s="185"/>
      <c r="BV211" s="185"/>
      <c r="BW211" s="185"/>
      <c r="BX211" s="185"/>
      <c r="BY211" s="185"/>
      <c r="BZ211" s="185"/>
      <c r="CA211" s="185"/>
      <c r="CB211" s="185"/>
      <c r="CC211" s="185"/>
      <c r="CD211" s="185"/>
      <c r="CE211" s="185"/>
      <c r="CF211" s="185"/>
      <c r="CG211" s="185"/>
      <c r="CH211" s="185"/>
      <c r="CI211" s="185"/>
      <c r="CJ211" s="185"/>
      <c r="CK211" s="185"/>
      <c r="CL211" s="185"/>
      <c r="CM211" s="185"/>
      <c r="CN211" s="185"/>
      <c r="CO211" s="185"/>
      <c r="CP211" s="185"/>
      <c r="CQ211" s="185"/>
      <c r="CR211" s="185"/>
      <c r="CS211" s="185"/>
    </row>
    <row r="212" spans="1:97" s="57" customFormat="1" x14ac:dyDescent="0.2">
      <c r="C212" s="23"/>
      <c r="D212" s="23"/>
      <c r="E212" s="23"/>
      <c r="F212" s="23"/>
      <c r="G212" s="24"/>
      <c r="H212" s="25"/>
      <c r="I212" s="25"/>
      <c r="J212" s="25"/>
      <c r="K212" s="25"/>
      <c r="L212" s="25"/>
      <c r="M212" s="25"/>
      <c r="N212" s="25"/>
      <c r="O212" s="25"/>
      <c r="P212" s="25"/>
      <c r="Q212" s="25"/>
      <c r="R212" s="25"/>
      <c r="S212" s="25"/>
      <c r="T212" s="25"/>
      <c r="U212" s="25"/>
      <c r="V212" s="25"/>
      <c r="W212" s="25"/>
      <c r="X212" s="25"/>
      <c r="Y212" s="24"/>
      <c r="Z212" s="24"/>
      <c r="AA212" s="116"/>
      <c r="AB212" s="116"/>
      <c r="AL212" s="23"/>
      <c r="AM212" s="23"/>
      <c r="AU212" s="185"/>
      <c r="AV212" s="185"/>
      <c r="AW212" s="185"/>
      <c r="AX212" s="185"/>
      <c r="AY212" s="185"/>
      <c r="AZ212" s="185"/>
      <c r="BA212" s="185"/>
      <c r="BB212" s="185"/>
      <c r="BC212" s="185"/>
      <c r="BD212" s="185"/>
      <c r="BE212" s="185"/>
      <c r="BF212" s="185"/>
      <c r="BG212" s="185"/>
      <c r="BH212" s="185"/>
      <c r="BI212" s="185"/>
      <c r="BJ212" s="185"/>
      <c r="BK212" s="185"/>
      <c r="BL212" s="185"/>
      <c r="BM212" s="185"/>
      <c r="BN212" s="185"/>
      <c r="BO212" s="185"/>
      <c r="BP212" s="185"/>
      <c r="BQ212" s="185"/>
      <c r="BR212" s="185"/>
      <c r="BS212" s="185"/>
      <c r="BT212" s="185"/>
      <c r="BU212" s="185"/>
      <c r="BV212" s="185"/>
      <c r="BW212" s="185"/>
      <c r="BX212" s="185"/>
      <c r="BY212" s="185"/>
      <c r="BZ212" s="185"/>
      <c r="CA212" s="185"/>
      <c r="CB212" s="185"/>
      <c r="CC212" s="185"/>
      <c r="CD212" s="185"/>
      <c r="CE212" s="185"/>
      <c r="CF212" s="185"/>
      <c r="CG212" s="185"/>
      <c r="CH212" s="185"/>
      <c r="CI212" s="185"/>
      <c r="CJ212" s="185"/>
      <c r="CK212" s="185"/>
      <c r="CL212" s="185"/>
      <c r="CM212" s="185"/>
      <c r="CN212" s="185"/>
      <c r="CO212" s="185"/>
      <c r="CP212" s="185"/>
      <c r="CQ212" s="185"/>
      <c r="CR212" s="185"/>
      <c r="CS212" s="185"/>
    </row>
    <row r="213" spans="1:97" x14ac:dyDescent="0.2">
      <c r="A213" s="57"/>
      <c r="B213" s="57"/>
      <c r="AG213" s="57"/>
      <c r="AH213" s="57"/>
      <c r="AI213" s="57"/>
      <c r="AN213" s="57"/>
      <c r="AO213" s="57"/>
      <c r="AP213" s="57"/>
    </row>
  </sheetData>
  <sheetProtection algorithmName="SHA-512" hashValue="4M3SFbm5enYIs3uOLWHIpvi6JMxQyNwjpAV2+PjsMmE2mBPJX7ubrACQ886vPghOgFd2JCwYgvEBJPukd2JNDQ==" saltValue="oKPTpnO3+KhXW1eS/mP62Q==" spinCount="100000" sheet="1" objects="1" scenarios="1" selectLockedCells="1"/>
  <dataConsolidate/>
  <mergeCells count="548">
    <mergeCell ref="H131:J131"/>
    <mergeCell ref="AA124:AF125"/>
    <mergeCell ref="AA108:AF109"/>
    <mergeCell ref="AA106:AF106"/>
    <mergeCell ref="K131:M131"/>
    <mergeCell ref="N131:P131"/>
    <mergeCell ref="Q131:S131"/>
    <mergeCell ref="K101:N101"/>
    <mergeCell ref="W122:Y122"/>
    <mergeCell ref="T131:V131"/>
    <mergeCell ref="W131:Y131"/>
    <mergeCell ref="K127:M127"/>
    <mergeCell ref="T127:V127"/>
    <mergeCell ref="N124:P124"/>
    <mergeCell ref="Q124:S124"/>
    <mergeCell ref="W128:Y128"/>
    <mergeCell ref="W126:Y126"/>
    <mergeCell ref="W127:Y127"/>
    <mergeCell ref="W129:Y129"/>
    <mergeCell ref="W130:Y130"/>
    <mergeCell ref="W124:Y124"/>
    <mergeCell ref="W125:Y125"/>
    <mergeCell ref="H130:J130"/>
    <mergeCell ref="H128:J128"/>
    <mergeCell ref="AI17:AI20"/>
    <mergeCell ref="AJ17:AJ20"/>
    <mergeCell ref="V25:V26"/>
    <mergeCell ref="S44:T44"/>
    <mergeCell ref="AI27:AI28"/>
    <mergeCell ref="AI37:AI40"/>
    <mergeCell ref="Y21:Z22"/>
    <mergeCell ref="S21:T21"/>
    <mergeCell ref="U29:V32"/>
    <mergeCell ref="S22:T22"/>
    <mergeCell ref="V21:V22"/>
    <mergeCell ref="S24:T24"/>
    <mergeCell ref="AA23:AB24"/>
    <mergeCell ref="U33:V36"/>
    <mergeCell ref="S39:T39"/>
    <mergeCell ref="S40:T40"/>
    <mergeCell ref="Y27:Z28"/>
    <mergeCell ref="Y33:Z36"/>
    <mergeCell ref="U41:U42"/>
    <mergeCell ref="AA37:AB40"/>
    <mergeCell ref="S33:T33"/>
    <mergeCell ref="W33:X36"/>
    <mergeCell ref="Y29:Z32"/>
    <mergeCell ref="U25:U26"/>
    <mergeCell ref="AD5:AF5"/>
    <mergeCell ref="AI25:AI26"/>
    <mergeCell ref="AJ25:AJ26"/>
    <mergeCell ref="S23:T23"/>
    <mergeCell ref="U23:U24"/>
    <mergeCell ref="V23:V24"/>
    <mergeCell ref="W23:X24"/>
    <mergeCell ref="Y23:Z24"/>
    <mergeCell ref="AC17:AD20"/>
    <mergeCell ref="W16:X16"/>
    <mergeCell ref="AE16:AF16"/>
    <mergeCell ref="AA14:AB15"/>
    <mergeCell ref="AC14:AD15"/>
    <mergeCell ref="W14:X15"/>
    <mergeCell ref="Y16:Z16"/>
    <mergeCell ref="AE14:AF15"/>
    <mergeCell ref="Y14:Z15"/>
    <mergeCell ref="AA16:AB16"/>
    <mergeCell ref="AC16:AD16"/>
    <mergeCell ref="AH5:AL5"/>
    <mergeCell ref="AK25:AK26"/>
    <mergeCell ref="S26:T26"/>
    <mergeCell ref="AA25:AB26"/>
    <mergeCell ref="Y25:Z26"/>
    <mergeCell ref="U8:Z8"/>
    <mergeCell ref="U10:Z10"/>
    <mergeCell ref="C41:E42"/>
    <mergeCell ref="I29:J32"/>
    <mergeCell ref="K29:L29"/>
    <mergeCell ref="M29:N29"/>
    <mergeCell ref="C55:H55"/>
    <mergeCell ref="C51:H51"/>
    <mergeCell ref="I37:J40"/>
    <mergeCell ref="I27:I28"/>
    <mergeCell ref="I33:J36"/>
    <mergeCell ref="K33:L33"/>
    <mergeCell ref="M33:N33"/>
    <mergeCell ref="C47:H47"/>
    <mergeCell ref="I41:I42"/>
    <mergeCell ref="C37:E40"/>
    <mergeCell ref="W13:AF13"/>
    <mergeCell ref="W17:X20"/>
    <mergeCell ref="Y17:Z20"/>
    <mergeCell ref="AA17:AB20"/>
    <mergeCell ref="U16:V16"/>
    <mergeCell ref="S16:T16"/>
    <mergeCell ref="S30:T30"/>
    <mergeCell ref="S31:T31"/>
    <mergeCell ref="AC55:AD55"/>
    <mergeCell ref="I61:AF61"/>
    <mergeCell ref="K56:L56"/>
    <mergeCell ref="I55:J55"/>
    <mergeCell ref="D66:H66"/>
    <mergeCell ref="I64:T64"/>
    <mergeCell ref="W53:X53"/>
    <mergeCell ref="Y53:Z53"/>
    <mergeCell ref="AA53:AB53"/>
    <mergeCell ref="C54:H54"/>
    <mergeCell ref="C56:H56"/>
    <mergeCell ref="I25:I26"/>
    <mergeCell ref="J25:J26"/>
    <mergeCell ref="C23:E24"/>
    <mergeCell ref="I23:I24"/>
    <mergeCell ref="J23:J24"/>
    <mergeCell ref="C27:E28"/>
    <mergeCell ref="C33:E36"/>
    <mergeCell ref="C29:E32"/>
    <mergeCell ref="U73:AF73"/>
    <mergeCell ref="W52:X52"/>
    <mergeCell ref="AC52:AD52"/>
    <mergeCell ref="U71:AF71"/>
    <mergeCell ref="U72:AF72"/>
    <mergeCell ref="AE52:AF54"/>
    <mergeCell ref="AA56:AB56"/>
    <mergeCell ref="AC56:AD56"/>
    <mergeCell ref="U56:V56"/>
    <mergeCell ref="AA54:AB54"/>
    <mergeCell ref="AA55:AB55"/>
    <mergeCell ref="W54:X54"/>
    <mergeCell ref="AE56:AF56"/>
    <mergeCell ref="U64:AF64"/>
    <mergeCell ref="Y54:Z54"/>
    <mergeCell ref="AE55:AF55"/>
    <mergeCell ref="A89:C89"/>
    <mergeCell ref="A87:C88"/>
    <mergeCell ref="A77:C77"/>
    <mergeCell ref="D68:H68"/>
    <mergeCell ref="D79:H80"/>
    <mergeCell ref="D75:H75"/>
    <mergeCell ref="D70:H70"/>
    <mergeCell ref="D65:H65"/>
    <mergeCell ref="C25:E26"/>
    <mergeCell ref="D69:H69"/>
    <mergeCell ref="D67:H67"/>
    <mergeCell ref="C46:H46"/>
    <mergeCell ref="C43:E44"/>
    <mergeCell ref="C49:H49"/>
    <mergeCell ref="A52:B54"/>
    <mergeCell ref="D81:H82"/>
    <mergeCell ref="D74:H74"/>
    <mergeCell ref="D76:H76"/>
    <mergeCell ref="D77:H78"/>
    <mergeCell ref="D63:H64"/>
    <mergeCell ref="D73:H73"/>
    <mergeCell ref="A55:B56"/>
    <mergeCell ref="D71:H71"/>
    <mergeCell ref="C53:H53"/>
    <mergeCell ref="D72:H72"/>
    <mergeCell ref="Q52:R52"/>
    <mergeCell ref="W48:X48"/>
    <mergeCell ref="Y48:Z48"/>
    <mergeCell ref="Q49:R49"/>
    <mergeCell ref="Q48:R48"/>
    <mergeCell ref="Y52:Z52"/>
    <mergeCell ref="AA52:AB52"/>
    <mergeCell ref="I51:J51"/>
    <mergeCell ref="C52:H52"/>
    <mergeCell ref="S53:T53"/>
    <mergeCell ref="U54:V54"/>
    <mergeCell ref="U55:V55"/>
    <mergeCell ref="AO99:AP99"/>
    <mergeCell ref="U99:W99"/>
    <mergeCell ref="AO97:AP97"/>
    <mergeCell ref="AO98:AP98"/>
    <mergeCell ref="R99:T99"/>
    <mergeCell ref="U97:W97"/>
    <mergeCell ref="O98:Q98"/>
    <mergeCell ref="K98:N98"/>
    <mergeCell ref="R100:T100"/>
    <mergeCell ref="O100:Q100"/>
    <mergeCell ref="K100:N100"/>
    <mergeCell ref="AO100:AP100"/>
    <mergeCell ref="K97:N97"/>
    <mergeCell ref="R97:T97"/>
    <mergeCell ref="R98:T98"/>
    <mergeCell ref="H127:J127"/>
    <mergeCell ref="H126:J126"/>
    <mergeCell ref="I56:J56"/>
    <mergeCell ref="W56:X56"/>
    <mergeCell ref="Y56:Z56"/>
    <mergeCell ref="K95:N96"/>
    <mergeCell ref="Q56:R56"/>
    <mergeCell ref="S56:T56"/>
    <mergeCell ref="I73:T73"/>
    <mergeCell ref="O96:Q96"/>
    <mergeCell ref="R96:T96"/>
    <mergeCell ref="I71:T71"/>
    <mergeCell ref="I74:T74"/>
    <mergeCell ref="U74:AF74"/>
    <mergeCell ref="U63:AF63"/>
    <mergeCell ref="U65:AF65"/>
    <mergeCell ref="U82:W82"/>
    <mergeCell ref="I76:T76"/>
    <mergeCell ref="AA95:AF95"/>
    <mergeCell ref="U80:AF80"/>
    <mergeCell ref="I79:T79"/>
    <mergeCell ref="D87:H88"/>
    <mergeCell ref="D89:H90"/>
    <mergeCell ref="AA121:AF122"/>
    <mergeCell ref="T130:V130"/>
    <mergeCell ref="K129:M129"/>
    <mergeCell ref="K126:M126"/>
    <mergeCell ref="K124:M124"/>
    <mergeCell ref="T126:V126"/>
    <mergeCell ref="K130:M130"/>
    <mergeCell ref="N129:P129"/>
    <mergeCell ref="Q129:S129"/>
    <mergeCell ref="T124:V124"/>
    <mergeCell ref="T125:V125"/>
    <mergeCell ref="N130:P130"/>
    <mergeCell ref="Q130:S130"/>
    <mergeCell ref="T129:V129"/>
    <mergeCell ref="T128:V128"/>
    <mergeCell ref="H129:J129"/>
    <mergeCell ref="O99:Q99"/>
    <mergeCell ref="O101:Q101"/>
    <mergeCell ref="O102:Q102"/>
    <mergeCell ref="H116:J116"/>
    <mergeCell ref="D85:H86"/>
    <mergeCell ref="N128:P128"/>
    <mergeCell ref="Q128:S128"/>
    <mergeCell ref="K128:M128"/>
    <mergeCell ref="N126:P126"/>
    <mergeCell ref="E110:G110"/>
    <mergeCell ref="E111:G111"/>
    <mergeCell ref="E112:G112"/>
    <mergeCell ref="H125:J125"/>
    <mergeCell ref="H118:J118"/>
    <mergeCell ref="A120:Y120"/>
    <mergeCell ref="A126:G126"/>
    <mergeCell ref="Q125:S125"/>
    <mergeCell ref="N122:P122"/>
    <mergeCell ref="Q122:S122"/>
    <mergeCell ref="N123:P123"/>
    <mergeCell ref="H117:J117"/>
    <mergeCell ref="O97:Q97"/>
    <mergeCell ref="H115:J115"/>
    <mergeCell ref="Q121:S121"/>
    <mergeCell ref="K122:M122"/>
    <mergeCell ref="H111:J111"/>
    <mergeCell ref="H112:J112"/>
    <mergeCell ref="T123:V123"/>
    <mergeCell ref="K123:M123"/>
    <mergeCell ref="W123:Y123"/>
    <mergeCell ref="U83:X83"/>
    <mergeCell ref="R95:T95"/>
    <mergeCell ref="T122:V122"/>
    <mergeCell ref="T121:V121"/>
    <mergeCell ref="W121:Y121"/>
    <mergeCell ref="R101:T101"/>
    <mergeCell ref="R103:T103"/>
    <mergeCell ref="U95:W95"/>
    <mergeCell ref="U103:W103"/>
    <mergeCell ref="K103:N103"/>
    <mergeCell ref="K102:N102"/>
    <mergeCell ref="O103:Q103"/>
    <mergeCell ref="U101:W101"/>
    <mergeCell ref="U102:W102"/>
    <mergeCell ref="R102:T102"/>
    <mergeCell ref="O95:Q95"/>
    <mergeCell ref="A121:G121"/>
    <mergeCell ref="E107:G107"/>
    <mergeCell ref="N127:P127"/>
    <mergeCell ref="Q127:S127"/>
    <mergeCell ref="H122:J122"/>
    <mergeCell ref="N121:P121"/>
    <mergeCell ref="N125:P125"/>
    <mergeCell ref="H113:J113"/>
    <mergeCell ref="Q123:S123"/>
    <mergeCell ref="K125:M125"/>
    <mergeCell ref="H121:J121"/>
    <mergeCell ref="K121:M121"/>
    <mergeCell ref="H107:J107"/>
    <mergeCell ref="E118:G118"/>
    <mergeCell ref="H108:J108"/>
    <mergeCell ref="E115:G115"/>
    <mergeCell ref="E114:G114"/>
    <mergeCell ref="Q126:S126"/>
    <mergeCell ref="H123:J123"/>
    <mergeCell ref="E113:G113"/>
    <mergeCell ref="E108:G108"/>
    <mergeCell ref="E116:G116"/>
    <mergeCell ref="H110:J110"/>
    <mergeCell ref="H124:J124"/>
    <mergeCell ref="E117:G117"/>
    <mergeCell ref="H114:J114"/>
    <mergeCell ref="C48:H48"/>
    <mergeCell ref="C45:H45"/>
    <mergeCell ref="K51:L51"/>
    <mergeCell ref="U43:U44"/>
    <mergeCell ref="V43:V44"/>
    <mergeCell ref="AA45:AB45"/>
    <mergeCell ref="J43:J44"/>
    <mergeCell ref="C50:H50"/>
    <mergeCell ref="Q43:R44"/>
    <mergeCell ref="Y47:Z47"/>
    <mergeCell ref="I43:I44"/>
    <mergeCell ref="Q46:R46"/>
    <mergeCell ref="Q45:R45"/>
    <mergeCell ref="Q47:R47"/>
    <mergeCell ref="U51:V51"/>
    <mergeCell ref="W49:X49"/>
    <mergeCell ref="W47:X47"/>
    <mergeCell ref="S48:T48"/>
    <mergeCell ref="AA43:AB44"/>
    <mergeCell ref="AA51:AB51"/>
    <mergeCell ref="Y50:Z50"/>
    <mergeCell ref="S50:T50"/>
    <mergeCell ref="W25:X26"/>
    <mergeCell ref="H109:J109"/>
    <mergeCell ref="E109:G109"/>
    <mergeCell ref="U75:AF75"/>
    <mergeCell ref="U76:AF76"/>
    <mergeCell ref="U81:X81"/>
    <mergeCell ref="I75:T75"/>
    <mergeCell ref="I80:T80"/>
    <mergeCell ref="E106:G106"/>
    <mergeCell ref="H106:J106"/>
    <mergeCell ref="U96:W96"/>
    <mergeCell ref="U98:W98"/>
    <mergeCell ref="K99:N99"/>
    <mergeCell ref="U100:W100"/>
    <mergeCell ref="U79:AF79"/>
    <mergeCell ref="Q41:R42"/>
    <mergeCell ref="K39:L39"/>
    <mergeCell ref="M39:N39"/>
    <mergeCell ref="O39:P39"/>
    <mergeCell ref="AA47:AB47"/>
    <mergeCell ref="S41:T41"/>
    <mergeCell ref="S52:T52"/>
    <mergeCell ref="AE51:AF51"/>
    <mergeCell ref="AC37:AD40"/>
    <mergeCell ref="V41:V42"/>
    <mergeCell ref="AC47:AD47"/>
    <mergeCell ref="K55:L55"/>
    <mergeCell ref="W55:X55"/>
    <mergeCell ref="Y55:Z55"/>
    <mergeCell ref="Y37:Z40"/>
    <mergeCell ref="S55:T55"/>
    <mergeCell ref="Q53:R53"/>
    <mergeCell ref="K40:L40"/>
    <mergeCell ref="M40:N40"/>
    <mergeCell ref="O40:P40"/>
    <mergeCell ref="AC45:AD45"/>
    <mergeCell ref="Q55:R55"/>
    <mergeCell ref="S49:T49"/>
    <mergeCell ref="S43:T43"/>
    <mergeCell ref="W45:X45"/>
    <mergeCell ref="Y51:Z51"/>
    <mergeCell ref="Y49:Z49"/>
    <mergeCell ref="AC51:AD51"/>
    <mergeCell ref="AC49:AD49"/>
    <mergeCell ref="AA48:AB48"/>
    <mergeCell ref="S51:T51"/>
    <mergeCell ref="AC54:AD54"/>
    <mergeCell ref="AC53:AD53"/>
    <mergeCell ref="AM43:AM44"/>
    <mergeCell ref="AL41:AL42"/>
    <mergeCell ref="AK43:AK44"/>
    <mergeCell ref="AJ41:AJ42"/>
    <mergeCell ref="AI41:AI42"/>
    <mergeCell ref="AA41:AB42"/>
    <mergeCell ref="AK41:AK42"/>
    <mergeCell ref="AM41:AM42"/>
    <mergeCell ref="AL43:AL44"/>
    <mergeCell ref="AJ43:AJ44"/>
    <mergeCell ref="AC43:AD44"/>
    <mergeCell ref="AC41:AD42"/>
    <mergeCell ref="AE17:AF44"/>
    <mergeCell ref="AL25:AL26"/>
    <mergeCell ref="AK27:AK28"/>
    <mergeCell ref="AC25:AD26"/>
    <mergeCell ref="AC23:AD24"/>
    <mergeCell ref="AI23:AI24"/>
    <mergeCell ref="AJ23:AJ24"/>
    <mergeCell ref="AC21:AD22"/>
    <mergeCell ref="AC29:AD32"/>
    <mergeCell ref="AM27:AM28"/>
    <mergeCell ref="AC27:AD28"/>
    <mergeCell ref="AL33:AL36"/>
    <mergeCell ref="AA21:AB22"/>
    <mergeCell ref="AA29:AB32"/>
    <mergeCell ref="AA27:AB28"/>
    <mergeCell ref="AM33:AM36"/>
    <mergeCell ref="AJ33:AJ36"/>
    <mergeCell ref="AK33:AK36"/>
    <mergeCell ref="AK29:AK32"/>
    <mergeCell ref="AA33:AB36"/>
    <mergeCell ref="AC33:AD36"/>
    <mergeCell ref="AI29:AI32"/>
    <mergeCell ref="AJ29:AJ32"/>
    <mergeCell ref="AJ27:AJ28"/>
    <mergeCell ref="AK21:AK22"/>
    <mergeCell ref="AL21:AL22"/>
    <mergeCell ref="AI21:AI22"/>
    <mergeCell ref="AI33:AI36"/>
    <mergeCell ref="AK23:AK24"/>
    <mergeCell ref="AL37:AL40"/>
    <mergeCell ref="AL23:AL24"/>
    <mergeCell ref="AL27:AL28"/>
    <mergeCell ref="AN6:AQ7"/>
    <mergeCell ref="AN8:AQ9"/>
    <mergeCell ref="AH6:AL7"/>
    <mergeCell ref="AH8:AL9"/>
    <mergeCell ref="AJ13:AM15"/>
    <mergeCell ref="AI13:AI16"/>
    <mergeCell ref="AH13:AH16"/>
    <mergeCell ref="AN10:AQ11"/>
    <mergeCell ref="AH10:AL11"/>
    <mergeCell ref="AM37:AM40"/>
    <mergeCell ref="AJ37:AJ40"/>
    <mergeCell ref="AK37:AK40"/>
    <mergeCell ref="AL29:AL32"/>
    <mergeCell ref="AM29:AM32"/>
    <mergeCell ref="AM21:AM22"/>
    <mergeCell ref="AJ21:AJ22"/>
    <mergeCell ref="AK17:AK20"/>
    <mergeCell ref="AM25:AM26"/>
    <mergeCell ref="AM23:AM24"/>
    <mergeCell ref="AM17:AM20"/>
    <mergeCell ref="AL17:AL20"/>
    <mergeCell ref="J17:J20"/>
    <mergeCell ref="A13:H13"/>
    <mergeCell ref="I14:J15"/>
    <mergeCell ref="K14:L15"/>
    <mergeCell ref="M14:N15"/>
    <mergeCell ref="Q14:R15"/>
    <mergeCell ref="O14:P15"/>
    <mergeCell ref="I13:V13"/>
    <mergeCell ref="C17:E20"/>
    <mergeCell ref="K16:L16"/>
    <mergeCell ref="Q16:R16"/>
    <mergeCell ref="I16:J16"/>
    <mergeCell ref="M16:N16"/>
    <mergeCell ref="O16:P16"/>
    <mergeCell ref="I17:I20"/>
    <mergeCell ref="Q17:R20"/>
    <mergeCell ref="U14:V15"/>
    <mergeCell ref="S14:T15"/>
    <mergeCell ref="V17:V20"/>
    <mergeCell ref="S17:T17"/>
    <mergeCell ref="S19:T19"/>
    <mergeCell ref="S20:T20"/>
    <mergeCell ref="U17:U20"/>
    <mergeCell ref="S18:T18"/>
    <mergeCell ref="C21:E22"/>
    <mergeCell ref="Y43:Z44"/>
    <mergeCell ref="Y41:Z42"/>
    <mergeCell ref="W41:X42"/>
    <mergeCell ref="W43:X44"/>
    <mergeCell ref="W29:X32"/>
    <mergeCell ref="S42:T42"/>
    <mergeCell ref="Q23:R24"/>
    <mergeCell ref="Q29:R32"/>
    <mergeCell ref="K31:L31"/>
    <mergeCell ref="M31:N31"/>
    <mergeCell ref="O31:P31"/>
    <mergeCell ref="K32:L32"/>
    <mergeCell ref="M32:N32"/>
    <mergeCell ref="O32:P32"/>
    <mergeCell ref="U21:U22"/>
    <mergeCell ref="W21:X22"/>
    <mergeCell ref="O36:P36"/>
    <mergeCell ref="O29:P29"/>
    <mergeCell ref="K30:L30"/>
    <mergeCell ref="M30:N30"/>
    <mergeCell ref="O30:P30"/>
    <mergeCell ref="Q25:R26"/>
    <mergeCell ref="O33:P33"/>
    <mergeCell ref="J21:J22"/>
    <mergeCell ref="J27:J28"/>
    <mergeCell ref="K38:L38"/>
    <mergeCell ref="M38:N38"/>
    <mergeCell ref="O38:P38"/>
    <mergeCell ref="S38:T38"/>
    <mergeCell ref="M36:N36"/>
    <mergeCell ref="K37:L37"/>
    <mergeCell ref="M37:N37"/>
    <mergeCell ref="O37:P37"/>
    <mergeCell ref="K34:L34"/>
    <mergeCell ref="M34:N34"/>
    <mergeCell ref="O34:P34"/>
    <mergeCell ref="K35:L35"/>
    <mergeCell ref="M35:N35"/>
    <mergeCell ref="O35:P35"/>
    <mergeCell ref="K36:L36"/>
    <mergeCell ref="S35:T35"/>
    <mergeCell ref="S36:T36"/>
    <mergeCell ref="S32:T32"/>
    <mergeCell ref="S28:T28"/>
    <mergeCell ref="S27:T27"/>
    <mergeCell ref="S25:T25"/>
    <mergeCell ref="J41:J42"/>
    <mergeCell ref="Q54:R54"/>
    <mergeCell ref="S54:T54"/>
    <mergeCell ref="AL55:AM55"/>
    <mergeCell ref="S45:T45"/>
    <mergeCell ref="AE45:AF46"/>
    <mergeCell ref="W46:X46"/>
    <mergeCell ref="Y46:Z46"/>
    <mergeCell ref="AC46:AD46"/>
    <mergeCell ref="S46:T46"/>
    <mergeCell ref="AC48:AD48"/>
    <mergeCell ref="I54:J54"/>
    <mergeCell ref="K54:L54"/>
    <mergeCell ref="Q51:R51"/>
    <mergeCell ref="AA50:AB50"/>
    <mergeCell ref="AC50:AD50"/>
    <mergeCell ref="W50:X50"/>
    <mergeCell ref="W51:X51"/>
    <mergeCell ref="Q50:R50"/>
    <mergeCell ref="AA49:AB49"/>
    <mergeCell ref="S47:T47"/>
    <mergeCell ref="AE47:AF50"/>
    <mergeCell ref="AA46:AB46"/>
    <mergeCell ref="Y45:Z45"/>
    <mergeCell ref="U5:X5"/>
    <mergeCell ref="Y81:AF82"/>
    <mergeCell ref="Y83:AF84"/>
    <mergeCell ref="I65:K65"/>
    <mergeCell ref="S70:T70"/>
    <mergeCell ref="Q70:R70"/>
    <mergeCell ref="I72:T72"/>
    <mergeCell ref="I81:T81"/>
    <mergeCell ref="I82:T82"/>
    <mergeCell ref="I83:T83"/>
    <mergeCell ref="I84:T84"/>
    <mergeCell ref="I21:I22"/>
    <mergeCell ref="Q21:R22"/>
    <mergeCell ref="Q33:R36"/>
    <mergeCell ref="Q37:R40"/>
    <mergeCell ref="S37:T37"/>
    <mergeCell ref="U37:V40"/>
    <mergeCell ref="W37:X40"/>
    <mergeCell ref="S29:T29"/>
    <mergeCell ref="W27:X28"/>
    <mergeCell ref="V27:V28"/>
    <mergeCell ref="U27:U28"/>
    <mergeCell ref="Q27:R28"/>
    <mergeCell ref="S34:T34"/>
  </mergeCells>
  <conditionalFormatting sqref="N8 U45:U47 O49:O53 M49:M53 K49:K50 U49:U50 K17:K18 M17:M18 O17:O18 I17:I18 I43:I44 O41:O47 M41:M47 K41:K47 I23:I24 O22">
    <cfRule type="expression" dxfId="2007" priority="464">
      <formula>J8&lt;&gt;""</formula>
    </cfRule>
  </conditionalFormatting>
  <conditionalFormatting sqref="N10">
    <cfRule type="expression" dxfId="2006" priority="463">
      <formula>O10&lt;&gt;""</formula>
    </cfRule>
  </conditionalFormatting>
  <conditionalFormatting sqref="K52:K53">
    <cfRule type="expression" dxfId="2005" priority="461">
      <formula>L52&lt;&gt;""</formula>
    </cfRule>
  </conditionalFormatting>
  <conditionalFormatting sqref="U52:U53">
    <cfRule type="expression" dxfId="2004" priority="460">
      <formula>V52&lt;&gt;""</formula>
    </cfRule>
  </conditionalFormatting>
  <conditionalFormatting sqref="I47 I52:I53 I49">
    <cfRule type="expression" dxfId="2003" priority="397">
      <formula>J47&lt;&gt;""</formula>
    </cfRule>
  </conditionalFormatting>
  <conditionalFormatting sqref="S18">
    <cfRule type="expression" dxfId="2002" priority="627">
      <formula>S18=Q17</formula>
    </cfRule>
  </conditionalFormatting>
  <conditionalFormatting sqref="S17">
    <cfRule type="expression" dxfId="2001" priority="353">
      <formula>SUM(L17,N17,P17)&lt;&gt;0</formula>
    </cfRule>
    <cfRule type="expression" dxfId="2000" priority="625">
      <formula>S17=Q17</formula>
    </cfRule>
  </conditionalFormatting>
  <conditionalFormatting sqref="K54">
    <cfRule type="expression" dxfId="1999" priority="342">
      <formula>L54&lt;&gt;""</formula>
    </cfRule>
  </conditionalFormatting>
  <conditionalFormatting sqref="I54">
    <cfRule type="expression" dxfId="1998" priority="340">
      <formula>J54&lt;&gt;""</formula>
    </cfRule>
  </conditionalFormatting>
  <conditionalFormatting sqref="S54:T54">
    <cfRule type="expression" dxfId="1997" priority="343">
      <formula>S54=Q54</formula>
    </cfRule>
  </conditionalFormatting>
  <conditionalFormatting sqref="O54 M54">
    <cfRule type="expression" dxfId="1996" priority="339">
      <formula>N54&lt;&gt;""</formula>
    </cfRule>
  </conditionalFormatting>
  <conditionalFormatting sqref="U17">
    <cfRule type="expression" dxfId="1995" priority="310">
      <formula>V17&lt;&gt;""</formula>
    </cfRule>
  </conditionalFormatting>
  <conditionalFormatting sqref="U41">
    <cfRule type="expression" dxfId="1994" priority="309">
      <formula>V41&lt;&gt;""</formula>
    </cfRule>
  </conditionalFormatting>
  <conditionalFormatting sqref="U43">
    <cfRule type="expression" dxfId="1993" priority="308">
      <formula>V43&lt;&gt;""</formula>
    </cfRule>
  </conditionalFormatting>
  <conditionalFormatting sqref="U17 U41 U43">
    <cfRule type="expression" dxfId="1992" priority="262">
      <formula>V17&lt;&gt;""</formula>
    </cfRule>
  </conditionalFormatting>
  <conditionalFormatting sqref="U17">
    <cfRule type="expression" dxfId="1991" priority="258">
      <formula>V17&lt;&gt;""</formula>
    </cfRule>
  </conditionalFormatting>
  <conditionalFormatting sqref="U41">
    <cfRule type="expression" dxfId="1990" priority="257">
      <formula>V41&lt;&gt;""</formula>
    </cfRule>
  </conditionalFormatting>
  <conditionalFormatting sqref="U43">
    <cfRule type="expression" dxfId="1989" priority="256">
      <formula>V43&lt;&gt;""</formula>
    </cfRule>
  </conditionalFormatting>
  <conditionalFormatting sqref="S55:T55">
    <cfRule type="expression" dxfId="1988" priority="253">
      <formula>S55=Q55</formula>
    </cfRule>
  </conditionalFormatting>
  <conditionalFormatting sqref="O55 M55">
    <cfRule type="expression" dxfId="1987" priority="249">
      <formula>N55&lt;&gt;""</formula>
    </cfRule>
  </conditionalFormatting>
  <conditionalFormatting sqref="I41:I42">
    <cfRule type="expression" dxfId="1986" priority="241">
      <formula>J41&lt;&gt;""</formula>
    </cfRule>
  </conditionalFormatting>
  <conditionalFormatting sqref="I41:I42">
    <cfRule type="expression" dxfId="1985" priority="186">
      <formula>J41&lt;&gt;""</formula>
    </cfRule>
  </conditionalFormatting>
  <conditionalFormatting sqref="I41:I42">
    <cfRule type="expression" dxfId="1984" priority="185">
      <formula>J41&lt;&gt;""</formula>
    </cfRule>
  </conditionalFormatting>
  <conditionalFormatting sqref="S56:T56">
    <cfRule type="expression" dxfId="1983" priority="182">
      <formula>S56=Q56</formula>
    </cfRule>
  </conditionalFormatting>
  <conditionalFormatting sqref="O56 M56">
    <cfRule type="expression" dxfId="1982" priority="181">
      <formula>N56&lt;&gt;""</formula>
    </cfRule>
  </conditionalFormatting>
  <conditionalFormatting sqref="U48 K48 M48 O48">
    <cfRule type="expression" dxfId="1981" priority="169">
      <formula>L48&lt;&gt;""</formula>
    </cfRule>
  </conditionalFormatting>
  <conditionalFormatting sqref="I48">
    <cfRule type="expression" dxfId="1980" priority="168">
      <formula>J48&lt;&gt;""</formula>
    </cfRule>
  </conditionalFormatting>
  <conditionalFormatting sqref="S47">
    <cfRule type="expression" dxfId="1979" priority="163">
      <formula>$L$47&lt;&gt;""</formula>
    </cfRule>
    <cfRule type="expression" dxfId="1978" priority="164">
      <formula>S47=Q47</formula>
    </cfRule>
  </conditionalFormatting>
  <conditionalFormatting sqref="S23:T23">
    <cfRule type="expression" dxfId="1977" priority="158">
      <formula>S23=Q23</formula>
    </cfRule>
  </conditionalFormatting>
  <conditionalFormatting sqref="S24:T24">
    <cfRule type="expression" dxfId="1976" priority="159">
      <formula>S24=Q23</formula>
    </cfRule>
  </conditionalFormatting>
  <conditionalFormatting sqref="S23:T26">
    <cfRule type="expression" dxfId="1975" priority="156">
      <formula>SUM(L23,N23,P23)&lt;&gt;0</formula>
    </cfRule>
  </conditionalFormatting>
  <conditionalFormatting sqref="U23">
    <cfRule type="expression" dxfId="1974" priority="155">
      <formula>V23&lt;&gt;""</formula>
    </cfRule>
  </conditionalFormatting>
  <conditionalFormatting sqref="U23">
    <cfRule type="expression" dxfId="1973" priority="154">
      <formula>V23&lt;&gt;""</formula>
    </cfRule>
  </conditionalFormatting>
  <conditionalFormatting sqref="I23">
    <cfRule type="expression" dxfId="1972" priority="153">
      <formula>J23&lt;&gt;""</formula>
    </cfRule>
  </conditionalFormatting>
  <conditionalFormatting sqref="U21">
    <cfRule type="expression" dxfId="1970" priority="146">
      <formula>V21&lt;&gt;""</formula>
    </cfRule>
  </conditionalFormatting>
  <conditionalFormatting sqref="S21:T21">
    <cfRule type="expression" dxfId="1969" priority="149">
      <formula>S21=Q21</formula>
    </cfRule>
  </conditionalFormatting>
  <conditionalFormatting sqref="S22:T22">
    <cfRule type="expression" dxfId="1968" priority="86">
      <formula>SUM($L$22,$N$22,$P$22)&lt;&gt;0</formula>
    </cfRule>
    <cfRule type="expression" dxfId="1967" priority="150">
      <formula>S22=Q21</formula>
    </cfRule>
  </conditionalFormatting>
  <conditionalFormatting sqref="O21">
    <cfRule type="expression" dxfId="1966" priority="145">
      <formula>P21&lt;&gt;""</formula>
    </cfRule>
  </conditionalFormatting>
  <conditionalFormatting sqref="S21">
    <cfRule type="expression" dxfId="1965" priority="144">
      <formula>SUM(L21,N21,P21)&lt;&gt;0</formula>
    </cfRule>
  </conditionalFormatting>
  <conditionalFormatting sqref="I21">
    <cfRule type="expression" dxfId="1964" priority="143">
      <formula>J21&lt;&gt;""</formula>
    </cfRule>
  </conditionalFormatting>
  <conditionalFormatting sqref="U25">
    <cfRule type="expression" dxfId="1963" priority="126">
      <formula>V25&lt;&gt;""</formula>
    </cfRule>
  </conditionalFormatting>
  <conditionalFormatting sqref="S25:T25">
    <cfRule type="expression" dxfId="1962" priority="129">
      <formula>S25=Q25</formula>
    </cfRule>
  </conditionalFormatting>
  <conditionalFormatting sqref="I25">
    <cfRule type="expression" dxfId="1961" priority="123">
      <formula>J25&lt;&gt;""</formula>
    </cfRule>
  </conditionalFormatting>
  <conditionalFormatting sqref="K29:K32">
    <cfRule type="expression" dxfId="1960" priority="103">
      <formula>L29&lt;&gt;""</formula>
    </cfRule>
  </conditionalFormatting>
  <conditionalFormatting sqref="K19:K20 M19:M20 O19:O20">
    <cfRule type="expression" dxfId="1959" priority="110">
      <formula>L19&lt;&gt;""</formula>
    </cfRule>
  </conditionalFormatting>
  <conditionalFormatting sqref="S19">
    <cfRule type="expression" dxfId="1958" priority="109">
      <formula>SUM(L19,N19,P19)&lt;&gt;0</formula>
    </cfRule>
  </conditionalFormatting>
  <conditionalFormatting sqref="S19:T19">
    <cfRule type="expression" dxfId="1957" priority="108">
      <formula>$S$19=$Q$17</formula>
    </cfRule>
  </conditionalFormatting>
  <conditionalFormatting sqref="S20:T20">
    <cfRule type="expression" dxfId="1956" priority="87">
      <formula>SUM($L$20,$N$20,$P$20)&lt;&gt;0</formula>
    </cfRule>
    <cfRule type="expression" dxfId="1955" priority="107">
      <formula>$S$20=$Q$17</formula>
    </cfRule>
  </conditionalFormatting>
  <conditionalFormatting sqref="S26">
    <cfRule type="expression" dxfId="1954" priority="106">
      <formula>$S$26=$Q$25</formula>
    </cfRule>
  </conditionalFormatting>
  <conditionalFormatting sqref="K30:K32 M30:M32 O30:O32">
    <cfRule type="expression" dxfId="1953" priority="95">
      <formula>L30&lt;&gt;""</formula>
    </cfRule>
  </conditionalFormatting>
  <conditionalFormatting sqref="K29:K32 M29:M32 O29:O32 I29">
    <cfRule type="expression" dxfId="1952" priority="104">
      <formula>J29&lt;&gt;""</formula>
    </cfRule>
  </conditionalFormatting>
  <conditionalFormatting sqref="M29:M32 O29:O32">
    <cfRule type="expression" dxfId="1951" priority="102">
      <formula>N29&lt;&gt;""</formula>
    </cfRule>
  </conditionalFormatting>
  <conditionalFormatting sqref="I29">
    <cfRule type="expression" dxfId="1950" priority="101">
      <formula>J29&lt;&gt;""</formula>
    </cfRule>
  </conditionalFormatting>
  <conditionalFormatting sqref="K29 M29 O29">
    <cfRule type="expression" dxfId="1949" priority="100">
      <formula>L29&lt;&gt;""</formula>
    </cfRule>
  </conditionalFormatting>
  <conditionalFormatting sqref="K29 M29 O29">
    <cfRule type="expression" dxfId="1948" priority="99">
      <formula>L29&lt;&gt;""</formula>
    </cfRule>
  </conditionalFormatting>
  <conditionalFormatting sqref="K29 M29 O29">
    <cfRule type="expression" dxfId="1947" priority="98">
      <formula>L29&lt;&gt;""</formula>
    </cfRule>
  </conditionalFormatting>
  <conditionalFormatting sqref="K30:K32 M30:M32 O30:O32">
    <cfRule type="expression" dxfId="1946" priority="97">
      <formula>L30&lt;&gt;""</formula>
    </cfRule>
  </conditionalFormatting>
  <conditionalFormatting sqref="K30:K32 M30:M32 O30:O32">
    <cfRule type="expression" dxfId="1945" priority="96">
      <formula>L30&lt;&gt;""</formula>
    </cfRule>
  </conditionalFormatting>
  <conditionalFormatting sqref="I45">
    <cfRule type="expression" dxfId="1944" priority="94">
      <formula>J45&lt;&gt;""</formula>
    </cfRule>
  </conditionalFormatting>
  <conditionalFormatting sqref="I46">
    <cfRule type="expression" dxfId="1943" priority="93">
      <formula>J46&lt;&gt;""</formula>
    </cfRule>
  </conditionalFormatting>
  <conditionalFormatting sqref="I50">
    <cfRule type="expression" dxfId="1942" priority="92">
      <formula>J50&lt;&gt;""</formula>
    </cfRule>
  </conditionalFormatting>
  <conditionalFormatting sqref="S45:T45">
    <cfRule type="expression" dxfId="1941" priority="79">
      <formula>$L$45&lt;&gt;""</formula>
    </cfRule>
    <cfRule type="expression" dxfId="1940" priority="90">
      <formula>$S$45=$Q$45</formula>
    </cfRule>
  </conditionalFormatting>
  <conditionalFormatting sqref="S46:T46">
    <cfRule type="expression" dxfId="1939" priority="78">
      <formula>$L$46&lt;&gt;""</formula>
    </cfRule>
    <cfRule type="expression" dxfId="1938" priority="89">
      <formula>$S$46=$Q$46</formula>
    </cfRule>
  </conditionalFormatting>
  <conditionalFormatting sqref="S18:T18">
    <cfRule type="expression" dxfId="1937" priority="88">
      <formula>SUM($L$18,$N$18,$P$18)&lt;&gt;0</formula>
    </cfRule>
  </conditionalFormatting>
  <conditionalFormatting sqref="S41:T41">
    <cfRule type="expression" dxfId="1936" priority="83">
      <formula>SUM($L$41,$N$41,$P$41)&lt;&gt;0</formula>
    </cfRule>
  </conditionalFormatting>
  <conditionalFormatting sqref="S42:T42">
    <cfRule type="expression" dxfId="1935" priority="82">
      <formula>SUM($L$42,$N$42,$P$42)&lt;&gt;0</formula>
    </cfRule>
  </conditionalFormatting>
  <conditionalFormatting sqref="S43:T43">
    <cfRule type="expression" dxfId="1934" priority="81">
      <formula>SUM($L$43,$N$43,$P$43)&lt;&gt;0</formula>
    </cfRule>
  </conditionalFormatting>
  <conditionalFormatting sqref="S44:T44">
    <cfRule type="expression" dxfId="1933" priority="80">
      <formula>SUM($L$44,$N$44,$P$44)&lt;&gt;0</formula>
    </cfRule>
  </conditionalFormatting>
  <conditionalFormatting sqref="S48:T48">
    <cfRule type="expression" dxfId="1932" priority="76">
      <formula>$L$48&lt;&gt;""</formula>
    </cfRule>
    <cfRule type="expression" dxfId="1931" priority="77">
      <formula>$S$48=$Q$48</formula>
    </cfRule>
  </conditionalFormatting>
  <conditionalFormatting sqref="S49:T49">
    <cfRule type="expression" dxfId="1930" priority="74">
      <formula>$L$49&lt;&gt;""</formula>
    </cfRule>
    <cfRule type="expression" dxfId="1929" priority="75">
      <formula>$S$49=$Q$49</formula>
    </cfRule>
  </conditionalFormatting>
  <conditionalFormatting sqref="S50:T50">
    <cfRule type="expression" dxfId="1928" priority="72">
      <formula>$L$50&lt;&gt;""</formula>
    </cfRule>
    <cfRule type="expression" dxfId="1927" priority="73">
      <formula>$S$50=$Q$50</formula>
    </cfRule>
  </conditionalFormatting>
  <conditionalFormatting sqref="S52:T52">
    <cfRule type="expression" dxfId="1926" priority="70">
      <formula>$L$52&lt;&gt;""</formula>
    </cfRule>
    <cfRule type="expression" dxfId="1925" priority="71">
      <formula>$S$52=$Q$52</formula>
    </cfRule>
  </conditionalFormatting>
  <conditionalFormatting sqref="S53:T53">
    <cfRule type="expression" dxfId="1924" priority="68">
      <formula>$L$53&lt;&gt;""</formula>
    </cfRule>
    <cfRule type="expression" dxfId="1923" priority="69">
      <formula>$S$53=$Q$53</formula>
    </cfRule>
  </conditionalFormatting>
  <conditionalFormatting sqref="I27:I28 K27:K28 M27:M28 O27:O28">
    <cfRule type="expression" dxfId="1922" priority="67">
      <formula>J27&lt;&gt;""</formula>
    </cfRule>
  </conditionalFormatting>
  <conditionalFormatting sqref="S27:T28">
    <cfRule type="expression" dxfId="1921" priority="66">
      <formula>SUM(L27,N27,P27)&lt;&gt;0</formula>
    </cfRule>
  </conditionalFormatting>
  <conditionalFormatting sqref="S27:T27">
    <cfRule type="expression" dxfId="1920" priority="64">
      <formula>S27=Q27</formula>
    </cfRule>
  </conditionalFormatting>
  <conditionalFormatting sqref="S28:T28">
    <cfRule type="expression" dxfId="1919" priority="65">
      <formula>S28=Q27</formula>
    </cfRule>
  </conditionalFormatting>
  <conditionalFormatting sqref="U27">
    <cfRule type="expression" dxfId="1918" priority="63">
      <formula>V27&lt;&gt;""</formula>
    </cfRule>
  </conditionalFormatting>
  <conditionalFormatting sqref="U27">
    <cfRule type="expression" dxfId="1917" priority="62">
      <formula>V27&lt;&gt;""</formula>
    </cfRule>
  </conditionalFormatting>
  <conditionalFormatting sqref="I27">
    <cfRule type="expression" dxfId="1916" priority="61">
      <formula>J27&lt;&gt;""</formula>
    </cfRule>
  </conditionalFormatting>
  <conditionalFormatting sqref="K33:K36">
    <cfRule type="expression" dxfId="1915" priority="57">
      <formula>L33&lt;&gt;""</formula>
    </cfRule>
  </conditionalFormatting>
  <conditionalFormatting sqref="K34:K36 M34:M36 O34:O36">
    <cfRule type="expression" dxfId="1914" priority="49">
      <formula>L34&lt;&gt;""</formula>
    </cfRule>
  </conditionalFormatting>
  <conditionalFormatting sqref="K33:K36 M33:M36 O33:O36 I33">
    <cfRule type="expression" dxfId="1913" priority="58">
      <formula>J33&lt;&gt;""</formula>
    </cfRule>
  </conditionalFormatting>
  <conditionalFormatting sqref="M33:M36 O33:O36">
    <cfRule type="expression" dxfId="1912" priority="56">
      <formula>N33&lt;&gt;""</formula>
    </cfRule>
  </conditionalFormatting>
  <conditionalFormatting sqref="I33">
    <cfRule type="expression" dxfId="1911" priority="55">
      <formula>J33&lt;&gt;""</formula>
    </cfRule>
  </conditionalFormatting>
  <conditionalFormatting sqref="K33 M33 O33">
    <cfRule type="expression" dxfId="1910" priority="54">
      <formula>L33&lt;&gt;""</formula>
    </cfRule>
  </conditionalFormatting>
  <conditionalFormatting sqref="K33 M33 O33">
    <cfRule type="expression" dxfId="1909" priority="53">
      <formula>L33&lt;&gt;""</formula>
    </cfRule>
  </conditionalFormatting>
  <conditionalFormatting sqref="K33 M33 O33">
    <cfRule type="expression" dxfId="1908" priority="52">
      <formula>L33&lt;&gt;""</formula>
    </cfRule>
  </conditionalFormatting>
  <conditionalFormatting sqref="K34:K36 M34:M36 O34:O36">
    <cfRule type="expression" dxfId="1907" priority="51">
      <formula>L34&lt;&gt;""</formula>
    </cfRule>
  </conditionalFormatting>
  <conditionalFormatting sqref="K34:K36 M34:M36 O34:O36">
    <cfRule type="expression" dxfId="1906" priority="50">
      <formula>L34&lt;&gt;""</formula>
    </cfRule>
  </conditionalFormatting>
  <conditionalFormatting sqref="K37:K40">
    <cfRule type="expression" dxfId="1905" priority="45">
      <formula>L37&lt;&gt;""</formula>
    </cfRule>
  </conditionalFormatting>
  <conditionalFormatting sqref="K38:K40 M38:M40 O38:O40">
    <cfRule type="expression" dxfId="1904" priority="37">
      <formula>L38&lt;&gt;""</formula>
    </cfRule>
  </conditionalFormatting>
  <conditionalFormatting sqref="K37:K40 M37:M40 O37:O40 I37">
    <cfRule type="expression" dxfId="1903" priority="46">
      <formula>J37&lt;&gt;""</formula>
    </cfRule>
  </conditionalFormatting>
  <conditionalFormatting sqref="M37:M40 O37:O40">
    <cfRule type="expression" dxfId="1902" priority="44">
      <formula>N37&lt;&gt;""</formula>
    </cfRule>
  </conditionalFormatting>
  <conditionalFormatting sqref="I37">
    <cfRule type="expression" dxfId="1901" priority="43">
      <formula>J37&lt;&gt;""</formula>
    </cfRule>
  </conditionalFormatting>
  <conditionalFormatting sqref="K37 M37 O37">
    <cfRule type="expression" dxfId="1900" priority="42">
      <formula>L37&lt;&gt;""</formula>
    </cfRule>
  </conditionalFormatting>
  <conditionalFormatting sqref="K37 M37 O37">
    <cfRule type="expression" dxfId="1899" priority="41">
      <formula>L37&lt;&gt;""</formula>
    </cfRule>
  </conditionalFormatting>
  <conditionalFormatting sqref="K37 M37 O37">
    <cfRule type="expression" dxfId="1898" priority="40">
      <formula>L37&lt;&gt;""</formula>
    </cfRule>
  </conditionalFormatting>
  <conditionalFormatting sqref="K38:K40 M38:M40 O38:O40">
    <cfRule type="expression" dxfId="1897" priority="39">
      <formula>L38&lt;&gt;""</formula>
    </cfRule>
  </conditionalFormatting>
  <conditionalFormatting sqref="K38:K40 M38:M40 O38:O40">
    <cfRule type="expression" dxfId="1896" priority="38">
      <formula>L38&lt;&gt;""</formula>
    </cfRule>
  </conditionalFormatting>
  <conditionalFormatting sqref="M24">
    <cfRule type="expression" dxfId="1895" priority="36">
      <formula>N24&lt;&gt;""</formula>
    </cfRule>
  </conditionalFormatting>
  <conditionalFormatting sqref="M23">
    <cfRule type="expression" dxfId="1894" priority="35">
      <formula>N23&lt;&gt;""</formula>
    </cfRule>
  </conditionalFormatting>
  <conditionalFormatting sqref="O24">
    <cfRule type="expression" dxfId="1893" priority="30">
      <formula>P24&lt;&gt;""</formula>
    </cfRule>
  </conditionalFormatting>
  <conditionalFormatting sqref="O23">
    <cfRule type="expression" dxfId="1892" priority="29">
      <formula>P23&lt;&gt;""</formula>
    </cfRule>
  </conditionalFormatting>
  <conditionalFormatting sqref="O26">
    <cfRule type="expression" dxfId="1891" priority="27">
      <formula>P26&lt;&gt;""</formula>
    </cfRule>
  </conditionalFormatting>
  <conditionalFormatting sqref="O25">
    <cfRule type="expression" dxfId="1890" priority="26">
      <formula>P25&lt;&gt;""</formula>
    </cfRule>
  </conditionalFormatting>
  <conditionalFormatting sqref="S29:T32">
    <cfRule type="cellIs" dxfId="1889" priority="18" operator="equal">
      <formula>$Q$29</formula>
    </cfRule>
  </conditionalFormatting>
  <conditionalFormatting sqref="S33:T36">
    <cfRule type="cellIs" dxfId="1888" priority="17" operator="equal">
      <formula>$Q$33</formula>
    </cfRule>
  </conditionalFormatting>
  <conditionalFormatting sqref="S37:T40">
    <cfRule type="cellIs" dxfId="1887" priority="16" operator="equal">
      <formula>$Q$37</formula>
    </cfRule>
  </conditionalFormatting>
  <conditionalFormatting sqref="Z3:Z4">
    <cfRule type="cellIs" dxfId="1886" priority="15" operator="equal">
      <formula>0</formula>
    </cfRule>
  </conditionalFormatting>
  <conditionalFormatting sqref="M26">
    <cfRule type="expression" dxfId="1885" priority="14">
      <formula>N26&lt;&gt;""</formula>
    </cfRule>
  </conditionalFormatting>
  <conditionalFormatting sqref="M25">
    <cfRule type="expression" dxfId="1884" priority="13">
      <formula>N25&lt;&gt;""</formula>
    </cfRule>
  </conditionalFormatting>
  <conditionalFormatting sqref="K22">
    <cfRule type="expression" dxfId="7" priority="8">
      <formula>L22&lt;&gt;""</formula>
    </cfRule>
  </conditionalFormatting>
  <conditionalFormatting sqref="K21">
    <cfRule type="expression" dxfId="6" priority="7">
      <formula>L21&lt;&gt;""</formula>
    </cfRule>
  </conditionalFormatting>
  <conditionalFormatting sqref="K24">
    <cfRule type="expression" dxfId="5" priority="6">
      <formula>L24&lt;&gt;""</formula>
    </cfRule>
  </conditionalFormatting>
  <conditionalFormatting sqref="K23">
    <cfRule type="expression" dxfId="4" priority="5">
      <formula>L23&lt;&gt;""</formula>
    </cfRule>
  </conditionalFormatting>
  <conditionalFormatting sqref="K26">
    <cfRule type="expression" dxfId="3" priority="4">
      <formula>L26&lt;&gt;""</formula>
    </cfRule>
  </conditionalFormatting>
  <conditionalFormatting sqref="K25">
    <cfRule type="expression" dxfId="2" priority="3">
      <formula>L25&lt;&gt;""</formula>
    </cfRule>
  </conditionalFormatting>
  <conditionalFormatting sqref="M22">
    <cfRule type="expression" dxfId="1" priority="2">
      <formula>N22&lt;&gt;""</formula>
    </cfRule>
  </conditionalFormatting>
  <conditionalFormatting sqref="M21">
    <cfRule type="expression" dxfId="0" priority="1">
      <formula>N21&lt;&gt;""</formula>
    </cfRule>
  </conditionalFormatting>
  <dataValidations disablePrompts="1" count="3">
    <dataValidation type="decimal" allowBlank="1" showInputMessage="1" showErrorMessage="1" error="Wert muss im Bereich 0 ... 10% liegen" sqref="O8 O10" xr:uid="{00000000-0002-0000-0300-000000000000}">
      <formula1>0</formula1>
      <formula2>0.1</formula2>
    </dataValidation>
    <dataValidation type="list" allowBlank="1" showInputMessage="1" showErrorMessage="1" sqref="U10" xr:uid="{00000000-0002-0000-0300-000001000000}">
      <formula1>$AN$6:$AN$9</formula1>
    </dataValidation>
    <dataValidation type="list" allowBlank="1" showInputMessage="1" showErrorMessage="1" sqref="U8" xr:uid="{00000000-0002-0000-0300-000002000000}">
      <formula1>$AH$6:$AH$9</formula1>
    </dataValidation>
  </dataValidations>
  <hyperlinks>
    <hyperlink ref="AA108" r:id="rId1" xr:uid="{00000000-0004-0000-0300-000000000000}"/>
    <hyperlink ref="AA108:AF109" r:id="rId2" display="www.minergie.ch/de/zertifizieren/minergie" xr:uid="{00000000-0004-0000-0300-000001000000}"/>
    <hyperlink ref="K2" location="Neu_in_Version" display="i" xr:uid="{00000000-0004-0000-0300-000002000000}"/>
    <hyperlink ref="Y81" r:id="rId3" display="www.erz.ch/zuerichwaerme" xr:uid="{00000000-0004-0000-0300-000004000000}"/>
    <hyperlink ref="AA124" r:id="rId4" xr:uid="{00000000-0004-0000-0300-000005000000}"/>
    <hyperlink ref="AA124:AF125" r:id="rId5" display="www.minergie.ch/de/zertifizieren/minergie" xr:uid="{00000000-0004-0000-0300-000006000000}"/>
    <hyperlink ref="U80:AF80" r:id="rId6" display="www.kbob.ch → Themen und Leistungen → Nachhaltiges Bauen → Ökobilanzdaten im Baubereich" xr:uid="{00000000-0004-0000-0300-000008000000}"/>
    <hyperlink ref="Y81:AF82" r:id="rId7" display="www.erz.ch/zuerichwaerme → Wissen rund um Fernwärme → Zahlen und Fakten zur Fernwärme von ERZ" xr:uid="{00000000-0004-0000-0300-000009000000}"/>
    <hyperlink ref="I65" r:id="rId8" xr:uid="{00000000-0004-0000-0300-00000A000000}"/>
    <hyperlink ref="Q70" r:id="rId9" xr:uid="{00000000-0004-0000-0300-00000B000000}"/>
    <hyperlink ref="Q70:R70" r:id="rId10" display="www.ewz.ch" xr:uid="{00000000-0004-0000-0300-00000C000000}"/>
    <hyperlink ref="I80" r:id="rId11" xr:uid="{00000000-0004-0000-0300-000011000000}"/>
    <hyperlink ref="I80:T80" r:id="rId12" display="www.stadt-zuerich.ch/ → Suche → Richtlinie Energiepreise Gebäudebereich 2023" xr:uid="{00000000-0004-0000-0300-000012000000}"/>
    <hyperlink ref="I64" r:id="rId13" display="www.stadt-zuerich.ch/ → Suche → Richtlinie Energiepreise Gebäudebereich 2023" xr:uid="{00000000-0004-0000-0300-000013000000}"/>
    <hyperlink ref="I64:T64" r:id="rId14" display="www.stadt-zuerich.ch/ → Suche → Richtlinie Energiepreise Gebäudebereich 2024" xr:uid="{00000000-0004-0000-0300-000014000000}"/>
    <hyperlink ref="I61" r:id="rId15" xr:uid="{BAEE7017-31EB-42E1-BD14-C3F2DAC97CFE}"/>
    <hyperlink ref="I61:AF61" r:id="rId16" display="www.stadt-zuerich.ch/ → Suche → Richtlinie Energiepreise Gebäudebereich 2024" xr:uid="{00000000-0004-0000-0300-00000E000000}"/>
    <hyperlink ref="U64:AF64" r:id="rId17" display="www.kbob.ch → Themen und Leistungen → Ökobilanzdaten im Baubereich" xr:uid="{2AC78832-1C74-40A1-9897-901ECB639CED}"/>
    <hyperlink ref="I72" r:id="rId18" display="www.stadt-zuerich.ch/ → Suche → Richtlinie Energiepreise Gebäudebereich 2023" xr:uid="{EDAD3C83-CC25-4ADD-955E-8A9D2E6E70D4}"/>
    <hyperlink ref="I72:T72" r:id="rId19" display="www.stadt-zuerich.ch/ → Suche → Richtlinie Energiepreise Gebäudebereich 2024" xr:uid="{492FEF14-407D-41C7-86A1-73727CE85DD8}"/>
    <hyperlink ref="U72:AF72" r:id="rId20" display="www.kbob.ch → Themen und Leistungen → Ökobilanzdaten im Baubereich" xr:uid="{066AF50A-8D26-468E-8C9D-9D93CC4D745E}"/>
  </hyperlinks>
  <printOptions horizontalCentered="1"/>
  <pageMargins left="0.62992125984251968" right="0.62992125984251968" top="0.39370078740157483" bottom="0.55118110236220474" header="0.39370078740157483" footer="0.31496062992125984"/>
  <pageSetup paperSize="9" scale="76" fitToHeight="0" orientation="landscape" horizontalDpi="200" verticalDpi="200" r:id="rId21"/>
  <headerFooter scaleWithDoc="0">
    <oddFooter>&amp;L&amp;8Druckdatum  &amp;D&amp;C&amp;8&amp;F/&amp;A&amp;R&amp;8Seite &amp;P / &amp;N</oddFooter>
  </headerFooter>
  <rowBreaks count="2" manualBreakCount="2">
    <brk id="56" max="31" man="1"/>
    <brk id="90" max="31" man="1"/>
  </rowBreaks>
  <ignoredErrors>
    <ignoredError sqref="S41:T44 S17:T18" formula="1"/>
  </ignoredErrors>
  <drawing r:id="rId22"/>
  <legacyDrawing r:id="rId2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5" tint="0.39997558519241921"/>
  </sheetPr>
  <dimension ref="A1:AD93"/>
  <sheetViews>
    <sheetView showGridLines="0" showZeros="0" zoomScaleNormal="100" zoomScaleSheetLayoutView="100" workbookViewId="0">
      <selection activeCell="C7" sqref="C7:F7"/>
    </sheetView>
  </sheetViews>
  <sheetFormatPr baseColWidth="10" defaultColWidth="9.28515625" defaultRowHeight="12.75" x14ac:dyDescent="0.2"/>
  <cols>
    <col min="1" max="1" width="4" style="426" customWidth="1"/>
    <col min="2" max="2" width="9.140625" style="426" customWidth="1"/>
    <col min="3" max="3" width="2.5703125" style="426" customWidth="1"/>
    <col min="4" max="4" width="4.85546875" style="426" customWidth="1"/>
    <col min="5" max="5" width="9.7109375" style="425" customWidth="1"/>
    <col min="6" max="6" width="7.7109375" style="425" customWidth="1"/>
    <col min="7" max="7" width="10.140625" style="425" customWidth="1"/>
    <col min="8" max="9" width="6.42578125" style="425" customWidth="1"/>
    <col min="10" max="10" width="7" style="425" customWidth="1"/>
    <col min="11" max="12" width="2.5703125" style="425" customWidth="1"/>
    <col min="13" max="13" width="9.7109375" style="425" customWidth="1"/>
    <col min="14" max="14" width="7.7109375" style="425" customWidth="1"/>
    <col min="15" max="15" width="2.5703125" style="425" customWidth="1"/>
    <col min="16" max="16" width="3.7109375" style="425" customWidth="1"/>
    <col min="17" max="17" width="2.5703125" style="425" customWidth="1"/>
    <col min="18" max="18" width="7.7109375" style="425" customWidth="1"/>
    <col min="19" max="19" width="6.7109375" style="425" customWidth="1"/>
    <col min="20" max="20" width="2.5703125" style="425" customWidth="1"/>
    <col min="21" max="21" width="6.7109375" style="425" customWidth="1"/>
    <col min="22" max="22" width="7.7109375" style="425" customWidth="1"/>
    <col min="23" max="23" width="9.28515625" style="425"/>
    <col min="24" max="30" width="9.28515625" style="425" customWidth="1"/>
    <col min="31" max="16384" width="9.28515625" style="425"/>
  </cols>
  <sheetData>
    <row r="1" spans="1:28" s="1555" customFormat="1" ht="54" customHeight="1" x14ac:dyDescent="0.2">
      <c r="D1" s="1556"/>
      <c r="E1" s="1556"/>
      <c r="F1" s="1556"/>
      <c r="G1" s="1556"/>
      <c r="H1" s="67"/>
      <c r="I1" s="67"/>
      <c r="J1" s="67"/>
      <c r="K1" s="67"/>
      <c r="L1" s="67"/>
      <c r="M1" s="67"/>
      <c r="N1" s="67"/>
      <c r="O1" s="67"/>
      <c r="P1" s="67"/>
      <c r="Q1" s="67"/>
    </row>
    <row r="2" spans="1:28" s="722" customFormat="1" ht="15" customHeight="1" x14ac:dyDescent="0.25">
      <c r="A2" s="1565" t="str">
        <f>CONCATENATE("Variantenvergleich Energiesysteme - Version ",Versionsinfo!$B$4)</f>
        <v>Variantenvergleich Energiesysteme - Version 3.0</v>
      </c>
      <c r="B2" s="716"/>
      <c r="C2" s="716"/>
      <c r="D2" s="717"/>
      <c r="E2" s="717"/>
      <c r="F2" s="717"/>
      <c r="G2" s="718"/>
      <c r="H2" s="651"/>
      <c r="I2" s="652" t="s">
        <v>586</v>
      </c>
      <c r="N2" s="67"/>
      <c r="O2" s="67"/>
      <c r="P2" s="67"/>
      <c r="Q2" s="67"/>
      <c r="R2" s="1555"/>
      <c r="S2" s="1555"/>
      <c r="T2" s="1555"/>
      <c r="U2" s="1555"/>
      <c r="V2" s="850"/>
    </row>
    <row r="3" spans="1:28" ht="12.75" customHeight="1" x14ac:dyDescent="0.2">
      <c r="A3" s="1557" t="s">
        <v>781</v>
      </c>
      <c r="B3" s="425"/>
      <c r="C3" s="425"/>
      <c r="D3" s="427"/>
      <c r="E3" s="427"/>
      <c r="F3" s="427"/>
      <c r="G3" s="427"/>
      <c r="J3" s="428"/>
      <c r="K3" s="428"/>
      <c r="L3" s="428"/>
      <c r="M3" s="429"/>
      <c r="N3" s="903">
        <f>Projektdaten!$C$8</f>
        <v>0</v>
      </c>
      <c r="O3" s="903"/>
      <c r="P3" s="903"/>
      <c r="Q3" s="903"/>
      <c r="R3" s="903"/>
      <c r="S3" s="903"/>
      <c r="T3" s="903"/>
      <c r="U3" s="906"/>
      <c r="V3" s="428"/>
    </row>
    <row r="4" spans="1:28" ht="16.5" customHeight="1" x14ac:dyDescent="0.2">
      <c r="A4" s="430"/>
      <c r="B4" s="425"/>
      <c r="C4" s="425"/>
      <c r="D4" s="425"/>
      <c r="N4" s="903">
        <f>Projektdaten!$J$8</f>
        <v>0</v>
      </c>
      <c r="O4" s="903"/>
      <c r="P4" s="904"/>
      <c r="Q4" s="905"/>
      <c r="R4" s="905"/>
      <c r="S4" s="905"/>
      <c r="T4" s="905"/>
      <c r="U4" s="907"/>
    </row>
    <row r="5" spans="1:28" s="432" customFormat="1" ht="16.5" customHeight="1" x14ac:dyDescent="0.25">
      <c r="A5" s="1566" t="s">
        <v>33</v>
      </c>
      <c r="B5" s="431"/>
      <c r="C5" s="431"/>
      <c r="D5" s="431"/>
      <c r="F5" s="1566" t="s">
        <v>16</v>
      </c>
      <c r="H5" s="433"/>
      <c r="I5" s="433"/>
      <c r="J5" s="600"/>
      <c r="K5" s="600"/>
      <c r="L5" s="600"/>
      <c r="M5" s="600"/>
      <c r="N5" s="1435" t="str">
        <f>CONCATENATE("Version: ",Projektdaten!$F$13)</f>
        <v>Version: 1</v>
      </c>
      <c r="O5" s="1435"/>
      <c r="P5" s="1435"/>
      <c r="Q5" s="1435"/>
      <c r="R5" s="1435"/>
      <c r="S5" s="2199">
        <f ca="1">Projektdaten!$F$15</f>
        <v>45372</v>
      </c>
      <c r="T5" s="2199"/>
      <c r="U5" s="2199"/>
    </row>
    <row r="6" spans="1:28" customFormat="1" ht="13.5" customHeight="1" x14ac:dyDescent="0.2"/>
    <row r="7" spans="1:28" ht="15" customHeight="1" x14ac:dyDescent="0.2">
      <c r="A7" s="434"/>
      <c r="B7" s="1567" t="s">
        <v>472</v>
      </c>
      <c r="C7" s="2276"/>
      <c r="D7" s="2276"/>
      <c r="E7" s="2276"/>
      <c r="F7" s="2276"/>
      <c r="G7" s="436"/>
      <c r="H7" s="436"/>
      <c r="I7" s="1568" t="s">
        <v>782</v>
      </c>
      <c r="J7" s="2282"/>
      <c r="K7" s="2283"/>
      <c r="L7" s="2283"/>
      <c r="M7" s="2283"/>
      <c r="N7" s="2283"/>
      <c r="O7" s="2283"/>
      <c r="P7" s="2283"/>
      <c r="Q7" s="2283"/>
      <c r="R7" s="2283"/>
      <c r="S7" s="2283"/>
      <c r="T7" s="2283"/>
      <c r="U7" s="437"/>
      <c r="W7" s="2281" t="s">
        <v>162</v>
      </c>
      <c r="X7" s="2281"/>
      <c r="Y7" s="2281"/>
      <c r="Z7" s="2281"/>
      <c r="AA7" s="2281"/>
      <c r="AB7" s="2281"/>
    </row>
    <row r="8" spans="1:28" s="439" customFormat="1" ht="13.5" customHeight="1" x14ac:dyDescent="0.2">
      <c r="A8" s="438"/>
      <c r="B8" s="438"/>
      <c r="C8" s="438"/>
      <c r="D8" s="438"/>
    </row>
    <row r="9" spans="1:28" s="439" customFormat="1" ht="12.75" customHeight="1" x14ac:dyDescent="0.2">
      <c r="A9" s="2259" t="s">
        <v>726</v>
      </c>
      <c r="B9" s="2259"/>
      <c r="C9" s="438"/>
      <c r="D9" s="438"/>
      <c r="E9" s="1436" t="s">
        <v>120</v>
      </c>
      <c r="G9" s="2259" t="s">
        <v>198</v>
      </c>
      <c r="H9" s="2259"/>
      <c r="I9" s="2259"/>
      <c r="J9" s="2259"/>
      <c r="M9" s="1436" t="s">
        <v>121</v>
      </c>
      <c r="S9" s="2259" t="s">
        <v>727</v>
      </c>
      <c r="T9" s="2259"/>
      <c r="U9" s="2259"/>
    </row>
    <row r="10" spans="1:28" s="439" customFormat="1" ht="6" customHeight="1" x14ac:dyDescent="0.2">
      <c r="A10" s="1441"/>
      <c r="B10" s="435"/>
      <c r="C10" s="438"/>
      <c r="D10" s="438"/>
      <c r="E10" s="436"/>
      <c r="G10" s="436"/>
      <c r="H10" s="436"/>
      <c r="I10" s="436"/>
      <c r="J10" s="436"/>
      <c r="M10" s="436"/>
      <c r="N10" s="441"/>
      <c r="O10" s="449"/>
      <c r="Q10" s="438"/>
      <c r="R10" s="438"/>
      <c r="S10" s="436"/>
      <c r="T10" s="436"/>
      <c r="U10" s="436"/>
    </row>
    <row r="11" spans="1:28" s="439" customFormat="1" ht="12.75" customHeight="1" x14ac:dyDescent="0.2">
      <c r="A11" s="498" t="s">
        <v>35</v>
      </c>
      <c r="B11" s="442"/>
      <c r="C11" s="442"/>
      <c r="D11" s="442"/>
      <c r="E11" s="443">
        <f>M11</f>
        <v>0</v>
      </c>
      <c r="F11" s="444" t="s">
        <v>4</v>
      </c>
      <c r="G11" s="445"/>
      <c r="H11" s="446" t="s">
        <v>235</v>
      </c>
      <c r="I11" s="316"/>
      <c r="J11" s="447" t="s">
        <v>51</v>
      </c>
      <c r="K11" s="448"/>
      <c r="L11" s="448"/>
      <c r="M11" s="319"/>
      <c r="N11" s="448" t="s">
        <v>4</v>
      </c>
      <c r="O11" s="451"/>
      <c r="P11" s="441"/>
      <c r="Q11" s="441"/>
      <c r="R11" s="441"/>
      <c r="S11" s="436"/>
      <c r="T11" s="436"/>
      <c r="U11" s="436"/>
    </row>
    <row r="12" spans="1:28" s="439" customFormat="1" ht="12.75" customHeight="1" x14ac:dyDescent="0.2">
      <c r="A12" s="435"/>
      <c r="B12" s="435"/>
      <c r="C12" s="450"/>
      <c r="D12" s="450"/>
      <c r="E12" s="436"/>
      <c r="F12" s="441"/>
      <c r="G12" s="436"/>
      <c r="H12" s="436"/>
      <c r="I12" s="436"/>
      <c r="J12" s="436"/>
      <c r="K12" s="441"/>
      <c r="L12" s="441"/>
      <c r="M12" s="436"/>
      <c r="N12" s="441"/>
      <c r="O12" s="451"/>
      <c r="P12" s="441"/>
      <c r="Q12" s="441"/>
      <c r="R12" s="441"/>
      <c r="S12" s="436"/>
      <c r="T12" s="436"/>
      <c r="U12" s="436"/>
      <c r="X12" s="886" t="s">
        <v>451</v>
      </c>
      <c r="Y12" s="887"/>
      <c r="Z12" s="887"/>
      <c r="AA12" s="888"/>
    </row>
    <row r="13" spans="1:28" s="439" customFormat="1" ht="12.75" customHeight="1" x14ac:dyDescent="0.2">
      <c r="A13" s="654" t="str">
        <f>Grunddaten!C55</f>
        <v>Wärmeverbund XY</v>
      </c>
      <c r="B13" s="442"/>
      <c r="C13" s="442"/>
      <c r="D13" s="442"/>
      <c r="E13" s="443">
        <f>M13</f>
        <v>0</v>
      </c>
      <c r="F13" s="444" t="s">
        <v>4</v>
      </c>
      <c r="G13" s="445"/>
      <c r="H13" s="446" t="s">
        <v>235</v>
      </c>
      <c r="I13" s="316"/>
      <c r="J13" s="447" t="s">
        <v>51</v>
      </c>
      <c r="K13" s="448"/>
      <c r="L13" s="448"/>
      <c r="M13" s="319"/>
      <c r="N13" s="448" t="s">
        <v>4</v>
      </c>
      <c r="O13" s="451"/>
      <c r="P13" s="441"/>
      <c r="Q13" s="441"/>
      <c r="R13" s="441"/>
      <c r="S13" s="436"/>
      <c r="T13" s="436"/>
      <c r="U13" s="436"/>
      <c r="X13" s="891" t="s">
        <v>67</v>
      </c>
      <c r="Y13" s="889"/>
      <c r="Z13" s="889"/>
      <c r="AA13" s="890"/>
    </row>
    <row r="14" spans="1:28" s="439" customFormat="1" ht="12.75" customHeight="1" thickBot="1" x14ac:dyDescent="0.25">
      <c r="A14" s="435"/>
      <c r="B14" s="435"/>
      <c r="C14" s="450"/>
      <c r="D14" s="450"/>
      <c r="E14" s="436"/>
      <c r="F14" s="441"/>
      <c r="G14" s="436"/>
      <c r="H14" s="436"/>
      <c r="I14" s="436"/>
      <c r="J14" s="436"/>
      <c r="K14" s="441"/>
      <c r="L14" s="441"/>
      <c r="M14" s="436"/>
      <c r="N14" s="441"/>
      <c r="O14" s="451"/>
      <c r="P14" s="441"/>
      <c r="Q14" s="441"/>
      <c r="R14" s="441"/>
      <c r="S14" s="436"/>
      <c r="T14" s="436"/>
      <c r="U14" s="436"/>
      <c r="X14" s="892" t="s">
        <v>68</v>
      </c>
      <c r="Y14" s="884"/>
      <c r="Z14" s="884"/>
      <c r="AA14" s="893"/>
    </row>
    <row r="15" spans="1:28" s="439" customFormat="1" ht="12.75" customHeight="1" x14ac:dyDescent="0.2">
      <c r="A15" s="435"/>
      <c r="B15" s="435"/>
      <c r="C15" s="450"/>
      <c r="D15" s="450"/>
      <c r="E15" s="436"/>
      <c r="F15" s="441"/>
      <c r="G15" s="2255" t="s">
        <v>72</v>
      </c>
      <c r="H15" s="2256"/>
      <c r="I15" s="2256"/>
      <c r="J15" s="2257"/>
      <c r="K15" s="452"/>
      <c r="L15" s="452"/>
      <c r="M15" s="436"/>
      <c r="N15" s="441"/>
      <c r="O15" s="451"/>
      <c r="P15" s="2261" t="s">
        <v>528</v>
      </c>
      <c r="Q15" s="2262"/>
      <c r="R15" s="441"/>
      <c r="S15" s="2255" t="s">
        <v>66</v>
      </c>
      <c r="T15" s="2256"/>
      <c r="U15" s="2257"/>
      <c r="X15" s="892" t="s">
        <v>69</v>
      </c>
      <c r="Y15" s="884"/>
      <c r="Z15" s="884"/>
      <c r="AA15" s="893"/>
    </row>
    <row r="16" spans="1:28" s="439" customFormat="1" ht="12.75" customHeight="1" x14ac:dyDescent="0.2">
      <c r="A16" s="443" t="s">
        <v>76</v>
      </c>
      <c r="B16" s="443"/>
      <c r="C16" s="443"/>
      <c r="D16" s="443"/>
      <c r="E16" s="443"/>
      <c r="F16" s="453"/>
      <c r="G16" s="454" t="s">
        <v>73</v>
      </c>
      <c r="H16" s="2284"/>
      <c r="I16" s="2258"/>
      <c r="J16" s="455" t="s">
        <v>75</v>
      </c>
      <c r="K16" s="443"/>
      <c r="L16" s="443"/>
      <c r="M16" s="443">
        <f>H16*IF(ISBLANK(I17),H17,I17)</f>
        <v>0</v>
      </c>
      <c r="N16" s="448" t="s">
        <v>4</v>
      </c>
      <c r="O16" s="451"/>
      <c r="P16" s="2263" t="s">
        <v>527</v>
      </c>
      <c r="Q16" s="2264"/>
      <c r="R16" s="441"/>
      <c r="S16" s="2270"/>
      <c r="T16" s="2271"/>
      <c r="U16" s="2272"/>
      <c r="X16" s="892" t="s">
        <v>78</v>
      </c>
      <c r="Y16" s="884"/>
      <c r="Z16" s="884"/>
      <c r="AA16" s="893"/>
    </row>
    <row r="17" spans="1:27" s="439" customFormat="1" ht="12.75" customHeight="1" thickBot="1" x14ac:dyDescent="0.25">
      <c r="A17" s="435"/>
      <c r="B17" s="435"/>
      <c r="C17" s="450"/>
      <c r="D17" s="450"/>
      <c r="E17" s="1437"/>
      <c r="F17" s="441"/>
      <c r="G17" s="456" t="s">
        <v>74</v>
      </c>
      <c r="H17" s="359">
        <f>IF(ISBLANK(H16),0,Grunddaten!H122)</f>
        <v>0</v>
      </c>
      <c r="I17" s="328"/>
      <c r="J17" s="457" t="s">
        <v>77</v>
      </c>
      <c r="K17" s="458"/>
      <c r="L17" s="458"/>
      <c r="M17" s="1437"/>
      <c r="N17" s="441"/>
      <c r="O17" s="459"/>
      <c r="P17" s="2260"/>
      <c r="Q17" s="2260"/>
      <c r="R17" s="453"/>
      <c r="S17" s="2273"/>
      <c r="T17" s="2274"/>
      <c r="U17" s="2275"/>
      <c r="X17" s="894" t="str">
        <f>Grunddaten!$C$55</f>
        <v>Wärmeverbund XY</v>
      </c>
      <c r="Y17" s="895"/>
      <c r="Z17" s="895"/>
      <c r="AA17" s="896"/>
    </row>
    <row r="18" spans="1:27" s="439" customFormat="1" ht="12.75" customHeight="1" thickBot="1" x14ac:dyDescent="0.25">
      <c r="A18" s="435"/>
      <c r="B18" s="435"/>
      <c r="C18" s="450"/>
      <c r="D18" s="450"/>
      <c r="E18" s="436"/>
      <c r="F18" s="441"/>
      <c r="G18" s="436"/>
      <c r="H18" s="436"/>
      <c r="I18" s="436"/>
      <c r="J18" s="436"/>
      <c r="K18" s="441"/>
      <c r="L18" s="441"/>
      <c r="M18" s="436"/>
      <c r="N18" s="441"/>
      <c r="O18" s="451"/>
      <c r="P18" s="2267" t="s">
        <v>555</v>
      </c>
      <c r="Q18" s="2268"/>
      <c r="R18" s="441"/>
      <c r="S18" s="606" t="s">
        <v>70</v>
      </c>
      <c r="T18" s="461"/>
      <c r="U18" s="462"/>
      <c r="X18" s="898"/>
      <c r="Y18" s="898"/>
      <c r="Z18" s="898"/>
      <c r="AA18" s="898"/>
    </row>
    <row r="19" spans="1:27" s="439" customFormat="1" ht="12.75" customHeight="1" x14ac:dyDescent="0.2">
      <c r="A19" s="435"/>
      <c r="B19" s="435"/>
      <c r="C19" s="450"/>
      <c r="D19" s="450"/>
      <c r="E19" s="436"/>
      <c r="F19" s="441"/>
      <c r="G19" s="2255" t="s">
        <v>47</v>
      </c>
      <c r="H19" s="2256"/>
      <c r="I19" s="2256"/>
      <c r="J19" s="2257"/>
      <c r="K19" s="452"/>
      <c r="L19" s="452"/>
      <c r="M19" s="436"/>
      <c r="N19" s="441"/>
      <c r="O19" s="451"/>
      <c r="P19" s="441"/>
      <c r="Q19" s="441"/>
      <c r="R19" s="441"/>
      <c r="S19" s="2250">
        <f>Projektdaten!K29</f>
        <v>0</v>
      </c>
      <c r="T19" s="2251"/>
      <c r="U19" s="605" t="s">
        <v>4</v>
      </c>
      <c r="X19" s="886" t="s">
        <v>450</v>
      </c>
      <c r="Y19" s="887"/>
      <c r="Z19" s="887"/>
      <c r="AA19" s="888"/>
    </row>
    <row r="20" spans="1:27" s="439" customFormat="1" ht="12.75" customHeight="1" x14ac:dyDescent="0.2">
      <c r="A20" s="2252"/>
      <c r="B20" s="2252"/>
      <c r="C20" s="501"/>
      <c r="D20" s="501">
        <f>IF(A20=$X$36,1-D21,1)</f>
        <v>1</v>
      </c>
      <c r="E20" s="443">
        <f>IF(M20,M20/IF(ISBLANK(J21),I21,J21)*D20,0)</f>
        <v>0</v>
      </c>
      <c r="F20" s="448" t="s">
        <v>4</v>
      </c>
      <c r="G20" s="454" t="s">
        <v>50</v>
      </c>
      <c r="H20" s="2258"/>
      <c r="I20" s="2258"/>
      <c r="J20" s="464" t="s">
        <v>51</v>
      </c>
      <c r="K20" s="443"/>
      <c r="L20" s="443"/>
      <c r="M20" s="319"/>
      <c r="N20" s="448" t="s">
        <v>4</v>
      </c>
      <c r="O20" s="451"/>
      <c r="P20" s="441"/>
      <c r="Q20" s="441"/>
      <c r="R20" s="441"/>
      <c r="S20" s="606" t="s">
        <v>526</v>
      </c>
      <c r="T20" s="607"/>
      <c r="U20" s="608"/>
      <c r="X20" s="891" t="s">
        <v>35</v>
      </c>
      <c r="Y20" s="889"/>
      <c r="Z20" s="889"/>
      <c r="AA20" s="890"/>
    </row>
    <row r="21" spans="1:27" s="439" customFormat="1" ht="12.75" customHeight="1" thickBot="1" x14ac:dyDescent="0.25">
      <c r="A21" s="2269" t="str">
        <f>IF(A20=$X$36,Berechnungen!$A$34,"")</f>
        <v/>
      </c>
      <c r="B21" s="2269"/>
      <c r="C21" s="496"/>
      <c r="D21" s="1591">
        <v>0.25</v>
      </c>
      <c r="E21" s="1438">
        <f>IF(AND(M20&gt;0,A20=$X$36),M20/IF(ISBLANK(J21),I21,J21)*D21,0)</f>
        <v>0</v>
      </c>
      <c r="F21" s="441"/>
      <c r="G21" s="465"/>
      <c r="H21" s="466" t="s">
        <v>46</v>
      </c>
      <c r="I21" s="327">
        <f>IF(ISBLANK(H20),0,IFERROR(HLOOKUP(A20,Grunddaten!H121:Y125,4,FALSE),Grunddaten!H124))</f>
        <v>0</v>
      </c>
      <c r="J21" s="339"/>
      <c r="K21" s="458"/>
      <c r="L21" s="458"/>
      <c r="M21" s="1437"/>
      <c r="N21" s="441"/>
      <c r="O21" s="451"/>
      <c r="P21" s="441"/>
      <c r="Q21" s="441"/>
      <c r="R21" s="441"/>
      <c r="S21" s="2253">
        <f>S19*(1+P17)</f>
        <v>0</v>
      </c>
      <c r="T21" s="2254"/>
      <c r="U21" s="463" t="s">
        <v>4</v>
      </c>
      <c r="X21" s="894" t="s">
        <v>452</v>
      </c>
      <c r="Y21" s="895"/>
      <c r="Z21" s="895"/>
      <c r="AA21" s="896"/>
    </row>
    <row r="22" spans="1:27" s="439" customFormat="1" ht="12.75" customHeight="1" thickBot="1" x14ac:dyDescent="0.25">
      <c r="A22" s="435"/>
      <c r="B22" s="435"/>
      <c r="C22" s="450"/>
      <c r="D22" s="450"/>
      <c r="E22" s="436"/>
      <c r="F22" s="441"/>
      <c r="G22" s="436"/>
      <c r="H22" s="436"/>
      <c r="I22" s="436"/>
      <c r="J22" s="436"/>
      <c r="K22" s="441"/>
      <c r="L22" s="441"/>
      <c r="M22" s="436"/>
      <c r="N22" s="441"/>
      <c r="O22" s="451"/>
      <c r="P22" s="441"/>
      <c r="Q22" s="441"/>
      <c r="R22" s="441"/>
      <c r="S22" s="436"/>
      <c r="T22" s="436"/>
      <c r="U22" s="436"/>
      <c r="X22" s="897"/>
      <c r="Y22" s="897"/>
      <c r="Z22" s="897"/>
      <c r="AA22" s="897"/>
    </row>
    <row r="23" spans="1:27" s="439" customFormat="1" ht="12.75" customHeight="1" x14ac:dyDescent="0.2">
      <c r="A23" s="435"/>
      <c r="B23" s="435"/>
      <c r="C23" s="450"/>
      <c r="D23" s="450"/>
      <c r="E23" s="436"/>
      <c r="F23" s="441"/>
      <c r="G23" s="2255" t="s">
        <v>48</v>
      </c>
      <c r="H23" s="2256"/>
      <c r="I23" s="2256"/>
      <c r="J23" s="2257"/>
      <c r="K23" s="452"/>
      <c r="L23" s="452"/>
      <c r="M23" s="436"/>
      <c r="N23" s="441"/>
      <c r="O23" s="451"/>
      <c r="P23" s="441"/>
      <c r="Q23" s="441"/>
      <c r="R23" s="441"/>
      <c r="S23" s="436"/>
      <c r="T23" s="436"/>
      <c r="U23" s="436"/>
      <c r="X23" s="937" t="s">
        <v>515</v>
      </c>
      <c r="Y23" s="938"/>
      <c r="Z23" s="938"/>
      <c r="AA23" s="939"/>
    </row>
    <row r="24" spans="1:27" s="439" customFormat="1" ht="12.75" customHeight="1" x14ac:dyDescent="0.2">
      <c r="A24" s="2252"/>
      <c r="B24" s="2252"/>
      <c r="C24" s="501"/>
      <c r="D24" s="501">
        <f>IF(A24=$X$36,1-D25,1)</f>
        <v>1</v>
      </c>
      <c r="E24" s="443">
        <f>IF(M24,M24/IF(ISBLANK(J25),I25,J25)*D24,0)</f>
        <v>0</v>
      </c>
      <c r="F24" s="448" t="s">
        <v>4</v>
      </c>
      <c r="G24" s="454" t="s">
        <v>50</v>
      </c>
      <c r="H24" s="2258"/>
      <c r="I24" s="2258"/>
      <c r="J24" s="464" t="s">
        <v>51</v>
      </c>
      <c r="K24" s="443"/>
      <c r="L24" s="443"/>
      <c r="M24" s="319"/>
      <c r="N24" s="448" t="s">
        <v>4</v>
      </c>
      <c r="O24" s="451"/>
      <c r="P24" s="441"/>
      <c r="Q24" s="441"/>
      <c r="R24" s="441"/>
      <c r="S24" s="436"/>
      <c r="T24" s="436"/>
      <c r="U24" s="436"/>
      <c r="X24" s="940" t="str">
        <f>G27</f>
        <v>Gasmotorwärmepumpe</v>
      </c>
      <c r="Y24" s="941"/>
      <c r="Z24" s="941"/>
      <c r="AA24" s="942">
        <f>ROUND(IF(E27=0,0,H28*(1-1/IF(ISBLANK(J29),I29,J29))),0)</f>
        <v>0</v>
      </c>
    </row>
    <row r="25" spans="1:27" s="439" customFormat="1" ht="12.75" customHeight="1" thickBot="1" x14ac:dyDescent="0.25">
      <c r="A25" s="2269" t="str">
        <f>IF(A24=$X$36,Berechnungen!$A$34,"")</f>
        <v/>
      </c>
      <c r="B25" s="2269"/>
      <c r="C25" s="496"/>
      <c r="D25" s="1591">
        <v>0.25</v>
      </c>
      <c r="E25" s="1438">
        <f>IF(AND(M24&gt;0,A24=$X$36),M24/IF(ISBLANK(J25),I25,J25)*D25,0)</f>
        <v>0</v>
      </c>
      <c r="F25" s="441"/>
      <c r="G25" s="465"/>
      <c r="H25" s="466" t="s">
        <v>46</v>
      </c>
      <c r="I25" s="327">
        <f>IF(ISBLANK(H24),0,IFERROR(HLOOKUP(A24,Grunddaten!H121:Y125,4,FALSE),Grunddaten!H124))</f>
        <v>0</v>
      </c>
      <c r="J25" s="339"/>
      <c r="K25" s="458"/>
      <c r="L25" s="458"/>
      <c r="M25" s="1437"/>
      <c r="N25" s="441"/>
      <c r="O25" s="451"/>
      <c r="P25" s="441"/>
      <c r="Q25" s="441"/>
      <c r="R25" s="441"/>
      <c r="S25" s="436"/>
      <c r="T25" s="436"/>
      <c r="U25" s="436"/>
      <c r="X25" s="943" t="str">
        <f>G32</f>
        <v>Wärmepumpe 1</v>
      </c>
      <c r="Y25" s="885"/>
      <c r="Z25" s="885"/>
      <c r="AA25" s="944">
        <f>ROUND(IF(E32=0,0,H33*(1-1/IF(ISBLANK(J34),I34,J34))),0)</f>
        <v>0</v>
      </c>
    </row>
    <row r="26" spans="1:27" s="439" customFormat="1" ht="12.75" customHeight="1" thickBot="1" x14ac:dyDescent="0.25">
      <c r="A26" s="1445"/>
      <c r="B26" s="1445"/>
      <c r="C26" s="340"/>
      <c r="D26" s="340"/>
      <c r="E26" s="1439"/>
      <c r="F26" s="441"/>
      <c r="G26" s="436"/>
      <c r="H26" s="436"/>
      <c r="I26" s="436"/>
      <c r="J26" s="436"/>
      <c r="K26" s="458"/>
      <c r="L26" s="458"/>
      <c r="M26" s="1437"/>
      <c r="N26" s="441"/>
      <c r="O26" s="451"/>
      <c r="P26" s="441"/>
      <c r="Q26" s="441"/>
      <c r="R26" s="441"/>
      <c r="S26" s="436"/>
      <c r="T26" s="436"/>
      <c r="U26" s="436"/>
      <c r="X26" s="945" t="str">
        <f>G36</f>
        <v>Wärmepumpe 2</v>
      </c>
      <c r="Y26" s="946"/>
      <c r="Z26" s="946"/>
      <c r="AA26" s="947">
        <f>ROUND(IF(E36=0,0,H37*(1-1/IF(ISBLANK(J38),I38,J38))),0)</f>
        <v>0</v>
      </c>
    </row>
    <row r="27" spans="1:27" s="439" customFormat="1" ht="12.75" customHeight="1" x14ac:dyDescent="0.2">
      <c r="A27" s="2252"/>
      <c r="B27" s="2252"/>
      <c r="C27" s="467"/>
      <c r="D27" s="577"/>
      <c r="E27" s="468">
        <f>M28-E29-E30</f>
        <v>0</v>
      </c>
      <c r="F27" s="448" t="s">
        <v>4</v>
      </c>
      <c r="G27" s="2255" t="s">
        <v>244</v>
      </c>
      <c r="H27" s="2256"/>
      <c r="I27" s="2256"/>
      <c r="J27" s="2257"/>
      <c r="K27" s="458"/>
      <c r="L27" s="458"/>
      <c r="M27" s="1437"/>
      <c r="N27" s="441"/>
      <c r="O27" s="451"/>
      <c r="P27" s="441"/>
      <c r="Q27" s="441"/>
      <c r="R27" s="441"/>
      <c r="S27" s="436"/>
      <c r="T27" s="436"/>
      <c r="U27" s="436"/>
      <c r="X27" s="900"/>
      <c r="Y27" s="900"/>
      <c r="Z27" s="900"/>
      <c r="AA27" s="900"/>
    </row>
    <row r="28" spans="1:27" s="439" customFormat="1" ht="12.75" customHeight="1" x14ac:dyDescent="0.2">
      <c r="A28" s="1445"/>
      <c r="B28" s="1445"/>
      <c r="C28" s="340"/>
      <c r="D28" s="340"/>
      <c r="E28" s="1439"/>
      <c r="F28" s="441"/>
      <c r="G28" s="454" t="s">
        <v>50</v>
      </c>
      <c r="H28" s="2258"/>
      <c r="I28" s="2258"/>
      <c r="J28" s="464" t="s">
        <v>51</v>
      </c>
      <c r="K28" s="443"/>
      <c r="L28" s="443"/>
      <c r="M28" s="319"/>
      <c r="N28" s="448" t="s">
        <v>4</v>
      </c>
      <c r="O28" s="451"/>
      <c r="P28" s="441"/>
      <c r="Q28" s="441"/>
      <c r="R28" s="441"/>
      <c r="S28" s="436"/>
      <c r="T28" s="436"/>
      <c r="U28" s="436"/>
      <c r="X28" s="937" t="s">
        <v>517</v>
      </c>
      <c r="Y28" s="938"/>
      <c r="Z28" s="938"/>
      <c r="AA28" s="939"/>
    </row>
    <row r="29" spans="1:27" s="439" customFormat="1" ht="12.75" customHeight="1" thickBot="1" x14ac:dyDescent="0.25">
      <c r="A29" s="2280" t="str">
        <f>X36</f>
        <v>Erdgas</v>
      </c>
      <c r="B29" s="2280"/>
      <c r="C29" s="501"/>
      <c r="D29" s="501">
        <f>IF(A29=$X$36,1-D30,1)</f>
        <v>0.75</v>
      </c>
      <c r="E29" s="443">
        <f>IF(M28,M28/IF(ISBLANK(J29),I29,J29)*D29,0)</f>
        <v>0</v>
      </c>
      <c r="F29" s="448" t="s">
        <v>4</v>
      </c>
      <c r="G29" s="465"/>
      <c r="H29" s="466" t="s">
        <v>65</v>
      </c>
      <c r="I29" s="327">
        <f>IF(ISBLANK(H28),0,IFERROR(HLOOKUP(A27,Grunddaten!H126:Y130,2,FALSE),Grunddaten!H127))</f>
        <v>0</v>
      </c>
      <c r="J29" s="339"/>
      <c r="K29" s="441"/>
      <c r="L29" s="441"/>
      <c r="M29" s="436"/>
      <c r="N29" s="441"/>
      <c r="O29" s="451"/>
      <c r="P29" s="441"/>
      <c r="Q29" s="441"/>
      <c r="R29" s="441"/>
      <c r="S29" s="436"/>
      <c r="T29" s="1451"/>
      <c r="U29" s="1451"/>
      <c r="V29" s="469"/>
      <c r="X29" s="940" t="s">
        <v>536</v>
      </c>
      <c r="Y29" s="941"/>
      <c r="Z29" s="941"/>
      <c r="AA29" s="942">
        <f>I11</f>
        <v>0</v>
      </c>
    </row>
    <row r="30" spans="1:27" s="439" customFormat="1" ht="12.75" customHeight="1" x14ac:dyDescent="0.2">
      <c r="A30" s="2269" t="str">
        <f>IF(A29=$X$36,Berechnungen!$A$34,"")</f>
        <v>Biogas</v>
      </c>
      <c r="B30" s="2269"/>
      <c r="C30" s="496"/>
      <c r="D30" s="1591">
        <v>0.25</v>
      </c>
      <c r="E30" s="1438">
        <f>IF(AND(M28&gt;0,A29=$X$36),M28/IF(ISBLANK(J29),I29,J29)*D30,0)</f>
        <v>0</v>
      </c>
      <c r="F30" s="441"/>
      <c r="G30" s="436"/>
      <c r="H30" s="436"/>
      <c r="I30" s="436"/>
      <c r="J30" s="436"/>
      <c r="K30" s="441"/>
      <c r="L30" s="441"/>
      <c r="M30" s="436"/>
      <c r="N30" s="441"/>
      <c r="O30" s="451"/>
      <c r="P30" s="2261" t="s">
        <v>528</v>
      </c>
      <c r="Q30" s="2265"/>
      <c r="R30" s="634"/>
      <c r="S30" s="2255" t="s">
        <v>529</v>
      </c>
      <c r="T30" s="2256"/>
      <c r="U30" s="2257"/>
      <c r="X30" s="945" t="s">
        <v>245</v>
      </c>
      <c r="Y30" s="946"/>
      <c r="Z30" s="946"/>
      <c r="AA30" s="947">
        <f>IF(AND(H41&gt;0,A42=X20),H41/IF(J42,J42,I42),0)</f>
        <v>0</v>
      </c>
    </row>
    <row r="31" spans="1:27" s="439" customFormat="1" ht="12.75" customHeight="1" thickBot="1" x14ac:dyDescent="0.25">
      <c r="A31" s="1445"/>
      <c r="B31" s="1445"/>
      <c r="C31" s="340"/>
      <c r="D31" s="340"/>
      <c r="E31" s="1439"/>
      <c r="F31" s="441"/>
      <c r="G31" s="436"/>
      <c r="H31" s="436"/>
      <c r="I31" s="436"/>
      <c r="J31" s="436"/>
      <c r="K31" s="441"/>
      <c r="L31" s="441"/>
      <c r="M31" s="436"/>
      <c r="N31" s="441"/>
      <c r="O31" s="451"/>
      <c r="P31" s="2263" t="s">
        <v>527</v>
      </c>
      <c r="Q31" s="2266"/>
      <c r="R31" s="441"/>
      <c r="S31" s="2270"/>
      <c r="T31" s="2271"/>
      <c r="U31" s="2272"/>
      <c r="X31" s="948" t="s">
        <v>518</v>
      </c>
      <c r="Y31" s="938"/>
      <c r="Z31" s="938"/>
      <c r="AA31" s="949">
        <f>ROUNDUP(SUM(AA29:AA30),-1)</f>
        <v>0</v>
      </c>
    </row>
    <row r="32" spans="1:27" s="439" customFormat="1" ht="12.75" customHeight="1" x14ac:dyDescent="0.2">
      <c r="A32" s="2252"/>
      <c r="B32" s="2252"/>
      <c r="C32" s="467"/>
      <c r="D32" s="577"/>
      <c r="E32" s="468">
        <f>M33-E34</f>
        <v>0</v>
      </c>
      <c r="F32" s="448" t="s">
        <v>4</v>
      </c>
      <c r="G32" s="2255" t="s">
        <v>64</v>
      </c>
      <c r="H32" s="2256"/>
      <c r="I32" s="2256"/>
      <c r="J32" s="2257"/>
      <c r="K32" s="452"/>
      <c r="L32" s="452"/>
      <c r="M32" s="436"/>
      <c r="N32" s="441"/>
      <c r="O32" s="459"/>
      <c r="P32" s="2260"/>
      <c r="Q32" s="2260"/>
      <c r="R32" s="453"/>
      <c r="S32" s="2273"/>
      <c r="T32" s="2274"/>
      <c r="U32" s="2275"/>
    </row>
    <row r="33" spans="1:27" s="439" customFormat="1" ht="12.75" customHeight="1" x14ac:dyDescent="0.2">
      <c r="A33" s="435"/>
      <c r="B33" s="435"/>
      <c r="C33" s="450"/>
      <c r="D33" s="450"/>
      <c r="E33" s="1440"/>
      <c r="F33" s="441"/>
      <c r="G33" s="454" t="s">
        <v>50</v>
      </c>
      <c r="H33" s="2258"/>
      <c r="I33" s="2258"/>
      <c r="J33" s="464" t="s">
        <v>51</v>
      </c>
      <c r="K33" s="443"/>
      <c r="L33" s="443"/>
      <c r="M33" s="319"/>
      <c r="N33" s="448" t="s">
        <v>4</v>
      </c>
      <c r="O33" s="451"/>
      <c r="P33" s="2267" t="s">
        <v>555</v>
      </c>
      <c r="Q33" s="2268"/>
      <c r="R33" s="441"/>
      <c r="S33" s="606" t="s">
        <v>70</v>
      </c>
      <c r="T33" s="461"/>
      <c r="U33" s="462"/>
      <c r="X33" s="886" t="s">
        <v>796</v>
      </c>
      <c r="Y33" s="887"/>
      <c r="Z33" s="887"/>
      <c r="AA33" s="888"/>
    </row>
    <row r="34" spans="1:27" s="439" customFormat="1" ht="12.75" customHeight="1" thickBot="1" x14ac:dyDescent="0.25">
      <c r="A34" s="435"/>
      <c r="B34" s="435"/>
      <c r="C34" s="471"/>
      <c r="D34" s="442"/>
      <c r="E34" s="468">
        <f>IF(M33,M33/IF(ISBLANK(J34),I34,J34),0)</f>
        <v>0</v>
      </c>
      <c r="F34" s="448" t="s">
        <v>4</v>
      </c>
      <c r="G34" s="465"/>
      <c r="H34" s="466" t="s">
        <v>65</v>
      </c>
      <c r="I34" s="327">
        <f>IF(ISBLANK(H33),0,IFERROR(HLOOKUP(A32,Grunddaten!H126:Y130,3,FALSE),Grunddaten!H128))</f>
        <v>0</v>
      </c>
      <c r="J34" s="339"/>
      <c r="K34" s="458"/>
      <c r="L34" s="458"/>
      <c r="M34" s="1437"/>
      <c r="N34" s="441"/>
      <c r="O34" s="451"/>
      <c r="P34" s="441"/>
      <c r="Q34" s="441"/>
      <c r="R34" s="441"/>
      <c r="S34" s="2250">
        <f>Projektdaten!K31</f>
        <v>0</v>
      </c>
      <c r="T34" s="2251"/>
      <c r="U34" s="605" t="s">
        <v>4</v>
      </c>
      <c r="X34" s="891" t="str">
        <f>Berechnungen!A36</f>
        <v>Holzpellets</v>
      </c>
      <c r="Y34" s="889"/>
      <c r="Z34" s="889"/>
      <c r="AA34" s="890"/>
    </row>
    <row r="35" spans="1:27" s="439" customFormat="1" ht="12.75" customHeight="1" thickBot="1" x14ac:dyDescent="0.25">
      <c r="A35" s="435"/>
      <c r="B35" s="435"/>
      <c r="C35" s="472"/>
      <c r="D35" s="450"/>
      <c r="E35" s="1440"/>
      <c r="F35" s="441"/>
      <c r="G35" s="436"/>
      <c r="H35" s="436"/>
      <c r="I35" s="436"/>
      <c r="J35" s="436"/>
      <c r="K35" s="441"/>
      <c r="L35" s="441"/>
      <c r="M35" s="436"/>
      <c r="N35" s="441"/>
      <c r="O35" s="451"/>
      <c r="P35" s="441"/>
      <c r="Q35" s="441"/>
      <c r="R35" s="441"/>
      <c r="S35" s="606" t="s">
        <v>526</v>
      </c>
      <c r="T35" s="607"/>
      <c r="U35" s="608"/>
      <c r="X35" s="892" t="str">
        <f>Berechnungen!A35</f>
        <v>Holzschnitzel</v>
      </c>
      <c r="Y35" s="884"/>
      <c r="Z35" s="884"/>
      <c r="AA35" s="893"/>
    </row>
    <row r="36" spans="1:27" s="439" customFormat="1" ht="12.75" customHeight="1" thickBot="1" x14ac:dyDescent="0.25">
      <c r="A36" s="2252"/>
      <c r="B36" s="2252"/>
      <c r="C36" s="467"/>
      <c r="D36" s="467"/>
      <c r="E36" s="468">
        <f>M37-E38</f>
        <v>0</v>
      </c>
      <c r="F36" s="448" t="s">
        <v>4</v>
      </c>
      <c r="G36" s="2277" t="s">
        <v>71</v>
      </c>
      <c r="H36" s="2278"/>
      <c r="I36" s="2278"/>
      <c r="J36" s="2279"/>
      <c r="K36" s="452"/>
      <c r="L36" s="452"/>
      <c r="M36" s="436"/>
      <c r="N36" s="441"/>
      <c r="O36" s="451"/>
      <c r="P36" s="441"/>
      <c r="Q36" s="441"/>
      <c r="S36" s="2253">
        <f>S34*(1+P32)</f>
        <v>0</v>
      </c>
      <c r="T36" s="2254"/>
      <c r="U36" s="463" t="s">
        <v>4</v>
      </c>
      <c r="X36" s="892" t="str">
        <f>Berechnungen!A33</f>
        <v>Erdgas</v>
      </c>
      <c r="Y36" s="884"/>
      <c r="Z36" s="884"/>
      <c r="AA36" s="893"/>
    </row>
    <row r="37" spans="1:27" s="439" customFormat="1" ht="12.75" customHeight="1" x14ac:dyDescent="0.2">
      <c r="A37" s="435"/>
      <c r="B37" s="435"/>
      <c r="C37" s="472"/>
      <c r="D37" s="450"/>
      <c r="E37" s="1440"/>
      <c r="F37" s="441"/>
      <c r="G37" s="454" t="s">
        <v>50</v>
      </c>
      <c r="H37" s="2258"/>
      <c r="I37" s="2258"/>
      <c r="J37" s="464" t="s">
        <v>51</v>
      </c>
      <c r="K37" s="443"/>
      <c r="L37" s="443"/>
      <c r="M37" s="319"/>
      <c r="N37" s="448" t="s">
        <v>4</v>
      </c>
      <c r="O37" s="451"/>
      <c r="P37" s="441"/>
      <c r="Q37" s="441"/>
      <c r="S37" s="436"/>
      <c r="T37" s="436"/>
      <c r="U37" s="436"/>
      <c r="X37" s="892" t="str">
        <f>Berechnungen!A32</f>
        <v>Heizöl EL</v>
      </c>
      <c r="Y37" s="884"/>
      <c r="Z37" s="884"/>
      <c r="AA37" s="893"/>
    </row>
    <row r="38" spans="1:27" s="439" customFormat="1" ht="12.75" customHeight="1" thickBot="1" x14ac:dyDescent="0.25">
      <c r="A38" s="435"/>
      <c r="B38" s="435"/>
      <c r="C38" s="473"/>
      <c r="D38" s="442"/>
      <c r="E38" s="468">
        <f>IF(M37,M37/IF(ISBLANK(J38),I38,J38),0)</f>
        <v>0</v>
      </c>
      <c r="F38" s="448" t="s">
        <v>4</v>
      </c>
      <c r="G38" s="465"/>
      <c r="H38" s="466" t="s">
        <v>65</v>
      </c>
      <c r="I38" s="327">
        <f>IF(ISBLANK(H37),0,IFERROR(HLOOKUP(A36,Grunddaten!H126:Y130,3,FALSE),Grunddaten!H128))</f>
        <v>0</v>
      </c>
      <c r="J38" s="339"/>
      <c r="K38" s="458"/>
      <c r="L38" s="458"/>
      <c r="M38" s="1437"/>
      <c r="N38" s="441"/>
      <c r="O38" s="451"/>
      <c r="P38" s="441"/>
      <c r="Q38" s="441"/>
      <c r="R38" s="441"/>
      <c r="S38" s="1452" t="s">
        <v>88</v>
      </c>
      <c r="T38" s="436"/>
      <c r="U38" s="436"/>
      <c r="X38" s="894" t="str">
        <f>Berechnungen!A37</f>
        <v>Brennstoff XY</v>
      </c>
      <c r="Y38" s="895"/>
      <c r="Z38" s="895"/>
      <c r="AA38" s="896"/>
    </row>
    <row r="39" spans="1:27" s="439" customFormat="1" ht="12.75" customHeight="1" thickBot="1" x14ac:dyDescent="0.25">
      <c r="A39" s="435"/>
      <c r="B39" s="435"/>
      <c r="C39" s="472"/>
      <c r="D39" s="450"/>
      <c r="E39" s="436"/>
      <c r="F39" s="441"/>
      <c r="G39" s="436"/>
      <c r="H39" s="436"/>
      <c r="I39" s="436"/>
      <c r="J39" s="436"/>
      <c r="K39" s="441"/>
      <c r="L39" s="441"/>
      <c r="M39" s="436"/>
      <c r="N39" s="441"/>
      <c r="O39" s="451"/>
      <c r="P39" s="441"/>
      <c r="Q39" s="441"/>
      <c r="R39" s="441"/>
      <c r="S39" s="2298" t="e">
        <f>ROUND((M11+M13+M16+M20+M24+M28+M33+M37+M40+M44+M48+M59+R59)/(S21+S36),2)</f>
        <v>#DIV/0!</v>
      </c>
      <c r="T39" s="2298"/>
      <c r="U39" s="436"/>
    </row>
    <row r="40" spans="1:27" s="439" customFormat="1" ht="12.75" customHeight="1" x14ac:dyDescent="0.2">
      <c r="A40" s="448"/>
      <c r="B40" s="443">
        <f>M42+E42-M40</f>
        <v>0</v>
      </c>
      <c r="C40" s="474" t="s">
        <v>4</v>
      </c>
      <c r="D40" s="442"/>
      <c r="E40" s="442"/>
      <c r="F40" s="475" t="s">
        <v>80</v>
      </c>
      <c r="G40" s="2255" t="s">
        <v>245</v>
      </c>
      <c r="H40" s="2256"/>
      <c r="I40" s="2256"/>
      <c r="J40" s="2257"/>
      <c r="K40" s="476" t="s">
        <v>119</v>
      </c>
      <c r="L40" s="443"/>
      <c r="M40" s="319"/>
      <c r="N40" s="448" t="s">
        <v>4</v>
      </c>
      <c r="O40" s="451"/>
      <c r="P40" s="441"/>
      <c r="Q40" s="441"/>
      <c r="R40" s="612"/>
      <c r="S40" s="2294">
        <f>ROUND((M11+M13+M16+M20+M24+M28+M33+M37+M40+M44+M48+M59+R59)-(S21+S36),-2)</f>
        <v>0</v>
      </c>
      <c r="T40" s="2294"/>
      <c r="U40" s="2294"/>
    </row>
    <row r="41" spans="1:27" s="439" customFormat="1" ht="12.75" customHeight="1" x14ac:dyDescent="0.2">
      <c r="A41" s="1441"/>
      <c r="B41" s="435"/>
      <c r="C41" s="472"/>
      <c r="D41" s="450"/>
      <c r="E41" s="436"/>
      <c r="F41" s="441"/>
      <c r="G41" s="454" t="s">
        <v>50</v>
      </c>
      <c r="H41" s="2258"/>
      <c r="I41" s="2258"/>
      <c r="J41" s="464" t="s">
        <v>51</v>
      </c>
      <c r="K41" s="441"/>
      <c r="L41" s="441"/>
      <c r="M41" s="436"/>
      <c r="N41" s="441"/>
      <c r="O41" s="451"/>
      <c r="P41" s="441"/>
      <c r="Q41" s="449"/>
      <c r="R41" s="441"/>
      <c r="S41" s="436"/>
      <c r="T41" s="436"/>
      <c r="U41" s="436"/>
    </row>
    <row r="42" spans="1:27" s="439" customFormat="1" ht="12.75" customHeight="1" thickBot="1" x14ac:dyDescent="0.25">
      <c r="A42" s="2296"/>
      <c r="B42" s="2296"/>
      <c r="C42" s="313"/>
      <c r="D42" s="313"/>
      <c r="E42" s="313">
        <f>IF(M42,M42/IF(ISBLANK(J42),I42,J42),0)</f>
        <v>0</v>
      </c>
      <c r="F42" s="318" t="s">
        <v>4</v>
      </c>
      <c r="G42" s="465"/>
      <c r="H42" s="466" t="s">
        <v>65</v>
      </c>
      <c r="I42" s="327">
        <f>IF(ISBLANK(H41),0,Grunddaten!H130)</f>
        <v>0</v>
      </c>
      <c r="J42" s="339"/>
      <c r="K42" s="448"/>
      <c r="L42" s="448"/>
      <c r="M42" s="319"/>
      <c r="N42" s="445" t="s">
        <v>4</v>
      </c>
      <c r="O42" s="448"/>
      <c r="P42" s="448"/>
      <c r="Q42" s="477"/>
      <c r="R42" s="441"/>
      <c r="S42" s="436"/>
      <c r="T42" s="436"/>
      <c r="U42" s="436"/>
    </row>
    <row r="43" spans="1:27" s="439" customFormat="1" ht="12.75" customHeight="1" thickBot="1" x14ac:dyDescent="0.25">
      <c r="A43" s="436"/>
      <c r="B43" s="1442"/>
      <c r="C43" s="472"/>
      <c r="D43" s="450"/>
      <c r="E43" s="436"/>
      <c r="F43" s="441"/>
      <c r="G43" s="436"/>
      <c r="H43" s="436"/>
      <c r="I43" s="436"/>
      <c r="J43" s="436"/>
      <c r="K43" s="452"/>
      <c r="L43" s="452"/>
      <c r="M43" s="436"/>
      <c r="N43" s="441"/>
      <c r="O43" s="451"/>
      <c r="P43" s="441"/>
      <c r="Q43" s="451"/>
      <c r="R43" s="635" t="s">
        <v>528</v>
      </c>
      <c r="S43" s="2255" t="s">
        <v>45</v>
      </c>
      <c r="T43" s="2256"/>
      <c r="U43" s="2257"/>
    </row>
    <row r="44" spans="1:27" s="439" customFormat="1" ht="12.75" customHeight="1" x14ac:dyDescent="0.2">
      <c r="A44" s="448"/>
      <c r="B44" s="443">
        <f>M46+E46-M44</f>
        <v>0</v>
      </c>
      <c r="C44" s="474" t="s">
        <v>4</v>
      </c>
      <c r="D44" s="442"/>
      <c r="E44" s="442"/>
      <c r="F44" s="475" t="s">
        <v>80</v>
      </c>
      <c r="G44" s="2255" t="s">
        <v>79</v>
      </c>
      <c r="H44" s="2256"/>
      <c r="I44" s="2256"/>
      <c r="J44" s="2257"/>
      <c r="K44" s="476" t="s">
        <v>119</v>
      </c>
      <c r="L44" s="443"/>
      <c r="M44" s="319"/>
      <c r="N44" s="448" t="s">
        <v>4</v>
      </c>
      <c r="O44" s="451"/>
      <c r="P44" s="441"/>
      <c r="Q44" s="451"/>
      <c r="R44" s="635" t="s">
        <v>527</v>
      </c>
      <c r="S44" s="2270"/>
      <c r="T44" s="2271"/>
      <c r="U44" s="2272"/>
    </row>
    <row r="45" spans="1:27" s="439" customFormat="1" ht="12.75" customHeight="1" x14ac:dyDescent="0.2">
      <c r="A45" s="436"/>
      <c r="B45" s="435"/>
      <c r="C45" s="472"/>
      <c r="D45" s="450"/>
      <c r="E45" s="436"/>
      <c r="F45" s="441"/>
      <c r="G45" s="454" t="s">
        <v>50</v>
      </c>
      <c r="H45" s="2258"/>
      <c r="I45" s="2258"/>
      <c r="J45" s="464" t="s">
        <v>51</v>
      </c>
      <c r="K45" s="441"/>
      <c r="L45" s="441"/>
      <c r="M45" s="1437"/>
      <c r="N45" s="441"/>
      <c r="O45" s="478"/>
      <c r="P45" s="441"/>
      <c r="Q45" s="451"/>
      <c r="R45" s="633"/>
      <c r="S45" s="2270"/>
      <c r="T45" s="2271"/>
      <c r="U45" s="2272"/>
    </row>
    <row r="46" spans="1:27" s="439" customFormat="1" ht="12.75" customHeight="1" thickBot="1" x14ac:dyDescent="0.25">
      <c r="A46" s="435"/>
      <c r="B46" s="435"/>
      <c r="C46" s="473"/>
      <c r="D46" s="442"/>
      <c r="E46" s="443">
        <f>IF(M46,M46/IF(ISBLANK(J46),I46,J46),0)</f>
        <v>0</v>
      </c>
      <c r="F46" s="448" t="s">
        <v>4</v>
      </c>
      <c r="G46" s="465"/>
      <c r="H46" s="466" t="s">
        <v>65</v>
      </c>
      <c r="I46" s="327">
        <f>IF(ISBLANK(H45),0,Grunddaten!H129)</f>
        <v>0</v>
      </c>
      <c r="J46" s="339"/>
      <c r="K46" s="448"/>
      <c r="L46" s="448"/>
      <c r="M46" s="319"/>
      <c r="N46" s="445" t="s">
        <v>4</v>
      </c>
      <c r="O46" s="448"/>
      <c r="P46" s="448"/>
      <c r="Q46" s="477"/>
      <c r="R46" s="635" t="s">
        <v>555</v>
      </c>
      <c r="S46" s="606" t="s">
        <v>70</v>
      </c>
      <c r="T46" s="461"/>
      <c r="U46" s="462"/>
    </row>
    <row r="47" spans="1:27" s="439" customFormat="1" ht="12.75" customHeight="1" thickBot="1" x14ac:dyDescent="0.25">
      <c r="A47" s="436"/>
      <c r="B47" s="435"/>
      <c r="C47" s="472"/>
      <c r="D47" s="450"/>
      <c r="E47" s="436"/>
      <c r="F47" s="441"/>
      <c r="G47" s="436"/>
      <c r="H47" s="436"/>
      <c r="I47" s="436"/>
      <c r="J47" s="436"/>
      <c r="K47" s="441"/>
      <c r="L47" s="441"/>
      <c r="M47" s="436"/>
      <c r="N47" s="441"/>
      <c r="O47" s="449"/>
      <c r="P47" s="441"/>
      <c r="Q47" s="451"/>
      <c r="R47" s="441"/>
      <c r="S47" s="2250">
        <f>Projektdaten!K33</f>
        <v>0</v>
      </c>
      <c r="T47" s="2251"/>
      <c r="U47" s="605" t="s">
        <v>4</v>
      </c>
    </row>
    <row r="48" spans="1:27" s="439" customFormat="1" ht="12.75" customHeight="1" x14ac:dyDescent="0.2">
      <c r="A48" s="448"/>
      <c r="B48" s="443">
        <f>M50+E50-M48</f>
        <v>0</v>
      </c>
      <c r="C48" s="474" t="s">
        <v>4</v>
      </c>
      <c r="D48" s="442"/>
      <c r="E48" s="442"/>
      <c r="F48" s="475" t="s">
        <v>80</v>
      </c>
      <c r="G48" s="2255" t="s">
        <v>149</v>
      </c>
      <c r="H48" s="2256"/>
      <c r="I48" s="2256"/>
      <c r="J48" s="2257"/>
      <c r="K48" s="476" t="s">
        <v>119</v>
      </c>
      <c r="L48" s="443"/>
      <c r="M48" s="319"/>
      <c r="N48" s="448" t="s">
        <v>4</v>
      </c>
      <c r="O48" s="451"/>
      <c r="P48" s="441"/>
      <c r="Q48" s="451"/>
      <c r="S48" s="606" t="s">
        <v>526</v>
      </c>
      <c r="T48" s="461"/>
      <c r="U48" s="462"/>
    </row>
    <row r="49" spans="1:27" s="439" customFormat="1" ht="12.75" customHeight="1" thickBot="1" x14ac:dyDescent="0.25">
      <c r="A49" s="436"/>
      <c r="B49" s="435"/>
      <c r="C49" s="472"/>
      <c r="D49" s="450"/>
      <c r="E49" s="436"/>
      <c r="F49" s="441"/>
      <c r="G49" s="454" t="s">
        <v>50</v>
      </c>
      <c r="H49" s="2258"/>
      <c r="I49" s="2258"/>
      <c r="J49" s="464" t="s">
        <v>51</v>
      </c>
      <c r="K49" s="441"/>
      <c r="L49" s="441"/>
      <c r="M49" s="1437"/>
      <c r="N49" s="441"/>
      <c r="O49" s="478"/>
      <c r="P49" s="441"/>
      <c r="Q49" s="451"/>
      <c r="S49" s="2253">
        <f>S47*(1+R45)</f>
        <v>0</v>
      </c>
      <c r="T49" s="2254"/>
      <c r="U49" s="463" t="s">
        <v>4</v>
      </c>
    </row>
    <row r="50" spans="1:27" s="439" customFormat="1" ht="12.75" customHeight="1" thickBot="1" x14ac:dyDescent="0.25">
      <c r="A50" s="435"/>
      <c r="B50" s="435"/>
      <c r="C50" s="473"/>
      <c r="D50" s="442"/>
      <c r="E50" s="443">
        <f>IF(M50,M50/IF(ISBLANK(J50),I50,J50),0)</f>
        <v>0</v>
      </c>
      <c r="F50" s="448" t="s">
        <v>4</v>
      </c>
      <c r="G50" s="465"/>
      <c r="H50" s="466" t="s">
        <v>65</v>
      </c>
      <c r="I50" s="327">
        <f>IF(ISBLANK(H49),0,Grunddaten!H129)</f>
        <v>0</v>
      </c>
      <c r="J50" s="339"/>
      <c r="K50" s="448"/>
      <c r="L50" s="448"/>
      <c r="M50" s="319"/>
      <c r="N50" s="445" t="s">
        <v>4</v>
      </c>
      <c r="O50" s="448"/>
      <c r="P50" s="448"/>
      <c r="Q50" s="477"/>
      <c r="S50" s="436"/>
      <c r="T50" s="436"/>
      <c r="U50" s="436"/>
    </row>
    <row r="51" spans="1:27" s="439" customFormat="1" ht="12.75" customHeight="1" thickBot="1" x14ac:dyDescent="0.25">
      <c r="A51" s="435"/>
      <c r="B51" s="435"/>
      <c r="C51" s="472"/>
      <c r="D51" s="450"/>
      <c r="E51" s="436"/>
      <c r="F51" s="441"/>
      <c r="G51" s="436"/>
      <c r="H51" s="436"/>
      <c r="I51" s="436"/>
      <c r="J51" s="436"/>
      <c r="K51" s="441"/>
      <c r="L51" s="441"/>
      <c r="M51" s="436"/>
      <c r="N51" s="441"/>
      <c r="O51" s="449"/>
      <c r="P51" s="441"/>
      <c r="Q51" s="451"/>
      <c r="R51" s="441"/>
      <c r="S51" s="1452" t="s">
        <v>88</v>
      </c>
      <c r="T51" s="1462"/>
      <c r="U51" s="1462"/>
    </row>
    <row r="52" spans="1:27" s="439" customFormat="1" ht="12.75" customHeight="1" x14ac:dyDescent="0.2">
      <c r="A52" s="448"/>
      <c r="B52" s="443">
        <f>M53+E54</f>
        <v>0</v>
      </c>
      <c r="C52" s="474" t="s">
        <v>4</v>
      </c>
      <c r="D52" s="442"/>
      <c r="E52" s="442"/>
      <c r="F52" s="475" t="s">
        <v>80</v>
      </c>
      <c r="G52" s="2255" t="s">
        <v>122</v>
      </c>
      <c r="H52" s="2256"/>
      <c r="I52" s="2256"/>
      <c r="J52" s="2257"/>
      <c r="K52" s="441"/>
      <c r="L52" s="441"/>
      <c r="M52" s="436"/>
      <c r="N52" s="441"/>
      <c r="O52" s="451"/>
      <c r="P52" s="441"/>
      <c r="Q52" s="451"/>
      <c r="R52" s="441"/>
      <c r="S52" s="1453" t="e">
        <f>ROUND((M42+M46+M50+M53+M56)/S49,2)</f>
        <v>#DIV/0!</v>
      </c>
      <c r="T52" s="1462"/>
      <c r="U52" s="1462"/>
      <c r="Z52" s="2285"/>
      <c r="AA52" s="2286"/>
    </row>
    <row r="53" spans="1:27" s="439" customFormat="1" ht="12.75" customHeight="1" x14ac:dyDescent="0.2">
      <c r="A53" s="435"/>
      <c r="B53" s="435"/>
      <c r="C53" s="472"/>
      <c r="D53" s="450"/>
      <c r="E53" s="436"/>
      <c r="F53" s="441"/>
      <c r="G53" s="454" t="s">
        <v>50</v>
      </c>
      <c r="H53" s="2258"/>
      <c r="I53" s="2258"/>
      <c r="J53" s="464" t="s">
        <v>51</v>
      </c>
      <c r="K53" s="448"/>
      <c r="L53" s="448"/>
      <c r="M53" s="319"/>
      <c r="N53" s="445" t="s">
        <v>4</v>
      </c>
      <c r="O53" s="448"/>
      <c r="P53" s="448"/>
      <c r="Q53" s="477"/>
      <c r="R53" s="441"/>
      <c r="S53" s="2294">
        <f>ROUND((M42+M46+M50+M53+M56)-S49,-2)</f>
        <v>0</v>
      </c>
      <c r="T53" s="2294"/>
      <c r="U53" s="2294"/>
    </row>
    <row r="54" spans="1:27" s="439" customFormat="1" ht="12.75" customHeight="1" thickBot="1" x14ac:dyDescent="0.25">
      <c r="A54" s="435"/>
      <c r="B54" s="435"/>
      <c r="C54" s="473"/>
      <c r="D54" s="442"/>
      <c r="E54" s="443">
        <f>IF(M53,M53/IF(ISBLANK(J54),I54,J54),0)</f>
        <v>0</v>
      </c>
      <c r="F54" s="448" t="s">
        <v>4</v>
      </c>
      <c r="G54" s="465"/>
      <c r="H54" s="466" t="s">
        <v>65</v>
      </c>
      <c r="I54" s="327">
        <f>IF(ISBLANK(H53),0,Grunddaten!H131)</f>
        <v>0</v>
      </c>
      <c r="J54" s="339"/>
      <c r="K54" s="441"/>
      <c r="L54" s="441"/>
      <c r="M54" s="436"/>
      <c r="N54" s="441"/>
      <c r="O54" s="451"/>
      <c r="P54" s="441"/>
      <c r="Q54" s="451"/>
      <c r="R54" s="441"/>
      <c r="S54" s="1454"/>
      <c r="T54" s="436"/>
      <c r="U54" s="436"/>
    </row>
    <row r="55" spans="1:27" s="439" customFormat="1" ht="12.75" customHeight="1" x14ac:dyDescent="0.2">
      <c r="A55" s="435"/>
      <c r="B55" s="435"/>
      <c r="C55" s="472"/>
      <c r="D55" s="450"/>
      <c r="E55" s="436"/>
      <c r="F55" s="441"/>
      <c r="G55" s="436"/>
      <c r="H55" s="436"/>
      <c r="I55" s="436"/>
      <c r="J55" s="436"/>
      <c r="K55" s="441"/>
      <c r="L55" s="441"/>
      <c r="M55" s="436"/>
      <c r="N55" s="441"/>
      <c r="O55" s="451"/>
      <c r="P55" s="441"/>
      <c r="Q55" s="451"/>
      <c r="R55" s="441"/>
      <c r="S55" s="436"/>
      <c r="T55" s="436"/>
      <c r="U55" s="436"/>
    </row>
    <row r="56" spans="1:27" s="439" customFormat="1" ht="12.75" customHeight="1" x14ac:dyDescent="0.2">
      <c r="A56" s="677" t="str">
        <f>Grunddaten!C56</f>
        <v>Kälteverbund XY</v>
      </c>
      <c r="B56" s="442"/>
      <c r="C56" s="442"/>
      <c r="D56" s="442"/>
      <c r="E56" s="443">
        <f>M56</f>
        <v>0</v>
      </c>
      <c r="F56" s="444" t="s">
        <v>4</v>
      </c>
      <c r="G56" s="445"/>
      <c r="H56" s="446" t="s">
        <v>235</v>
      </c>
      <c r="I56" s="316"/>
      <c r="J56" s="447" t="s">
        <v>51</v>
      </c>
      <c r="K56" s="448"/>
      <c r="L56" s="448"/>
      <c r="M56" s="319"/>
      <c r="N56" s="448" t="s">
        <v>4</v>
      </c>
      <c r="O56" s="448"/>
      <c r="P56" s="448"/>
      <c r="Q56" s="477"/>
      <c r="R56" s="441"/>
      <c r="S56" s="436"/>
      <c r="T56" s="436"/>
      <c r="U56" s="436"/>
    </row>
    <row r="57" spans="1:27" s="439" customFormat="1" ht="6" customHeight="1" x14ac:dyDescent="0.2">
      <c r="A57" s="1443"/>
      <c r="B57" s="1444"/>
      <c r="C57" s="472"/>
      <c r="D57" s="479"/>
      <c r="E57" s="436"/>
      <c r="F57" s="678"/>
      <c r="G57" s="1446"/>
      <c r="H57" s="436"/>
      <c r="I57" s="436"/>
      <c r="J57" s="436"/>
      <c r="K57" s="469"/>
      <c r="L57" s="469"/>
      <c r="M57" s="436"/>
      <c r="N57" s="469"/>
      <c r="O57" s="451"/>
      <c r="P57" s="469"/>
      <c r="Q57" s="478"/>
      <c r="R57" s="441"/>
      <c r="S57" s="436"/>
      <c r="T57" s="436"/>
      <c r="U57" s="436"/>
    </row>
    <row r="58" spans="1:27" s="439" customFormat="1" ht="12.75" customHeight="1" thickBot="1" x14ac:dyDescent="0.25">
      <c r="A58" s="435"/>
      <c r="B58" s="435"/>
      <c r="C58" s="472"/>
      <c r="D58" s="479"/>
      <c r="E58" s="436"/>
      <c r="F58" s="469"/>
      <c r="G58" s="1446"/>
      <c r="H58" s="436"/>
      <c r="I58" s="436"/>
      <c r="J58" s="436"/>
      <c r="K58" s="441"/>
      <c r="L58" s="441"/>
      <c r="M58" s="436"/>
      <c r="N58" s="436"/>
      <c r="O58" s="451"/>
      <c r="P58" s="436"/>
      <c r="Q58" s="1450"/>
      <c r="R58" s="436"/>
      <c r="S58" s="1454"/>
      <c r="T58" s="436"/>
      <c r="U58" s="436"/>
      <c r="Z58" s="2285"/>
      <c r="AA58" s="2286"/>
    </row>
    <row r="59" spans="1:27" s="439" customFormat="1" ht="12.75" customHeight="1" x14ac:dyDescent="0.2">
      <c r="A59" s="435"/>
      <c r="B59" s="435"/>
      <c r="C59" s="472"/>
      <c r="D59" s="450"/>
      <c r="E59" s="436"/>
      <c r="F59" s="441"/>
      <c r="G59" s="2255" t="s">
        <v>146</v>
      </c>
      <c r="H59" s="2256"/>
      <c r="I59" s="2256"/>
      <c r="J59" s="2257"/>
      <c r="K59" s="443"/>
      <c r="L59" s="443"/>
      <c r="M59" s="319"/>
      <c r="N59" s="448" t="s">
        <v>4</v>
      </c>
      <c r="O59" s="478"/>
      <c r="P59" s="448"/>
      <c r="Q59" s="448"/>
      <c r="R59" s="319"/>
      <c r="S59" s="445" t="s">
        <v>4</v>
      </c>
      <c r="T59" s="480"/>
      <c r="U59" s="436"/>
      <c r="X59" s="2285"/>
      <c r="Y59" s="2286"/>
    </row>
    <row r="60" spans="1:27" s="439" customFormat="1" ht="12.75" customHeight="1" x14ac:dyDescent="0.2">
      <c r="A60" s="2252"/>
      <c r="B60" s="2252"/>
      <c r="C60" s="501"/>
      <c r="D60" s="501">
        <f>IF(A60=$X$36,1-D61,1)</f>
        <v>1</v>
      </c>
      <c r="E60" s="443">
        <f>IF(M59,(M59+M61)/IF(ISBLANK(J61),I61,J61)*D60,0)</f>
        <v>0</v>
      </c>
      <c r="F60" s="448" t="s">
        <v>4</v>
      </c>
      <c r="G60" s="454" t="s">
        <v>147</v>
      </c>
      <c r="H60" s="2258"/>
      <c r="I60" s="2258"/>
      <c r="J60" s="464" t="s">
        <v>51</v>
      </c>
      <c r="K60" s="469"/>
      <c r="L60" s="458"/>
      <c r="M60" s="1437"/>
      <c r="N60" s="441"/>
      <c r="O60" s="441"/>
      <c r="P60" s="441"/>
      <c r="Q60" s="441"/>
      <c r="R60" s="436"/>
      <c r="S60" s="436"/>
      <c r="T60" s="2292" t="s">
        <v>87</v>
      </c>
      <c r="U60" s="436"/>
    </row>
    <row r="61" spans="1:27" s="439" customFormat="1" ht="12.75" customHeight="1" thickBot="1" x14ac:dyDescent="0.25">
      <c r="A61" s="2269" t="str">
        <f>IF(A60=$X$36,Berechnungen!$A$34,"")</f>
        <v/>
      </c>
      <c r="B61" s="2269"/>
      <c r="C61" s="497"/>
      <c r="D61" s="1591">
        <v>0.25</v>
      </c>
      <c r="E61" s="1438">
        <f>IF(AND(M59&gt;0,A60=$X$36),(M59+M61)/IF(ISBLANK(J61),I61,J61)*D61,0)</f>
        <v>0</v>
      </c>
      <c r="F61" s="441"/>
      <c r="G61" s="465"/>
      <c r="H61" s="466" t="s">
        <v>148</v>
      </c>
      <c r="I61" s="327">
        <f>IF(ISBLANK(H60),0,IFERROR(HLOOKUP(A60,Grunddaten!H121:Y125,5,FALSE),Grunddaten!H125))</f>
        <v>0</v>
      </c>
      <c r="J61" s="339"/>
      <c r="K61" s="443"/>
      <c r="L61" s="443"/>
      <c r="M61" s="319"/>
      <c r="N61" s="448" t="s">
        <v>4</v>
      </c>
      <c r="O61" s="449"/>
      <c r="P61" s="469"/>
      <c r="Q61" s="469"/>
      <c r="R61" s="1450"/>
      <c r="S61" s="436"/>
      <c r="T61" s="2292"/>
      <c r="U61" s="436"/>
    </row>
    <row r="62" spans="1:27" s="439" customFormat="1" ht="12.75" customHeight="1" x14ac:dyDescent="0.2">
      <c r="A62" s="435"/>
      <c r="B62" s="435"/>
      <c r="C62" s="472"/>
      <c r="D62" s="450"/>
      <c r="E62" s="436"/>
      <c r="F62" s="441"/>
      <c r="G62" s="1447"/>
      <c r="H62" s="1448"/>
      <c r="I62" s="1448"/>
      <c r="J62" s="1449"/>
      <c r="K62" s="469"/>
      <c r="L62" s="469"/>
      <c r="M62" s="1450"/>
      <c r="N62" s="1450"/>
      <c r="O62" s="451"/>
      <c r="P62" s="1450"/>
      <c r="Q62" s="1450"/>
      <c r="R62" s="1450"/>
      <c r="S62" s="436"/>
      <c r="T62" s="2292"/>
      <c r="U62" s="436"/>
    </row>
    <row r="63" spans="1:27" s="439" customFormat="1" ht="12.75" customHeight="1" x14ac:dyDescent="0.2">
      <c r="A63" s="435"/>
      <c r="B63" s="435"/>
      <c r="C63" s="481"/>
      <c r="D63" s="442"/>
      <c r="E63" s="448"/>
      <c r="F63" s="448"/>
      <c r="G63" s="448"/>
      <c r="H63" s="448"/>
      <c r="I63" s="448"/>
      <c r="J63" s="448"/>
      <c r="K63" s="448"/>
      <c r="L63" s="448"/>
      <c r="M63" s="443">
        <f>E34+E38+E46+E50+E54</f>
        <v>0</v>
      </c>
      <c r="N63" s="445" t="s">
        <v>4</v>
      </c>
      <c r="O63" s="477"/>
      <c r="P63" s="469"/>
      <c r="Q63" s="469"/>
      <c r="R63" s="469"/>
      <c r="S63" s="436"/>
      <c r="T63" s="2292"/>
      <c r="U63" s="436"/>
    </row>
    <row r="64" spans="1:27" s="439" customFormat="1" ht="12.75" customHeight="1" thickBot="1" x14ac:dyDescent="0.25">
      <c r="A64" s="435"/>
      <c r="B64" s="435"/>
      <c r="C64" s="479"/>
      <c r="D64" s="479"/>
      <c r="E64" s="436"/>
      <c r="F64" s="469"/>
      <c r="G64" s="1450"/>
      <c r="H64" s="1450"/>
      <c r="I64" s="1450"/>
      <c r="J64" s="1450"/>
      <c r="K64" s="469"/>
      <c r="L64" s="469"/>
      <c r="M64" s="436"/>
      <c r="N64" s="609"/>
      <c r="O64" s="451"/>
      <c r="P64" s="469"/>
      <c r="Q64" s="469"/>
      <c r="R64" s="469"/>
      <c r="S64" s="436"/>
      <c r="T64" s="2292"/>
      <c r="U64" s="436"/>
    </row>
    <row r="65" spans="1:30" s="439" customFormat="1" ht="12.75" customHeight="1" x14ac:dyDescent="0.2">
      <c r="A65" s="435"/>
      <c r="B65" s="435"/>
      <c r="C65" s="479"/>
      <c r="D65" s="479"/>
      <c r="E65" s="436"/>
      <c r="F65" s="469"/>
      <c r="G65" s="2255" t="s">
        <v>530</v>
      </c>
      <c r="H65" s="2256"/>
      <c r="I65" s="2256"/>
      <c r="J65" s="2257"/>
      <c r="K65" s="469"/>
      <c r="L65" s="469"/>
      <c r="M65" s="436"/>
      <c r="N65" s="609"/>
      <c r="O65" s="451"/>
      <c r="P65" s="469"/>
      <c r="Q65" s="469"/>
      <c r="R65" s="469"/>
      <c r="S65" s="436"/>
      <c r="T65" s="2292"/>
      <c r="U65" s="436"/>
    </row>
    <row r="66" spans="1:30" s="439" customFormat="1" ht="12.75" customHeight="1" thickBot="1" x14ac:dyDescent="0.25">
      <c r="A66" s="435"/>
      <c r="B66" s="435"/>
      <c r="C66" s="450"/>
      <c r="D66" s="450"/>
      <c r="E66" s="436"/>
      <c r="F66" s="441"/>
      <c r="G66" s="456" t="s">
        <v>50</v>
      </c>
      <c r="H66" s="2297"/>
      <c r="I66" s="2297"/>
      <c r="J66" s="483" t="s">
        <v>51</v>
      </c>
      <c r="K66" s="448"/>
      <c r="L66" s="448"/>
      <c r="M66" s="319"/>
      <c r="N66" s="445" t="s">
        <v>4</v>
      </c>
      <c r="O66" s="477"/>
      <c r="P66" s="469"/>
      <c r="Q66" s="469"/>
      <c r="R66" s="469"/>
      <c r="S66" s="436"/>
      <c r="T66" s="2292"/>
      <c r="U66" s="436"/>
    </row>
    <row r="67" spans="1:30" s="439" customFormat="1" ht="12.75" customHeight="1" x14ac:dyDescent="0.2">
      <c r="A67" s="435"/>
      <c r="B67" s="435"/>
      <c r="C67" s="450"/>
      <c r="D67" s="450"/>
      <c r="E67" s="436"/>
      <c r="F67" s="441"/>
      <c r="G67" s="436"/>
      <c r="H67" s="436"/>
      <c r="I67" s="436"/>
      <c r="J67" s="436"/>
      <c r="K67" s="441"/>
      <c r="L67" s="441"/>
      <c r="M67" s="436"/>
      <c r="N67" s="441"/>
      <c r="O67" s="451"/>
      <c r="P67" s="469"/>
      <c r="Q67" s="469"/>
      <c r="R67" s="469"/>
      <c r="S67" s="436"/>
      <c r="T67" s="2292"/>
      <c r="U67" s="436"/>
    </row>
    <row r="68" spans="1:30" s="439" customFormat="1" ht="12.75" customHeight="1" thickBot="1" x14ac:dyDescent="0.25">
      <c r="A68" s="499" t="s">
        <v>83</v>
      </c>
      <c r="B68" s="312"/>
      <c r="C68" s="312"/>
      <c r="D68" s="312"/>
      <c r="E68" s="313">
        <f>M68</f>
        <v>0</v>
      </c>
      <c r="F68" s="314" t="s">
        <v>4</v>
      </c>
      <c r="G68" s="318"/>
      <c r="H68" s="500" t="s">
        <v>522</v>
      </c>
      <c r="I68" s="597"/>
      <c r="J68" s="317" t="s">
        <v>51</v>
      </c>
      <c r="K68" s="318"/>
      <c r="L68" s="318"/>
      <c r="M68" s="313">
        <f>S73+M63+M66+M74-M61-M71</f>
        <v>0</v>
      </c>
      <c r="N68" s="318" t="s">
        <v>4</v>
      </c>
      <c r="O68" s="472"/>
      <c r="P68" s="469"/>
      <c r="Q68" s="469"/>
      <c r="R68" s="469"/>
      <c r="S68" s="436"/>
      <c r="T68" s="2293"/>
      <c r="U68" s="436"/>
    </row>
    <row r="69" spans="1:30" s="439" customFormat="1" ht="12.75" customHeight="1" thickBot="1" x14ac:dyDescent="0.25">
      <c r="A69" s="435"/>
      <c r="B69" s="435"/>
      <c r="C69" s="450"/>
      <c r="D69" s="450"/>
      <c r="E69" s="436"/>
      <c r="F69" s="441"/>
      <c r="G69" s="436"/>
      <c r="H69" s="436"/>
      <c r="I69" s="436"/>
      <c r="J69" s="436"/>
      <c r="K69" s="441"/>
      <c r="L69" s="441"/>
      <c r="M69" s="436"/>
      <c r="N69" s="441"/>
      <c r="O69" s="451"/>
      <c r="P69" s="441"/>
      <c r="Q69" s="441"/>
      <c r="R69" s="441"/>
      <c r="S69" s="2255" t="s">
        <v>81</v>
      </c>
      <c r="T69" s="2256"/>
      <c r="U69" s="2257"/>
    </row>
    <row r="70" spans="1:30" s="439" customFormat="1" ht="12.75" customHeight="1" x14ac:dyDescent="0.2">
      <c r="A70" s="435"/>
      <c r="B70" s="435"/>
      <c r="C70" s="450"/>
      <c r="D70" s="450"/>
      <c r="E70" s="436"/>
      <c r="F70" s="441"/>
      <c r="G70" s="2255" t="s">
        <v>84</v>
      </c>
      <c r="H70" s="2256"/>
      <c r="I70" s="2256"/>
      <c r="J70" s="2257"/>
      <c r="K70" s="452"/>
      <c r="L70" s="452"/>
      <c r="M70" s="436"/>
      <c r="N70" s="441"/>
      <c r="O70" s="451"/>
      <c r="P70" s="441"/>
      <c r="Q70" s="441"/>
      <c r="R70" s="441"/>
      <c r="S70" s="2270"/>
      <c r="T70" s="2271"/>
      <c r="U70" s="2272"/>
    </row>
    <row r="71" spans="1:30" s="439" customFormat="1" ht="12.75" customHeight="1" x14ac:dyDescent="0.2">
      <c r="A71" s="636" t="s">
        <v>82</v>
      </c>
      <c r="B71" s="467"/>
      <c r="C71" s="467"/>
      <c r="D71" s="467"/>
      <c r="E71" s="443"/>
      <c r="F71" s="453"/>
      <c r="G71" s="454" t="s">
        <v>50</v>
      </c>
      <c r="H71" s="2258"/>
      <c r="I71" s="2258"/>
      <c r="J71" s="455" t="s">
        <v>85</v>
      </c>
      <c r="K71" s="482"/>
      <c r="L71" s="482"/>
      <c r="M71" s="443">
        <f>H71*IF(ISBLANK(I72),H72,I72)</f>
        <v>0</v>
      </c>
      <c r="N71" s="448" t="s">
        <v>4</v>
      </c>
      <c r="O71" s="459"/>
      <c r="P71" s="448"/>
      <c r="Q71" s="448"/>
      <c r="R71" s="448"/>
      <c r="S71" s="2270"/>
      <c r="T71" s="2271"/>
      <c r="U71" s="2272"/>
    </row>
    <row r="72" spans="1:30" s="439" customFormat="1" ht="12.75" customHeight="1" thickBot="1" x14ac:dyDescent="0.25">
      <c r="A72" s="435"/>
      <c r="B72" s="435"/>
      <c r="C72" s="450"/>
      <c r="D72" s="450"/>
      <c r="E72" s="1437"/>
      <c r="F72" s="441"/>
      <c r="G72" s="456" t="s">
        <v>74</v>
      </c>
      <c r="H72" s="359">
        <f>IF(ISBLANK(H71),0,Grunddaten!H123)</f>
        <v>0</v>
      </c>
      <c r="I72" s="617"/>
      <c r="J72" s="483" t="s">
        <v>86</v>
      </c>
      <c r="K72" s="458"/>
      <c r="L72" s="458"/>
      <c r="M72" s="1437"/>
      <c r="N72" s="441"/>
      <c r="O72" s="451"/>
      <c r="P72" s="441"/>
      <c r="Q72" s="441"/>
      <c r="R72" s="441"/>
      <c r="S72" s="460" t="s">
        <v>70</v>
      </c>
      <c r="T72" s="461"/>
      <c r="U72" s="462"/>
    </row>
    <row r="73" spans="1:30" s="439" customFormat="1" ht="12.75" customHeight="1" thickBot="1" x14ac:dyDescent="0.25">
      <c r="A73" s="435"/>
      <c r="B73" s="435"/>
      <c r="C73" s="450"/>
      <c r="D73" s="450"/>
      <c r="E73" s="1437"/>
      <c r="F73" s="441"/>
      <c r="G73" s="436"/>
      <c r="H73" s="436"/>
      <c r="I73" s="436"/>
      <c r="J73" s="436"/>
      <c r="K73" s="441"/>
      <c r="L73" s="441"/>
      <c r="M73" s="1437"/>
      <c r="N73" s="441"/>
      <c r="O73" s="451"/>
      <c r="P73" s="441"/>
      <c r="Q73" s="441"/>
      <c r="R73" s="441"/>
      <c r="S73" s="2253">
        <f>Projektdaten!K35</f>
        <v>0</v>
      </c>
      <c r="T73" s="2254"/>
      <c r="U73" s="463" t="s">
        <v>4</v>
      </c>
    </row>
    <row r="74" spans="1:30" s="439" customFormat="1" ht="12.75" customHeight="1" x14ac:dyDescent="0.2">
      <c r="A74" s="442"/>
      <c r="B74" s="442"/>
      <c r="C74" s="442"/>
      <c r="D74" s="442"/>
      <c r="E74" s="443">
        <f>M74</f>
        <v>0</v>
      </c>
      <c r="F74" s="448" t="s">
        <v>4</v>
      </c>
      <c r="G74" s="2291" t="s">
        <v>243</v>
      </c>
      <c r="H74" s="2291"/>
      <c r="I74" s="2291"/>
      <c r="J74" s="2291"/>
      <c r="K74" s="448"/>
      <c r="L74" s="448"/>
      <c r="M74" s="319"/>
      <c r="N74" s="445" t="s">
        <v>4</v>
      </c>
      <c r="O74" s="477"/>
      <c r="P74" s="441"/>
      <c r="Q74" s="441"/>
      <c r="R74" s="441"/>
      <c r="S74" s="436"/>
      <c r="T74" s="436"/>
      <c r="U74" s="436"/>
      <c r="X74" s="948" t="s">
        <v>484</v>
      </c>
      <c r="Y74" s="938"/>
      <c r="Z74" s="939"/>
      <c r="AA74" s="950" t="b">
        <f>IF(M74&lt;=(M61+M71),TRUE,FALSE)</f>
        <v>1</v>
      </c>
      <c r="AB74" s="898"/>
      <c r="AC74" s="898"/>
      <c r="AD74" s="898"/>
    </row>
    <row r="75" spans="1:30" s="439" customFormat="1" ht="6" customHeight="1" x14ac:dyDescent="0.2">
      <c r="A75" s="435"/>
      <c r="B75" s="435"/>
      <c r="C75" s="450"/>
      <c r="D75" s="450"/>
      <c r="E75" s="436"/>
      <c r="F75" s="441"/>
      <c r="G75" s="436"/>
      <c r="H75" s="436"/>
      <c r="I75" s="436"/>
      <c r="J75" s="436"/>
      <c r="K75" s="441"/>
      <c r="L75" s="441"/>
      <c r="M75" s="436"/>
      <c r="N75" s="441"/>
      <c r="O75" s="351"/>
      <c r="P75" s="441"/>
      <c r="Q75" s="441"/>
      <c r="R75" s="441"/>
      <c r="S75" s="436"/>
      <c r="T75" s="436"/>
      <c r="U75" s="436"/>
      <c r="X75" s="898"/>
      <c r="Y75" s="898"/>
      <c r="Z75" s="898"/>
      <c r="AA75" s="898"/>
      <c r="AB75" s="898"/>
      <c r="AC75" s="898"/>
      <c r="AD75" s="898"/>
    </row>
    <row r="76" spans="1:30" s="439" customFormat="1" ht="15" customHeight="1" x14ac:dyDescent="0.2">
      <c r="A76" s="450"/>
      <c r="B76" s="450"/>
      <c r="C76" s="450"/>
      <c r="D76" s="450"/>
      <c r="E76" s="441"/>
      <c r="F76" s="441"/>
      <c r="G76" s="441"/>
      <c r="H76" s="441"/>
      <c r="I76" s="441"/>
      <c r="J76" s="441"/>
      <c r="K76" s="441"/>
      <c r="L76" s="441"/>
      <c r="M76" s="441"/>
      <c r="N76" s="441"/>
      <c r="O76" s="441"/>
      <c r="P76" s="441"/>
      <c r="Q76" s="441"/>
      <c r="R76" s="441"/>
      <c r="X76" s="898"/>
      <c r="Y76" s="898"/>
      <c r="Z76" s="898"/>
      <c r="AA76" s="898"/>
      <c r="AB76" s="898"/>
      <c r="AC76" s="898"/>
      <c r="AD76" s="898"/>
    </row>
    <row r="77" spans="1:30" s="439" customFormat="1" ht="15" customHeight="1" x14ac:dyDescent="0.2">
      <c r="A77" s="1458" t="s">
        <v>53</v>
      </c>
      <c r="B77" s="1459"/>
      <c r="C77" s="1459"/>
      <c r="D77" s="1459"/>
      <c r="E77" s="1460"/>
      <c r="F77" s="1460"/>
      <c r="G77" s="1460"/>
      <c r="H77" s="1460"/>
      <c r="I77" s="1460"/>
      <c r="J77" s="1460"/>
      <c r="K77" s="1460"/>
      <c r="L77" s="1460"/>
      <c r="M77" s="1460"/>
      <c r="N77" s="1460"/>
      <c r="O77" s="1460"/>
      <c r="P77" s="1460"/>
      <c r="Q77" s="1460"/>
      <c r="R77" s="1460"/>
      <c r="S77" s="1460"/>
      <c r="T77" s="1460"/>
      <c r="U77" s="1460"/>
      <c r="X77" s="937" t="s">
        <v>89</v>
      </c>
      <c r="Y77" s="938"/>
      <c r="Z77" s="938"/>
      <c r="AA77" s="939"/>
      <c r="AB77" s="898"/>
      <c r="AC77" s="937" t="s">
        <v>90</v>
      </c>
      <c r="AD77" s="939"/>
    </row>
    <row r="78" spans="1:30" s="439" customFormat="1" ht="12.75" customHeight="1" x14ac:dyDescent="0.2">
      <c r="A78" s="1461" t="s">
        <v>54</v>
      </c>
      <c r="B78" s="2287"/>
      <c r="C78" s="2287"/>
      <c r="D78" s="2287"/>
      <c r="E78" s="2287"/>
      <c r="F78" s="2287"/>
      <c r="G78" s="1455" t="s">
        <v>57</v>
      </c>
      <c r="H78" s="2288"/>
      <c r="I78" s="2288"/>
      <c r="J78" s="1456"/>
      <c r="K78" s="1455"/>
      <c r="L78" s="1455" t="s">
        <v>58</v>
      </c>
      <c r="M78" s="1457"/>
      <c r="N78" s="1455" t="s">
        <v>59</v>
      </c>
      <c r="O78" s="2289"/>
      <c r="P78" s="2289"/>
      <c r="Q78" s="2289"/>
      <c r="R78" s="1455" t="s">
        <v>52</v>
      </c>
      <c r="S78" s="2290"/>
      <c r="T78" s="2290"/>
      <c r="U78" s="2290"/>
      <c r="X78" s="940" t="s">
        <v>60</v>
      </c>
      <c r="Y78" s="941"/>
      <c r="Z78" s="941"/>
      <c r="AA78" s="951"/>
      <c r="AB78" s="898"/>
      <c r="AC78" s="940" t="s">
        <v>62</v>
      </c>
      <c r="AD78" s="951"/>
    </row>
    <row r="79" spans="1:30" s="439" customFormat="1" ht="12.75" customHeight="1" x14ac:dyDescent="0.2">
      <c r="A79" s="1461" t="s">
        <v>55</v>
      </c>
      <c r="B79" s="2287"/>
      <c r="C79" s="2287"/>
      <c r="D79" s="2287"/>
      <c r="E79" s="2287"/>
      <c r="F79" s="2287"/>
      <c r="G79" s="1455" t="s">
        <v>57</v>
      </c>
      <c r="H79" s="2288"/>
      <c r="I79" s="2288"/>
      <c r="J79" s="1456"/>
      <c r="K79" s="1455"/>
      <c r="L79" s="1455" t="s">
        <v>58</v>
      </c>
      <c r="M79" s="1457"/>
      <c r="N79" s="1455" t="s">
        <v>59</v>
      </c>
      <c r="O79" s="2289"/>
      <c r="P79" s="2289"/>
      <c r="Q79" s="2289"/>
      <c r="R79" s="1455" t="s">
        <v>52</v>
      </c>
      <c r="S79" s="2290"/>
      <c r="T79" s="2290"/>
      <c r="U79" s="2290"/>
      <c r="X79" s="943" t="s">
        <v>61</v>
      </c>
      <c r="Y79" s="885"/>
      <c r="Z79" s="885"/>
      <c r="AA79" s="952"/>
      <c r="AB79" s="898"/>
      <c r="AC79" s="945" t="s">
        <v>63</v>
      </c>
      <c r="AD79" s="953"/>
    </row>
    <row r="80" spans="1:30" s="439" customFormat="1" ht="12.75" customHeight="1" x14ac:dyDescent="0.2">
      <c r="A80" s="1461" t="s">
        <v>56</v>
      </c>
      <c r="B80" s="2287"/>
      <c r="C80" s="2287"/>
      <c r="D80" s="2287"/>
      <c r="E80" s="2287"/>
      <c r="F80" s="2287"/>
      <c r="G80" s="1455" t="s">
        <v>57</v>
      </c>
      <c r="H80" s="2288"/>
      <c r="I80" s="2288"/>
      <c r="J80" s="1456"/>
      <c r="K80" s="1455"/>
      <c r="L80" s="1455" t="s">
        <v>58</v>
      </c>
      <c r="M80" s="1457"/>
      <c r="N80" s="1455" t="s">
        <v>59</v>
      </c>
      <c r="O80" s="2289"/>
      <c r="P80" s="2289"/>
      <c r="Q80" s="2289"/>
      <c r="R80" s="1455" t="s">
        <v>52</v>
      </c>
      <c r="S80" s="2290"/>
      <c r="T80" s="2290"/>
      <c r="U80" s="2290"/>
      <c r="X80" s="945" t="s">
        <v>663</v>
      </c>
      <c r="Y80" s="946"/>
      <c r="Z80" s="946"/>
      <c r="AA80" s="953"/>
      <c r="AB80" s="898"/>
      <c r="AC80" s="899"/>
      <c r="AD80" s="899"/>
    </row>
    <row r="83" spans="1:21" s="440" customFormat="1" ht="15" customHeight="1" x14ac:dyDescent="0.2">
      <c r="A83" s="954" t="s">
        <v>54</v>
      </c>
      <c r="B83" s="954" t="s">
        <v>130</v>
      </c>
      <c r="C83" s="2295">
        <f xml:space="preserve"> IF(S78=$AC$79,H78*M78*(O78+1)+(O78+1)^2/2*(H78+M78)*2,0)</f>
        <v>0</v>
      </c>
      <c r="D83" s="2295"/>
      <c r="E83" s="955" t="s">
        <v>711</v>
      </c>
      <c r="F83" s="955"/>
      <c r="G83" s="955"/>
      <c r="H83" s="956" t="s">
        <v>131</v>
      </c>
      <c r="I83" s="957">
        <f>H78*M78</f>
        <v>0</v>
      </c>
      <c r="J83" s="955" t="s">
        <v>712</v>
      </c>
      <c r="K83" s="958"/>
      <c r="L83" s="955"/>
      <c r="M83" s="959" t="s">
        <v>132</v>
      </c>
      <c r="N83" s="957">
        <f>H78*O78</f>
        <v>0</v>
      </c>
      <c r="O83" s="955" t="s">
        <v>712</v>
      </c>
      <c r="P83" s="955"/>
      <c r="Q83" s="955" t="s">
        <v>133</v>
      </c>
      <c r="R83" s="955"/>
      <c r="S83" s="957">
        <f>M78*O78</f>
        <v>0</v>
      </c>
      <c r="T83" s="955" t="s">
        <v>712</v>
      </c>
      <c r="U83" s="955"/>
    </row>
    <row r="84" spans="1:21" s="440" customFormat="1" ht="15" customHeight="1" x14ac:dyDescent="0.2">
      <c r="A84" s="954" t="s">
        <v>55</v>
      </c>
      <c r="B84" s="954" t="s">
        <v>130</v>
      </c>
      <c r="C84" s="2295">
        <f xml:space="preserve"> IF(S79=$AC$79,H79*M79*(O79+1)+(O79+1)^2/2*(H79+M79)*2,0)</f>
        <v>0</v>
      </c>
      <c r="D84" s="2295"/>
      <c r="E84" s="955" t="s">
        <v>711</v>
      </c>
      <c r="F84" s="955"/>
      <c r="G84" s="955"/>
      <c r="H84" s="956" t="s">
        <v>131</v>
      </c>
      <c r="I84" s="957">
        <f>H79*M79</f>
        <v>0</v>
      </c>
      <c r="J84" s="955" t="s">
        <v>712</v>
      </c>
      <c r="K84" s="958"/>
      <c r="L84" s="955"/>
      <c r="M84" s="959" t="s">
        <v>132</v>
      </c>
      <c r="N84" s="957">
        <f>H79*O79</f>
        <v>0</v>
      </c>
      <c r="O84" s="955" t="s">
        <v>712</v>
      </c>
      <c r="P84" s="955"/>
      <c r="Q84" s="955" t="s">
        <v>133</v>
      </c>
      <c r="R84" s="955"/>
      <c r="S84" s="957">
        <f>M79*O79</f>
        <v>0</v>
      </c>
      <c r="T84" s="955" t="s">
        <v>712</v>
      </c>
      <c r="U84" s="955"/>
    </row>
    <row r="85" spans="1:21" s="440" customFormat="1" ht="15" customHeight="1" x14ac:dyDescent="0.2">
      <c r="A85" s="954" t="s">
        <v>56</v>
      </c>
      <c r="B85" s="954" t="s">
        <v>130</v>
      </c>
      <c r="C85" s="2295">
        <f xml:space="preserve"> IF(S80=$AC$79,H80*M80*(O80+1)+(O80+1)^2/2*(H80+M80)*2,0)</f>
        <v>0</v>
      </c>
      <c r="D85" s="2295"/>
      <c r="E85" s="955" t="s">
        <v>711</v>
      </c>
      <c r="F85" s="955"/>
      <c r="G85" s="955"/>
      <c r="H85" s="956" t="s">
        <v>131</v>
      </c>
      <c r="I85" s="957">
        <f>H80*M80</f>
        <v>0</v>
      </c>
      <c r="J85" s="955" t="s">
        <v>712</v>
      </c>
      <c r="K85" s="958"/>
      <c r="L85" s="955"/>
      <c r="M85" s="959" t="s">
        <v>132</v>
      </c>
      <c r="N85" s="957">
        <f>H80*O80</f>
        <v>0</v>
      </c>
      <c r="O85" s="955" t="s">
        <v>712</v>
      </c>
      <c r="P85" s="955"/>
      <c r="Q85" s="955" t="s">
        <v>133</v>
      </c>
      <c r="R85" s="955"/>
      <c r="S85" s="957">
        <f>M80*O80</f>
        <v>0</v>
      </c>
      <c r="T85" s="955" t="s">
        <v>712</v>
      </c>
      <c r="U85" s="955"/>
    </row>
    <row r="88" spans="1:21" x14ac:dyDescent="0.2">
      <c r="B88" s="425"/>
      <c r="C88" s="425"/>
      <c r="D88" s="425"/>
    </row>
    <row r="89" spans="1:21" x14ac:dyDescent="0.2">
      <c r="B89" s="425"/>
      <c r="C89" s="425"/>
      <c r="D89" s="425"/>
    </row>
    <row r="90" spans="1:21" x14ac:dyDescent="0.2">
      <c r="B90" s="425"/>
      <c r="C90" s="425"/>
      <c r="D90" s="425"/>
    </row>
    <row r="91" spans="1:21" x14ac:dyDescent="0.2">
      <c r="B91" s="425"/>
      <c r="C91" s="425"/>
      <c r="D91" s="425"/>
    </row>
    <row r="92" spans="1:21" x14ac:dyDescent="0.2">
      <c r="B92" s="425"/>
      <c r="C92" s="425"/>
      <c r="D92" s="425"/>
    </row>
    <row r="93" spans="1:21" x14ac:dyDescent="0.2">
      <c r="B93" s="425"/>
      <c r="C93" s="425"/>
      <c r="D93" s="425"/>
    </row>
  </sheetData>
  <sheetProtection algorithmName="SHA-512" hashValue="PLCSpecNSOs3/yAW/RVqfAusKuYhV8BBiNIaAbouxqdBx0q0O6wfygUuy9z/dNKBGlijbaFMAul/9DZ7Cb5Yig==" saltValue="aHPC5pq3TgruznzyTUxR0A==" spinCount="100000" sheet="1" objects="1" scenarios="1" selectLockedCells="1"/>
  <mergeCells count="87">
    <mergeCell ref="Z58:AA58"/>
    <mergeCell ref="P33:Q33"/>
    <mergeCell ref="B79:F79"/>
    <mergeCell ref="H79:I79"/>
    <mergeCell ref="O79:Q79"/>
    <mergeCell ref="S79:U79"/>
    <mergeCell ref="A42:B42"/>
    <mergeCell ref="G44:J44"/>
    <mergeCell ref="H45:I45"/>
    <mergeCell ref="S43:U45"/>
    <mergeCell ref="G48:J48"/>
    <mergeCell ref="S47:T47"/>
    <mergeCell ref="S36:T36"/>
    <mergeCell ref="G65:J65"/>
    <mergeCell ref="H66:I66"/>
    <mergeCell ref="S39:T39"/>
    <mergeCell ref="S40:U40"/>
    <mergeCell ref="C85:D85"/>
    <mergeCell ref="B80:F80"/>
    <mergeCell ref="H80:I80"/>
    <mergeCell ref="O80:Q80"/>
    <mergeCell ref="S80:U80"/>
    <mergeCell ref="C83:D83"/>
    <mergeCell ref="C84:D84"/>
    <mergeCell ref="S53:U53"/>
    <mergeCell ref="S49:T49"/>
    <mergeCell ref="G52:J52"/>
    <mergeCell ref="H53:I53"/>
    <mergeCell ref="H49:I49"/>
    <mergeCell ref="Z52:AA52"/>
    <mergeCell ref="G59:J59"/>
    <mergeCell ref="X59:Y59"/>
    <mergeCell ref="S73:T73"/>
    <mergeCell ref="B78:F78"/>
    <mergeCell ref="H78:I78"/>
    <mergeCell ref="O78:Q78"/>
    <mergeCell ref="S78:U78"/>
    <mergeCell ref="G74:J74"/>
    <mergeCell ref="A60:B60"/>
    <mergeCell ref="H60:I60"/>
    <mergeCell ref="T60:T68"/>
    <mergeCell ref="S69:U71"/>
    <mergeCell ref="G70:J70"/>
    <mergeCell ref="H71:I71"/>
    <mergeCell ref="A61:B61"/>
    <mergeCell ref="W7:AB7"/>
    <mergeCell ref="J7:T7"/>
    <mergeCell ref="G9:J9"/>
    <mergeCell ref="G15:J15"/>
    <mergeCell ref="S15:U17"/>
    <mergeCell ref="H16:I16"/>
    <mergeCell ref="P17:Q17"/>
    <mergeCell ref="A36:B36"/>
    <mergeCell ref="A27:B27"/>
    <mergeCell ref="G27:J27"/>
    <mergeCell ref="H41:I41"/>
    <mergeCell ref="G40:J40"/>
    <mergeCell ref="G36:J36"/>
    <mergeCell ref="H37:I37"/>
    <mergeCell ref="H33:I33"/>
    <mergeCell ref="A30:B30"/>
    <mergeCell ref="A32:B32"/>
    <mergeCell ref="G32:J32"/>
    <mergeCell ref="H28:I28"/>
    <mergeCell ref="A29:B29"/>
    <mergeCell ref="S5:U5"/>
    <mergeCell ref="A9:B9"/>
    <mergeCell ref="S9:U9"/>
    <mergeCell ref="P32:Q32"/>
    <mergeCell ref="P15:Q15"/>
    <mergeCell ref="P16:Q16"/>
    <mergeCell ref="P30:Q30"/>
    <mergeCell ref="P31:Q31"/>
    <mergeCell ref="P18:Q18"/>
    <mergeCell ref="A21:B21"/>
    <mergeCell ref="G23:J23"/>
    <mergeCell ref="A24:B24"/>
    <mergeCell ref="H24:I24"/>
    <mergeCell ref="A25:B25"/>
    <mergeCell ref="S30:U32"/>
    <mergeCell ref="C7:F7"/>
    <mergeCell ref="S34:T34"/>
    <mergeCell ref="S19:T19"/>
    <mergeCell ref="A20:B20"/>
    <mergeCell ref="S21:T21"/>
    <mergeCell ref="G19:J19"/>
    <mergeCell ref="H20:I20"/>
  </mergeCells>
  <conditionalFormatting sqref="G15:J15 G16:G17 J16:J17">
    <cfRule type="expression" dxfId="1879" priority="337">
      <formula>$H$16&gt;0</formula>
    </cfRule>
  </conditionalFormatting>
  <conditionalFormatting sqref="G19:J19 G20 G21:H21 J20">
    <cfRule type="expression" dxfId="1878" priority="336">
      <formula>$H$20&gt;0</formula>
    </cfRule>
  </conditionalFormatting>
  <conditionalFormatting sqref="G23:J23 G24 J24 G25:H25">
    <cfRule type="expression" dxfId="1877" priority="335">
      <formula>$H$24&gt;0</formula>
    </cfRule>
  </conditionalFormatting>
  <conditionalFormatting sqref="G32:J32 G33 G34:H34 J33">
    <cfRule type="expression" dxfId="1876" priority="334">
      <formula>$H$33&gt;0</formula>
    </cfRule>
  </conditionalFormatting>
  <conditionalFormatting sqref="G36:J36 G37 G38:H38 J37">
    <cfRule type="expression" dxfId="1875" priority="333">
      <formula>$H$37&gt;0</formula>
    </cfRule>
  </conditionalFormatting>
  <conditionalFormatting sqref="G44:J44 G45 G46:H46 J45">
    <cfRule type="expression" dxfId="1874" priority="332">
      <formula>$H$45&gt;0</formula>
    </cfRule>
  </conditionalFormatting>
  <conditionalFormatting sqref="G70:G72 J71:J72 K71:N71">
    <cfRule type="expression" dxfId="1873" priority="331">
      <formula>$H$71&gt;0</formula>
    </cfRule>
  </conditionalFormatting>
  <conditionalFormatting sqref="R32 O47:O49 O51:O52 O43:O45 S30 O11:O41 O54 S33:U36 O58:O59">
    <cfRule type="expression" dxfId="1872" priority="329">
      <formula>$S$34&gt;0</formula>
    </cfRule>
  </conditionalFormatting>
  <conditionalFormatting sqref="S43:U49 Q41:Q57">
    <cfRule type="expression" dxfId="1871" priority="328">
      <formula>$S$47&gt;0</formula>
    </cfRule>
  </conditionalFormatting>
  <conditionalFormatting sqref="P71:R71 S69:U73 O61:O75">
    <cfRule type="expression" dxfId="1870" priority="327">
      <formula>$S$73&gt;0</formula>
    </cfRule>
  </conditionalFormatting>
  <conditionalFormatting sqref="B44:F44">
    <cfRule type="expression" dxfId="1869" priority="323">
      <formula>$B$44&lt;0</formula>
    </cfRule>
  </conditionalFormatting>
  <conditionalFormatting sqref="B48:F48">
    <cfRule type="expression" dxfId="1868" priority="322">
      <formula>$B$48&lt;0</formula>
    </cfRule>
  </conditionalFormatting>
  <conditionalFormatting sqref="G25:H25">
    <cfRule type="expression" dxfId="1867" priority="321">
      <formula>AND($H$24&gt;0,$J$25=0,$I$25=0)</formula>
    </cfRule>
  </conditionalFormatting>
  <conditionalFormatting sqref="G20:H20 J20">
    <cfRule type="expression" dxfId="1866" priority="320">
      <formula>AND($M$20&gt;0,$H$20=0)</formula>
    </cfRule>
  </conditionalFormatting>
  <conditionalFormatting sqref="G24:H24 J24">
    <cfRule type="expression" dxfId="1865" priority="319">
      <formula>AND($M$24&gt;0,$H$24=0)</formula>
    </cfRule>
  </conditionalFormatting>
  <conditionalFormatting sqref="G34:H34">
    <cfRule type="expression" dxfId="1864" priority="318">
      <formula>AND($H$33&gt;0,$J$34=0,$I$34=0)</formula>
    </cfRule>
  </conditionalFormatting>
  <conditionalFormatting sqref="G33:H33 J33">
    <cfRule type="expression" dxfId="1863" priority="317">
      <formula>AND($M$33&gt;0,$H$33=0)</formula>
    </cfRule>
  </conditionalFormatting>
  <conditionalFormatting sqref="G37:H37 J37">
    <cfRule type="expression" dxfId="1862" priority="316">
      <formula>AND($M$37&gt;0,$H$37=0)</formula>
    </cfRule>
  </conditionalFormatting>
  <conditionalFormatting sqref="G38:H38">
    <cfRule type="expression" dxfId="1861" priority="315">
      <formula>AND($H$37&gt;0,$J$38=0,$I$38=0)</formula>
    </cfRule>
  </conditionalFormatting>
  <conditionalFormatting sqref="G45:H45 J45">
    <cfRule type="expression" dxfId="1860" priority="314">
      <formula>AND($M$46&gt;0,$H$45=0)</formula>
    </cfRule>
  </conditionalFormatting>
  <conditionalFormatting sqref="G46:H46">
    <cfRule type="expression" dxfId="1859" priority="313">
      <formula>AND($H$45&gt;0,$J$46=0,$I$46=0)</formula>
    </cfRule>
  </conditionalFormatting>
  <conditionalFormatting sqref="G60:H60 J60">
    <cfRule type="expression" dxfId="1858" priority="312">
      <formula>AND($M$59&gt;0,$H$60=0)</formula>
    </cfRule>
  </conditionalFormatting>
  <conditionalFormatting sqref="G50:H50">
    <cfRule type="expression" dxfId="1857" priority="311">
      <formula>AND($H$49&gt;0,$J$50=0,$I$50=0)</formula>
    </cfRule>
  </conditionalFormatting>
  <conditionalFormatting sqref="G17 I17:J17">
    <cfRule type="expression" dxfId="1856" priority="310">
      <formula>AND($H$16&gt;0,$H$17=0,$I$17=0)</formula>
    </cfRule>
  </conditionalFormatting>
  <conditionalFormatting sqref="G72 J72">
    <cfRule type="expression" dxfId="1855" priority="309">
      <formula>AND($H$71&gt;0,$H$72=0,$I$72=0)</formula>
    </cfRule>
  </conditionalFormatting>
  <conditionalFormatting sqref="A44:F44">
    <cfRule type="expression" dxfId="1854" priority="306">
      <formula>$B$44&lt;&gt;0</formula>
    </cfRule>
  </conditionalFormatting>
  <conditionalFormatting sqref="A48:F48">
    <cfRule type="expression" dxfId="1853" priority="305">
      <formula>$B$48&lt;&gt;0</formula>
    </cfRule>
  </conditionalFormatting>
  <conditionalFormatting sqref="P59:Q59 S59:T59 T60">
    <cfRule type="expression" dxfId="1852" priority="304">
      <formula>$R$59&gt;0</formula>
    </cfRule>
  </conditionalFormatting>
  <conditionalFormatting sqref="K59:L59 N59">
    <cfRule type="expression" dxfId="1851" priority="303">
      <formula>$M$59&gt;0</formula>
    </cfRule>
  </conditionalFormatting>
  <conditionalFormatting sqref="C36:F36">
    <cfRule type="expression" dxfId="1850" priority="302">
      <formula>$E$36&gt;0</formula>
    </cfRule>
  </conditionalFormatting>
  <conditionalFormatting sqref="E36:F36">
    <cfRule type="expression" dxfId="1849" priority="301">
      <formula>AND($A$36="",$E$36&gt;0)</formula>
    </cfRule>
  </conditionalFormatting>
  <conditionalFormatting sqref="C32:F32">
    <cfRule type="expression" dxfId="1848" priority="300">
      <formula>$E$32&gt;0</formula>
    </cfRule>
  </conditionalFormatting>
  <conditionalFormatting sqref="E32:F32">
    <cfRule type="expression" dxfId="1847" priority="299">
      <formula>AND($A$32="",$E$32&gt;0)</formula>
    </cfRule>
  </conditionalFormatting>
  <conditionalFormatting sqref="A71:F71">
    <cfRule type="expression" dxfId="1846" priority="298">
      <formula>$H$71&gt;0</formula>
    </cfRule>
  </conditionalFormatting>
  <conditionalFormatting sqref="K33:L33 N33">
    <cfRule type="expression" dxfId="1845" priority="297">
      <formula>$M$33&gt;0</formula>
    </cfRule>
  </conditionalFormatting>
  <conditionalFormatting sqref="K44:L44 N44">
    <cfRule type="expression" dxfId="1844" priority="296">
      <formula>$M$44&gt;0</formula>
    </cfRule>
  </conditionalFormatting>
  <conditionalFormatting sqref="K48:L48 N48">
    <cfRule type="expression" dxfId="1843" priority="295">
      <formula>$M$48&gt;0</formula>
    </cfRule>
  </conditionalFormatting>
  <conditionalFormatting sqref="K24:L24 N24">
    <cfRule type="expression" dxfId="1842" priority="294">
      <formula>$M$24&gt;0</formula>
    </cfRule>
  </conditionalFormatting>
  <conditionalFormatting sqref="K20:L20 N20">
    <cfRule type="expression" dxfId="1841" priority="291">
      <formula>$M$20&gt;0</formula>
    </cfRule>
  </conditionalFormatting>
  <conditionalFormatting sqref="C20:F20">
    <cfRule type="expression" dxfId="1840" priority="26">
      <formula>$E$20&gt;0</formula>
    </cfRule>
  </conditionalFormatting>
  <conditionalFormatting sqref="E20:F20">
    <cfRule type="expression" dxfId="1839" priority="289">
      <formula>AND($A$20="",$E$20&gt;0)</formula>
    </cfRule>
  </conditionalFormatting>
  <conditionalFormatting sqref="K16:N16">
    <cfRule type="expression" dxfId="1838" priority="288">
      <formula>$M$16&gt;0</formula>
    </cfRule>
  </conditionalFormatting>
  <conditionalFormatting sqref="A16:F16">
    <cfRule type="expression" dxfId="1837" priority="287">
      <formula>$H$16&gt;0</formula>
    </cfRule>
  </conditionalFormatting>
  <conditionalFormatting sqref="A52:F52">
    <cfRule type="expression" dxfId="1836" priority="282">
      <formula>$B$52&lt;&gt;0</formula>
    </cfRule>
  </conditionalFormatting>
  <conditionalFormatting sqref="G61:J61">
    <cfRule type="expression" dxfId="1835" priority="281">
      <formula>AND($H$60&gt;0,$I$61=0,$J$61=0)</formula>
    </cfRule>
  </conditionalFormatting>
  <conditionalFormatting sqref="K61:L61 N61 O61:O75">
    <cfRule type="expression" dxfId="1834" priority="280">
      <formula>$M$61&gt;0</formula>
    </cfRule>
  </conditionalFormatting>
  <conditionalFormatting sqref="D63:N63 C34:F34 C35 C37:C39 C45:C47 C49:C51 C41 C43 C53:C54 C61:C63 O61:O75 C58:C59">
    <cfRule type="expression" dxfId="1833" priority="279">
      <formula>$E$34&gt;0</formula>
    </cfRule>
  </conditionalFormatting>
  <conditionalFormatting sqref="D63:N63 C38:F38 C39 C45:C47 C49:C51 C41 C43 C53:C54 C61:C63 O61:O75 C58:C59">
    <cfRule type="expression" dxfId="1832" priority="278">
      <formula>$E$38&gt;0</formula>
    </cfRule>
  </conditionalFormatting>
  <conditionalFormatting sqref="D63:N63 C46:F46 C47 C49:C51 C53:C54 C61:C63 O61:O75 C58:C59">
    <cfRule type="expression" dxfId="1831" priority="277">
      <formula>$E$46&gt;0</formula>
    </cfRule>
  </conditionalFormatting>
  <conditionalFormatting sqref="D63:N63 C50:F50 C51 C53:C54 C61:C63 O61:O75 C58:C59">
    <cfRule type="expression" dxfId="1830" priority="276">
      <formula>$E$50&gt;0</formula>
    </cfRule>
  </conditionalFormatting>
  <conditionalFormatting sqref="D63:N63 C54:F54 C55 C57:C59 C61:C63 O61:O75">
    <cfRule type="expression" dxfId="1829" priority="275">
      <formula>$E$54&gt;0</formula>
    </cfRule>
  </conditionalFormatting>
  <conditionalFormatting sqref="G59:J59 G60 G61:H61 J60">
    <cfRule type="expression" dxfId="1828" priority="272">
      <formula>$H$60&gt;0</formula>
    </cfRule>
  </conditionalFormatting>
  <conditionalFormatting sqref="G48:J48 G49 G50:H50 J49">
    <cfRule type="expression" dxfId="1827" priority="271">
      <formula>$H$49&gt;0</formula>
    </cfRule>
  </conditionalFormatting>
  <conditionalFormatting sqref="G49:H49 J49">
    <cfRule type="expression" dxfId="1826" priority="270">
      <formula>AND($M$50&gt;0,$H$49=0)</formula>
    </cfRule>
  </conditionalFormatting>
  <conditionalFormatting sqref="K50:L50 N50:P50">
    <cfRule type="expression" dxfId="1825" priority="269">
      <formula>$M$50&gt;0</formula>
    </cfRule>
  </conditionalFormatting>
  <conditionalFormatting sqref="N46:P46 K46:L46">
    <cfRule type="expression" dxfId="1824" priority="268">
      <formula>$M$46&gt;0</formula>
    </cfRule>
  </conditionalFormatting>
  <conditionalFormatting sqref="H21">
    <cfRule type="expression" dxfId="1823" priority="267">
      <formula>AND($H$20&gt;0,$J$21=0,$I$21=0)</formula>
    </cfRule>
  </conditionalFormatting>
  <conditionalFormatting sqref="N20">
    <cfRule type="expression" dxfId="1822" priority="266">
      <formula>AND($H$20&gt;0,$M$20=0)</formula>
    </cfRule>
  </conditionalFormatting>
  <conditionalFormatting sqref="N24">
    <cfRule type="expression" dxfId="1821" priority="265">
      <formula>AND($H$24&gt;0,$M$24=0)</formula>
    </cfRule>
  </conditionalFormatting>
  <conditionalFormatting sqref="N33">
    <cfRule type="expression" dxfId="1820" priority="264">
      <formula>AND($H$33&gt;0,$M$33=0)</formula>
    </cfRule>
  </conditionalFormatting>
  <conditionalFormatting sqref="K37:L37 N37">
    <cfRule type="expression" dxfId="1819" priority="263">
      <formula>$M$37&gt;0</formula>
    </cfRule>
  </conditionalFormatting>
  <conditionalFormatting sqref="N37">
    <cfRule type="expression" dxfId="1818" priority="262">
      <formula>AND($H$37&gt;0,$M$37=0)</formula>
    </cfRule>
  </conditionalFormatting>
  <conditionalFormatting sqref="N46">
    <cfRule type="expression" dxfId="1817" priority="261">
      <formula>AND($H$45&gt;0,$M$46=0)</formula>
    </cfRule>
  </conditionalFormatting>
  <conditionalFormatting sqref="N50">
    <cfRule type="expression" dxfId="1816" priority="260">
      <formula>AND($H$49&gt;0,$M$50=0)</formula>
    </cfRule>
  </conditionalFormatting>
  <conditionalFormatting sqref="N59">
    <cfRule type="expression" dxfId="1815" priority="259">
      <formula>AND(OR($H$60&gt;0,$M$61&gt;0),$M$59=0)</formula>
    </cfRule>
  </conditionalFormatting>
  <conditionalFormatting sqref="N61">
    <cfRule type="expression" dxfId="1814" priority="258">
      <formula>AND(OR($H$60&gt;0,$M$59&gt;0),$M$61=0)</formula>
    </cfRule>
  </conditionalFormatting>
  <conditionalFormatting sqref="H11 J11">
    <cfRule type="expression" dxfId="1813" priority="239">
      <formula>AND($M$11&gt;0,$I$11=0)</formula>
    </cfRule>
  </conditionalFormatting>
  <conditionalFormatting sqref="N74 A74:G74 K74:L74">
    <cfRule type="expression" dxfId="1812" priority="224">
      <formula>$M$74&lt;&gt;0</formula>
    </cfRule>
  </conditionalFormatting>
  <conditionalFormatting sqref="C27:F27">
    <cfRule type="expression" dxfId="1811" priority="220">
      <formula>$E$27&gt;0</formula>
    </cfRule>
  </conditionalFormatting>
  <conditionalFormatting sqref="E27:F27">
    <cfRule type="expression" dxfId="1810" priority="219">
      <formula>AND($A$27="",$E$27&gt;0)</formula>
    </cfRule>
  </conditionalFormatting>
  <conditionalFormatting sqref="K28:L28 N28">
    <cfRule type="expression" dxfId="1809" priority="218">
      <formula>$M$28&gt;0</formula>
    </cfRule>
  </conditionalFormatting>
  <conditionalFormatting sqref="N28">
    <cfRule type="expression" dxfId="1808" priority="217">
      <formula>AND($H$28&gt;0,$M$28=0)</formula>
    </cfRule>
  </conditionalFormatting>
  <conditionalFormatting sqref="G40:J40 G41 G42:H42 J41">
    <cfRule type="expression" dxfId="1807" priority="206">
      <formula>$H$41&gt;0</formula>
    </cfRule>
  </conditionalFormatting>
  <conditionalFormatting sqref="G41:H41 J41">
    <cfRule type="expression" dxfId="1806" priority="205">
      <formula>AND($M$42&gt;0,$H$41=0)</formula>
    </cfRule>
  </conditionalFormatting>
  <conditionalFormatting sqref="G42:H42">
    <cfRule type="expression" dxfId="1805" priority="204">
      <formula>AND($H$41&gt;0,$J$42=0,$I$42=0)</formula>
    </cfRule>
  </conditionalFormatting>
  <conditionalFormatting sqref="N42:P42 K42:L42">
    <cfRule type="expression" dxfId="1804" priority="203">
      <formula>$M$42&gt;0</formula>
    </cfRule>
  </conditionalFormatting>
  <conditionalFormatting sqref="N42">
    <cfRule type="expression" dxfId="1803" priority="202">
      <formula>AND($H$41&gt;0,$M$42=0)</formula>
    </cfRule>
  </conditionalFormatting>
  <conditionalFormatting sqref="K40:L40 N40">
    <cfRule type="expression" dxfId="1802" priority="201">
      <formula>$M$40&gt;0</formula>
    </cfRule>
  </conditionalFormatting>
  <conditionalFormatting sqref="B40:F40">
    <cfRule type="expression" dxfId="1801" priority="200">
      <formula>$B$40&lt;0</formula>
    </cfRule>
  </conditionalFormatting>
  <conditionalFormatting sqref="A40:F40">
    <cfRule type="expression" dxfId="1800" priority="199">
      <formula>$B$40&lt;&gt;0</formula>
    </cfRule>
  </conditionalFormatting>
  <conditionalFormatting sqref="C42:F42">
    <cfRule type="expression" dxfId="1799" priority="198">
      <formula>$E$42&gt;0</formula>
    </cfRule>
  </conditionalFormatting>
  <conditionalFormatting sqref="J50">
    <cfRule type="expression" dxfId="1798" priority="197">
      <formula>AND($H$45&gt;0,$J$46=0)</formula>
    </cfRule>
  </conditionalFormatting>
  <conditionalFormatting sqref="H17">
    <cfRule type="expression" dxfId="1797" priority="196">
      <formula>I17&lt;&gt;""</formula>
    </cfRule>
  </conditionalFormatting>
  <conditionalFormatting sqref="I21">
    <cfRule type="expression" dxfId="1796" priority="195">
      <formula>J21&lt;&gt;""</formula>
    </cfRule>
  </conditionalFormatting>
  <conditionalFormatting sqref="I25">
    <cfRule type="expression" dxfId="1795" priority="194">
      <formula>J25&lt;&gt;""</formula>
    </cfRule>
  </conditionalFormatting>
  <conditionalFormatting sqref="I34">
    <cfRule type="expression" dxfId="1794" priority="192">
      <formula>J34&lt;&gt;""</formula>
    </cfRule>
  </conditionalFormatting>
  <conditionalFormatting sqref="I38">
    <cfRule type="expression" dxfId="1793" priority="191">
      <formula>J38&lt;&gt;""</formula>
    </cfRule>
  </conditionalFormatting>
  <conditionalFormatting sqref="I42">
    <cfRule type="expression" dxfId="1792" priority="190">
      <formula>J42&lt;&gt;""</formula>
    </cfRule>
  </conditionalFormatting>
  <conditionalFormatting sqref="I61">
    <cfRule type="expression" dxfId="1791" priority="189">
      <formula>J61&lt;&gt;""</formula>
    </cfRule>
  </conditionalFormatting>
  <conditionalFormatting sqref="I72">
    <cfRule type="expression" dxfId="1790" priority="188">
      <formula>AND($H$60&gt;0,$J$61=0)</formula>
    </cfRule>
  </conditionalFormatting>
  <conditionalFormatting sqref="I46">
    <cfRule type="expression" dxfId="1789" priority="184">
      <formula>J46&lt;&gt;""</formula>
    </cfRule>
  </conditionalFormatting>
  <conditionalFormatting sqref="I50">
    <cfRule type="expression" dxfId="1788" priority="183">
      <formula>J50&lt;&gt;""</formula>
    </cfRule>
  </conditionalFormatting>
  <conditionalFormatting sqref="H72">
    <cfRule type="expression" dxfId="1787" priority="182">
      <formula>I72&lt;&gt;""</formula>
    </cfRule>
  </conditionalFormatting>
  <conditionalFormatting sqref="A21:C21">
    <cfRule type="expression" dxfId="1786" priority="179">
      <formula>$A$20=$X$36</formula>
    </cfRule>
  </conditionalFormatting>
  <conditionalFormatting sqref="G52:J52 G53 J53 G54:H54">
    <cfRule type="expression" dxfId="1785" priority="172">
      <formula>$H$53&gt;0</formula>
    </cfRule>
  </conditionalFormatting>
  <conditionalFormatting sqref="G53:H53 J53">
    <cfRule type="expression" dxfId="1784" priority="171">
      <formula>AND($M$53&gt;0,$H$53=0)</formula>
    </cfRule>
  </conditionalFormatting>
  <conditionalFormatting sqref="G54:H54">
    <cfRule type="expression" dxfId="1783" priority="167">
      <formula>AND($H$53&gt;0,$J$54=0,$I$54=0)</formula>
    </cfRule>
  </conditionalFormatting>
  <conditionalFormatting sqref="I54">
    <cfRule type="expression" dxfId="1782" priority="166">
      <formula>J54&lt;&gt;""</formula>
    </cfRule>
  </conditionalFormatting>
  <conditionalFormatting sqref="N53:P53 K53:L53">
    <cfRule type="expression" dxfId="1781" priority="163">
      <formula>$M$53&gt;0</formula>
    </cfRule>
  </conditionalFormatting>
  <conditionalFormatting sqref="N53">
    <cfRule type="expression" dxfId="1780" priority="162">
      <formula>AND($H$53&gt;0,$M$53=0)</formula>
    </cfRule>
  </conditionalFormatting>
  <conditionalFormatting sqref="G27:J27 G28 G29:H29 J28">
    <cfRule type="expression" dxfId="1779" priority="156">
      <formula>$H$28&gt;0</formula>
    </cfRule>
  </conditionalFormatting>
  <conditionalFormatting sqref="G29:H29">
    <cfRule type="expression" dxfId="1778" priority="155">
      <formula>AND($H$28&gt;0,$J$29=0,$I$29=0)</formula>
    </cfRule>
  </conditionalFormatting>
  <conditionalFormatting sqref="G28:H28 J28">
    <cfRule type="expression" dxfId="1777" priority="154">
      <formula>AND($M$28&gt;0,$H$28=0)</formula>
    </cfRule>
  </conditionalFormatting>
  <conditionalFormatting sqref="I29">
    <cfRule type="expression" dxfId="1776" priority="153">
      <formula>J29&lt;&gt;""</formula>
    </cfRule>
  </conditionalFormatting>
  <conditionalFormatting sqref="D20">
    <cfRule type="expression" dxfId="1775" priority="160">
      <formula>$A$20=$X$36</formula>
    </cfRule>
    <cfRule type="expression" dxfId="1774" priority="290">
      <formula>$E$20&gt;0</formula>
    </cfRule>
  </conditionalFormatting>
  <conditionalFormatting sqref="A11:H11 J11:L11 N11">
    <cfRule type="expression" dxfId="1773" priority="100">
      <formula>$M$11&gt;0</formula>
    </cfRule>
  </conditionalFormatting>
  <conditionalFormatting sqref="E42:F42">
    <cfRule type="expression" dxfId="1772" priority="91">
      <formula>AND($A$42="",$M$42&gt;0)</formula>
    </cfRule>
  </conditionalFormatting>
  <conditionalFormatting sqref="A68:N68">
    <cfRule type="expression" dxfId="1771" priority="90">
      <formula>$M$68&lt;0</formula>
    </cfRule>
  </conditionalFormatting>
  <conditionalFormatting sqref="A68:H68 J68:N68">
    <cfRule type="expression" dxfId="1770" priority="89">
      <formula>$M$68&lt;&gt;0</formula>
    </cfRule>
  </conditionalFormatting>
  <conditionalFormatting sqref="O47:O49 O51:O52 O43:O45 R17 O11:O41 O54 S15:U21 O58:O59">
    <cfRule type="expression" dxfId="1769" priority="87">
      <formula>$S$19&gt;0</formula>
    </cfRule>
  </conditionalFormatting>
  <conditionalFormatting sqref="E21">
    <cfRule type="expression" dxfId="1768" priority="665">
      <formula>$A$20=$X$36</formula>
    </cfRule>
  </conditionalFormatting>
  <conditionalFormatting sqref="S38:S39">
    <cfRule type="expression" dxfId="1767" priority="684">
      <formula>($S$19+$S$34)=0</formula>
    </cfRule>
    <cfRule type="expression" dxfId="1766" priority="685">
      <formula>AND($S$39&gt;0.99,$S$39&lt;1.01)</formula>
    </cfRule>
  </conditionalFormatting>
  <conditionalFormatting sqref="G66 J66">
    <cfRule type="expression" dxfId="1765" priority="80">
      <formula>AND($M$66&gt;0,$H$66=0)</formula>
    </cfRule>
  </conditionalFormatting>
  <conditionalFormatting sqref="N66 K66:L66 O61:O75">
    <cfRule type="expression" dxfId="1764" priority="77">
      <formula>($M$66&gt;0)</formula>
    </cfRule>
  </conditionalFormatting>
  <conditionalFormatting sqref="N66">
    <cfRule type="expression" dxfId="1763" priority="78">
      <formula>AND($H$66&gt;0,$M$66=0)</formula>
    </cfRule>
  </conditionalFormatting>
  <conditionalFormatting sqref="G65:J65 G66 J66">
    <cfRule type="expression" dxfId="1762" priority="76">
      <formula>($H$66&gt;0)</formula>
    </cfRule>
  </conditionalFormatting>
  <conditionalFormatting sqref="R40:S40">
    <cfRule type="expression" dxfId="1761" priority="73">
      <formula>AND($S$39&gt;0.99,$S$39&lt;1.01)</formula>
    </cfRule>
  </conditionalFormatting>
  <conditionalFormatting sqref="S53">
    <cfRule type="expression" dxfId="1760" priority="71">
      <formula>AND($S$52&gt;0.99,$S$52&lt;1.01)</formula>
    </cfRule>
  </conditionalFormatting>
  <conditionalFormatting sqref="S51:S52 S54 S58">
    <cfRule type="expression" dxfId="1759" priority="1111">
      <formula>$S$47=0</formula>
    </cfRule>
    <cfRule type="expression" dxfId="1758" priority="1112">
      <formula>AND($S$52&gt;0.99,$S$52&lt;1.01)</formula>
    </cfRule>
  </conditionalFormatting>
  <conditionalFormatting sqref="M74">
    <cfRule type="expression" dxfId="1757" priority="68">
      <formula>$M$74&gt;SUM($M$61,$M$71)</formula>
    </cfRule>
  </conditionalFormatting>
  <conditionalFormatting sqref="A13:H13 J13:L13 N13">
    <cfRule type="expression" dxfId="1756" priority="67">
      <formula>$M$13&gt;0</formula>
    </cfRule>
  </conditionalFormatting>
  <conditionalFormatting sqref="H13 J13">
    <cfRule type="expression" dxfId="1755" priority="66">
      <formula>AND($M$13&gt;0,$I$13=0)</formula>
    </cfRule>
  </conditionalFormatting>
  <conditionalFormatting sqref="O55">
    <cfRule type="expression" dxfId="1754" priority="62">
      <formula>$S$34&gt;0</formula>
    </cfRule>
  </conditionalFormatting>
  <conditionalFormatting sqref="O55">
    <cfRule type="expression" dxfId="1753" priority="61">
      <formula>$S$19&gt;0</formula>
    </cfRule>
  </conditionalFormatting>
  <conditionalFormatting sqref="H56 J56">
    <cfRule type="expression" dxfId="1752" priority="59">
      <formula>AND($M$56&gt;0,$I$56=0)</formula>
    </cfRule>
  </conditionalFormatting>
  <conditionalFormatting sqref="C55">
    <cfRule type="expression" dxfId="1751" priority="58">
      <formula>$E$34&gt;0</formula>
    </cfRule>
  </conditionalFormatting>
  <conditionalFormatting sqref="C55">
    <cfRule type="expression" dxfId="1750" priority="57">
      <formula>$E$38&gt;0</formula>
    </cfRule>
  </conditionalFormatting>
  <conditionalFormatting sqref="C55">
    <cfRule type="expression" dxfId="1749" priority="56">
      <formula>$E$46&gt;0</formula>
    </cfRule>
  </conditionalFormatting>
  <conditionalFormatting sqref="C55">
    <cfRule type="expression" dxfId="1748" priority="55">
      <formula>$E$50&gt;0</formula>
    </cfRule>
  </conditionalFormatting>
  <conditionalFormatting sqref="A56:H56 J56:L56 N56:P56">
    <cfRule type="expression" dxfId="1747" priority="53">
      <formula>$M$56&gt;0</formula>
    </cfRule>
  </conditionalFormatting>
  <conditionalFormatting sqref="C57">
    <cfRule type="expression" dxfId="1746" priority="52">
      <formula>$E$34&gt;0</formula>
    </cfRule>
  </conditionalFormatting>
  <conditionalFormatting sqref="C57">
    <cfRule type="expression" dxfId="1745" priority="51">
      <formula>$E$38&gt;0</formula>
    </cfRule>
  </conditionalFormatting>
  <conditionalFormatting sqref="C57">
    <cfRule type="expression" dxfId="1744" priority="50">
      <formula>$E$46&gt;0</formula>
    </cfRule>
  </conditionalFormatting>
  <conditionalFormatting sqref="C57">
    <cfRule type="expression" dxfId="1743" priority="49">
      <formula>$E$50&gt;0</formula>
    </cfRule>
  </conditionalFormatting>
  <conditionalFormatting sqref="C57">
    <cfRule type="expression" dxfId="1742" priority="48">
      <formula>$E$54&gt;0</formula>
    </cfRule>
  </conditionalFormatting>
  <conditionalFormatting sqref="O57">
    <cfRule type="expression" dxfId="1741" priority="47">
      <formula>$S$34&gt;0</formula>
    </cfRule>
  </conditionalFormatting>
  <conditionalFormatting sqref="O57">
    <cfRule type="expression" dxfId="1740" priority="46">
      <formula>$S$19&gt;0</formula>
    </cfRule>
  </conditionalFormatting>
  <conditionalFormatting sqref="O10">
    <cfRule type="expression" dxfId="1739" priority="45">
      <formula>$S$34&gt;0</formula>
    </cfRule>
  </conditionalFormatting>
  <conditionalFormatting sqref="O10">
    <cfRule type="expression" dxfId="1738" priority="44">
      <formula>$S$19&gt;0</formula>
    </cfRule>
  </conditionalFormatting>
  <conditionalFormatting sqref="N11">
    <cfRule type="expression" dxfId="1737" priority="43">
      <formula>AND($I$11&gt;0,$M$11=0)</formula>
    </cfRule>
  </conditionalFormatting>
  <conditionalFormatting sqref="N13">
    <cfRule type="expression" dxfId="1736" priority="42">
      <formula>AND($I$13&gt;0,$M$13=0)</formula>
    </cfRule>
  </conditionalFormatting>
  <conditionalFormatting sqref="N56">
    <cfRule type="expression" dxfId="1735" priority="41">
      <formula>AND($I$56&gt;0,$M$56=0)</formula>
    </cfRule>
  </conditionalFormatting>
  <conditionalFormatting sqref="H68 J68">
    <cfRule type="expression" dxfId="1734" priority="40">
      <formula>AND($M$68&gt;0,$I$68=0)</formula>
    </cfRule>
  </conditionalFormatting>
  <conditionalFormatting sqref="D21">
    <cfRule type="expression" dxfId="1733" priority="39">
      <formula>$A$20=$X$36</formula>
    </cfRule>
  </conditionalFormatting>
  <conditionalFormatting sqref="A21:C21 E21">
    <cfRule type="expression" dxfId="1732" priority="25">
      <formula>$E$21&gt;0</formula>
    </cfRule>
  </conditionalFormatting>
  <conditionalFormatting sqref="C24:F24">
    <cfRule type="expression" dxfId="1731" priority="18">
      <formula>$E$24&gt;0</formula>
    </cfRule>
  </conditionalFormatting>
  <conditionalFormatting sqref="E24:F24">
    <cfRule type="expression" dxfId="1730" priority="22">
      <formula>AND($A$24="",$E$24&gt;0)</formula>
    </cfRule>
  </conditionalFormatting>
  <conditionalFormatting sqref="A25:C25">
    <cfRule type="expression" dxfId="1729" priority="21">
      <formula>$A$24=$X$36</formula>
    </cfRule>
  </conditionalFormatting>
  <conditionalFormatting sqref="D24">
    <cfRule type="expression" dxfId="1728" priority="20">
      <formula>$A$24=$X$36</formula>
    </cfRule>
    <cfRule type="expression" dxfId="1727" priority="23">
      <formula>$E$24&gt;0</formula>
    </cfRule>
  </conditionalFormatting>
  <conditionalFormatting sqref="E25">
    <cfRule type="expression" dxfId="1726" priority="24">
      <formula>$A$24=$X$36</formula>
    </cfRule>
  </conditionalFormatting>
  <conditionalFormatting sqref="D25">
    <cfRule type="expression" dxfId="1725" priority="19">
      <formula>$A$24=$X$36</formula>
    </cfRule>
  </conditionalFormatting>
  <conditionalFormatting sqref="A25:C25 E25">
    <cfRule type="expression" dxfId="1724" priority="17">
      <formula>$E$25&gt;0</formula>
    </cfRule>
  </conditionalFormatting>
  <conditionalFormatting sqref="A29:F29">
    <cfRule type="expression" dxfId="1723" priority="10">
      <formula>$E$29&gt;0</formula>
    </cfRule>
  </conditionalFormatting>
  <conditionalFormatting sqref="E29:F29">
    <cfRule type="expression" dxfId="1722" priority="14">
      <formula>AND($A$29="",$E$29&gt;0)</formula>
    </cfRule>
  </conditionalFormatting>
  <conditionalFormatting sqref="A30:C30">
    <cfRule type="expression" dxfId="1721" priority="13">
      <formula>$A$29=$X$36</formula>
    </cfRule>
  </conditionalFormatting>
  <conditionalFormatting sqref="D29">
    <cfRule type="expression" dxfId="1720" priority="12">
      <formula>$A$29=$X$36</formula>
    </cfRule>
    <cfRule type="expression" dxfId="1719" priority="15">
      <formula>$E$29&gt;0</formula>
    </cfRule>
  </conditionalFormatting>
  <conditionalFormatting sqref="E30">
    <cfRule type="expression" dxfId="1718" priority="16">
      <formula>$A$29=$X$36</formula>
    </cfRule>
  </conditionalFormatting>
  <conditionalFormatting sqref="D30">
    <cfRule type="expression" dxfId="1717" priority="11">
      <formula>$A$29=$X$36</formula>
    </cfRule>
  </conditionalFormatting>
  <conditionalFormatting sqref="A30:C30 E30">
    <cfRule type="expression" dxfId="1716" priority="9">
      <formula>$E$30&gt;0</formula>
    </cfRule>
  </conditionalFormatting>
  <conditionalFormatting sqref="C60:F60">
    <cfRule type="expression" dxfId="1715" priority="2">
      <formula>$E$60&gt;0</formula>
    </cfRule>
  </conditionalFormatting>
  <conditionalFormatting sqref="E60:F60">
    <cfRule type="expression" dxfId="1714" priority="6">
      <formula>AND($A$60="",$E$60&gt;0)</formula>
    </cfRule>
  </conditionalFormatting>
  <conditionalFormatting sqref="A61:C61">
    <cfRule type="expression" dxfId="1713" priority="5">
      <formula>$A$60=$X$36</formula>
    </cfRule>
  </conditionalFormatting>
  <conditionalFormatting sqref="D60">
    <cfRule type="expression" dxfId="1712" priority="4">
      <formula>$A$60=$X$36</formula>
    </cfRule>
    <cfRule type="expression" dxfId="1711" priority="7">
      <formula>$E$60&gt;0</formula>
    </cfRule>
  </conditionalFormatting>
  <conditionalFormatting sqref="E61">
    <cfRule type="expression" dxfId="1710" priority="8">
      <formula>$A$60=$X$36</formula>
    </cfRule>
  </conditionalFormatting>
  <conditionalFormatting sqref="D61">
    <cfRule type="expression" dxfId="1709" priority="3">
      <formula>$A$60=$X$36</formula>
    </cfRule>
  </conditionalFormatting>
  <conditionalFormatting sqref="A61:C61 E61">
    <cfRule type="expression" dxfId="1708" priority="1">
      <formula>$E$61&gt;0</formula>
    </cfRule>
  </conditionalFormatting>
  <dataValidations xWindow="135" yWindow="573" count="19">
    <dataValidation type="custom" allowBlank="1" showInputMessage="1" showErrorMessage="1" errorTitle="Netzrückspeisung zu hoch" error="Die Netzrückspeisung darf nicht grösser sein als die Summe der mit WKK und Solarstromanlage erzeugten Elektrizität." sqref="M74" xr:uid="{00000000-0002-0000-0400-000000000000}">
      <formula1>AA74</formula1>
    </dataValidation>
    <dataValidation type="list" allowBlank="1" showInputMessage="1" showErrorMessage="1" sqref="B78:E80" xr:uid="{00000000-0002-0000-0400-000001000000}">
      <formula1>$X$78:$X$80</formula1>
    </dataValidation>
    <dataValidation type="list" allowBlank="1" showInputMessage="1" showErrorMessage="1" sqref="S78:S80" xr:uid="{00000000-0002-0000-0400-000002000000}">
      <formula1>$AC$78:$AC$79</formula1>
    </dataValidation>
    <dataValidation type="decimal" allowBlank="1" showInputMessage="1" showErrorMessage="1" error="Wert muss zwischen 400 und 1'500 liegen" sqref="I72" xr:uid="{00000000-0002-0000-0400-000003000000}">
      <formula1>400</formula1>
      <formula2>1500</formula2>
    </dataValidation>
    <dataValidation type="decimal" allowBlank="1" showInputMessage="1" showErrorMessage="1" error="Wert muss zwischen 2.0 und 8.0 liegen" sqref="J34 J38 J29" xr:uid="{00000000-0002-0000-0400-000004000000}">
      <formula1>2</formula1>
      <formula2>8</formula2>
    </dataValidation>
    <dataValidation type="decimal" allowBlank="1" showInputMessage="1" showErrorMessage="1" error="Wert muss zwischen 1.5 und 8.0 liegen" sqref="J46 J50" xr:uid="{00000000-0002-0000-0400-000005000000}">
      <formula1>1.5</formula1>
      <formula2>8</formula2>
    </dataValidation>
    <dataValidation type="decimal" showInputMessage="1" showErrorMessage="1" error="Wert muss im Bereich 5 ... 100% liegen" sqref="C20 C29 C24 C60" xr:uid="{00000000-0002-0000-0400-000006000000}">
      <formula1>0.05</formula1>
      <formula2>1</formula2>
    </dataValidation>
    <dataValidation type="decimal" allowBlank="1" showErrorMessage="1" error="Wert muss zwischen 0.5 und 1.0 liegen" prompt="Wert muss zwischen 0.5 und 1.0 liegen" sqref="J61" xr:uid="{00000000-0002-0000-0400-000007000000}">
      <formula1>0.5</formula1>
      <formula2>1</formula2>
    </dataValidation>
    <dataValidation type="decimal" allowBlank="1" showInputMessage="1" showErrorMessage="1" error="Wert muss zwischen 200 und 800 liegen" sqref="I17" xr:uid="{00000000-0002-0000-0400-000008000000}">
      <formula1>200</formula1>
      <formula2>800</formula2>
    </dataValidation>
    <dataValidation type="decimal" allowBlank="1" showInputMessage="1" showErrorMessage="1" error="Wert muss zwischen 0.5 und 1.0 liegen" sqref="J21 J25" xr:uid="{00000000-0002-0000-0400-000009000000}">
      <formula1>0.5</formula1>
      <formula2>1</formula2>
    </dataValidation>
    <dataValidation type="decimal" allowBlank="1" showInputMessage="1" showErrorMessage="1" error="Wert muss zwischen 5 und 100 liegen" sqref="J54" xr:uid="{00000000-0002-0000-0400-00000A000000}">
      <formula1>5</formula1>
      <formula2>100</formula2>
    </dataValidation>
    <dataValidation type="decimal" allowBlank="1" showInputMessage="1" showErrorMessage="1" error="Wert muss zwischen 0.3 und 1.5 liegen" sqref="J42" xr:uid="{00000000-0002-0000-0400-00000B000000}">
      <formula1>0.3</formula1>
      <formula2>1.5</formula2>
    </dataValidation>
    <dataValidation type="list" allowBlank="1" showInputMessage="1" showErrorMessage="1" sqref="A36:B36 A32:B32 A27:B27" xr:uid="{00000000-0002-0000-0400-00000C000000}">
      <formula1>$X$13:$X$17</formula1>
    </dataValidation>
    <dataValidation type="list" allowBlank="1" showInputMessage="1" showErrorMessage="1" sqref="A42:B42" xr:uid="{00000000-0002-0000-0400-00000D000000}">
      <formula1>$X$20:$X$21</formula1>
    </dataValidation>
    <dataValidation type="decimal" operator="greaterThanOrEqual" allowBlank="1" showInputMessage="1" showErrorMessage="1" sqref="I11 I13 H16:I16 H20:I20 H24:I24 H28:I28 H33:I33 H37:I37 H45:I45 H49:I49 H53:I53 I56 H60:I60 H66:I66 I68 H71:I71 H41:I41" xr:uid="{00000000-0002-0000-0400-00000E000000}">
      <formula1>0</formula1>
    </dataValidation>
    <dataValidation type="list" allowBlank="1" showInputMessage="1" showErrorMessage="1" promptTitle="Biogas" prompt="Bei Wahl &quot;Erdgas&quot; kann der Biogas-Anteil (0..100%) eingegeben werden" sqref="A20:B20 A24:B24 A60:B60" xr:uid="{00000000-0002-0000-0400-00000F000000}">
      <formula1>$X$34:$X$38</formula1>
    </dataValidation>
    <dataValidation showInputMessage="1" sqref="D20 D29 D24 D60" xr:uid="{00000000-0002-0000-0400-000010000000}"/>
    <dataValidation type="decimal" allowBlank="1" showInputMessage="1" showErrorMessage="1" errorTitle="Eingabe unzulässig" error="Wert muss im Bereich 0% ... 100% liegen" promptTitle="Biogas-Anteil Energie 360°" prompt="Erdgas von Energie 360° enthält standardmässig 25% Biogas" sqref="D61 D30 D21 D25" xr:uid="{00000000-0002-0000-0400-000011000000}">
      <formula1>0</formula1>
      <formula2>1</formula2>
    </dataValidation>
    <dataValidation allowBlank="1" showErrorMessage="1" promptTitle="Biogas" prompt="Bei Wahl &quot;Erdgas&quot; kann der Biogas-Anteil (0..100%) eingegeben werden" sqref="A29:B29" xr:uid="{00000000-0002-0000-0400-000012000000}"/>
  </dataValidations>
  <hyperlinks>
    <hyperlink ref="I2" location="Neu_in_Version" display="i" xr:uid="{00000000-0004-0000-0400-000000000000}"/>
  </hyperlinks>
  <printOptions horizontalCentered="1"/>
  <pageMargins left="0.59055118110236227" right="0.59055118110236227" top="0.39370078740157483" bottom="0.59055118110236227" header="0.39370078740157483" footer="0.31496062992125984"/>
  <pageSetup paperSize="9" scale="74" orientation="portrait" horizontalDpi="4294967294" verticalDpi="4294967295" r:id="rId1"/>
  <headerFooter scaleWithDoc="0">
    <oddFooter>&amp;L&amp;8Druckdatum  &amp;D&amp;C&amp;8&amp;F/&amp;A&amp;R&amp;8Seite &amp;P / &amp;N</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5" tint="0.39997558519241921"/>
  </sheetPr>
  <dimension ref="A1:AD93"/>
  <sheetViews>
    <sheetView showGridLines="0" showZeros="0" zoomScaleNormal="100" zoomScaleSheetLayoutView="100" workbookViewId="0">
      <selection activeCell="C7" sqref="C7:F7"/>
    </sheetView>
  </sheetViews>
  <sheetFormatPr baseColWidth="10" defaultColWidth="9.28515625" defaultRowHeight="12.75" x14ac:dyDescent="0.2"/>
  <cols>
    <col min="1" max="1" width="4" style="305" customWidth="1"/>
    <col min="2" max="2" width="9.140625" style="305" customWidth="1"/>
    <col min="3" max="3" width="2.5703125" style="305" customWidth="1"/>
    <col min="4" max="4" width="4.85546875" style="305" customWidth="1"/>
    <col min="5" max="5" width="9.7109375" style="304" customWidth="1"/>
    <col min="6" max="6" width="7.7109375" style="304" customWidth="1"/>
    <col min="7" max="7" width="10.140625" style="304" customWidth="1"/>
    <col min="8" max="9" width="6.42578125" style="304" customWidth="1"/>
    <col min="10" max="10" width="7" style="304" customWidth="1"/>
    <col min="11" max="12" width="2.5703125" style="304" customWidth="1"/>
    <col min="13" max="13" width="9.7109375" style="304" customWidth="1"/>
    <col min="14" max="14" width="7.7109375" style="304" customWidth="1"/>
    <col min="15" max="15" width="2.5703125" style="304" customWidth="1"/>
    <col min="16" max="16" width="3.7109375" style="304" customWidth="1"/>
    <col min="17" max="17" width="2.5703125" style="304" customWidth="1"/>
    <col min="18" max="18" width="7.7109375" style="304" customWidth="1"/>
    <col min="19" max="19" width="6.7109375" style="304" customWidth="1"/>
    <col min="20" max="20" width="2.5703125" style="304" customWidth="1"/>
    <col min="21" max="21" width="6.7109375" style="304" customWidth="1"/>
    <col min="22" max="22" width="7.7109375" style="304" customWidth="1"/>
    <col min="23" max="23" width="9.28515625" style="304"/>
    <col min="24" max="30" width="9.28515625" style="304" customWidth="1"/>
    <col min="31" max="16384" width="9.28515625" style="304"/>
  </cols>
  <sheetData>
    <row r="1" spans="1:28" s="1570" customFormat="1" ht="54" customHeight="1" x14ac:dyDescent="0.2">
      <c r="D1" s="1556"/>
      <c r="E1" s="1556"/>
      <c r="F1" s="1556"/>
      <c r="G1" s="1556"/>
      <c r="H1" s="67"/>
      <c r="I1" s="67"/>
      <c r="J1" s="67"/>
      <c r="K1" s="67"/>
      <c r="L1" s="67"/>
      <c r="M1" s="67"/>
      <c r="N1" s="67"/>
      <c r="O1" s="67"/>
      <c r="P1" s="67"/>
      <c r="Q1" s="67"/>
    </row>
    <row r="2" spans="1:28" s="1570" customFormat="1" ht="15" customHeight="1" x14ac:dyDescent="0.25">
      <c r="A2" s="1565" t="str">
        <f>CONCATENATE("Variantenvergleich Energiesysteme - Version ",Versionsinfo!$B$4)</f>
        <v>Variantenvergleich Energiesysteme - Version 3.0</v>
      </c>
      <c r="B2" s="716"/>
      <c r="C2" s="716"/>
      <c r="D2" s="717"/>
      <c r="E2" s="717"/>
      <c r="F2" s="717"/>
      <c r="G2" s="718"/>
      <c r="H2" s="651"/>
      <c r="I2" s="652" t="s">
        <v>586</v>
      </c>
      <c r="N2" s="67"/>
      <c r="O2" s="67"/>
      <c r="P2" s="67"/>
      <c r="Q2" s="67"/>
      <c r="V2" s="1376"/>
    </row>
    <row r="3" spans="1:28" s="425" customFormat="1" ht="12.75" customHeight="1" x14ac:dyDescent="0.2">
      <c r="A3" s="1557" t="s">
        <v>781</v>
      </c>
      <c r="D3" s="427"/>
      <c r="E3" s="427"/>
      <c r="F3" s="427"/>
      <c r="G3" s="427"/>
      <c r="J3" s="428"/>
      <c r="K3" s="428"/>
      <c r="L3" s="428"/>
      <c r="M3" s="429"/>
      <c r="N3" s="903">
        <f>Projektdaten!$C$8</f>
        <v>0</v>
      </c>
      <c r="O3" s="903"/>
      <c r="P3" s="903"/>
      <c r="Q3" s="903"/>
      <c r="R3" s="903"/>
      <c r="S3" s="903"/>
      <c r="T3" s="903"/>
      <c r="U3" s="906"/>
      <c r="V3" s="428"/>
    </row>
    <row r="4" spans="1:28" s="425" customFormat="1" ht="16.5" customHeight="1" x14ac:dyDescent="0.2">
      <c r="A4" s="430"/>
      <c r="N4" s="903">
        <f>Projektdaten!$J$8</f>
        <v>0</v>
      </c>
      <c r="O4" s="903"/>
      <c r="P4" s="904"/>
      <c r="Q4" s="905"/>
      <c r="R4" s="905"/>
      <c r="S4" s="905"/>
      <c r="T4" s="905"/>
      <c r="U4" s="907"/>
    </row>
    <row r="5" spans="1:28" s="432" customFormat="1" ht="16.5" customHeight="1" x14ac:dyDescent="0.25">
      <c r="A5" s="1566" t="s">
        <v>33</v>
      </c>
      <c r="B5" s="431"/>
      <c r="C5" s="431"/>
      <c r="D5" s="431"/>
      <c r="F5" s="1566" t="s">
        <v>17</v>
      </c>
      <c r="H5" s="433"/>
      <c r="I5" s="433"/>
      <c r="J5" s="600"/>
      <c r="K5" s="600"/>
      <c r="L5" s="600"/>
      <c r="M5" s="600"/>
      <c r="N5" s="1435" t="str">
        <f>CONCATENATE("Version: ",Projektdaten!$F$13)</f>
        <v>Version: 1</v>
      </c>
      <c r="O5" s="1435"/>
      <c r="P5" s="1435"/>
      <c r="Q5" s="1435"/>
      <c r="R5" s="1435"/>
      <c r="S5" s="2199">
        <f ca="1">Projektdaten!$F$15</f>
        <v>45372</v>
      </c>
      <c r="T5" s="2199"/>
      <c r="U5" s="2199"/>
    </row>
    <row r="6" spans="1:28" s="1570" customFormat="1" ht="13.5" customHeight="1" x14ac:dyDescent="0.2"/>
    <row r="7" spans="1:28" s="425" customFormat="1" ht="15" customHeight="1" x14ac:dyDescent="0.2">
      <c r="A7" s="434"/>
      <c r="B7" s="1567" t="s">
        <v>472</v>
      </c>
      <c r="C7" s="2276"/>
      <c r="D7" s="2276"/>
      <c r="E7" s="2276"/>
      <c r="F7" s="2276"/>
      <c r="G7" s="436"/>
      <c r="H7" s="436"/>
      <c r="I7" s="1568" t="s">
        <v>782</v>
      </c>
      <c r="J7" s="2282"/>
      <c r="K7" s="2283"/>
      <c r="L7" s="2283"/>
      <c r="M7" s="2283"/>
      <c r="N7" s="2283"/>
      <c r="O7" s="2283"/>
      <c r="P7" s="2283"/>
      <c r="Q7" s="2283"/>
      <c r="R7" s="2283"/>
      <c r="S7" s="2283"/>
      <c r="T7" s="2283"/>
      <c r="U7" s="437"/>
      <c r="W7" s="2281" t="s">
        <v>162</v>
      </c>
      <c r="X7" s="2281"/>
      <c r="Y7" s="2281"/>
      <c r="Z7" s="2281"/>
      <c r="AA7" s="2281"/>
      <c r="AB7" s="2281"/>
    </row>
    <row r="8" spans="1:28" s="309" customFormat="1" ht="13.5" customHeight="1" x14ac:dyDescent="0.2">
      <c r="A8" s="308"/>
      <c r="B8" s="308"/>
      <c r="C8" s="308"/>
      <c r="D8" s="308"/>
    </row>
    <row r="9" spans="1:28" s="309" customFormat="1" ht="12.75" customHeight="1" x14ac:dyDescent="0.2">
      <c r="A9" s="2259" t="s">
        <v>726</v>
      </c>
      <c r="B9" s="2259"/>
      <c r="C9" s="308"/>
      <c r="D9" s="308"/>
      <c r="E9" s="1471" t="s">
        <v>120</v>
      </c>
      <c r="G9" s="2317" t="s">
        <v>198</v>
      </c>
      <c r="H9" s="2317"/>
      <c r="I9" s="2317"/>
      <c r="J9" s="2317"/>
      <c r="M9" s="1471" t="s">
        <v>121</v>
      </c>
      <c r="S9" s="2259" t="s">
        <v>727</v>
      </c>
      <c r="T9" s="2259"/>
      <c r="U9" s="2259"/>
    </row>
    <row r="10" spans="1:28" s="309" customFormat="1" ht="6" customHeight="1" x14ac:dyDescent="0.2">
      <c r="A10" s="1469"/>
      <c r="B10" s="306"/>
      <c r="C10" s="308"/>
      <c r="D10" s="308"/>
      <c r="E10" s="307"/>
      <c r="G10" s="307"/>
      <c r="H10" s="307"/>
      <c r="I10" s="307"/>
      <c r="J10" s="307"/>
      <c r="M10" s="307"/>
      <c r="N10" s="311"/>
      <c r="O10" s="320"/>
      <c r="Q10" s="308"/>
      <c r="R10" s="308"/>
      <c r="S10" s="307"/>
      <c r="T10" s="307"/>
      <c r="U10" s="307"/>
    </row>
    <row r="11" spans="1:28" s="309" customFormat="1" ht="12.75" customHeight="1" x14ac:dyDescent="0.2">
      <c r="A11" s="499" t="s">
        <v>35</v>
      </c>
      <c r="B11" s="312"/>
      <c r="C11" s="312"/>
      <c r="D11" s="312"/>
      <c r="E11" s="313">
        <f>M11</f>
        <v>0</v>
      </c>
      <c r="F11" s="314" t="s">
        <v>4</v>
      </c>
      <c r="G11" s="315"/>
      <c r="H11" s="500" t="s">
        <v>235</v>
      </c>
      <c r="I11" s="316"/>
      <c r="J11" s="317" t="s">
        <v>51</v>
      </c>
      <c r="K11" s="318"/>
      <c r="L11" s="318"/>
      <c r="M11" s="319"/>
      <c r="N11" s="318" t="s">
        <v>4</v>
      </c>
      <c r="O11" s="322"/>
      <c r="P11" s="311"/>
      <c r="Q11" s="311"/>
      <c r="R11" s="311"/>
      <c r="S11" s="307"/>
      <c r="T11" s="307"/>
      <c r="U11" s="307"/>
    </row>
    <row r="12" spans="1:28" s="309" customFormat="1" ht="12.75" customHeight="1" x14ac:dyDescent="0.2">
      <c r="A12" s="306"/>
      <c r="B12" s="306"/>
      <c r="C12" s="321"/>
      <c r="D12" s="321"/>
      <c r="E12" s="307"/>
      <c r="F12" s="311"/>
      <c r="G12" s="307"/>
      <c r="H12" s="307"/>
      <c r="I12" s="307"/>
      <c r="J12" s="307"/>
      <c r="K12" s="311"/>
      <c r="L12" s="311"/>
      <c r="M12" s="307"/>
      <c r="N12" s="311"/>
      <c r="O12" s="322"/>
      <c r="P12" s="311"/>
      <c r="Q12" s="311"/>
      <c r="R12" s="311"/>
      <c r="S12" s="307"/>
      <c r="T12" s="307"/>
      <c r="U12" s="307"/>
      <c r="X12" s="886" t="s">
        <v>451</v>
      </c>
      <c r="Y12" s="887"/>
      <c r="Z12" s="887"/>
      <c r="AA12" s="888"/>
    </row>
    <row r="13" spans="1:28" s="309" customFormat="1" ht="12.75" customHeight="1" x14ac:dyDescent="0.2">
      <c r="A13" s="654" t="str">
        <f>Grunddaten!C55</f>
        <v>Wärmeverbund XY</v>
      </c>
      <c r="B13" s="312"/>
      <c r="C13" s="312"/>
      <c r="D13" s="312"/>
      <c r="E13" s="313">
        <f>M13</f>
        <v>0</v>
      </c>
      <c r="F13" s="314" t="s">
        <v>4</v>
      </c>
      <c r="G13" s="315"/>
      <c r="H13" s="500" t="s">
        <v>235</v>
      </c>
      <c r="I13" s="316"/>
      <c r="J13" s="317" t="s">
        <v>51</v>
      </c>
      <c r="K13" s="318"/>
      <c r="L13" s="318"/>
      <c r="M13" s="319"/>
      <c r="N13" s="318" t="s">
        <v>4</v>
      </c>
      <c r="O13" s="322"/>
      <c r="P13" s="311"/>
      <c r="Q13" s="311"/>
      <c r="R13" s="311"/>
      <c r="S13" s="307"/>
      <c r="T13" s="307"/>
      <c r="U13" s="307"/>
      <c r="X13" s="891" t="s">
        <v>67</v>
      </c>
      <c r="Y13" s="889"/>
      <c r="Z13" s="889"/>
      <c r="AA13" s="890"/>
    </row>
    <row r="14" spans="1:28" s="309" customFormat="1" ht="12.75" customHeight="1" thickBot="1" x14ac:dyDescent="0.25">
      <c r="A14" s="306"/>
      <c r="B14" s="306"/>
      <c r="C14" s="321"/>
      <c r="D14" s="321"/>
      <c r="E14" s="307"/>
      <c r="F14" s="311"/>
      <c r="G14" s="307"/>
      <c r="H14" s="307"/>
      <c r="I14" s="307"/>
      <c r="J14" s="307"/>
      <c r="K14" s="311"/>
      <c r="L14" s="311"/>
      <c r="M14" s="307"/>
      <c r="N14" s="311"/>
      <c r="O14" s="322"/>
      <c r="P14" s="311"/>
      <c r="Q14" s="311"/>
      <c r="R14" s="311"/>
      <c r="S14" s="307"/>
      <c r="T14" s="307"/>
      <c r="U14" s="307"/>
      <c r="X14" s="892" t="s">
        <v>68</v>
      </c>
      <c r="Y14" s="884"/>
      <c r="Z14" s="884"/>
      <c r="AA14" s="893"/>
    </row>
    <row r="15" spans="1:28" s="309" customFormat="1" ht="12.75" customHeight="1" x14ac:dyDescent="0.2">
      <c r="A15" s="306"/>
      <c r="B15" s="306"/>
      <c r="C15" s="321"/>
      <c r="D15" s="321"/>
      <c r="E15" s="307"/>
      <c r="F15" s="311"/>
      <c r="G15" s="2299" t="s">
        <v>72</v>
      </c>
      <c r="H15" s="2300"/>
      <c r="I15" s="2300"/>
      <c r="J15" s="2301"/>
      <c r="K15" s="401"/>
      <c r="L15" s="401"/>
      <c r="M15" s="307"/>
      <c r="N15" s="311"/>
      <c r="O15" s="322"/>
      <c r="P15" s="2261" t="s">
        <v>528</v>
      </c>
      <c r="Q15" s="2262"/>
      <c r="R15" s="311"/>
      <c r="S15" s="2299" t="s">
        <v>66</v>
      </c>
      <c r="T15" s="2300"/>
      <c r="U15" s="2301"/>
      <c r="X15" s="892" t="s">
        <v>69</v>
      </c>
      <c r="Y15" s="884"/>
      <c r="Z15" s="884"/>
      <c r="AA15" s="893"/>
    </row>
    <row r="16" spans="1:28" s="309" customFormat="1" ht="12.75" customHeight="1" x14ac:dyDescent="0.2">
      <c r="A16" s="313" t="s">
        <v>76</v>
      </c>
      <c r="B16" s="313"/>
      <c r="C16" s="313"/>
      <c r="D16" s="313"/>
      <c r="E16" s="313"/>
      <c r="F16" s="323"/>
      <c r="G16" s="324" t="s">
        <v>73</v>
      </c>
      <c r="H16" s="2284"/>
      <c r="I16" s="2258"/>
      <c r="J16" s="325" t="s">
        <v>75</v>
      </c>
      <c r="K16" s="313"/>
      <c r="L16" s="313"/>
      <c r="M16" s="313">
        <f>H16*IF(ISBLANK(I17),H17,I17)</f>
        <v>0</v>
      </c>
      <c r="N16" s="318" t="s">
        <v>4</v>
      </c>
      <c r="O16" s="322"/>
      <c r="P16" s="2263" t="s">
        <v>527</v>
      </c>
      <c r="Q16" s="2264"/>
      <c r="R16" s="311"/>
      <c r="S16" s="2302"/>
      <c r="T16" s="2303"/>
      <c r="U16" s="2304"/>
      <c r="X16" s="892" t="s">
        <v>78</v>
      </c>
      <c r="Y16" s="884"/>
      <c r="Z16" s="884"/>
      <c r="AA16" s="893"/>
    </row>
    <row r="17" spans="1:27" s="309" customFormat="1" ht="12.75" customHeight="1" thickBot="1" x14ac:dyDescent="0.25">
      <c r="A17" s="306"/>
      <c r="B17" s="306"/>
      <c r="C17" s="321"/>
      <c r="D17" s="321"/>
      <c r="E17" s="1472"/>
      <c r="F17" s="311"/>
      <c r="G17" s="326" t="s">
        <v>74</v>
      </c>
      <c r="H17" s="359">
        <f>IF(ISBLANK(H16),0,Grunddaten!H122)</f>
        <v>0</v>
      </c>
      <c r="I17" s="328"/>
      <c r="J17" s="329" t="s">
        <v>77</v>
      </c>
      <c r="K17" s="330"/>
      <c r="L17" s="330"/>
      <c r="M17" s="1472"/>
      <c r="N17" s="311"/>
      <c r="O17" s="331"/>
      <c r="P17" s="2260"/>
      <c r="Q17" s="2260"/>
      <c r="R17" s="323"/>
      <c r="S17" s="2305"/>
      <c r="T17" s="2306"/>
      <c r="U17" s="2307"/>
      <c r="X17" s="894" t="str">
        <f>Grunddaten!$C$55</f>
        <v>Wärmeverbund XY</v>
      </c>
      <c r="Y17" s="895"/>
      <c r="Z17" s="895"/>
      <c r="AA17" s="896"/>
    </row>
    <row r="18" spans="1:27" s="309" customFormat="1" ht="12.75" customHeight="1" thickBot="1" x14ac:dyDescent="0.25">
      <c r="A18" s="306"/>
      <c r="B18" s="306"/>
      <c r="C18" s="321"/>
      <c r="D18" s="321"/>
      <c r="E18" s="307"/>
      <c r="F18" s="311"/>
      <c r="G18" s="307"/>
      <c r="H18" s="307"/>
      <c r="I18" s="307"/>
      <c r="J18" s="307"/>
      <c r="K18" s="311"/>
      <c r="L18" s="311"/>
      <c r="M18" s="307"/>
      <c r="N18" s="311"/>
      <c r="O18" s="322"/>
      <c r="P18" s="2267" t="s">
        <v>555</v>
      </c>
      <c r="Q18" s="2268"/>
      <c r="R18" s="311"/>
      <c r="S18" s="611" t="s">
        <v>70</v>
      </c>
      <c r="T18" s="333"/>
      <c r="U18" s="334"/>
    </row>
    <row r="19" spans="1:27" s="309" customFormat="1" ht="12.75" customHeight="1" x14ac:dyDescent="0.2">
      <c r="A19" s="435"/>
      <c r="B19" s="435"/>
      <c r="C19" s="450"/>
      <c r="D19" s="450"/>
      <c r="E19" s="436"/>
      <c r="F19" s="441"/>
      <c r="G19" s="2299" t="s">
        <v>47</v>
      </c>
      <c r="H19" s="2300"/>
      <c r="I19" s="2300"/>
      <c r="J19" s="2301"/>
      <c r="K19" s="401"/>
      <c r="L19" s="401"/>
      <c r="M19" s="307"/>
      <c r="N19" s="311"/>
      <c r="O19" s="322"/>
      <c r="P19" s="441"/>
      <c r="Q19" s="441"/>
      <c r="R19" s="311"/>
      <c r="S19" s="2250">
        <f>Projektdaten!K29</f>
        <v>0</v>
      </c>
      <c r="T19" s="2251"/>
      <c r="U19" s="610" t="s">
        <v>4</v>
      </c>
      <c r="X19" s="886" t="s">
        <v>450</v>
      </c>
      <c r="Y19" s="887"/>
      <c r="Z19" s="887"/>
      <c r="AA19" s="888"/>
    </row>
    <row r="20" spans="1:27" s="309" customFormat="1" ht="12.75" customHeight="1" x14ac:dyDescent="0.2">
      <c r="A20" s="2252"/>
      <c r="B20" s="2252"/>
      <c r="C20" s="501"/>
      <c r="D20" s="501">
        <f>IF(A20=$X$36,1-D21,1)</f>
        <v>1</v>
      </c>
      <c r="E20" s="443">
        <f>IF(M20,M20/IF(ISBLANK(J21),I21,J21)*D20,0)</f>
        <v>0</v>
      </c>
      <c r="F20" s="448" t="s">
        <v>4</v>
      </c>
      <c r="G20" s="324" t="s">
        <v>50</v>
      </c>
      <c r="H20" s="2258"/>
      <c r="I20" s="2258"/>
      <c r="J20" s="336" t="s">
        <v>51</v>
      </c>
      <c r="K20" s="313"/>
      <c r="L20" s="313"/>
      <c r="M20" s="319"/>
      <c r="N20" s="318" t="s">
        <v>4</v>
      </c>
      <c r="O20" s="322"/>
      <c r="P20" s="441"/>
      <c r="Q20" s="441"/>
      <c r="R20" s="311"/>
      <c r="S20" s="606" t="s">
        <v>526</v>
      </c>
      <c r="T20" s="607"/>
      <c r="U20" s="608"/>
      <c r="X20" s="891" t="s">
        <v>35</v>
      </c>
      <c r="Y20" s="889"/>
      <c r="Z20" s="889"/>
      <c r="AA20" s="890"/>
    </row>
    <row r="21" spans="1:27" s="309" customFormat="1" ht="12.75" customHeight="1" thickBot="1" x14ac:dyDescent="0.25">
      <c r="A21" s="2269" t="str">
        <f>IF(A20=$X$36,Berechnungen!$A$34,"")</f>
        <v/>
      </c>
      <c r="B21" s="2269"/>
      <c r="C21" s="496"/>
      <c r="D21" s="1591">
        <v>0.25</v>
      </c>
      <c r="E21" s="1438">
        <f>IF(AND(M20&gt;0,A20=$X$36),M20/IF(ISBLANK(J21),I21,J21)*D21,0)</f>
        <v>0</v>
      </c>
      <c r="F21" s="441"/>
      <c r="G21" s="337"/>
      <c r="H21" s="338" t="s">
        <v>46</v>
      </c>
      <c r="I21" s="327">
        <f>IF(ISBLANK(H20),0,IFERROR(HLOOKUP(A20,Grunddaten!H121:Y125,4,FALSE),Grunddaten!H124))</f>
        <v>0</v>
      </c>
      <c r="J21" s="339"/>
      <c r="K21" s="330"/>
      <c r="L21" s="330"/>
      <c r="M21" s="1472"/>
      <c r="N21" s="311"/>
      <c r="O21" s="322"/>
      <c r="P21" s="441"/>
      <c r="Q21" s="441"/>
      <c r="R21" s="311"/>
      <c r="S21" s="2253">
        <f>S19*(1+P17)</f>
        <v>0</v>
      </c>
      <c r="T21" s="2254"/>
      <c r="U21" s="463" t="s">
        <v>4</v>
      </c>
      <c r="X21" s="894" t="s">
        <v>452</v>
      </c>
      <c r="Y21" s="895"/>
      <c r="Z21" s="895"/>
      <c r="AA21" s="896"/>
    </row>
    <row r="22" spans="1:27" s="309" customFormat="1" ht="12.75" customHeight="1" thickBot="1" x14ac:dyDescent="0.25">
      <c r="A22" s="435"/>
      <c r="B22" s="435"/>
      <c r="C22" s="450"/>
      <c r="D22" s="450"/>
      <c r="E22" s="436"/>
      <c r="F22" s="441"/>
      <c r="G22" s="307"/>
      <c r="H22" s="307"/>
      <c r="I22" s="307"/>
      <c r="J22" s="307"/>
      <c r="K22" s="311"/>
      <c r="L22" s="311"/>
      <c r="M22" s="307"/>
      <c r="N22" s="311"/>
      <c r="O22" s="322"/>
      <c r="P22" s="441"/>
      <c r="Q22" s="441"/>
      <c r="R22" s="311"/>
      <c r="S22" s="307"/>
      <c r="T22" s="1479"/>
      <c r="U22" s="307"/>
      <c r="X22" s="343"/>
      <c r="Y22" s="343"/>
      <c r="Z22" s="343"/>
      <c r="AA22" s="343"/>
    </row>
    <row r="23" spans="1:27" s="309" customFormat="1" ht="12.75" customHeight="1" x14ac:dyDescent="0.2">
      <c r="A23" s="435"/>
      <c r="B23" s="435"/>
      <c r="C23" s="450"/>
      <c r="D23" s="450"/>
      <c r="E23" s="436"/>
      <c r="F23" s="441"/>
      <c r="G23" s="2299" t="s">
        <v>48</v>
      </c>
      <c r="H23" s="2300"/>
      <c r="I23" s="2300"/>
      <c r="J23" s="2301"/>
      <c r="K23" s="401"/>
      <c r="L23" s="401"/>
      <c r="M23" s="307"/>
      <c r="N23" s="311"/>
      <c r="O23" s="322"/>
      <c r="P23" s="441"/>
      <c r="Q23" s="441"/>
      <c r="R23" s="311"/>
      <c r="S23" s="307"/>
      <c r="T23" s="307"/>
      <c r="U23" s="307"/>
      <c r="X23" s="937" t="s">
        <v>515</v>
      </c>
      <c r="Y23" s="938"/>
      <c r="Z23" s="938"/>
      <c r="AA23" s="939"/>
    </row>
    <row r="24" spans="1:27" s="309" customFormat="1" ht="12.75" customHeight="1" x14ac:dyDescent="0.2">
      <c r="A24" s="2252"/>
      <c r="B24" s="2252"/>
      <c r="C24" s="501"/>
      <c r="D24" s="501">
        <f>IF(A24=$X$36,1-D25,1)</f>
        <v>1</v>
      </c>
      <c r="E24" s="443">
        <f>IF(M24,M24/IF(ISBLANK(J25),I25,J25)*D24,0)</f>
        <v>0</v>
      </c>
      <c r="F24" s="448" t="s">
        <v>4</v>
      </c>
      <c r="G24" s="324" t="s">
        <v>50</v>
      </c>
      <c r="H24" s="2258"/>
      <c r="I24" s="2258"/>
      <c r="J24" s="336" t="s">
        <v>51</v>
      </c>
      <c r="K24" s="313"/>
      <c r="L24" s="313"/>
      <c r="M24" s="319"/>
      <c r="N24" s="318" t="s">
        <v>4</v>
      </c>
      <c r="O24" s="322"/>
      <c r="P24" s="441"/>
      <c r="Q24" s="441"/>
      <c r="R24" s="311"/>
      <c r="S24" s="307"/>
      <c r="T24" s="307"/>
      <c r="U24" s="307"/>
      <c r="X24" s="940" t="str">
        <f>G27</f>
        <v>Gasmotorwärmepumpe</v>
      </c>
      <c r="Y24" s="941"/>
      <c r="Z24" s="941"/>
      <c r="AA24" s="942">
        <f>ROUND(IF(E27=0,0,H28*(1-1/IF(ISBLANK(J29),I29,J29))),0)</f>
        <v>0</v>
      </c>
    </row>
    <row r="25" spans="1:27" s="309" customFormat="1" ht="12.75" customHeight="1" thickBot="1" x14ac:dyDescent="0.25">
      <c r="A25" s="2269" t="str">
        <f>IF(A24=$X$36,Berechnungen!$A$34,"")</f>
        <v/>
      </c>
      <c r="B25" s="2269"/>
      <c r="C25" s="496"/>
      <c r="D25" s="1591">
        <v>0.25</v>
      </c>
      <c r="E25" s="1438">
        <f>IF(AND(M24&gt;0,A24=$X$36),M24/IF(ISBLANK(J25),I25,J25)*D25,0)</f>
        <v>0</v>
      </c>
      <c r="F25" s="441"/>
      <c r="G25" s="337"/>
      <c r="H25" s="338" t="s">
        <v>46</v>
      </c>
      <c r="I25" s="327">
        <f>IF(ISBLANK(H24),0,IFERROR(HLOOKUP(A24,Grunddaten!H121:Y125,4,FALSE),Grunddaten!H124))</f>
        <v>0</v>
      </c>
      <c r="J25" s="339"/>
      <c r="K25" s="330"/>
      <c r="L25" s="330"/>
      <c r="M25" s="1472"/>
      <c r="N25" s="311"/>
      <c r="O25" s="322"/>
      <c r="P25" s="441"/>
      <c r="Q25" s="441"/>
      <c r="R25" s="311"/>
      <c r="S25" s="307"/>
      <c r="T25" s="307"/>
      <c r="U25" s="307"/>
      <c r="X25" s="943" t="str">
        <f>G32</f>
        <v>Wärmepumpe 1</v>
      </c>
      <c r="Y25" s="885"/>
      <c r="Z25" s="885"/>
      <c r="AA25" s="944">
        <f>ROUND(IF(E32=0,0,H33*(1-1/IF(ISBLANK(J34),I34,J34))),0)</f>
        <v>0</v>
      </c>
    </row>
    <row r="26" spans="1:27" s="309" customFormat="1" ht="12.75" customHeight="1" thickBot="1" x14ac:dyDescent="0.25">
      <c r="A26" s="1445"/>
      <c r="B26" s="1445"/>
      <c r="C26" s="340"/>
      <c r="D26" s="340"/>
      <c r="E26" s="1439"/>
      <c r="F26" s="441"/>
      <c r="G26" s="307"/>
      <c r="H26" s="307"/>
      <c r="I26" s="307"/>
      <c r="J26" s="307"/>
      <c r="K26" s="330"/>
      <c r="L26" s="330"/>
      <c r="M26" s="1472"/>
      <c r="N26" s="311"/>
      <c r="O26" s="322"/>
      <c r="P26" s="441"/>
      <c r="Q26" s="441"/>
      <c r="R26" s="311"/>
      <c r="S26" s="307"/>
      <c r="T26" s="307"/>
      <c r="U26" s="307"/>
      <c r="X26" s="945" t="str">
        <f>G36</f>
        <v>Wärmepumpe 2</v>
      </c>
      <c r="Y26" s="946"/>
      <c r="Z26" s="946"/>
      <c r="AA26" s="947">
        <f>ROUND(IF(E36=0,0,H37*(1-1/IF(ISBLANK(J38),I38,J38))),0)</f>
        <v>0</v>
      </c>
    </row>
    <row r="27" spans="1:27" s="309" customFormat="1" ht="12.75" customHeight="1" x14ac:dyDescent="0.2">
      <c r="A27" s="2252"/>
      <c r="B27" s="2252"/>
      <c r="C27" s="467"/>
      <c r="D27" s="577"/>
      <c r="E27" s="468">
        <f>M28-E29-E30</f>
        <v>0</v>
      </c>
      <c r="F27" s="448" t="s">
        <v>4</v>
      </c>
      <c r="G27" s="2255" t="s">
        <v>244</v>
      </c>
      <c r="H27" s="2256"/>
      <c r="I27" s="2256"/>
      <c r="J27" s="2257"/>
      <c r="K27" s="330"/>
      <c r="L27" s="330"/>
      <c r="M27" s="1472"/>
      <c r="N27" s="311"/>
      <c r="O27" s="322"/>
      <c r="P27" s="441"/>
      <c r="Q27" s="441"/>
      <c r="R27" s="311"/>
      <c r="S27" s="307"/>
      <c r="T27" s="307"/>
      <c r="U27" s="307"/>
      <c r="X27" s="470"/>
      <c r="Y27" s="470"/>
      <c r="Z27" s="470"/>
      <c r="AA27" s="470"/>
    </row>
    <row r="28" spans="1:27" s="309" customFormat="1" ht="12.75" customHeight="1" x14ac:dyDescent="0.2">
      <c r="A28" s="1445"/>
      <c r="B28" s="1445"/>
      <c r="C28" s="340"/>
      <c r="D28" s="340"/>
      <c r="E28" s="1439"/>
      <c r="F28" s="441"/>
      <c r="G28" s="454" t="s">
        <v>50</v>
      </c>
      <c r="H28" s="2258"/>
      <c r="I28" s="2258"/>
      <c r="J28" s="464" t="s">
        <v>51</v>
      </c>
      <c r="K28" s="313"/>
      <c r="L28" s="313"/>
      <c r="M28" s="319"/>
      <c r="N28" s="318" t="s">
        <v>4</v>
      </c>
      <c r="O28" s="322"/>
      <c r="P28" s="441"/>
      <c r="Q28" s="441"/>
      <c r="R28" s="311"/>
      <c r="S28" s="307"/>
      <c r="T28" s="307"/>
      <c r="U28" s="307"/>
      <c r="X28" s="937" t="s">
        <v>517</v>
      </c>
      <c r="Y28" s="938"/>
      <c r="Z28" s="938"/>
      <c r="AA28" s="939"/>
    </row>
    <row r="29" spans="1:27" s="309" customFormat="1" ht="12.75" customHeight="1" thickBot="1" x14ac:dyDescent="0.25">
      <c r="A29" s="2280" t="str">
        <f>X36</f>
        <v>Erdgas</v>
      </c>
      <c r="B29" s="2280"/>
      <c r="C29" s="501"/>
      <c r="D29" s="501">
        <f>IF(A29=$X$36,1-D30,1)</f>
        <v>0.75</v>
      </c>
      <c r="E29" s="443">
        <f>IF(M28,M28/IF(ISBLANK(J29),I29,J29)*D29,0)</f>
        <v>0</v>
      </c>
      <c r="F29" s="448" t="s">
        <v>4</v>
      </c>
      <c r="G29" s="465"/>
      <c r="H29" s="466" t="s">
        <v>65</v>
      </c>
      <c r="I29" s="327">
        <f>IF(ISBLANK(H28),0,IFERROR(HLOOKUP(A27,Grunddaten!H126:Y130,2,FALSE),Grunddaten!H127))</f>
        <v>0</v>
      </c>
      <c r="J29" s="339"/>
      <c r="K29" s="311"/>
      <c r="L29" s="311"/>
      <c r="M29" s="307"/>
      <c r="N29" s="311"/>
      <c r="O29" s="322"/>
      <c r="P29" s="441"/>
      <c r="Q29" s="441"/>
      <c r="R29" s="311"/>
      <c r="S29" s="307"/>
      <c r="T29" s="1480"/>
      <c r="U29" s="1480"/>
      <c r="V29" s="353"/>
      <c r="X29" s="940" t="s">
        <v>536</v>
      </c>
      <c r="Y29" s="941"/>
      <c r="Z29" s="941"/>
      <c r="AA29" s="942">
        <f>I11</f>
        <v>0</v>
      </c>
    </row>
    <row r="30" spans="1:27" s="309" customFormat="1" ht="12.75" customHeight="1" x14ac:dyDescent="0.2">
      <c r="A30" s="2269" t="str">
        <f>IF(A29=$X$36,Berechnungen!$A$34,"")</f>
        <v>Biogas</v>
      </c>
      <c r="B30" s="2269"/>
      <c r="C30" s="496"/>
      <c r="D30" s="1591">
        <v>0.25</v>
      </c>
      <c r="E30" s="1438">
        <f>IF(AND(M28&gt;0,A29=$X$36),M28/IF(ISBLANK(J29),I29,J29)*D30,0)</f>
        <v>0</v>
      </c>
      <c r="F30" s="441"/>
      <c r="G30" s="307"/>
      <c r="H30" s="307"/>
      <c r="I30" s="307"/>
      <c r="J30" s="307"/>
      <c r="K30" s="311"/>
      <c r="L30" s="311"/>
      <c r="M30" s="307"/>
      <c r="N30" s="311"/>
      <c r="O30" s="322"/>
      <c r="P30" s="2261" t="s">
        <v>528</v>
      </c>
      <c r="Q30" s="2265"/>
      <c r="R30" s="311"/>
      <c r="S30" s="2299" t="s">
        <v>529</v>
      </c>
      <c r="T30" s="2300"/>
      <c r="U30" s="2301"/>
      <c r="X30" s="945" t="s">
        <v>245</v>
      </c>
      <c r="Y30" s="946"/>
      <c r="Z30" s="946"/>
      <c r="AA30" s="947">
        <f>IF(AND(H41&gt;0,A42=X20),H41/IF(J42,J42,I42),0)</f>
        <v>0</v>
      </c>
    </row>
    <row r="31" spans="1:27" s="309" customFormat="1" ht="12.75" customHeight="1" thickBot="1" x14ac:dyDescent="0.25">
      <c r="A31" s="1445"/>
      <c r="B31" s="1445"/>
      <c r="C31" s="340"/>
      <c r="D31" s="340"/>
      <c r="E31" s="1473"/>
      <c r="F31" s="311"/>
      <c r="G31" s="307"/>
      <c r="H31" s="307"/>
      <c r="I31" s="307"/>
      <c r="J31" s="307"/>
      <c r="K31" s="311"/>
      <c r="L31" s="311"/>
      <c r="M31" s="307"/>
      <c r="N31" s="311"/>
      <c r="O31" s="322"/>
      <c r="P31" s="2263" t="s">
        <v>527</v>
      </c>
      <c r="Q31" s="2264"/>
      <c r="R31" s="311"/>
      <c r="S31" s="2302"/>
      <c r="T31" s="2303"/>
      <c r="U31" s="2304"/>
      <c r="X31" s="948" t="s">
        <v>518</v>
      </c>
      <c r="Y31" s="938"/>
      <c r="Z31" s="938"/>
      <c r="AA31" s="949">
        <f>ROUNDUP(SUM(AA29:AA30),-1)</f>
        <v>0</v>
      </c>
    </row>
    <row r="32" spans="1:27" s="309" customFormat="1" ht="12.75" customHeight="1" x14ac:dyDescent="0.2">
      <c r="A32" s="2252"/>
      <c r="B32" s="2252"/>
      <c r="C32" s="341"/>
      <c r="D32" s="341"/>
      <c r="E32" s="342">
        <f>M33-E34</f>
        <v>0</v>
      </c>
      <c r="F32" s="318" t="s">
        <v>4</v>
      </c>
      <c r="G32" s="2299" t="s">
        <v>64</v>
      </c>
      <c r="H32" s="2300"/>
      <c r="I32" s="2300"/>
      <c r="J32" s="2301"/>
      <c r="K32" s="401"/>
      <c r="L32" s="401"/>
      <c r="M32" s="307"/>
      <c r="N32" s="311"/>
      <c r="O32" s="331"/>
      <c r="P32" s="2260"/>
      <c r="Q32" s="2260"/>
      <c r="R32" s="323"/>
      <c r="S32" s="2305"/>
      <c r="T32" s="2306"/>
      <c r="U32" s="2307"/>
    </row>
    <row r="33" spans="1:27" s="309" customFormat="1" ht="12.75" customHeight="1" x14ac:dyDescent="0.2">
      <c r="A33" s="306"/>
      <c r="B33" s="306"/>
      <c r="C33" s="321"/>
      <c r="D33" s="321"/>
      <c r="E33" s="1474"/>
      <c r="F33" s="311"/>
      <c r="G33" s="324" t="s">
        <v>50</v>
      </c>
      <c r="H33" s="2258"/>
      <c r="I33" s="2258"/>
      <c r="J33" s="336" t="s">
        <v>51</v>
      </c>
      <c r="K33" s="313"/>
      <c r="L33" s="313"/>
      <c r="M33" s="319"/>
      <c r="N33" s="318" t="s">
        <v>4</v>
      </c>
      <c r="O33" s="322"/>
      <c r="P33" s="2267" t="s">
        <v>555</v>
      </c>
      <c r="Q33" s="2268"/>
      <c r="R33" s="311"/>
      <c r="S33" s="611" t="s">
        <v>70</v>
      </c>
      <c r="T33" s="333"/>
      <c r="U33" s="334"/>
      <c r="X33" s="886" t="s">
        <v>796</v>
      </c>
      <c r="Y33" s="887"/>
      <c r="Z33" s="887"/>
      <c r="AA33" s="888"/>
    </row>
    <row r="34" spans="1:27" s="309" customFormat="1" ht="12.75" customHeight="1" thickBot="1" x14ac:dyDescent="0.25">
      <c r="A34" s="306"/>
      <c r="B34" s="306"/>
      <c r="C34" s="344"/>
      <c r="D34" s="312"/>
      <c r="E34" s="342">
        <f>IF(M33,M33/IF(ISBLANK(J34),I34,J34),0)</f>
        <v>0</v>
      </c>
      <c r="F34" s="318" t="s">
        <v>4</v>
      </c>
      <c r="G34" s="337"/>
      <c r="H34" s="338" t="s">
        <v>65</v>
      </c>
      <c r="I34" s="327">
        <f>IF(ISBLANK(H33),0,IFERROR(HLOOKUP(A32,Grunddaten!H126:Y130,3,FALSE),Grunddaten!H128))</f>
        <v>0</v>
      </c>
      <c r="J34" s="339"/>
      <c r="K34" s="330"/>
      <c r="L34" s="330"/>
      <c r="M34" s="1472"/>
      <c r="N34" s="311"/>
      <c r="O34" s="322"/>
      <c r="P34" s="311"/>
      <c r="Q34" s="311"/>
      <c r="R34" s="311"/>
      <c r="S34" s="2250">
        <f>Projektdaten!K31</f>
        <v>0</v>
      </c>
      <c r="T34" s="2251"/>
      <c r="U34" s="610" t="s">
        <v>4</v>
      </c>
      <c r="X34" s="891" t="str">
        <f>Berechnungen!A36</f>
        <v>Holzpellets</v>
      </c>
      <c r="Y34" s="889"/>
      <c r="Z34" s="889"/>
      <c r="AA34" s="890"/>
    </row>
    <row r="35" spans="1:27" s="309" customFormat="1" ht="12.75" customHeight="1" thickBot="1" x14ac:dyDescent="0.25">
      <c r="A35" s="306"/>
      <c r="B35" s="306"/>
      <c r="C35" s="345"/>
      <c r="D35" s="321"/>
      <c r="E35" s="1474"/>
      <c r="F35" s="311"/>
      <c r="G35" s="307"/>
      <c r="H35" s="307"/>
      <c r="I35" s="307"/>
      <c r="J35" s="307"/>
      <c r="K35" s="311"/>
      <c r="L35" s="311"/>
      <c r="M35" s="307"/>
      <c r="N35" s="311"/>
      <c r="O35" s="322"/>
      <c r="P35" s="311"/>
      <c r="Q35" s="311"/>
      <c r="R35" s="311"/>
      <c r="S35" s="606" t="s">
        <v>526</v>
      </c>
      <c r="T35" s="607"/>
      <c r="U35" s="608"/>
      <c r="X35" s="892" t="str">
        <f>Berechnungen!A35</f>
        <v>Holzschnitzel</v>
      </c>
      <c r="Y35" s="884"/>
      <c r="Z35" s="884"/>
      <c r="AA35" s="893"/>
    </row>
    <row r="36" spans="1:27" s="309" customFormat="1" ht="12.75" customHeight="1" thickBot="1" x14ac:dyDescent="0.25">
      <c r="A36" s="2252"/>
      <c r="B36" s="2252"/>
      <c r="C36" s="341"/>
      <c r="D36" s="341"/>
      <c r="E36" s="342">
        <f>M37-E38</f>
        <v>0</v>
      </c>
      <c r="F36" s="318" t="s">
        <v>4</v>
      </c>
      <c r="G36" s="2314" t="s">
        <v>71</v>
      </c>
      <c r="H36" s="2315"/>
      <c r="I36" s="2315"/>
      <c r="J36" s="2316"/>
      <c r="K36" s="401"/>
      <c r="L36" s="401"/>
      <c r="M36" s="307"/>
      <c r="N36" s="311"/>
      <c r="O36" s="322"/>
      <c r="P36" s="311"/>
      <c r="Q36" s="311"/>
      <c r="R36" s="311"/>
      <c r="S36" s="2253">
        <f>S34*(1+P32)</f>
        <v>0</v>
      </c>
      <c r="T36" s="2254"/>
      <c r="U36" s="463" t="s">
        <v>4</v>
      </c>
      <c r="X36" s="892" t="str">
        <f>Berechnungen!A33</f>
        <v>Erdgas</v>
      </c>
      <c r="Y36" s="884"/>
      <c r="Z36" s="884"/>
      <c r="AA36" s="893"/>
    </row>
    <row r="37" spans="1:27" s="309" customFormat="1" ht="12.75" customHeight="1" x14ac:dyDescent="0.2">
      <c r="A37" s="306"/>
      <c r="B37" s="306"/>
      <c r="C37" s="345"/>
      <c r="D37" s="321"/>
      <c r="E37" s="1474"/>
      <c r="F37" s="311"/>
      <c r="G37" s="324" t="s">
        <v>50</v>
      </c>
      <c r="H37" s="2258"/>
      <c r="I37" s="2258"/>
      <c r="J37" s="336" t="s">
        <v>51</v>
      </c>
      <c r="K37" s="313"/>
      <c r="L37" s="313"/>
      <c r="M37" s="319"/>
      <c r="N37" s="318" t="s">
        <v>4</v>
      </c>
      <c r="O37" s="322"/>
      <c r="P37" s="311"/>
      <c r="Q37" s="311"/>
      <c r="R37" s="311"/>
      <c r="S37" s="436"/>
      <c r="T37" s="436"/>
      <c r="U37" s="436"/>
      <c r="X37" s="892" t="str">
        <f>Berechnungen!A32</f>
        <v>Heizöl EL</v>
      </c>
      <c r="Y37" s="884"/>
      <c r="Z37" s="884"/>
      <c r="AA37" s="893"/>
    </row>
    <row r="38" spans="1:27" s="309" customFormat="1" ht="12.75" customHeight="1" thickBot="1" x14ac:dyDescent="0.25">
      <c r="A38" s="306"/>
      <c r="B38" s="306"/>
      <c r="C38" s="346"/>
      <c r="D38" s="312"/>
      <c r="E38" s="342">
        <f>IF(M37,M37/IF(ISBLANK(J38),I38,J38),0)</f>
        <v>0</v>
      </c>
      <c r="F38" s="318" t="s">
        <v>4</v>
      </c>
      <c r="G38" s="337"/>
      <c r="H38" s="338" t="s">
        <v>65</v>
      </c>
      <c r="I38" s="327">
        <f>IF(ISBLANK(H37),0,IFERROR(HLOOKUP(A36,Grunddaten!H126:Y130,3,FALSE),Grunddaten!H128))</f>
        <v>0</v>
      </c>
      <c r="J38" s="339"/>
      <c r="K38" s="330"/>
      <c r="L38" s="330"/>
      <c r="M38" s="1472"/>
      <c r="N38" s="311"/>
      <c r="O38" s="322"/>
      <c r="P38" s="311"/>
      <c r="Q38" s="311"/>
      <c r="R38" s="311"/>
      <c r="S38" s="1452" t="s">
        <v>88</v>
      </c>
      <c r="T38" s="436"/>
      <c r="U38" s="436"/>
      <c r="X38" s="894" t="str">
        <f>Berechnungen!A37</f>
        <v>Brennstoff XY</v>
      </c>
      <c r="Y38" s="895"/>
      <c r="Z38" s="895"/>
      <c r="AA38" s="896"/>
    </row>
    <row r="39" spans="1:27" s="309" customFormat="1" ht="12.75" customHeight="1" thickBot="1" x14ac:dyDescent="0.25">
      <c r="A39" s="306"/>
      <c r="B39" s="306"/>
      <c r="C39" s="345"/>
      <c r="D39" s="321"/>
      <c r="E39" s="307"/>
      <c r="F39" s="311"/>
      <c r="G39" s="307"/>
      <c r="H39" s="307"/>
      <c r="I39" s="307"/>
      <c r="J39" s="307"/>
      <c r="K39" s="311"/>
      <c r="L39" s="311"/>
      <c r="M39" s="307"/>
      <c r="N39" s="311"/>
      <c r="O39" s="322"/>
      <c r="P39" s="311"/>
      <c r="Q39" s="311"/>
      <c r="R39" s="311"/>
      <c r="S39" s="2298" t="e">
        <f>ROUND((M11+M13+M16+M20+M24+M28+M33+M37+M40+M44+M48+M59+R59)/(S21+S36),2)</f>
        <v>#DIV/0!</v>
      </c>
      <c r="T39" s="2298"/>
      <c r="U39" s="436"/>
    </row>
    <row r="40" spans="1:27" s="309" customFormat="1" ht="12.75" customHeight="1" x14ac:dyDescent="0.2">
      <c r="A40" s="318"/>
      <c r="B40" s="313">
        <f>M42+E42-M40</f>
        <v>0</v>
      </c>
      <c r="C40" s="347" t="s">
        <v>4</v>
      </c>
      <c r="D40" s="312"/>
      <c r="E40" s="312"/>
      <c r="F40" s="348" t="s">
        <v>80</v>
      </c>
      <c r="G40" s="2299" t="s">
        <v>245</v>
      </c>
      <c r="H40" s="2300"/>
      <c r="I40" s="2300"/>
      <c r="J40" s="2301"/>
      <c r="K40" s="349" t="s">
        <v>119</v>
      </c>
      <c r="L40" s="313"/>
      <c r="M40" s="319"/>
      <c r="N40" s="318" t="s">
        <v>4</v>
      </c>
      <c r="O40" s="322"/>
      <c r="P40" s="311"/>
      <c r="Q40" s="311"/>
      <c r="R40" s="311"/>
      <c r="S40" s="2294">
        <f>ROUND((M11+M13+M16+M20+M24+M28+M33+M37+M40+M44+M48+M59+R59)-(S21+S36),-2)</f>
        <v>0</v>
      </c>
      <c r="T40" s="2294"/>
      <c r="U40" s="2294"/>
    </row>
    <row r="41" spans="1:27" s="309" customFormat="1" ht="12.75" customHeight="1" x14ac:dyDescent="0.2">
      <c r="A41" s="1469"/>
      <c r="B41" s="306"/>
      <c r="C41" s="345"/>
      <c r="D41" s="321"/>
      <c r="E41" s="307"/>
      <c r="F41" s="311"/>
      <c r="G41" s="324" t="s">
        <v>50</v>
      </c>
      <c r="H41" s="2258"/>
      <c r="I41" s="2258"/>
      <c r="J41" s="336" t="s">
        <v>51</v>
      </c>
      <c r="K41" s="311"/>
      <c r="L41" s="311"/>
      <c r="M41" s="307"/>
      <c r="N41" s="311"/>
      <c r="O41" s="322"/>
      <c r="P41" s="311"/>
      <c r="Q41" s="320"/>
      <c r="R41" s="311"/>
      <c r="S41" s="436"/>
      <c r="T41" s="436"/>
      <c r="U41" s="436"/>
    </row>
    <row r="42" spans="1:27" s="309" customFormat="1" ht="12.75" customHeight="1" thickBot="1" x14ac:dyDescent="0.25">
      <c r="A42" s="2296"/>
      <c r="B42" s="2296"/>
      <c r="C42" s="313"/>
      <c r="D42" s="313"/>
      <c r="E42" s="313">
        <f>IF(M42,M42/IF(ISBLANK(J42),I42,J42),0)</f>
        <v>0</v>
      </c>
      <c r="F42" s="318" t="s">
        <v>4</v>
      </c>
      <c r="G42" s="337"/>
      <c r="H42" s="338" t="s">
        <v>65</v>
      </c>
      <c r="I42" s="327">
        <f>IF(ISBLANK(H41),0,Grunddaten!H130)</f>
        <v>0</v>
      </c>
      <c r="J42" s="339"/>
      <c r="K42" s="318"/>
      <c r="L42" s="318"/>
      <c r="M42" s="319"/>
      <c r="N42" s="315" t="s">
        <v>4</v>
      </c>
      <c r="O42" s="318"/>
      <c r="P42" s="318"/>
      <c r="Q42" s="350"/>
      <c r="R42" s="311"/>
      <c r="S42" s="307"/>
      <c r="T42" s="307"/>
      <c r="U42" s="307"/>
    </row>
    <row r="43" spans="1:27" s="309" customFormat="1" ht="12.75" customHeight="1" thickBot="1" x14ac:dyDescent="0.25">
      <c r="A43" s="307"/>
      <c r="B43" s="1470"/>
      <c r="C43" s="345"/>
      <c r="D43" s="321"/>
      <c r="E43" s="307"/>
      <c r="F43" s="311"/>
      <c r="G43" s="307"/>
      <c r="H43" s="307"/>
      <c r="I43" s="307"/>
      <c r="J43" s="307"/>
      <c r="K43" s="401"/>
      <c r="L43" s="401"/>
      <c r="M43" s="307"/>
      <c r="N43" s="311"/>
      <c r="O43" s="322"/>
      <c r="P43" s="311"/>
      <c r="Q43" s="322"/>
      <c r="R43" s="635" t="s">
        <v>528</v>
      </c>
      <c r="S43" s="2299" t="s">
        <v>45</v>
      </c>
      <c r="T43" s="2300"/>
      <c r="U43" s="2301"/>
    </row>
    <row r="44" spans="1:27" s="309" customFormat="1" ht="12.75" customHeight="1" x14ac:dyDescent="0.2">
      <c r="A44" s="318"/>
      <c r="B44" s="313">
        <f>M46+E46-M44</f>
        <v>0</v>
      </c>
      <c r="C44" s="347" t="s">
        <v>4</v>
      </c>
      <c r="D44" s="312"/>
      <c r="E44" s="312"/>
      <c r="F44" s="348" t="s">
        <v>80</v>
      </c>
      <c r="G44" s="2299" t="s">
        <v>79</v>
      </c>
      <c r="H44" s="2300"/>
      <c r="I44" s="2300"/>
      <c r="J44" s="2301"/>
      <c r="K44" s="349" t="s">
        <v>119</v>
      </c>
      <c r="L44" s="313"/>
      <c r="M44" s="319"/>
      <c r="N44" s="318" t="s">
        <v>4</v>
      </c>
      <c r="O44" s="322"/>
      <c r="P44" s="311"/>
      <c r="Q44" s="322"/>
      <c r="R44" s="635" t="s">
        <v>527</v>
      </c>
      <c r="S44" s="2302"/>
      <c r="T44" s="2303"/>
      <c r="U44" s="2304"/>
    </row>
    <row r="45" spans="1:27" s="309" customFormat="1" ht="12.75" customHeight="1" x14ac:dyDescent="0.2">
      <c r="A45" s="307"/>
      <c r="B45" s="306"/>
      <c r="C45" s="345"/>
      <c r="D45" s="321"/>
      <c r="E45" s="307"/>
      <c r="F45" s="311"/>
      <c r="G45" s="324" t="s">
        <v>50</v>
      </c>
      <c r="H45" s="2258"/>
      <c r="I45" s="2258"/>
      <c r="J45" s="336" t="s">
        <v>51</v>
      </c>
      <c r="K45" s="311"/>
      <c r="L45" s="311"/>
      <c r="M45" s="1472"/>
      <c r="N45" s="311"/>
      <c r="O45" s="351"/>
      <c r="P45" s="311"/>
      <c r="Q45" s="322"/>
      <c r="R45" s="633"/>
      <c r="S45" s="2302"/>
      <c r="T45" s="2303"/>
      <c r="U45" s="2304"/>
    </row>
    <row r="46" spans="1:27" s="309" customFormat="1" ht="12.75" customHeight="1" thickBot="1" x14ac:dyDescent="0.25">
      <c r="A46" s="306"/>
      <c r="B46" s="306"/>
      <c r="C46" s="346"/>
      <c r="D46" s="312"/>
      <c r="E46" s="313">
        <f>IF(M46,M46/IF(ISBLANK(J46),I46,J46),0)</f>
        <v>0</v>
      </c>
      <c r="F46" s="318" t="s">
        <v>4</v>
      </c>
      <c r="G46" s="337"/>
      <c r="H46" s="338" t="s">
        <v>65</v>
      </c>
      <c r="I46" s="327">
        <f>IF(ISBLANK(H45),0,Grunddaten!H129)</f>
        <v>0</v>
      </c>
      <c r="J46" s="339"/>
      <c r="K46" s="318"/>
      <c r="L46" s="318"/>
      <c r="M46" s="319"/>
      <c r="N46" s="315" t="s">
        <v>4</v>
      </c>
      <c r="O46" s="318"/>
      <c r="P46" s="318"/>
      <c r="Q46" s="350"/>
      <c r="R46" s="632" t="s">
        <v>555</v>
      </c>
      <c r="S46" s="606" t="s">
        <v>70</v>
      </c>
      <c r="T46" s="461"/>
      <c r="U46" s="462"/>
    </row>
    <row r="47" spans="1:27" s="309" customFormat="1" ht="12.75" customHeight="1" thickBot="1" x14ac:dyDescent="0.25">
      <c r="A47" s="307"/>
      <c r="B47" s="306"/>
      <c r="C47" s="345"/>
      <c r="D47" s="321"/>
      <c r="E47" s="307"/>
      <c r="F47" s="311"/>
      <c r="G47" s="307"/>
      <c r="H47" s="307"/>
      <c r="I47" s="307"/>
      <c r="J47" s="307"/>
      <c r="K47" s="311"/>
      <c r="L47" s="311"/>
      <c r="M47" s="307"/>
      <c r="N47" s="311"/>
      <c r="O47" s="320"/>
      <c r="P47" s="311"/>
      <c r="Q47" s="322"/>
      <c r="R47" s="311"/>
      <c r="S47" s="2250">
        <f>Projektdaten!K33</f>
        <v>0</v>
      </c>
      <c r="T47" s="2251"/>
      <c r="U47" s="605" t="s">
        <v>4</v>
      </c>
    </row>
    <row r="48" spans="1:27" s="309" customFormat="1" ht="12.75" customHeight="1" x14ac:dyDescent="0.2">
      <c r="A48" s="318"/>
      <c r="B48" s="313">
        <f>M50+E50-M48</f>
        <v>0</v>
      </c>
      <c r="C48" s="347" t="s">
        <v>4</v>
      </c>
      <c r="D48" s="312"/>
      <c r="E48" s="312"/>
      <c r="F48" s="348" t="s">
        <v>80</v>
      </c>
      <c r="G48" s="2299" t="s">
        <v>149</v>
      </c>
      <c r="H48" s="2300"/>
      <c r="I48" s="2300"/>
      <c r="J48" s="2301"/>
      <c r="K48" s="349" t="s">
        <v>119</v>
      </c>
      <c r="L48" s="313"/>
      <c r="M48" s="319"/>
      <c r="N48" s="318" t="s">
        <v>4</v>
      </c>
      <c r="O48" s="322"/>
      <c r="P48" s="311"/>
      <c r="Q48" s="322"/>
      <c r="S48" s="606" t="s">
        <v>526</v>
      </c>
      <c r="T48" s="461"/>
      <c r="U48" s="462"/>
    </row>
    <row r="49" spans="1:27" s="309" customFormat="1" ht="12.75" customHeight="1" thickBot="1" x14ac:dyDescent="0.25">
      <c r="A49" s="307"/>
      <c r="B49" s="306"/>
      <c r="C49" s="345"/>
      <c r="D49" s="321"/>
      <c r="E49" s="307"/>
      <c r="F49" s="311"/>
      <c r="G49" s="324" t="s">
        <v>50</v>
      </c>
      <c r="H49" s="2258"/>
      <c r="I49" s="2258"/>
      <c r="J49" s="336" t="s">
        <v>51</v>
      </c>
      <c r="K49" s="311"/>
      <c r="L49" s="311"/>
      <c r="M49" s="1472"/>
      <c r="N49" s="311"/>
      <c r="O49" s="351"/>
      <c r="P49" s="311"/>
      <c r="Q49" s="322"/>
      <c r="R49" s="311"/>
      <c r="S49" s="2253">
        <f>S47*(1+R45)</f>
        <v>0</v>
      </c>
      <c r="T49" s="2254"/>
      <c r="U49" s="463" t="s">
        <v>4</v>
      </c>
    </row>
    <row r="50" spans="1:27" s="309" customFormat="1" ht="12.75" customHeight="1" thickBot="1" x14ac:dyDescent="0.25">
      <c r="A50" s="306"/>
      <c r="B50" s="306"/>
      <c r="C50" s="346"/>
      <c r="D50" s="312"/>
      <c r="E50" s="313">
        <f>IF(M50,M50/IF(ISBLANK(J50),I50,J50),0)</f>
        <v>0</v>
      </c>
      <c r="F50" s="318" t="s">
        <v>4</v>
      </c>
      <c r="G50" s="337"/>
      <c r="H50" s="338" t="s">
        <v>65</v>
      </c>
      <c r="I50" s="327">
        <f>IF(ISBLANK(H49),0,Grunddaten!H129)</f>
        <v>0</v>
      </c>
      <c r="J50" s="339"/>
      <c r="K50" s="318"/>
      <c r="L50" s="318"/>
      <c r="M50" s="319"/>
      <c r="N50" s="315" t="s">
        <v>4</v>
      </c>
      <c r="O50" s="318"/>
      <c r="P50" s="318"/>
      <c r="Q50" s="350"/>
      <c r="R50" s="311"/>
      <c r="S50" s="307"/>
      <c r="T50" s="307"/>
      <c r="U50" s="307"/>
    </row>
    <row r="51" spans="1:27" s="309" customFormat="1" ht="12.75" customHeight="1" thickBot="1" x14ac:dyDescent="0.25">
      <c r="A51" s="306"/>
      <c r="B51" s="306"/>
      <c r="C51" s="345"/>
      <c r="D51" s="321"/>
      <c r="E51" s="307"/>
      <c r="F51" s="311"/>
      <c r="G51" s="307"/>
      <c r="H51" s="307"/>
      <c r="I51" s="307"/>
      <c r="J51" s="307"/>
      <c r="K51" s="311"/>
      <c r="L51" s="311"/>
      <c r="M51" s="307"/>
      <c r="N51" s="311"/>
      <c r="O51" s="320"/>
      <c r="P51" s="311"/>
      <c r="Q51" s="322"/>
      <c r="R51" s="311"/>
      <c r="S51" s="1452" t="s">
        <v>88</v>
      </c>
      <c r="T51" s="436"/>
      <c r="U51" s="436"/>
    </row>
    <row r="52" spans="1:27" s="309" customFormat="1" ht="12.75" customHeight="1" x14ac:dyDescent="0.2">
      <c r="A52" s="318"/>
      <c r="B52" s="313">
        <f>M53+E54</f>
        <v>0</v>
      </c>
      <c r="C52" s="347" t="s">
        <v>4</v>
      </c>
      <c r="D52" s="312"/>
      <c r="E52" s="312"/>
      <c r="F52" s="348" t="s">
        <v>80</v>
      </c>
      <c r="G52" s="2299" t="s">
        <v>122</v>
      </c>
      <c r="H52" s="2300"/>
      <c r="I52" s="2300"/>
      <c r="J52" s="2301"/>
      <c r="K52" s="311"/>
      <c r="L52" s="311"/>
      <c r="M52" s="307"/>
      <c r="N52" s="311"/>
      <c r="O52" s="322"/>
      <c r="P52" s="311"/>
      <c r="Q52" s="322"/>
      <c r="S52" s="1453" t="e">
        <f>ROUND((M42+M46+M50+M53+M56)/S49,2)</f>
        <v>#DIV/0!</v>
      </c>
      <c r="T52" s="436"/>
      <c r="U52" s="436"/>
      <c r="Z52" s="2310"/>
      <c r="AA52" s="2311"/>
    </row>
    <row r="53" spans="1:27" s="309" customFormat="1" ht="12.75" customHeight="1" x14ac:dyDescent="0.2">
      <c r="A53" s="306"/>
      <c r="B53" s="306"/>
      <c r="C53" s="345"/>
      <c r="D53" s="321"/>
      <c r="E53" s="307"/>
      <c r="F53" s="311"/>
      <c r="G53" s="324" t="s">
        <v>50</v>
      </c>
      <c r="H53" s="2258"/>
      <c r="I53" s="2258"/>
      <c r="J53" s="336" t="s">
        <v>51</v>
      </c>
      <c r="K53" s="318"/>
      <c r="L53" s="318"/>
      <c r="M53" s="319"/>
      <c r="N53" s="315" t="s">
        <v>4</v>
      </c>
      <c r="O53" s="318"/>
      <c r="P53" s="318"/>
      <c r="Q53" s="350"/>
      <c r="S53" s="2294">
        <f>ROUND((M42+M46+M50+M53+M56)-S49,-2)</f>
        <v>0</v>
      </c>
      <c r="T53" s="2294"/>
      <c r="U53" s="2294"/>
    </row>
    <row r="54" spans="1:27" s="309" customFormat="1" ht="12.75" customHeight="1" thickBot="1" x14ac:dyDescent="0.25">
      <c r="A54" s="306"/>
      <c r="B54" s="306"/>
      <c r="C54" s="346"/>
      <c r="D54" s="312"/>
      <c r="E54" s="313">
        <f>IF(M53,M53/IF(ISBLANK(J54),I54,J54),0)</f>
        <v>0</v>
      </c>
      <c r="F54" s="318" t="s">
        <v>4</v>
      </c>
      <c r="G54" s="337"/>
      <c r="H54" s="338" t="s">
        <v>65</v>
      </c>
      <c r="I54" s="327">
        <f>IF(ISBLANK(H53),0,Grunddaten!H131)</f>
        <v>0</v>
      </c>
      <c r="J54" s="339"/>
      <c r="K54" s="311"/>
      <c r="L54" s="311"/>
      <c r="M54" s="307"/>
      <c r="N54" s="311"/>
      <c r="O54" s="322"/>
      <c r="P54" s="311"/>
      <c r="Q54" s="322"/>
      <c r="R54" s="311"/>
      <c r="S54" s="1481"/>
      <c r="T54" s="307"/>
      <c r="U54" s="307"/>
    </row>
    <row r="55" spans="1:27" s="439" customFormat="1" ht="12.75" customHeight="1" x14ac:dyDescent="0.2">
      <c r="A55" s="435"/>
      <c r="B55" s="435"/>
      <c r="C55" s="345"/>
      <c r="D55" s="450"/>
      <c r="E55" s="436"/>
      <c r="F55" s="441"/>
      <c r="G55" s="436"/>
      <c r="H55" s="436"/>
      <c r="I55" s="436"/>
      <c r="J55" s="436"/>
      <c r="K55" s="441"/>
      <c r="L55" s="441"/>
      <c r="M55" s="436"/>
      <c r="N55" s="441"/>
      <c r="O55" s="451"/>
      <c r="P55" s="441"/>
      <c r="Q55" s="451"/>
      <c r="R55" s="441"/>
      <c r="S55" s="436"/>
      <c r="T55" s="436"/>
      <c r="U55" s="436"/>
    </row>
    <row r="56" spans="1:27" s="439" customFormat="1" ht="12.75" customHeight="1" x14ac:dyDescent="0.2">
      <c r="A56" s="677" t="str">
        <f>Grunddaten!C56</f>
        <v>Kälteverbund XY</v>
      </c>
      <c r="B56" s="442"/>
      <c r="C56" s="442"/>
      <c r="D56" s="442"/>
      <c r="E56" s="443">
        <f>M56</f>
        <v>0</v>
      </c>
      <c r="F56" s="444" t="s">
        <v>4</v>
      </c>
      <c r="G56" s="445"/>
      <c r="H56" s="446" t="s">
        <v>235</v>
      </c>
      <c r="I56" s="316"/>
      <c r="J56" s="447" t="s">
        <v>51</v>
      </c>
      <c r="K56" s="448"/>
      <c r="L56" s="448"/>
      <c r="M56" s="319"/>
      <c r="N56" s="448" t="s">
        <v>4</v>
      </c>
      <c r="O56" s="448"/>
      <c r="P56" s="448"/>
      <c r="Q56" s="477"/>
      <c r="R56" s="441"/>
      <c r="S56" s="436"/>
      <c r="T56" s="436"/>
      <c r="U56" s="436"/>
    </row>
    <row r="57" spans="1:27" s="439" customFormat="1" ht="6" customHeight="1" x14ac:dyDescent="0.2">
      <c r="A57" s="1443"/>
      <c r="B57" s="1444"/>
      <c r="C57" s="345"/>
      <c r="D57" s="479"/>
      <c r="E57" s="436"/>
      <c r="F57" s="678"/>
      <c r="G57" s="1446"/>
      <c r="H57" s="436"/>
      <c r="I57" s="436"/>
      <c r="J57" s="436"/>
      <c r="K57" s="469"/>
      <c r="L57" s="469"/>
      <c r="M57" s="436"/>
      <c r="N57" s="469"/>
      <c r="O57" s="451"/>
      <c r="P57" s="469"/>
      <c r="Q57" s="478"/>
      <c r="R57" s="441"/>
      <c r="S57" s="436"/>
      <c r="T57" s="436"/>
      <c r="U57" s="436"/>
    </row>
    <row r="58" spans="1:27" s="309" customFormat="1" ht="12.75" customHeight="1" thickBot="1" x14ac:dyDescent="0.25">
      <c r="A58" s="306"/>
      <c r="B58" s="306"/>
      <c r="C58" s="345"/>
      <c r="D58" s="352"/>
      <c r="E58" s="307"/>
      <c r="F58" s="353"/>
      <c r="G58" s="1475"/>
      <c r="H58" s="307"/>
      <c r="I58" s="307"/>
      <c r="J58" s="307"/>
      <c r="K58" s="311"/>
      <c r="L58" s="311"/>
      <c r="M58" s="307"/>
      <c r="N58" s="307"/>
      <c r="O58" s="322"/>
      <c r="P58" s="307"/>
      <c r="Q58" s="307"/>
      <c r="R58" s="307"/>
      <c r="S58" s="1481"/>
      <c r="T58" s="307"/>
      <c r="U58" s="307"/>
    </row>
    <row r="59" spans="1:27" s="309" customFormat="1" ht="12.75" customHeight="1" x14ac:dyDescent="0.2">
      <c r="A59" s="306"/>
      <c r="B59" s="306"/>
      <c r="C59" s="345"/>
      <c r="D59" s="321"/>
      <c r="E59" s="307"/>
      <c r="F59" s="311"/>
      <c r="G59" s="2299" t="s">
        <v>146</v>
      </c>
      <c r="H59" s="2300"/>
      <c r="I59" s="2300"/>
      <c r="J59" s="2301"/>
      <c r="K59" s="313"/>
      <c r="L59" s="313"/>
      <c r="M59" s="319"/>
      <c r="N59" s="318" t="s">
        <v>4</v>
      </c>
      <c r="O59" s="351"/>
      <c r="P59" s="318"/>
      <c r="Q59" s="318"/>
      <c r="R59" s="319"/>
      <c r="S59" s="315" t="s">
        <v>4</v>
      </c>
      <c r="T59" s="354"/>
      <c r="U59" s="307"/>
      <c r="X59" s="2310"/>
      <c r="Y59" s="2311"/>
    </row>
    <row r="60" spans="1:27" s="309" customFormat="1" ht="12.75" customHeight="1" x14ac:dyDescent="0.2">
      <c r="A60" s="2252"/>
      <c r="B60" s="2252"/>
      <c r="C60" s="501"/>
      <c r="D60" s="501">
        <f>IF(A60=$X$36,1-D61,1)</f>
        <v>1</v>
      </c>
      <c r="E60" s="443">
        <f>IF(M59,(M59+M61)/IF(ISBLANK(J61),I61,J61)*D60,0)</f>
        <v>0</v>
      </c>
      <c r="F60" s="448" t="s">
        <v>4</v>
      </c>
      <c r="G60" s="324" t="s">
        <v>147</v>
      </c>
      <c r="H60" s="2258"/>
      <c r="I60" s="2258"/>
      <c r="J60" s="336" t="s">
        <v>51</v>
      </c>
      <c r="K60" s="353"/>
      <c r="L60" s="330"/>
      <c r="M60" s="1472"/>
      <c r="N60" s="311"/>
      <c r="O60" s="311"/>
      <c r="P60" s="311"/>
      <c r="Q60" s="311"/>
      <c r="R60" s="307"/>
      <c r="S60" s="307"/>
      <c r="T60" s="2312" t="s">
        <v>87</v>
      </c>
      <c r="U60" s="307"/>
    </row>
    <row r="61" spans="1:27" s="309" customFormat="1" ht="12.75" customHeight="1" thickBot="1" x14ac:dyDescent="0.25">
      <c r="A61" s="2269" t="str">
        <f>IF(A60=$X$36,Berechnungen!$A$34,"")</f>
        <v/>
      </c>
      <c r="B61" s="2269"/>
      <c r="C61" s="497"/>
      <c r="D61" s="1591">
        <v>0.25</v>
      </c>
      <c r="E61" s="1438">
        <f>IF(AND(M59&gt;0,A60=$X$36),(M59+M61)/IF(ISBLANK(J61),I61,J61)*D61,0)</f>
        <v>0</v>
      </c>
      <c r="F61" s="441"/>
      <c r="G61" s="337"/>
      <c r="H61" s="338" t="s">
        <v>148</v>
      </c>
      <c r="I61" s="327">
        <f>IF(ISBLANK(H60),0,IFERROR(HLOOKUP(A60,Grunddaten!H121:Y125,5,FALSE),Grunddaten!H125))</f>
        <v>0</v>
      </c>
      <c r="J61" s="339"/>
      <c r="K61" s="313"/>
      <c r="L61" s="313"/>
      <c r="M61" s="319"/>
      <c r="N61" s="318" t="s">
        <v>4</v>
      </c>
      <c r="O61" s="320"/>
      <c r="P61" s="353"/>
      <c r="Q61" s="353"/>
      <c r="R61" s="1478"/>
      <c r="S61" s="307"/>
      <c r="T61" s="2312"/>
      <c r="U61" s="307"/>
    </row>
    <row r="62" spans="1:27" s="309" customFormat="1" ht="12.75" customHeight="1" x14ac:dyDescent="0.2">
      <c r="A62" s="306"/>
      <c r="B62" s="306"/>
      <c r="C62" s="345"/>
      <c r="D62" s="321"/>
      <c r="E62" s="307"/>
      <c r="F62" s="311"/>
      <c r="G62" s="1476"/>
      <c r="H62" s="1477"/>
      <c r="I62" s="1477"/>
      <c r="J62" s="1449"/>
      <c r="K62" s="353"/>
      <c r="L62" s="353"/>
      <c r="M62" s="1478"/>
      <c r="N62" s="1478"/>
      <c r="O62" s="322"/>
      <c r="P62" s="1478"/>
      <c r="Q62" s="1478"/>
      <c r="R62" s="1478"/>
      <c r="S62" s="307"/>
      <c r="T62" s="2312"/>
      <c r="U62" s="307"/>
    </row>
    <row r="63" spans="1:27" s="309" customFormat="1" ht="12.75" customHeight="1" x14ac:dyDescent="0.2">
      <c r="A63" s="306"/>
      <c r="B63" s="306"/>
      <c r="C63" s="355"/>
      <c r="D63" s="312"/>
      <c r="E63" s="318"/>
      <c r="F63" s="318"/>
      <c r="G63" s="318"/>
      <c r="H63" s="318"/>
      <c r="I63" s="318"/>
      <c r="J63" s="318"/>
      <c r="K63" s="318"/>
      <c r="L63" s="318"/>
      <c r="M63" s="313">
        <f>E34+E38+E46+E50+E54</f>
        <v>0</v>
      </c>
      <c r="N63" s="315" t="s">
        <v>4</v>
      </c>
      <c r="O63" s="350"/>
      <c r="P63" s="353"/>
      <c r="Q63" s="353"/>
      <c r="R63" s="353"/>
      <c r="S63" s="307"/>
      <c r="T63" s="2312"/>
      <c r="U63" s="307"/>
    </row>
    <row r="64" spans="1:27" s="309" customFormat="1" ht="12.75" customHeight="1" thickBot="1" x14ac:dyDescent="0.25">
      <c r="A64" s="306"/>
      <c r="B64" s="306"/>
      <c r="C64" s="321"/>
      <c r="D64" s="321"/>
      <c r="E64" s="307"/>
      <c r="F64" s="311"/>
      <c r="G64" s="1450"/>
      <c r="H64" s="1450"/>
      <c r="I64" s="1450"/>
      <c r="J64" s="1450"/>
      <c r="K64" s="469"/>
      <c r="L64" s="469"/>
      <c r="M64" s="436"/>
      <c r="N64" s="609"/>
      <c r="O64" s="322"/>
      <c r="P64" s="353"/>
      <c r="Q64" s="353"/>
      <c r="R64" s="353"/>
      <c r="S64" s="307"/>
      <c r="T64" s="2312"/>
      <c r="U64" s="307"/>
    </row>
    <row r="65" spans="1:30" s="309" customFormat="1" ht="12.75" customHeight="1" x14ac:dyDescent="0.2">
      <c r="A65" s="306"/>
      <c r="B65" s="306"/>
      <c r="C65" s="321"/>
      <c r="D65" s="321"/>
      <c r="E65" s="307"/>
      <c r="F65" s="311"/>
      <c r="G65" s="2255" t="s">
        <v>530</v>
      </c>
      <c r="H65" s="2256"/>
      <c r="I65" s="2256"/>
      <c r="J65" s="2257"/>
      <c r="K65" s="469"/>
      <c r="L65" s="469"/>
      <c r="M65" s="436"/>
      <c r="N65" s="609"/>
      <c r="O65" s="322"/>
      <c r="P65" s="353"/>
      <c r="Q65" s="353"/>
      <c r="R65" s="353"/>
      <c r="S65" s="307"/>
      <c r="T65" s="2312"/>
      <c r="U65" s="307"/>
    </row>
    <row r="66" spans="1:30" s="309" customFormat="1" ht="12.75" customHeight="1" thickBot="1" x14ac:dyDescent="0.25">
      <c r="A66" s="306"/>
      <c r="B66" s="306"/>
      <c r="C66" s="321"/>
      <c r="D66" s="321"/>
      <c r="E66" s="307"/>
      <c r="F66" s="311"/>
      <c r="G66" s="456" t="s">
        <v>50</v>
      </c>
      <c r="H66" s="2297"/>
      <c r="I66" s="2297"/>
      <c r="J66" s="483" t="s">
        <v>51</v>
      </c>
      <c r="K66" s="448"/>
      <c r="L66" s="448"/>
      <c r="M66" s="319"/>
      <c r="N66" s="445" t="s">
        <v>4</v>
      </c>
      <c r="O66" s="350"/>
      <c r="P66" s="353"/>
      <c r="Q66" s="353"/>
      <c r="R66" s="353"/>
      <c r="S66" s="307"/>
      <c r="T66" s="2312"/>
      <c r="U66" s="307"/>
    </row>
    <row r="67" spans="1:30" s="309" customFormat="1" ht="12.75" customHeight="1" x14ac:dyDescent="0.2">
      <c r="A67" s="306"/>
      <c r="B67" s="306"/>
      <c r="C67" s="321"/>
      <c r="D67" s="321"/>
      <c r="E67" s="307"/>
      <c r="F67" s="311"/>
      <c r="G67" s="436"/>
      <c r="H67" s="436"/>
      <c r="I67" s="436"/>
      <c r="J67" s="436"/>
      <c r="K67" s="441"/>
      <c r="L67" s="441"/>
      <c r="M67" s="436"/>
      <c r="N67" s="441"/>
      <c r="O67" s="322"/>
      <c r="P67" s="353"/>
      <c r="Q67" s="353"/>
      <c r="R67" s="353"/>
      <c r="S67" s="307"/>
      <c r="T67" s="2312"/>
      <c r="U67" s="307"/>
    </row>
    <row r="68" spans="1:30" s="309" customFormat="1" ht="12.75" customHeight="1" thickBot="1" x14ac:dyDescent="0.25">
      <c r="A68" s="499" t="s">
        <v>83</v>
      </c>
      <c r="B68" s="312"/>
      <c r="C68" s="312"/>
      <c r="D68" s="312"/>
      <c r="E68" s="313">
        <f>M68</f>
        <v>-875</v>
      </c>
      <c r="F68" s="314" t="s">
        <v>4</v>
      </c>
      <c r="G68" s="318"/>
      <c r="H68" s="500" t="s">
        <v>522</v>
      </c>
      <c r="I68" s="597"/>
      <c r="J68" s="317" t="s">
        <v>51</v>
      </c>
      <c r="K68" s="318"/>
      <c r="L68" s="318"/>
      <c r="M68" s="313">
        <f>S73+M63+M66+M74-M61-M71</f>
        <v>-875</v>
      </c>
      <c r="N68" s="318" t="s">
        <v>4</v>
      </c>
      <c r="O68" s="345"/>
      <c r="P68" s="353"/>
      <c r="Q68" s="353"/>
      <c r="R68" s="353"/>
      <c r="S68" s="307"/>
      <c r="T68" s="2313"/>
      <c r="U68" s="307"/>
    </row>
    <row r="69" spans="1:30" s="309" customFormat="1" ht="12.75" customHeight="1" thickBot="1" x14ac:dyDescent="0.25">
      <c r="A69" s="306"/>
      <c r="B69" s="306"/>
      <c r="C69" s="321"/>
      <c r="D69" s="321"/>
      <c r="E69" s="307"/>
      <c r="F69" s="311"/>
      <c r="G69" s="307"/>
      <c r="H69" s="307"/>
      <c r="I69" s="307"/>
      <c r="J69" s="307"/>
      <c r="K69" s="311"/>
      <c r="L69" s="311"/>
      <c r="M69" s="307"/>
      <c r="N69" s="311"/>
      <c r="O69" s="322"/>
      <c r="P69" s="311"/>
      <c r="Q69" s="311"/>
      <c r="R69" s="311"/>
      <c r="S69" s="2299" t="s">
        <v>81</v>
      </c>
      <c r="T69" s="2300"/>
      <c r="U69" s="2301"/>
    </row>
    <row r="70" spans="1:30" s="309" customFormat="1" ht="12.75" customHeight="1" x14ac:dyDescent="0.2">
      <c r="A70" s="306"/>
      <c r="B70" s="306"/>
      <c r="C70" s="321"/>
      <c r="D70" s="321"/>
      <c r="E70" s="307"/>
      <c r="F70" s="311"/>
      <c r="G70" s="2299" t="s">
        <v>84</v>
      </c>
      <c r="H70" s="2300"/>
      <c r="I70" s="2300"/>
      <c r="J70" s="2301"/>
      <c r="K70" s="401"/>
      <c r="L70" s="401"/>
      <c r="M70" s="307"/>
      <c r="N70" s="311"/>
      <c r="O70" s="322"/>
      <c r="P70" s="311"/>
      <c r="Q70" s="311"/>
      <c r="R70" s="311"/>
      <c r="S70" s="2302"/>
      <c r="T70" s="2303"/>
      <c r="U70" s="2304"/>
    </row>
    <row r="71" spans="1:30" s="309" customFormat="1" ht="12.75" customHeight="1" x14ac:dyDescent="0.2">
      <c r="A71" s="637" t="s">
        <v>82</v>
      </c>
      <c r="B71" s="341"/>
      <c r="C71" s="341"/>
      <c r="D71" s="341"/>
      <c r="E71" s="313"/>
      <c r="F71" s="323"/>
      <c r="G71" s="324" t="s">
        <v>50</v>
      </c>
      <c r="H71" s="2258">
        <v>1</v>
      </c>
      <c r="I71" s="2258"/>
      <c r="J71" s="325" t="s">
        <v>85</v>
      </c>
      <c r="K71" s="356"/>
      <c r="L71" s="356"/>
      <c r="M71" s="313">
        <f>H71*IF(ISBLANK(I72),H72,I72)</f>
        <v>875</v>
      </c>
      <c r="N71" s="318" t="s">
        <v>4</v>
      </c>
      <c r="O71" s="331"/>
      <c r="P71" s="318"/>
      <c r="Q71" s="318"/>
      <c r="R71" s="318"/>
      <c r="S71" s="2302"/>
      <c r="T71" s="2303"/>
      <c r="U71" s="2304"/>
    </row>
    <row r="72" spans="1:30" s="309" customFormat="1" ht="12.75" customHeight="1" thickBot="1" x14ac:dyDescent="0.25">
      <c r="A72" s="306"/>
      <c r="B72" s="306"/>
      <c r="C72" s="321"/>
      <c r="D72" s="321"/>
      <c r="E72" s="1472"/>
      <c r="F72" s="311"/>
      <c r="G72" s="326" t="s">
        <v>74</v>
      </c>
      <c r="H72" s="359">
        <f>IF(ISBLANK(H71),0,Grunddaten!H123)</f>
        <v>875</v>
      </c>
      <c r="I72" s="617"/>
      <c r="J72" s="357" t="s">
        <v>86</v>
      </c>
      <c r="K72" s="330"/>
      <c r="L72" s="330"/>
      <c r="M72" s="1472"/>
      <c r="N72" s="311"/>
      <c r="O72" s="322"/>
      <c r="P72" s="311"/>
      <c r="Q72" s="311"/>
      <c r="R72" s="311"/>
      <c r="S72" s="332" t="s">
        <v>70</v>
      </c>
      <c r="T72" s="333"/>
      <c r="U72" s="334"/>
    </row>
    <row r="73" spans="1:30" s="309" customFormat="1" ht="12.75" customHeight="1" thickBot="1" x14ac:dyDescent="0.25">
      <c r="A73" s="306"/>
      <c r="B73" s="306"/>
      <c r="C73" s="321"/>
      <c r="D73" s="321"/>
      <c r="E73" s="1472"/>
      <c r="F73" s="311"/>
      <c r="G73" s="307"/>
      <c r="H73" s="307"/>
      <c r="I73" s="307"/>
      <c r="J73" s="307"/>
      <c r="K73" s="311"/>
      <c r="L73" s="311"/>
      <c r="M73" s="1472"/>
      <c r="N73" s="311"/>
      <c r="O73" s="322"/>
      <c r="P73" s="311"/>
      <c r="Q73" s="311"/>
      <c r="R73" s="311"/>
      <c r="S73" s="2253">
        <f>Projektdaten!K35</f>
        <v>0</v>
      </c>
      <c r="T73" s="2254"/>
      <c r="U73" s="335" t="s">
        <v>4</v>
      </c>
    </row>
    <row r="74" spans="1:30" s="309" customFormat="1" ht="12.75" customHeight="1" x14ac:dyDescent="0.2">
      <c r="A74" s="312"/>
      <c r="B74" s="312"/>
      <c r="C74" s="312"/>
      <c r="D74" s="312"/>
      <c r="E74" s="313">
        <f>M74</f>
        <v>0</v>
      </c>
      <c r="F74" s="318" t="s">
        <v>4</v>
      </c>
      <c r="G74" s="2309" t="s">
        <v>243</v>
      </c>
      <c r="H74" s="2309"/>
      <c r="I74" s="2309"/>
      <c r="J74" s="2309"/>
      <c r="K74" s="318"/>
      <c r="L74" s="318"/>
      <c r="M74" s="319"/>
      <c r="N74" s="315" t="s">
        <v>4</v>
      </c>
      <c r="O74" s="350"/>
      <c r="P74" s="311"/>
      <c r="Q74" s="311"/>
      <c r="R74" s="311"/>
      <c r="S74" s="307"/>
      <c r="T74" s="307"/>
      <c r="U74" s="307"/>
      <c r="X74" s="948" t="s">
        <v>484</v>
      </c>
      <c r="Y74" s="938"/>
      <c r="Z74" s="939"/>
      <c r="AA74" s="950" t="b">
        <f>IF(M74&lt;=(M61+M71),TRUE,FALSE)</f>
        <v>1</v>
      </c>
    </row>
    <row r="75" spans="1:30" s="309" customFormat="1" ht="6" customHeight="1" x14ac:dyDescent="0.2">
      <c r="A75" s="306"/>
      <c r="B75" s="306"/>
      <c r="C75" s="321"/>
      <c r="D75" s="321"/>
      <c r="E75" s="1472"/>
      <c r="F75" s="311"/>
      <c r="G75" s="307"/>
      <c r="H75" s="307"/>
      <c r="I75" s="307"/>
      <c r="J75" s="307"/>
      <c r="K75" s="311"/>
      <c r="L75" s="311"/>
      <c r="M75" s="1472"/>
      <c r="N75" s="311"/>
      <c r="O75" s="351"/>
      <c r="P75" s="311"/>
      <c r="Q75" s="311"/>
      <c r="R75" s="311"/>
      <c r="S75" s="307"/>
      <c r="T75" s="307"/>
      <c r="U75" s="307"/>
    </row>
    <row r="76" spans="1:30" s="309" customFormat="1" ht="15" customHeight="1" x14ac:dyDescent="0.2">
      <c r="A76" s="321"/>
      <c r="B76" s="321"/>
      <c r="C76" s="321"/>
      <c r="D76" s="321"/>
      <c r="E76" s="311"/>
      <c r="F76" s="311"/>
      <c r="G76" s="311"/>
      <c r="H76" s="311"/>
      <c r="I76" s="311"/>
      <c r="J76" s="311"/>
      <c r="K76" s="311"/>
      <c r="L76" s="311"/>
      <c r="M76" s="311"/>
      <c r="N76" s="311"/>
      <c r="O76" s="311"/>
      <c r="P76" s="311"/>
      <c r="Q76" s="311"/>
      <c r="R76" s="311"/>
    </row>
    <row r="77" spans="1:30" s="309" customFormat="1" ht="15" customHeight="1" x14ac:dyDescent="0.2">
      <c r="A77" s="1463" t="s">
        <v>53</v>
      </c>
      <c r="B77" s="1464"/>
      <c r="C77" s="1464"/>
      <c r="D77" s="1464"/>
      <c r="E77" s="1465"/>
      <c r="F77" s="1465"/>
      <c r="G77" s="1465"/>
      <c r="H77" s="1465"/>
      <c r="I77" s="1465"/>
      <c r="J77" s="1465"/>
      <c r="K77" s="1465"/>
      <c r="L77" s="1465"/>
      <c r="M77" s="1465"/>
      <c r="N77" s="1465"/>
      <c r="O77" s="1465"/>
      <c r="P77" s="1465"/>
      <c r="Q77" s="1465"/>
      <c r="R77" s="1465"/>
      <c r="S77" s="1465"/>
      <c r="T77" s="1465"/>
      <c r="U77" s="1465"/>
      <c r="X77" s="886" t="s">
        <v>89</v>
      </c>
      <c r="Y77" s="887"/>
      <c r="Z77" s="887"/>
      <c r="AA77" s="888"/>
      <c r="AB77" s="358"/>
      <c r="AC77" s="886" t="s">
        <v>90</v>
      </c>
      <c r="AD77" s="888"/>
    </row>
    <row r="78" spans="1:30" s="309" customFormat="1" ht="12.75" customHeight="1" x14ac:dyDescent="0.2">
      <c r="A78" s="1466" t="s">
        <v>54</v>
      </c>
      <c r="B78" s="2287"/>
      <c r="C78" s="2287"/>
      <c r="D78" s="2287"/>
      <c r="E78" s="2287"/>
      <c r="F78" s="2287"/>
      <c r="G78" s="1467" t="s">
        <v>57</v>
      </c>
      <c r="H78" s="2288"/>
      <c r="I78" s="2288"/>
      <c r="J78" s="1468"/>
      <c r="K78" s="1467"/>
      <c r="L78" s="1467" t="s">
        <v>58</v>
      </c>
      <c r="M78" s="1457"/>
      <c r="N78" s="1467" t="s">
        <v>59</v>
      </c>
      <c r="O78" s="2289"/>
      <c r="P78" s="2289"/>
      <c r="Q78" s="2289"/>
      <c r="R78" s="1467" t="s">
        <v>52</v>
      </c>
      <c r="S78" s="2290"/>
      <c r="T78" s="2290"/>
      <c r="U78" s="2290"/>
      <c r="X78" s="891" t="s">
        <v>60</v>
      </c>
      <c r="Y78" s="889"/>
      <c r="Z78" s="889"/>
      <c r="AA78" s="890"/>
      <c r="AB78" s="358"/>
      <c r="AC78" s="891" t="s">
        <v>62</v>
      </c>
      <c r="AD78" s="890"/>
    </row>
    <row r="79" spans="1:30" s="309" customFormat="1" ht="12.75" customHeight="1" x14ac:dyDescent="0.2">
      <c r="A79" s="1466" t="s">
        <v>55</v>
      </c>
      <c r="B79" s="2287"/>
      <c r="C79" s="2287"/>
      <c r="D79" s="2287"/>
      <c r="E79" s="2287"/>
      <c r="F79" s="2287"/>
      <c r="G79" s="1467" t="s">
        <v>57</v>
      </c>
      <c r="H79" s="2288"/>
      <c r="I79" s="2288"/>
      <c r="J79" s="1468"/>
      <c r="K79" s="1467"/>
      <c r="L79" s="1467" t="s">
        <v>58</v>
      </c>
      <c r="M79" s="1457"/>
      <c r="N79" s="1467" t="s">
        <v>59</v>
      </c>
      <c r="O79" s="2289"/>
      <c r="P79" s="2289"/>
      <c r="Q79" s="2289"/>
      <c r="R79" s="1467" t="s">
        <v>52</v>
      </c>
      <c r="S79" s="2290"/>
      <c r="T79" s="2290"/>
      <c r="U79" s="2290"/>
      <c r="X79" s="892" t="s">
        <v>61</v>
      </c>
      <c r="Y79" s="884"/>
      <c r="Z79" s="884"/>
      <c r="AA79" s="893"/>
      <c r="AB79" s="358"/>
      <c r="AC79" s="894" t="s">
        <v>63</v>
      </c>
      <c r="AD79" s="896"/>
    </row>
    <row r="80" spans="1:30" s="309" customFormat="1" ht="12.75" customHeight="1" x14ac:dyDescent="0.2">
      <c r="A80" s="1466" t="s">
        <v>56</v>
      </c>
      <c r="B80" s="2287"/>
      <c r="C80" s="2287"/>
      <c r="D80" s="2287"/>
      <c r="E80" s="2287"/>
      <c r="F80" s="2287"/>
      <c r="G80" s="1467" t="s">
        <v>57</v>
      </c>
      <c r="H80" s="2288"/>
      <c r="I80" s="2288"/>
      <c r="J80" s="1468"/>
      <c r="K80" s="1467"/>
      <c r="L80" s="1467" t="s">
        <v>58</v>
      </c>
      <c r="M80" s="1457"/>
      <c r="N80" s="1467" t="s">
        <v>59</v>
      </c>
      <c r="O80" s="2289"/>
      <c r="P80" s="2289"/>
      <c r="Q80" s="2289"/>
      <c r="R80" s="1467" t="s">
        <v>52</v>
      </c>
      <c r="S80" s="2290"/>
      <c r="T80" s="2290"/>
      <c r="U80" s="2290"/>
      <c r="X80" s="945" t="s">
        <v>663</v>
      </c>
      <c r="Y80" s="895"/>
      <c r="Z80" s="895"/>
      <c r="AA80" s="896"/>
      <c r="AB80" s="358"/>
      <c r="AC80" s="343"/>
      <c r="AD80" s="343"/>
    </row>
    <row r="83" spans="1:21" s="310" customFormat="1" ht="15" customHeight="1" x14ac:dyDescent="0.2">
      <c r="A83" s="960" t="s">
        <v>54</v>
      </c>
      <c r="B83" s="960" t="s">
        <v>130</v>
      </c>
      <c r="C83" s="2308">
        <f xml:space="preserve"> IF(S78=$AC$79,H78*M78*(O78+1)+(O78+1)^2/2*(H78+M78)*2,0)</f>
        <v>0</v>
      </c>
      <c r="D83" s="2308"/>
      <c r="E83" s="961" t="s">
        <v>711</v>
      </c>
      <c r="F83" s="961"/>
      <c r="G83" s="962"/>
      <c r="H83" s="963" t="s">
        <v>131</v>
      </c>
      <c r="I83" s="964">
        <f>H78*M78</f>
        <v>0</v>
      </c>
      <c r="J83" s="961" t="s">
        <v>712</v>
      </c>
      <c r="K83" s="965"/>
      <c r="L83" s="966" t="s">
        <v>132</v>
      </c>
      <c r="M83" s="961"/>
      <c r="N83" s="964">
        <f>H78*O78</f>
        <v>0</v>
      </c>
      <c r="O83" s="961" t="s">
        <v>712</v>
      </c>
      <c r="P83" s="961"/>
      <c r="Q83" s="961" t="s">
        <v>133</v>
      </c>
      <c r="R83" s="961"/>
      <c r="S83" s="964">
        <f>M78*O78</f>
        <v>0</v>
      </c>
      <c r="T83" s="961" t="s">
        <v>712</v>
      </c>
      <c r="U83" s="961"/>
    </row>
    <row r="84" spans="1:21" s="310" customFormat="1" ht="15" customHeight="1" x14ac:dyDescent="0.2">
      <c r="A84" s="960" t="s">
        <v>55</v>
      </c>
      <c r="B84" s="960" t="s">
        <v>130</v>
      </c>
      <c r="C84" s="2308">
        <f xml:space="preserve"> IF(S79=$AC$79,H79*M79*(O79+1)+(O79+1)^2/2*(H79+M79)*2,0)</f>
        <v>0</v>
      </c>
      <c r="D84" s="2308"/>
      <c r="E84" s="961" t="s">
        <v>711</v>
      </c>
      <c r="F84" s="961"/>
      <c r="G84" s="962"/>
      <c r="H84" s="963" t="s">
        <v>131</v>
      </c>
      <c r="I84" s="964">
        <f>H79*M79</f>
        <v>0</v>
      </c>
      <c r="J84" s="961" t="s">
        <v>712</v>
      </c>
      <c r="K84" s="965"/>
      <c r="L84" s="966" t="s">
        <v>132</v>
      </c>
      <c r="M84" s="961"/>
      <c r="N84" s="964">
        <f>H79*O79</f>
        <v>0</v>
      </c>
      <c r="O84" s="961" t="s">
        <v>712</v>
      </c>
      <c r="P84" s="961"/>
      <c r="Q84" s="961" t="s">
        <v>133</v>
      </c>
      <c r="R84" s="961"/>
      <c r="S84" s="964">
        <f>M79*O79</f>
        <v>0</v>
      </c>
      <c r="T84" s="961" t="s">
        <v>712</v>
      </c>
      <c r="U84" s="961"/>
    </row>
    <row r="85" spans="1:21" s="310" customFormat="1" ht="15" customHeight="1" x14ac:dyDescent="0.2">
      <c r="A85" s="960" t="s">
        <v>56</v>
      </c>
      <c r="B85" s="960" t="s">
        <v>130</v>
      </c>
      <c r="C85" s="2308">
        <f xml:space="preserve"> IF(S80=$AC$79,H80*M80*(O80+1)+(O80+1)^2/2*(H80+M80)*2,0)</f>
        <v>0</v>
      </c>
      <c r="D85" s="2308"/>
      <c r="E85" s="961" t="s">
        <v>711</v>
      </c>
      <c r="F85" s="961"/>
      <c r="G85" s="962"/>
      <c r="H85" s="963" t="s">
        <v>131</v>
      </c>
      <c r="I85" s="964">
        <f>H80*M80</f>
        <v>0</v>
      </c>
      <c r="J85" s="961" t="s">
        <v>712</v>
      </c>
      <c r="K85" s="965"/>
      <c r="L85" s="966" t="s">
        <v>132</v>
      </c>
      <c r="M85" s="961"/>
      <c r="N85" s="964">
        <f>H80*O80</f>
        <v>0</v>
      </c>
      <c r="O85" s="961" t="s">
        <v>712</v>
      </c>
      <c r="P85" s="961"/>
      <c r="Q85" s="961" t="s">
        <v>133</v>
      </c>
      <c r="R85" s="961"/>
      <c r="S85" s="964">
        <f>M80*O80</f>
        <v>0</v>
      </c>
      <c r="T85" s="961" t="s">
        <v>712</v>
      </c>
      <c r="U85" s="961"/>
    </row>
    <row r="88" spans="1:21" x14ac:dyDescent="0.2">
      <c r="B88" s="304"/>
      <c r="C88" s="304"/>
      <c r="D88" s="304"/>
    </row>
    <row r="89" spans="1:21" x14ac:dyDescent="0.2">
      <c r="B89" s="304"/>
      <c r="C89" s="304"/>
      <c r="D89" s="304"/>
    </row>
    <row r="90" spans="1:21" x14ac:dyDescent="0.2">
      <c r="B90" s="304"/>
      <c r="C90" s="304"/>
      <c r="D90" s="304"/>
    </row>
    <row r="91" spans="1:21" x14ac:dyDescent="0.2">
      <c r="B91" s="304"/>
      <c r="C91" s="304"/>
      <c r="D91" s="304"/>
    </row>
    <row r="92" spans="1:21" x14ac:dyDescent="0.2">
      <c r="B92" s="304"/>
      <c r="C92" s="304"/>
      <c r="D92" s="304"/>
    </row>
    <row r="93" spans="1:21" x14ac:dyDescent="0.2">
      <c r="B93" s="304"/>
      <c r="C93" s="304"/>
      <c r="D93" s="304"/>
    </row>
  </sheetData>
  <sheetProtection algorithmName="SHA-512" hashValue="CWFpM6Qp0OEV3QvrWMyBOnNSgy2E3NV3CZW1k7BMGXmEFf4xpMfzM7eYmnWgU6RO+E98BBs/8mEu8fWevOEf5w==" saltValue="b9gVreJc2pSeHCWiXgkASQ==" spinCount="100000" sheet="1" objects="1" scenarios="1" selectLockedCells="1"/>
  <mergeCells count="86">
    <mergeCell ref="G19:J19"/>
    <mergeCell ref="A20:B20"/>
    <mergeCell ref="H20:I20"/>
    <mergeCell ref="W7:AB7"/>
    <mergeCell ref="J7:T7"/>
    <mergeCell ref="G9:J9"/>
    <mergeCell ref="G15:J15"/>
    <mergeCell ref="S15:U17"/>
    <mergeCell ref="H16:I16"/>
    <mergeCell ref="P18:Q18"/>
    <mergeCell ref="C7:F7"/>
    <mergeCell ref="G23:J23"/>
    <mergeCell ref="A24:B24"/>
    <mergeCell ref="H24:I24"/>
    <mergeCell ref="A25:B25"/>
    <mergeCell ref="A21:B21"/>
    <mergeCell ref="S34:T34"/>
    <mergeCell ref="A36:B36"/>
    <mergeCell ref="G36:J36"/>
    <mergeCell ref="P33:Q33"/>
    <mergeCell ref="A27:B27"/>
    <mergeCell ref="G27:J27"/>
    <mergeCell ref="H28:I28"/>
    <mergeCell ref="A29:B29"/>
    <mergeCell ref="A30:B30"/>
    <mergeCell ref="Z52:AA52"/>
    <mergeCell ref="H37:I37"/>
    <mergeCell ref="G40:J40"/>
    <mergeCell ref="H41:I41"/>
    <mergeCell ref="A42:B42"/>
    <mergeCell ref="G44:J44"/>
    <mergeCell ref="H45:I45"/>
    <mergeCell ref="S43:U45"/>
    <mergeCell ref="G48:J48"/>
    <mergeCell ref="H49:I49"/>
    <mergeCell ref="S47:T47"/>
    <mergeCell ref="G52:J52"/>
    <mergeCell ref="S40:U40"/>
    <mergeCell ref="S49:T49"/>
    <mergeCell ref="S39:T39"/>
    <mergeCell ref="H53:I53"/>
    <mergeCell ref="G59:J59"/>
    <mergeCell ref="X59:Y59"/>
    <mergeCell ref="A60:B60"/>
    <mergeCell ref="H60:I60"/>
    <mergeCell ref="T60:T68"/>
    <mergeCell ref="A61:B61"/>
    <mergeCell ref="G65:J65"/>
    <mergeCell ref="H66:I66"/>
    <mergeCell ref="S53:U53"/>
    <mergeCell ref="S69:U71"/>
    <mergeCell ref="G70:J70"/>
    <mergeCell ref="H71:I71"/>
    <mergeCell ref="S73:T73"/>
    <mergeCell ref="B78:F78"/>
    <mergeCell ref="H78:I78"/>
    <mergeCell ref="O78:Q78"/>
    <mergeCell ref="S78:U78"/>
    <mergeCell ref="G74:J74"/>
    <mergeCell ref="O79:Q79"/>
    <mergeCell ref="S79:U79"/>
    <mergeCell ref="B80:F80"/>
    <mergeCell ref="H80:I80"/>
    <mergeCell ref="O80:Q80"/>
    <mergeCell ref="S80:U80"/>
    <mergeCell ref="C83:D83"/>
    <mergeCell ref="C84:D84"/>
    <mergeCell ref="C85:D85"/>
    <mergeCell ref="B79:F79"/>
    <mergeCell ref="H79:I79"/>
    <mergeCell ref="S5:U5"/>
    <mergeCell ref="A9:B9"/>
    <mergeCell ref="S9:U9"/>
    <mergeCell ref="S21:T21"/>
    <mergeCell ref="S36:T36"/>
    <mergeCell ref="P15:Q15"/>
    <mergeCell ref="P16:Q16"/>
    <mergeCell ref="P17:Q17"/>
    <mergeCell ref="P30:Q30"/>
    <mergeCell ref="P31:Q31"/>
    <mergeCell ref="P32:Q32"/>
    <mergeCell ref="S30:U32"/>
    <mergeCell ref="S19:T19"/>
    <mergeCell ref="A32:B32"/>
    <mergeCell ref="G32:J32"/>
    <mergeCell ref="H33:I33"/>
  </mergeCells>
  <conditionalFormatting sqref="G15:J15 G16:G17 J16:J17">
    <cfRule type="expression" dxfId="1707" priority="366">
      <formula>$H$16&gt;0</formula>
    </cfRule>
  </conditionalFormatting>
  <conditionalFormatting sqref="G19:J19 G20 G21:H21 J20">
    <cfRule type="expression" dxfId="1706" priority="365">
      <formula>$H$20&gt;0</formula>
    </cfRule>
  </conditionalFormatting>
  <conditionalFormatting sqref="G23:J23 G24 J24 G25:H25">
    <cfRule type="expression" dxfId="1705" priority="364">
      <formula>$H$24&gt;0</formula>
    </cfRule>
  </conditionalFormatting>
  <conditionalFormatting sqref="G32:J32 G33 G34:H34 J33">
    <cfRule type="expression" dxfId="1704" priority="363">
      <formula>$H$33&gt;0</formula>
    </cfRule>
  </conditionalFormatting>
  <conditionalFormatting sqref="G36:J36 G37 G38:H38 J37">
    <cfRule type="expression" dxfId="1703" priority="362">
      <formula>$H$37&gt;0</formula>
    </cfRule>
  </conditionalFormatting>
  <conditionalFormatting sqref="G44:J44 G45 G46:H46 J45">
    <cfRule type="expression" dxfId="1702" priority="361">
      <formula>$H$45&gt;0</formula>
    </cfRule>
  </conditionalFormatting>
  <conditionalFormatting sqref="G70:G72 J71:J72 K71:N71">
    <cfRule type="expression" dxfId="1701" priority="360">
      <formula>$H$71&gt;0</formula>
    </cfRule>
  </conditionalFormatting>
  <conditionalFormatting sqref="R32 O47:O49 O51:O52 O43:O45 S30 O11:O41 S33:U36 O54 O58:O59">
    <cfRule type="expression" dxfId="1700" priority="358">
      <formula>$S$34&gt;0</formula>
    </cfRule>
  </conditionalFormatting>
  <conditionalFormatting sqref="S43:U49 Q41:Q57">
    <cfRule type="expression" dxfId="1699" priority="357">
      <formula>$S$47&gt;0</formula>
    </cfRule>
  </conditionalFormatting>
  <conditionalFormatting sqref="P71:R71 S69:U73 O61:O75">
    <cfRule type="expression" dxfId="1698" priority="356">
      <formula>$S$73&gt;0</formula>
    </cfRule>
  </conditionalFormatting>
  <conditionalFormatting sqref="B44:F44">
    <cfRule type="expression" dxfId="1697" priority="352">
      <formula>$B$44&lt;0</formula>
    </cfRule>
  </conditionalFormatting>
  <conditionalFormatting sqref="B48:F48">
    <cfRule type="expression" dxfId="1696" priority="351">
      <formula>$B$48&lt;0</formula>
    </cfRule>
  </conditionalFormatting>
  <conditionalFormatting sqref="G25:H25">
    <cfRule type="expression" dxfId="1695" priority="350">
      <formula>AND($H$24&gt;0,$J$25=0,$I$25=0)</formula>
    </cfRule>
  </conditionalFormatting>
  <conditionalFormatting sqref="G20:H20 J20">
    <cfRule type="expression" dxfId="1694" priority="349">
      <formula>AND($M$20&gt;0,$H$20=0)</formula>
    </cfRule>
  </conditionalFormatting>
  <conditionalFormatting sqref="G24:H24 J24">
    <cfRule type="expression" dxfId="1693" priority="348">
      <formula>AND($M$24&gt;0,$H$24=0)</formula>
    </cfRule>
  </conditionalFormatting>
  <conditionalFormatting sqref="G34:H34">
    <cfRule type="expression" dxfId="1692" priority="347">
      <formula>AND($H$33&gt;0,$J$34=0,$I$34=0)</formula>
    </cfRule>
  </conditionalFormatting>
  <conditionalFormatting sqref="G33:H33 J33">
    <cfRule type="expression" dxfId="1691" priority="346">
      <formula>AND($M$33&gt;0,$H$33=0)</formula>
    </cfRule>
  </conditionalFormatting>
  <conditionalFormatting sqref="G37:H37 J37">
    <cfRule type="expression" dxfId="1690" priority="345">
      <formula>AND($M$37&gt;0,$H$37=0)</formula>
    </cfRule>
  </conditionalFormatting>
  <conditionalFormatting sqref="G38:H38">
    <cfRule type="expression" dxfId="1689" priority="344">
      <formula>AND($H$37&gt;0,$J$38=0,$I$38=0)</formula>
    </cfRule>
  </conditionalFormatting>
  <conditionalFormatting sqref="G45:H45 J45">
    <cfRule type="expression" dxfId="1688" priority="343">
      <formula>AND($M$46&gt;0,$H$45=0)</formula>
    </cfRule>
  </conditionalFormatting>
  <conditionalFormatting sqref="G46:H46">
    <cfRule type="expression" dxfId="1687" priority="342">
      <formula>AND($H$45&gt;0,$J$46=0,$I$46=0)</formula>
    </cfRule>
  </conditionalFormatting>
  <conditionalFormatting sqref="G60:H60 J60">
    <cfRule type="expression" dxfId="1686" priority="341">
      <formula>AND($M$59&gt;0,$H$60=0)</formula>
    </cfRule>
  </conditionalFormatting>
  <conditionalFormatting sqref="G50:H50">
    <cfRule type="expression" dxfId="1685" priority="340">
      <formula>AND($H$49&gt;0,$J$50=0,$I$50=0)</formula>
    </cfRule>
  </conditionalFormatting>
  <conditionalFormatting sqref="G17 I17:J17">
    <cfRule type="expression" dxfId="1684" priority="339">
      <formula>AND($H$16&gt;0,$H$17=0,$I$17=0)</formula>
    </cfRule>
  </conditionalFormatting>
  <conditionalFormatting sqref="G72 J72">
    <cfRule type="expression" dxfId="1683" priority="338">
      <formula>AND($H$71&gt;0,$H$72=0,$I$72=0)</formula>
    </cfRule>
  </conditionalFormatting>
  <conditionalFormatting sqref="A44:F44">
    <cfRule type="expression" dxfId="1682" priority="335">
      <formula>$B$44&lt;&gt;0</formula>
    </cfRule>
  </conditionalFormatting>
  <conditionalFormatting sqref="A48:F48">
    <cfRule type="expression" dxfId="1681" priority="334">
      <formula>$B$48&lt;&gt;0</formula>
    </cfRule>
  </conditionalFormatting>
  <conditionalFormatting sqref="P59:Q59 S59:T59 T60">
    <cfRule type="expression" dxfId="1680" priority="333">
      <formula>$R$59&gt;0</formula>
    </cfRule>
  </conditionalFormatting>
  <conditionalFormatting sqref="K59:L59 N59">
    <cfRule type="expression" dxfId="1679" priority="332">
      <formula>$M$59&gt;0</formula>
    </cfRule>
  </conditionalFormatting>
  <conditionalFormatting sqref="C36:F36">
    <cfRule type="expression" dxfId="1678" priority="331">
      <formula>$E$36&gt;0</formula>
    </cfRule>
  </conditionalFormatting>
  <conditionalFormatting sqref="E36:F36">
    <cfRule type="expression" dxfId="1677" priority="330">
      <formula>AND($A$36="",$E$36&gt;0)</formula>
    </cfRule>
  </conditionalFormatting>
  <conditionalFormatting sqref="C32:F32">
    <cfRule type="expression" dxfId="1676" priority="329">
      <formula>$E$32&gt;0</formula>
    </cfRule>
  </conditionalFormatting>
  <conditionalFormatting sqref="E32:F32">
    <cfRule type="expression" dxfId="1675" priority="328">
      <formula>AND($A$32="",$E$32&gt;0)</formula>
    </cfRule>
  </conditionalFormatting>
  <conditionalFormatting sqref="A71:F71">
    <cfRule type="expression" dxfId="1674" priority="327">
      <formula>$H$71&gt;0</formula>
    </cfRule>
  </conditionalFormatting>
  <conditionalFormatting sqref="K33:L33 N33">
    <cfRule type="expression" dxfId="1673" priority="326">
      <formula>$M$33&gt;0</formula>
    </cfRule>
  </conditionalFormatting>
  <conditionalFormatting sqref="K44:L44 N44">
    <cfRule type="expression" dxfId="1672" priority="325">
      <formula>$M$44&gt;0</formula>
    </cfRule>
  </conditionalFormatting>
  <conditionalFormatting sqref="K48:L48 N48">
    <cfRule type="expression" dxfId="1671" priority="324">
      <formula>$M$48&gt;0</formula>
    </cfRule>
  </conditionalFormatting>
  <conditionalFormatting sqref="K24:L24 N24">
    <cfRule type="expression" dxfId="1670" priority="323">
      <formula>$M$24&gt;0</formula>
    </cfRule>
  </conditionalFormatting>
  <conditionalFormatting sqref="K20:L20 N20">
    <cfRule type="expression" dxfId="1669" priority="320">
      <formula>$M$20&gt;0</formula>
    </cfRule>
  </conditionalFormatting>
  <conditionalFormatting sqref="K16:N16">
    <cfRule type="expression" dxfId="1668" priority="317">
      <formula>$M$16&gt;0</formula>
    </cfRule>
  </conditionalFormatting>
  <conditionalFormatting sqref="A16:F16">
    <cfRule type="expression" dxfId="1667" priority="316">
      <formula>$H$16&gt;0</formula>
    </cfRule>
  </conditionalFormatting>
  <conditionalFormatting sqref="N11 A11:H11 J11:L11">
    <cfRule type="expression" dxfId="1666" priority="315">
      <formula>$M$11&gt;0</formula>
    </cfRule>
  </conditionalFormatting>
  <conditionalFormatting sqref="A52:F52">
    <cfRule type="expression" dxfId="1665" priority="312">
      <formula>$B$52&lt;&gt;0</formula>
    </cfRule>
  </conditionalFormatting>
  <conditionalFormatting sqref="G61:J61">
    <cfRule type="expression" dxfId="1664" priority="311">
      <formula>AND($H$60&gt;0,$I$61=0,$J$61=0)</formula>
    </cfRule>
  </conditionalFormatting>
  <conditionalFormatting sqref="K61:L61 N61 O61:O75">
    <cfRule type="expression" dxfId="1663" priority="310">
      <formula>$M$61&gt;0</formula>
    </cfRule>
  </conditionalFormatting>
  <conditionalFormatting sqref="D63:N63 C34:F34 C35 C37:C39 C45:C47 C49:C51 C41 C43 O61:O75 C62:C63 C53:C54 C58:C59">
    <cfRule type="expression" dxfId="1662" priority="309">
      <formula>$E$34&gt;0</formula>
    </cfRule>
  </conditionalFormatting>
  <conditionalFormatting sqref="D63:N63 C38:F38 C39 C45:C47 C49:C51 C41 C43 O61:O75 C62:C63 C53:C54 C58:C59">
    <cfRule type="expression" dxfId="1661" priority="308">
      <formula>$E$38&gt;0</formula>
    </cfRule>
  </conditionalFormatting>
  <conditionalFormatting sqref="D63:N63 C46:F46 C47 C49:C51 O61:O75 C62:C63 C53:C54 C58:C59">
    <cfRule type="expression" dxfId="1660" priority="307">
      <formula>$E$46&gt;0</formula>
    </cfRule>
  </conditionalFormatting>
  <conditionalFormatting sqref="D63:N63 C50:F50 C51 O61:O75 C62:C63 C53:C54 C58:C59">
    <cfRule type="expression" dxfId="1659" priority="306">
      <formula>$E$50&gt;0</formula>
    </cfRule>
  </conditionalFormatting>
  <conditionalFormatting sqref="D63:N63 C54:F54 O61:O75 C62:C63 C57:C59 C55">
    <cfRule type="expression" dxfId="1658" priority="305">
      <formula>$E$54&gt;0</formula>
    </cfRule>
  </conditionalFormatting>
  <conditionalFormatting sqref="G59:J59 G60 G61:H61 J60">
    <cfRule type="expression" dxfId="1657" priority="302">
      <formula>$H$60&gt;0</formula>
    </cfRule>
  </conditionalFormatting>
  <conditionalFormatting sqref="G48:J48 G49 G50:H50 J49">
    <cfRule type="expression" dxfId="1656" priority="301">
      <formula>$H$49&gt;0</formula>
    </cfRule>
  </conditionalFormatting>
  <conditionalFormatting sqref="G49:H49 J49">
    <cfRule type="expression" dxfId="1655" priority="300">
      <formula>AND($M$50&gt;0,$H$49=0)</formula>
    </cfRule>
  </conditionalFormatting>
  <conditionalFormatting sqref="K50:L50 N50:P50">
    <cfRule type="expression" dxfId="1654" priority="299">
      <formula>$M$50&gt;0</formula>
    </cfRule>
  </conditionalFormatting>
  <conditionalFormatting sqref="N46:P46 K46:L46">
    <cfRule type="expression" dxfId="1653" priority="298">
      <formula>$M$46&gt;0</formula>
    </cfRule>
  </conditionalFormatting>
  <conditionalFormatting sqref="H21">
    <cfRule type="expression" dxfId="1652" priority="297">
      <formula>AND($H$20&gt;0,$J$21=0,$I$21=0)</formula>
    </cfRule>
  </conditionalFormatting>
  <conditionalFormatting sqref="N20">
    <cfRule type="expression" dxfId="1651" priority="296">
      <formula>AND($H$20&gt;0,$M$20=0)</formula>
    </cfRule>
  </conditionalFormatting>
  <conditionalFormatting sqref="N24">
    <cfRule type="expression" dxfId="1650" priority="295">
      <formula>AND($H$24&gt;0,$M$24=0)</formula>
    </cfRule>
  </conditionalFormatting>
  <conditionalFormatting sqref="N33">
    <cfRule type="expression" dxfId="1649" priority="294">
      <formula>AND($H$33&gt;0,$M$33=0)</formula>
    </cfRule>
  </conditionalFormatting>
  <conditionalFormatting sqref="K37:L37 N37">
    <cfRule type="expression" dxfId="1648" priority="293">
      <formula>$M$37&gt;0</formula>
    </cfRule>
  </conditionalFormatting>
  <conditionalFormatting sqref="N37">
    <cfRule type="expression" dxfId="1647" priority="292">
      <formula>AND($H$37&gt;0,$M$37=0)</formula>
    </cfRule>
  </conditionalFormatting>
  <conditionalFormatting sqref="N46">
    <cfRule type="expression" dxfId="1646" priority="291">
      <formula>AND($H$45&gt;0,$M$46=0)</formula>
    </cfRule>
  </conditionalFormatting>
  <conditionalFormatting sqref="N50">
    <cfRule type="expression" dxfId="1645" priority="290">
      <formula>AND($H$49&gt;0,$M$50=0)</formula>
    </cfRule>
  </conditionalFormatting>
  <conditionalFormatting sqref="N59">
    <cfRule type="expression" dxfId="1644" priority="289">
      <formula>AND(OR($H$60&gt;0,$M$61&gt;0),$M$59=0)</formula>
    </cfRule>
  </conditionalFormatting>
  <conditionalFormatting sqref="N61">
    <cfRule type="expression" dxfId="1643" priority="288">
      <formula>AND(OR($H$60&gt;0,$M$59&gt;0),$M$61=0)</formula>
    </cfRule>
  </conditionalFormatting>
  <conditionalFormatting sqref="J11 H11">
    <cfRule type="expression" dxfId="1642" priority="274">
      <formula>AND($M$11&gt;0,$I$11=0)</formula>
    </cfRule>
  </conditionalFormatting>
  <conditionalFormatting sqref="N74 A74:G74 K74:L74">
    <cfRule type="expression" dxfId="1641" priority="259">
      <formula>$M$74&lt;&gt;0</formula>
    </cfRule>
  </conditionalFormatting>
  <conditionalFormatting sqref="K28:L28 N28">
    <cfRule type="expression" dxfId="1640" priority="256">
      <formula>$M$28&gt;0</formula>
    </cfRule>
  </conditionalFormatting>
  <conditionalFormatting sqref="N28">
    <cfRule type="expression" dxfId="1639" priority="255">
      <formula>AND($H$28&gt;0,$M$28=0)</formula>
    </cfRule>
  </conditionalFormatting>
  <conditionalFormatting sqref="G40:J40 G41 G42:H42 J41">
    <cfRule type="expression" dxfId="1638" priority="244">
      <formula>$H$41&gt;0</formula>
    </cfRule>
  </conditionalFormatting>
  <conditionalFormatting sqref="G41:H41 J41">
    <cfRule type="expression" dxfId="1637" priority="243">
      <formula>AND($M$42&gt;0,$H$41=0)</formula>
    </cfRule>
  </conditionalFormatting>
  <conditionalFormatting sqref="G42:H42">
    <cfRule type="expression" dxfId="1636" priority="242">
      <formula>AND($H$41&gt;0,$J$42=0,$I$42=0)</formula>
    </cfRule>
  </conditionalFormatting>
  <conditionalFormatting sqref="N42:P42 K42:L42">
    <cfRule type="expression" dxfId="1635" priority="241">
      <formula>$M$42&gt;0</formula>
    </cfRule>
  </conditionalFormatting>
  <conditionalFormatting sqref="N42">
    <cfRule type="expression" dxfId="1634" priority="240">
      <formula>AND($H$41&gt;0,$M$42=0)</formula>
    </cfRule>
  </conditionalFormatting>
  <conditionalFormatting sqref="K40:L40 N40">
    <cfRule type="expression" dxfId="1633" priority="239">
      <formula>$M$40&gt;0</formula>
    </cfRule>
  </conditionalFormatting>
  <conditionalFormatting sqref="B40:F40">
    <cfRule type="expression" dxfId="1632" priority="238">
      <formula>$B$40&lt;0</formula>
    </cfRule>
  </conditionalFormatting>
  <conditionalFormatting sqref="A40:F40">
    <cfRule type="expression" dxfId="1631" priority="237">
      <formula>$B$40&lt;&gt;0</formula>
    </cfRule>
  </conditionalFormatting>
  <conditionalFormatting sqref="J50">
    <cfRule type="expression" dxfId="1630" priority="235">
      <formula>AND($H$45&gt;0,$J$46=0)</formula>
    </cfRule>
  </conditionalFormatting>
  <conditionalFormatting sqref="H17">
    <cfRule type="expression" dxfId="1629" priority="234">
      <formula>I17&lt;&gt;""</formula>
    </cfRule>
  </conditionalFormatting>
  <conditionalFormatting sqref="I21">
    <cfRule type="expression" dxfId="1628" priority="233">
      <formula>J21&lt;&gt;""</formula>
    </cfRule>
  </conditionalFormatting>
  <conditionalFormatting sqref="I25">
    <cfRule type="expression" dxfId="1627" priority="232">
      <formula>J25&lt;&gt;""</formula>
    </cfRule>
  </conditionalFormatting>
  <conditionalFormatting sqref="I42">
    <cfRule type="expression" dxfId="1626" priority="229">
      <formula>J42&lt;&gt;""</formula>
    </cfRule>
  </conditionalFormatting>
  <conditionalFormatting sqref="I61">
    <cfRule type="expression" dxfId="1625" priority="228">
      <formula>J61&lt;&gt;""</formula>
    </cfRule>
  </conditionalFormatting>
  <conditionalFormatting sqref="I72">
    <cfRule type="expression" dxfId="1624" priority="227">
      <formula>AND($H$60&gt;0,$J$61=0)</formula>
    </cfRule>
  </conditionalFormatting>
  <conditionalFormatting sqref="I46">
    <cfRule type="expression" dxfId="1623" priority="223">
      <formula>J46&lt;&gt;""</formula>
    </cfRule>
  </conditionalFormatting>
  <conditionalFormatting sqref="I50">
    <cfRule type="expression" dxfId="1622" priority="222">
      <formula>J50&lt;&gt;""</formula>
    </cfRule>
  </conditionalFormatting>
  <conditionalFormatting sqref="H72">
    <cfRule type="expression" dxfId="1621" priority="221">
      <formula>I72&lt;&gt;""</formula>
    </cfRule>
  </conditionalFormatting>
  <conditionalFormatting sqref="G52:J52 G53 J53 G54:H54">
    <cfRule type="expression" dxfId="1620" priority="216">
      <formula>$H$53&gt;0</formula>
    </cfRule>
  </conditionalFormatting>
  <conditionalFormatting sqref="G53:H53 J53">
    <cfRule type="expression" dxfId="1619" priority="215">
      <formula>AND($M$53&gt;0,$H$53=0)</formula>
    </cfRule>
  </conditionalFormatting>
  <conditionalFormatting sqref="G54:H54">
    <cfRule type="expression" dxfId="1618" priority="213">
      <formula>AND($H$53&gt;0,$J$54=0,$I$54=0)</formula>
    </cfRule>
  </conditionalFormatting>
  <conditionalFormatting sqref="I54">
    <cfRule type="expression" dxfId="1617" priority="212">
      <formula>J54&lt;&gt;""</formula>
    </cfRule>
  </conditionalFormatting>
  <conditionalFormatting sqref="N53:P53 K53:L53">
    <cfRule type="expression" dxfId="1616" priority="211">
      <formula>$M$53&gt;0</formula>
    </cfRule>
  </conditionalFormatting>
  <conditionalFormatting sqref="N53">
    <cfRule type="expression" dxfId="1615" priority="210">
      <formula>AND($H$53&gt;0,$M$53=0)</formula>
    </cfRule>
  </conditionalFormatting>
  <conditionalFormatting sqref="I34">
    <cfRule type="expression" dxfId="1614" priority="145">
      <formula>J34&lt;&gt;""</formula>
    </cfRule>
  </conditionalFormatting>
  <conditionalFormatting sqref="I38">
    <cfRule type="expression" dxfId="1613" priority="144">
      <formula>J38&lt;&gt;""</formula>
    </cfRule>
  </conditionalFormatting>
  <conditionalFormatting sqref="C42:F42">
    <cfRule type="expression" dxfId="1612" priority="141">
      <formula>$E$42&gt;0</formula>
    </cfRule>
  </conditionalFormatting>
  <conditionalFormatting sqref="E42:F42">
    <cfRule type="expression" dxfId="1611" priority="140">
      <formula>AND($A$42="",$M$42&gt;0)</formula>
    </cfRule>
  </conditionalFormatting>
  <conditionalFormatting sqref="A68:N68">
    <cfRule type="expression" dxfId="1610" priority="139">
      <formula>$M$68&lt;0</formula>
    </cfRule>
  </conditionalFormatting>
  <conditionalFormatting sqref="A68:H68 J68:N68">
    <cfRule type="expression" dxfId="1609" priority="138">
      <formula>$M$68&lt;&gt;0</formula>
    </cfRule>
  </conditionalFormatting>
  <conditionalFormatting sqref="R17 O47:O49 O51:O52 O43:O45 O11:O41 S15:U21 O54 O58:O59">
    <cfRule type="expression" dxfId="1608" priority="748">
      <formula>$S$19&gt;0</formula>
    </cfRule>
  </conditionalFormatting>
  <conditionalFormatting sqref="G66 J66">
    <cfRule type="expression" dxfId="1607" priority="133">
      <formula>AND($M$66&gt;0,$H$66=0)</formula>
    </cfRule>
  </conditionalFormatting>
  <conditionalFormatting sqref="N66 K66:L66 O61:O75">
    <cfRule type="expression" dxfId="1606" priority="131">
      <formula>($M$66&gt;0)</formula>
    </cfRule>
  </conditionalFormatting>
  <conditionalFormatting sqref="N66">
    <cfRule type="expression" dxfId="1605" priority="132">
      <formula>AND($H$66&gt;0,$M$66=0)</formula>
    </cfRule>
  </conditionalFormatting>
  <conditionalFormatting sqref="G65:J65 G66 J66">
    <cfRule type="expression" dxfId="1604" priority="130">
      <formula>($H$66&gt;0)</formula>
    </cfRule>
  </conditionalFormatting>
  <conditionalFormatting sqref="S53">
    <cfRule type="expression" dxfId="1603" priority="120">
      <formula>AND($S$52&gt;0.99,$S$52&lt;1.01)</formula>
    </cfRule>
  </conditionalFormatting>
  <conditionalFormatting sqref="S51:S52 S54 S58">
    <cfRule type="expression" dxfId="1602" priority="1168">
      <formula>$S$47=0</formula>
    </cfRule>
    <cfRule type="expression" dxfId="1601" priority="1169">
      <formula>AND($S$52&gt;0.99,$S$52&lt;1.01)</formula>
    </cfRule>
  </conditionalFormatting>
  <conditionalFormatting sqref="G27:J27 G28 G29:H29 J28">
    <cfRule type="expression" dxfId="1600" priority="102">
      <formula>$H$28&gt;0</formula>
    </cfRule>
  </conditionalFormatting>
  <conditionalFormatting sqref="G29:H29">
    <cfRule type="expression" dxfId="1599" priority="101">
      <formula>AND($H$28&gt;0,$J$29=0,$I$29=0)</formula>
    </cfRule>
  </conditionalFormatting>
  <conditionalFormatting sqref="G28:H28 J28">
    <cfRule type="expression" dxfId="1598" priority="100">
      <formula>AND($M$28&gt;0,$H$28=0)</formula>
    </cfRule>
  </conditionalFormatting>
  <conditionalFormatting sqref="I29">
    <cfRule type="expression" dxfId="1597" priority="99">
      <formula>J29&lt;&gt;""</formula>
    </cfRule>
  </conditionalFormatting>
  <conditionalFormatting sqref="S38:S39">
    <cfRule type="expression" dxfId="1596" priority="97">
      <formula>($S$19+$S$34)=0</formula>
    </cfRule>
    <cfRule type="expression" dxfId="1595" priority="98">
      <formula>AND($S$39&gt;0.99,$S$39&lt;1.01)</formula>
    </cfRule>
  </conditionalFormatting>
  <conditionalFormatting sqref="S40">
    <cfRule type="expression" dxfId="1594" priority="96">
      <formula>AND($S$39&gt;0.99,$S$39&lt;1.01)</formula>
    </cfRule>
  </conditionalFormatting>
  <conditionalFormatting sqref="M74">
    <cfRule type="expression" dxfId="1593" priority="95">
      <formula>$M$74&gt;SUM($M$61,$M$71)</formula>
    </cfRule>
  </conditionalFormatting>
  <conditionalFormatting sqref="N13 J13:L13 A13:H13">
    <cfRule type="expression" dxfId="1592" priority="94">
      <formula>$M$13&gt;0</formula>
    </cfRule>
  </conditionalFormatting>
  <conditionalFormatting sqref="J13 H13">
    <cfRule type="expression" dxfId="1591" priority="93">
      <formula>AND($M$13&gt;0,$I$13=0)</formula>
    </cfRule>
  </conditionalFormatting>
  <conditionalFormatting sqref="O10">
    <cfRule type="expression" dxfId="1590" priority="90">
      <formula>$S$34&gt;0</formula>
    </cfRule>
  </conditionalFormatting>
  <conditionalFormatting sqref="O10">
    <cfRule type="expression" dxfId="1589" priority="91">
      <formula>$S$19&gt;0</formula>
    </cfRule>
  </conditionalFormatting>
  <conditionalFormatting sqref="N11">
    <cfRule type="expression" dxfId="1588" priority="68">
      <formula>AND($I$11&gt;0,$M$11=0)</formula>
    </cfRule>
  </conditionalFormatting>
  <conditionalFormatting sqref="N13">
    <cfRule type="expression" dxfId="1587" priority="67">
      <formula>AND($I$13&gt;0,$M$13=0)</formula>
    </cfRule>
  </conditionalFormatting>
  <conditionalFormatting sqref="H56 J56">
    <cfRule type="expression" dxfId="1586" priority="63">
      <formula>AND($M$56&gt;0,$I$56=0)</formula>
    </cfRule>
  </conditionalFormatting>
  <conditionalFormatting sqref="A56:H56 J56:L56 N56:P56">
    <cfRule type="expression" dxfId="1585" priority="57">
      <formula>$M$56&gt;0</formula>
    </cfRule>
  </conditionalFormatting>
  <conditionalFormatting sqref="N56">
    <cfRule type="expression" dxfId="1584" priority="49">
      <formula>AND($I$56&gt;0,$M$56=0)</formula>
    </cfRule>
  </conditionalFormatting>
  <conditionalFormatting sqref="C57">
    <cfRule type="expression" dxfId="1583" priority="48">
      <formula>$E$34&gt;0</formula>
    </cfRule>
  </conditionalFormatting>
  <conditionalFormatting sqref="C57">
    <cfRule type="expression" dxfId="1582" priority="47">
      <formula>$E$38&gt;0</formula>
    </cfRule>
  </conditionalFormatting>
  <conditionalFormatting sqref="C57">
    <cfRule type="expression" dxfId="1581" priority="46">
      <formula>$E$46&gt;0</formula>
    </cfRule>
  </conditionalFormatting>
  <conditionalFormatting sqref="C57">
    <cfRule type="expression" dxfId="1580" priority="45">
      <formula>$E$50&gt;0</formula>
    </cfRule>
  </conditionalFormatting>
  <conditionalFormatting sqref="C55">
    <cfRule type="expression" dxfId="1579" priority="44">
      <formula>$E$34&gt;0</formula>
    </cfRule>
  </conditionalFormatting>
  <conditionalFormatting sqref="C55">
    <cfRule type="expression" dxfId="1578" priority="43">
      <formula>$E$38&gt;0</formula>
    </cfRule>
  </conditionalFormatting>
  <conditionalFormatting sqref="C55">
    <cfRule type="expression" dxfId="1577" priority="42">
      <formula>$E$46&gt;0</formula>
    </cfRule>
  </conditionalFormatting>
  <conditionalFormatting sqref="C55">
    <cfRule type="expression" dxfId="1576" priority="41">
      <formula>$E$50&gt;0</formula>
    </cfRule>
  </conditionalFormatting>
  <conditionalFormatting sqref="H68 J68">
    <cfRule type="expression" dxfId="1575" priority="40">
      <formula>AND($M$68&gt;0,$I$68=0)</formula>
    </cfRule>
  </conditionalFormatting>
  <conditionalFormatting sqref="C20:F20">
    <cfRule type="expression" dxfId="1574" priority="31">
      <formula>$E$20&gt;0</formula>
    </cfRule>
  </conditionalFormatting>
  <conditionalFormatting sqref="E20:F20">
    <cfRule type="expression" dxfId="1573" priority="37">
      <formula>AND($A$20="",$E$20&gt;0)</formula>
    </cfRule>
  </conditionalFormatting>
  <conditionalFormatting sqref="C27:F27">
    <cfRule type="expression" dxfId="1572" priority="36">
      <formula>$E$27&gt;0</formula>
    </cfRule>
  </conditionalFormatting>
  <conditionalFormatting sqref="E27:F27">
    <cfRule type="expression" dxfId="1571" priority="35">
      <formula>AND($A$27="",$E$27&gt;0)</formula>
    </cfRule>
  </conditionalFormatting>
  <conditionalFormatting sqref="A21:C21">
    <cfRule type="expression" dxfId="1570" priority="34">
      <formula>$A$20=$X$36</formula>
    </cfRule>
  </conditionalFormatting>
  <conditionalFormatting sqref="D20">
    <cfRule type="expression" dxfId="1569" priority="33">
      <formula>$A$20=$X$36</formula>
    </cfRule>
    <cfRule type="expression" dxfId="1568" priority="38">
      <formula>$E$20&gt;0</formula>
    </cfRule>
  </conditionalFormatting>
  <conditionalFormatting sqref="E21">
    <cfRule type="expression" dxfId="1567" priority="39">
      <formula>$A$20=$X$36</formula>
    </cfRule>
  </conditionalFormatting>
  <conditionalFormatting sqref="D21">
    <cfRule type="expression" dxfId="1566" priority="32">
      <formula>$A$20=$X$36</formula>
    </cfRule>
  </conditionalFormatting>
  <conditionalFormatting sqref="A21:C21 E21">
    <cfRule type="expression" dxfId="1565" priority="30">
      <formula>$E$21&gt;0</formula>
    </cfRule>
  </conditionalFormatting>
  <conditionalFormatting sqref="C24:F24">
    <cfRule type="expression" dxfId="1564" priority="23">
      <formula>$E$24&gt;0</formula>
    </cfRule>
  </conditionalFormatting>
  <conditionalFormatting sqref="E24:F24">
    <cfRule type="expression" dxfId="1563" priority="27">
      <formula>AND($A$24="",$E$24&gt;0)</formula>
    </cfRule>
  </conditionalFormatting>
  <conditionalFormatting sqref="A25:C25">
    <cfRule type="expression" dxfId="1562" priority="26">
      <formula>$A$24=$X$36</formula>
    </cfRule>
  </conditionalFormatting>
  <conditionalFormatting sqref="D24">
    <cfRule type="expression" dxfId="1561" priority="25">
      <formula>$A$24=$X$36</formula>
    </cfRule>
    <cfRule type="expression" dxfId="1560" priority="28">
      <formula>$E$24&gt;0</formula>
    </cfRule>
  </conditionalFormatting>
  <conditionalFormatting sqref="E25">
    <cfRule type="expression" dxfId="1559" priority="29">
      <formula>$A$24=$X$36</formula>
    </cfRule>
  </conditionalFormatting>
  <conditionalFormatting sqref="D25">
    <cfRule type="expression" dxfId="1558" priority="24">
      <formula>$A$24=$X$36</formula>
    </cfRule>
  </conditionalFormatting>
  <conditionalFormatting sqref="A25:C25 E25">
    <cfRule type="expression" dxfId="1557" priority="22">
      <formula>$E$25&gt;0</formula>
    </cfRule>
  </conditionalFormatting>
  <conditionalFormatting sqref="A29:F29">
    <cfRule type="expression" dxfId="1556" priority="15">
      <formula>$E$29&gt;0</formula>
    </cfRule>
  </conditionalFormatting>
  <conditionalFormatting sqref="E29:F29">
    <cfRule type="expression" dxfId="1555" priority="19">
      <formula>AND($A$29="",$E$29&gt;0)</formula>
    </cfRule>
  </conditionalFormatting>
  <conditionalFormatting sqref="A30:C30">
    <cfRule type="expression" dxfId="1554" priority="18">
      <formula>$A$29=$X$36</formula>
    </cfRule>
  </conditionalFormatting>
  <conditionalFormatting sqref="D29">
    <cfRule type="expression" dxfId="1553" priority="17">
      <formula>$A$29=$X$36</formula>
    </cfRule>
    <cfRule type="expression" dxfId="1552" priority="20">
      <formula>$E$29&gt;0</formula>
    </cfRule>
  </conditionalFormatting>
  <conditionalFormatting sqref="E30">
    <cfRule type="expression" dxfId="1551" priority="21">
      <formula>$A$29=$X$36</formula>
    </cfRule>
  </conditionalFormatting>
  <conditionalFormatting sqref="D30">
    <cfRule type="expression" dxfId="1550" priority="16">
      <formula>$A$29=$X$36</formula>
    </cfRule>
  </conditionalFormatting>
  <conditionalFormatting sqref="A30:C30 E30">
    <cfRule type="expression" dxfId="1549" priority="14">
      <formula>$E$30&gt;0</formula>
    </cfRule>
  </conditionalFormatting>
  <conditionalFormatting sqref="C61">
    <cfRule type="expression" dxfId="1548" priority="13">
      <formula>$E$34&gt;0</formula>
    </cfRule>
  </conditionalFormatting>
  <conditionalFormatting sqref="C61">
    <cfRule type="expression" dxfId="1547" priority="12">
      <formula>$E$38&gt;0</formula>
    </cfRule>
  </conditionalFormatting>
  <conditionalFormatting sqref="C61">
    <cfRule type="expression" dxfId="1546" priority="11">
      <formula>$E$46&gt;0</formula>
    </cfRule>
  </conditionalFormatting>
  <conditionalFormatting sqref="C61">
    <cfRule type="expression" dxfId="1545" priority="10">
      <formula>$E$50&gt;0</formula>
    </cfRule>
  </conditionalFormatting>
  <conditionalFormatting sqref="C61">
    <cfRule type="expression" dxfId="1544" priority="9">
      <formula>$E$54&gt;0</formula>
    </cfRule>
  </conditionalFormatting>
  <conditionalFormatting sqref="C60:F60">
    <cfRule type="expression" dxfId="1543" priority="2">
      <formula>$E$60&gt;0</formula>
    </cfRule>
  </conditionalFormatting>
  <conditionalFormatting sqref="E60:F60">
    <cfRule type="expression" dxfId="1542" priority="6">
      <formula>AND($A$60="",$E$60&gt;0)</formula>
    </cfRule>
  </conditionalFormatting>
  <conditionalFormatting sqref="A61:C61">
    <cfRule type="expression" dxfId="1541" priority="5">
      <formula>$A$60=$X$36</formula>
    </cfRule>
  </conditionalFormatting>
  <conditionalFormatting sqref="D60">
    <cfRule type="expression" dxfId="1540" priority="4">
      <formula>$A$60=$X$36</formula>
    </cfRule>
    <cfRule type="expression" dxfId="1539" priority="7">
      <formula>$E$60&gt;0</formula>
    </cfRule>
  </conditionalFormatting>
  <conditionalFormatting sqref="E61">
    <cfRule type="expression" dxfId="1538" priority="8">
      <formula>$A$60=$X$36</formula>
    </cfRule>
  </conditionalFormatting>
  <conditionalFormatting sqref="D61">
    <cfRule type="expression" dxfId="1537" priority="3">
      <formula>$A$60=$X$36</formula>
    </cfRule>
  </conditionalFormatting>
  <conditionalFormatting sqref="A61:C61 E61">
    <cfRule type="expression" dxfId="1536" priority="1">
      <formula>$E$61&gt;0</formula>
    </cfRule>
  </conditionalFormatting>
  <dataValidations count="19">
    <dataValidation type="custom" allowBlank="1" showInputMessage="1" showErrorMessage="1" errorTitle="Netzrückspeisung zu hoch" error="Die Netzrückspeisung darf nicht grösser sein als die Summe der mit WKK und Solarstromanlage erzeugten Elektrizität." sqref="M74" xr:uid="{00000000-0002-0000-0500-000000000000}">
      <formula1>AA74</formula1>
    </dataValidation>
    <dataValidation type="list" allowBlank="1" showInputMessage="1" showErrorMessage="1" sqref="S78:S80" xr:uid="{00000000-0002-0000-0500-000001000000}">
      <formula1>$AC$78:$AC$79</formula1>
    </dataValidation>
    <dataValidation type="list" allowBlank="1" showInputMessage="1" showErrorMessage="1" sqref="B78:E80" xr:uid="{00000000-0002-0000-0500-000002000000}">
      <formula1>$X$78:$X$80</formula1>
    </dataValidation>
    <dataValidation type="decimal" allowBlank="1" showInputMessage="1" showErrorMessage="1" error="Wert muss zwischen 400 und 1'500 liegen" sqref="I72" xr:uid="{00000000-0002-0000-0500-000003000000}">
      <formula1>400</formula1>
      <formula2>1500</formula2>
    </dataValidation>
    <dataValidation type="decimal" operator="greaterThanOrEqual" allowBlank="1" showInputMessage="1" showErrorMessage="1" sqref="I11 I13 H16:I16 H20:I20 H24:I24 H28:I28 H33:I33 H37:I37 H41:I41 H45:I45 H49:I49 H53:I53 H60:I60 H66:I66 H71:I71 I56" xr:uid="{00000000-0002-0000-0500-000004000000}">
      <formula1>0</formula1>
    </dataValidation>
    <dataValidation type="decimal" allowBlank="1" showInputMessage="1" showErrorMessage="1" error="Wert muss zwischen 5 und 100 liegen" sqref="J54" xr:uid="{00000000-0002-0000-0500-000005000000}">
      <formula1>5</formula1>
      <formula2>100</formula2>
    </dataValidation>
    <dataValidation type="decimal" allowBlank="1" showInputMessage="1" showErrorMessage="1" error="Wert muss zwischen 0.5 und 1.0 liegen" sqref="J21 J25" xr:uid="{00000000-0002-0000-0500-000006000000}">
      <formula1>0.5</formula1>
      <formula2>1</formula2>
    </dataValidation>
    <dataValidation type="decimal" allowBlank="1" showInputMessage="1" showErrorMessage="1" error="Wert muss zwischen 200 und 800 liegen" sqref="I17" xr:uid="{00000000-0002-0000-0500-000007000000}">
      <formula1>200</formula1>
      <formula2>800</formula2>
    </dataValidation>
    <dataValidation type="decimal" allowBlank="1" showInputMessage="1" showErrorMessage="1" error="Wert muss zwischen 2.0 und 8.0 liegen" sqref="J38 J34 J29" xr:uid="{00000000-0002-0000-0500-000008000000}">
      <formula1>2</formula1>
      <formula2>8</formula2>
    </dataValidation>
    <dataValidation type="decimal" allowBlank="1" showErrorMessage="1" error="Wert muss zwischen 0.5 und 1.0 liegen" prompt="Wert muss zwischen 0.5 und 1.0 liegen" sqref="J61" xr:uid="{00000000-0002-0000-0500-000009000000}">
      <formula1>0.5</formula1>
      <formula2>1</formula2>
    </dataValidation>
    <dataValidation type="decimal" showInputMessage="1" showErrorMessage="1" error="Wert muss im Bereich 5 ... 100% liegen" sqref="C24 C20 C29 C60" xr:uid="{00000000-0002-0000-0500-00000A000000}">
      <formula1>0.05</formula1>
      <formula2>1</formula2>
    </dataValidation>
    <dataValidation type="decimal" allowBlank="1" showInputMessage="1" showErrorMessage="1" error="Wert muss zwischen 1.5 und 8.0 liegen" sqref="J46 J50" xr:uid="{00000000-0002-0000-0500-00000B000000}">
      <formula1>1.5</formula1>
      <formula2>8</formula2>
    </dataValidation>
    <dataValidation type="decimal" allowBlank="1" showInputMessage="1" showErrorMessage="1" error="Wert muss zwischen 0.3 und 1.5 liegen" sqref="J42" xr:uid="{00000000-0002-0000-0500-00000C000000}">
      <formula1>0.3</formula1>
      <formula2>1.5</formula2>
    </dataValidation>
    <dataValidation type="list" allowBlank="1" showInputMessage="1" showErrorMessage="1" sqref="A32:B32 A36:B36 A27:B27" xr:uid="{00000000-0002-0000-0500-00000D000000}">
      <formula1>$X$13:$X$17</formula1>
    </dataValidation>
    <dataValidation type="list" allowBlank="1" showInputMessage="1" showErrorMessage="1" sqref="A42:B42" xr:uid="{00000000-0002-0000-0500-00000E000000}">
      <formula1>$X$20:$X$21</formula1>
    </dataValidation>
    <dataValidation allowBlank="1" showErrorMessage="1" promptTitle="Biogas" prompt="Bei Wahl &quot;Erdgas&quot; kann der Biogas-Anteil (0..100%) eingegeben werden" sqref="A29:B29" xr:uid="{00000000-0002-0000-0500-00000F000000}"/>
    <dataValidation type="decimal" allowBlank="1" showInputMessage="1" showErrorMessage="1" errorTitle="Eingabe unzulässig" error="Wert muss im Bereich 0% ... 100% liegen" promptTitle="Biogas-Anteil Energie 360°" prompt="Erdgas von Energie 360° enthält standardmässig 25% Biogas" sqref="D61 D30 D21 D25" xr:uid="{00000000-0002-0000-0500-000010000000}">
      <formula1>0</formula1>
      <formula2>1</formula2>
    </dataValidation>
    <dataValidation showInputMessage="1" sqref="D20 D29 D24 D60" xr:uid="{00000000-0002-0000-0500-000011000000}"/>
    <dataValidation type="list" allowBlank="1" showInputMessage="1" showErrorMessage="1" promptTitle="Biogas" prompt="Bei Wahl &quot;Erdgas&quot; kann der Biogas-Anteil (0..100%) eingegeben werden" sqref="A20:B20 A24:B24 A60:B60" xr:uid="{00000000-0002-0000-0500-000012000000}">
      <formula1>$X$34:$X$38</formula1>
    </dataValidation>
  </dataValidations>
  <hyperlinks>
    <hyperlink ref="I2" location="Neu_in_Version" display="i" xr:uid="{00000000-0004-0000-0500-000000000000}"/>
  </hyperlinks>
  <printOptions horizontalCentered="1"/>
  <pageMargins left="0.59055118110236227" right="0.59055118110236227" top="0.39370078740157483" bottom="0.59055118110236227" header="0.39370078740157483" footer="0.31496062992125984"/>
  <pageSetup paperSize="9" scale="74" orientation="portrait" horizontalDpi="4294967294" r:id="rId1"/>
  <headerFooter scaleWithDoc="0">
    <oddFooter>&amp;L&amp;8Druckdatum  &amp;D&amp;C&amp;8&amp;F/&amp;A&amp;R&amp;8Seite &amp;P / &amp;N</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5" id="{7F5390B2-62A0-4C7F-8D06-6DC28E3F8642}">
            <xm:f>EV_Var1!$S$34&gt;0</xm:f>
            <x14:dxf>
              <fill>
                <patternFill>
                  <bgColor theme="9" tint="0.39994506668294322"/>
                </patternFill>
              </fill>
            </x14:dxf>
          </x14:cfRule>
          <xm:sqref>O55</xm:sqref>
        </x14:conditionalFormatting>
        <x14:conditionalFormatting xmlns:xm="http://schemas.microsoft.com/office/excel/2006/main">
          <x14:cfRule type="expression" priority="64" id="{071A4E47-A92A-47B8-9728-E41091A74C7E}">
            <xm:f>EV_Var1!$S$19&gt;0</xm:f>
            <x14:dxf>
              <fill>
                <patternFill>
                  <bgColor theme="9" tint="0.39994506668294322"/>
                </patternFill>
              </fill>
            </x14:dxf>
          </x14:cfRule>
          <xm:sqref>O55</xm:sqref>
        </x14:conditionalFormatting>
        <x14:conditionalFormatting xmlns:xm="http://schemas.microsoft.com/office/excel/2006/main">
          <x14:cfRule type="expression" priority="51" id="{162250CB-1833-4077-91EC-6A309A85689E}">
            <xm:f>EV_Var1!$S$34&gt;0</xm:f>
            <x14:dxf>
              <fill>
                <patternFill>
                  <bgColor theme="9" tint="0.39994506668294322"/>
                </patternFill>
              </fill>
            </x14:dxf>
          </x14:cfRule>
          <xm:sqref>O57</xm:sqref>
        </x14:conditionalFormatting>
        <x14:conditionalFormatting xmlns:xm="http://schemas.microsoft.com/office/excel/2006/main">
          <x14:cfRule type="expression" priority="50" id="{16683DD3-7849-4538-A7EC-5930D9828FD0}">
            <xm:f>EV_Var1!$S$19&gt;0</xm:f>
            <x14:dxf>
              <fill>
                <patternFill>
                  <bgColor theme="9" tint="0.39994506668294322"/>
                </patternFill>
              </fill>
            </x14:dxf>
          </x14:cfRule>
          <xm:sqref>O57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5" tint="0.39997558519241921"/>
  </sheetPr>
  <dimension ref="A1:AD93"/>
  <sheetViews>
    <sheetView showGridLines="0" showZeros="0" zoomScaleNormal="100" zoomScaleSheetLayoutView="100" workbookViewId="0">
      <selection activeCell="C7" sqref="C7:F7"/>
    </sheetView>
  </sheetViews>
  <sheetFormatPr baseColWidth="10" defaultColWidth="9.28515625" defaultRowHeight="12.75" x14ac:dyDescent="0.2"/>
  <cols>
    <col min="1" max="1" width="4" style="305" customWidth="1"/>
    <col min="2" max="2" width="9.140625" style="305" customWidth="1"/>
    <col min="3" max="3" width="2.5703125" style="305" customWidth="1"/>
    <col min="4" max="4" width="4.85546875" style="305" customWidth="1"/>
    <col min="5" max="5" width="9.7109375" style="304" customWidth="1"/>
    <col min="6" max="6" width="7.7109375" style="304" customWidth="1"/>
    <col min="7" max="7" width="10.140625" style="304" customWidth="1"/>
    <col min="8" max="9" width="6.42578125" style="304" customWidth="1"/>
    <col min="10" max="10" width="7" style="304" customWidth="1"/>
    <col min="11" max="12" width="2.5703125" style="304" customWidth="1"/>
    <col min="13" max="13" width="9.7109375" style="304" customWidth="1"/>
    <col min="14" max="14" width="7.7109375" style="304" customWidth="1"/>
    <col min="15" max="15" width="2.5703125" style="304" customWidth="1"/>
    <col min="16" max="16" width="3.7109375" style="304" customWidth="1"/>
    <col min="17" max="17" width="2.5703125" style="304" customWidth="1"/>
    <col min="18" max="18" width="7.7109375" style="304" customWidth="1"/>
    <col min="19" max="19" width="6.7109375" style="304" customWidth="1"/>
    <col min="20" max="20" width="2.5703125" style="304" customWidth="1"/>
    <col min="21" max="21" width="6.7109375" style="304" customWidth="1"/>
    <col min="22" max="22" width="7.7109375" style="304" customWidth="1"/>
    <col min="23" max="23" width="9.28515625" style="304"/>
    <col min="24" max="30" width="9.28515625" style="304" customWidth="1"/>
    <col min="31" max="16384" width="9.28515625" style="304"/>
  </cols>
  <sheetData>
    <row r="1" spans="1:28" s="1570" customFormat="1" ht="54" customHeight="1" x14ac:dyDescent="0.2">
      <c r="D1" s="1556"/>
      <c r="E1" s="1556"/>
      <c r="F1" s="1556"/>
      <c r="G1" s="1556"/>
      <c r="H1" s="67"/>
      <c r="I1" s="67"/>
      <c r="J1" s="67"/>
      <c r="K1" s="67"/>
      <c r="L1" s="67"/>
      <c r="M1" s="67"/>
      <c r="N1" s="67"/>
      <c r="O1" s="67"/>
      <c r="P1" s="67"/>
      <c r="Q1" s="67"/>
    </row>
    <row r="2" spans="1:28" s="1570" customFormat="1" ht="15" customHeight="1" x14ac:dyDescent="0.25">
      <c r="A2" s="1565" t="str">
        <f>CONCATENATE("Variantenvergleich Energiesysteme - Version ",Versionsinfo!$B$4)</f>
        <v>Variantenvergleich Energiesysteme - Version 3.0</v>
      </c>
      <c r="B2" s="716"/>
      <c r="C2" s="716"/>
      <c r="D2" s="717"/>
      <c r="E2" s="717"/>
      <c r="F2" s="717"/>
      <c r="G2" s="718"/>
      <c r="H2" s="651"/>
      <c r="I2" s="652" t="s">
        <v>586</v>
      </c>
      <c r="N2" s="67"/>
      <c r="O2" s="67"/>
      <c r="P2" s="67"/>
      <c r="Q2" s="67"/>
      <c r="V2" s="1376"/>
    </row>
    <row r="3" spans="1:28" s="425" customFormat="1" ht="12.75" customHeight="1" x14ac:dyDescent="0.2">
      <c r="A3" s="1557" t="s">
        <v>781</v>
      </c>
      <c r="D3" s="427"/>
      <c r="E3" s="427"/>
      <c r="F3" s="427"/>
      <c r="G3" s="427"/>
      <c r="J3" s="428"/>
      <c r="K3" s="428"/>
      <c r="L3" s="428"/>
      <c r="M3" s="429"/>
      <c r="N3" s="903">
        <f>Projektdaten!$C$8</f>
        <v>0</v>
      </c>
      <c r="O3" s="903"/>
      <c r="P3" s="903"/>
      <c r="Q3" s="903"/>
      <c r="R3" s="903"/>
      <c r="S3" s="903"/>
      <c r="T3" s="903"/>
      <c r="U3" s="906"/>
      <c r="V3" s="428"/>
    </row>
    <row r="4" spans="1:28" s="425" customFormat="1" ht="16.5" customHeight="1" x14ac:dyDescent="0.2">
      <c r="A4" s="430"/>
      <c r="N4" s="903">
        <f>Projektdaten!$J$8</f>
        <v>0</v>
      </c>
      <c r="O4" s="903"/>
      <c r="P4" s="904"/>
      <c r="Q4" s="905"/>
      <c r="R4" s="905"/>
      <c r="S4" s="905"/>
      <c r="T4" s="905"/>
      <c r="U4" s="907"/>
    </row>
    <row r="5" spans="1:28" s="432" customFormat="1" ht="16.5" customHeight="1" x14ac:dyDescent="0.25">
      <c r="A5" s="1566" t="s">
        <v>33</v>
      </c>
      <c r="B5" s="431"/>
      <c r="C5" s="431"/>
      <c r="D5" s="431"/>
      <c r="F5" s="1566" t="s">
        <v>18</v>
      </c>
      <c r="H5" s="433"/>
      <c r="I5" s="433"/>
      <c r="J5" s="600"/>
      <c r="K5" s="600"/>
      <c r="L5" s="600"/>
      <c r="M5" s="600"/>
      <c r="N5" s="1435" t="str">
        <f>CONCATENATE("Version: ",Projektdaten!$F$13)</f>
        <v>Version: 1</v>
      </c>
      <c r="O5" s="1435"/>
      <c r="P5" s="1435"/>
      <c r="Q5" s="1435"/>
      <c r="R5" s="1435"/>
      <c r="S5" s="2199">
        <f ca="1">Projektdaten!$F$15</f>
        <v>45372</v>
      </c>
      <c r="T5" s="2199"/>
      <c r="U5" s="2199"/>
    </row>
    <row r="6" spans="1:28" s="1570" customFormat="1" ht="13.5" customHeight="1" x14ac:dyDescent="0.2"/>
    <row r="7" spans="1:28" s="425" customFormat="1" ht="15" customHeight="1" x14ac:dyDescent="0.2">
      <c r="A7" s="434"/>
      <c r="B7" s="1567" t="s">
        <v>472</v>
      </c>
      <c r="C7" s="2276"/>
      <c r="D7" s="2276"/>
      <c r="E7" s="2276"/>
      <c r="F7" s="2276"/>
      <c r="G7" s="436"/>
      <c r="H7" s="436"/>
      <c r="I7" s="1568" t="s">
        <v>782</v>
      </c>
      <c r="J7" s="2282"/>
      <c r="K7" s="2283"/>
      <c r="L7" s="2283"/>
      <c r="M7" s="2283"/>
      <c r="N7" s="2283"/>
      <c r="O7" s="2283"/>
      <c r="P7" s="2283"/>
      <c r="Q7" s="2283"/>
      <c r="R7" s="2283"/>
      <c r="S7" s="2283"/>
      <c r="T7" s="2283"/>
      <c r="U7" s="437"/>
      <c r="W7" s="2281" t="s">
        <v>162</v>
      </c>
      <c r="X7" s="2281"/>
      <c r="Y7" s="2281"/>
      <c r="Z7" s="2281"/>
      <c r="AA7" s="2281"/>
      <c r="AB7" s="2281"/>
    </row>
    <row r="8" spans="1:28" s="309" customFormat="1" ht="13.5" customHeight="1" x14ac:dyDescent="0.2">
      <c r="A8" s="308"/>
      <c r="B8" s="308"/>
      <c r="C8" s="308"/>
      <c r="D8" s="308"/>
    </row>
    <row r="9" spans="1:28" s="309" customFormat="1" ht="12.75" customHeight="1" x14ac:dyDescent="0.2">
      <c r="A9" s="2259" t="s">
        <v>726</v>
      </c>
      <c r="B9" s="2259"/>
      <c r="C9" s="308"/>
      <c r="D9" s="308"/>
      <c r="E9" s="1471" t="s">
        <v>120</v>
      </c>
      <c r="G9" s="2317" t="s">
        <v>198</v>
      </c>
      <c r="H9" s="2317"/>
      <c r="I9" s="2317"/>
      <c r="J9" s="2317"/>
      <c r="M9" s="1471" t="s">
        <v>121</v>
      </c>
      <c r="S9" s="2259" t="s">
        <v>727</v>
      </c>
      <c r="T9" s="2259"/>
      <c r="U9" s="2259"/>
    </row>
    <row r="10" spans="1:28" s="309" customFormat="1" ht="6" customHeight="1" x14ac:dyDescent="0.2">
      <c r="A10" s="1469"/>
      <c r="B10" s="306"/>
      <c r="C10" s="308"/>
      <c r="D10" s="308"/>
      <c r="E10" s="307"/>
      <c r="G10" s="307"/>
      <c r="H10" s="307"/>
      <c r="I10" s="307"/>
      <c r="J10" s="307"/>
      <c r="M10" s="307"/>
      <c r="N10" s="311"/>
      <c r="O10" s="320"/>
      <c r="Q10" s="308"/>
      <c r="R10" s="308"/>
      <c r="S10" s="307"/>
      <c r="T10" s="307"/>
      <c r="U10" s="307"/>
    </row>
    <row r="11" spans="1:28" s="309" customFormat="1" ht="12.75" customHeight="1" x14ac:dyDescent="0.2">
      <c r="A11" s="499" t="s">
        <v>35</v>
      </c>
      <c r="B11" s="312"/>
      <c r="C11" s="312"/>
      <c r="D11" s="312"/>
      <c r="E11" s="313">
        <f>M11</f>
        <v>0</v>
      </c>
      <c r="F11" s="314" t="s">
        <v>4</v>
      </c>
      <c r="G11" s="315"/>
      <c r="H11" s="500" t="s">
        <v>235</v>
      </c>
      <c r="I11" s="316"/>
      <c r="J11" s="317" t="s">
        <v>51</v>
      </c>
      <c r="K11" s="318"/>
      <c r="L11" s="318"/>
      <c r="M11" s="319"/>
      <c r="N11" s="318" t="s">
        <v>4</v>
      </c>
      <c r="O11" s="322"/>
      <c r="P11" s="311"/>
      <c r="Q11" s="311"/>
      <c r="R11" s="311"/>
      <c r="S11" s="307"/>
      <c r="T11" s="307"/>
      <c r="U11" s="307"/>
    </row>
    <row r="12" spans="1:28" s="309" customFormat="1" ht="12.75" customHeight="1" x14ac:dyDescent="0.2">
      <c r="A12" s="306"/>
      <c r="B12" s="306"/>
      <c r="C12" s="321"/>
      <c r="D12" s="321"/>
      <c r="E12" s="307"/>
      <c r="F12" s="311"/>
      <c r="G12" s="307"/>
      <c r="H12" s="307"/>
      <c r="I12" s="307"/>
      <c r="J12" s="307"/>
      <c r="K12" s="311"/>
      <c r="L12" s="311"/>
      <c r="M12" s="307"/>
      <c r="N12" s="311"/>
      <c r="O12" s="322"/>
      <c r="P12" s="311"/>
      <c r="Q12" s="311"/>
      <c r="R12" s="311"/>
      <c r="S12" s="307"/>
      <c r="T12" s="307"/>
      <c r="U12" s="307"/>
      <c r="X12" s="886" t="s">
        <v>451</v>
      </c>
      <c r="Y12" s="887"/>
      <c r="Z12" s="887"/>
      <c r="AA12" s="888"/>
    </row>
    <row r="13" spans="1:28" s="309" customFormat="1" ht="12.75" customHeight="1" x14ac:dyDescent="0.2">
      <c r="A13" s="654" t="str">
        <f>Grunddaten!C55</f>
        <v>Wärmeverbund XY</v>
      </c>
      <c r="B13" s="312"/>
      <c r="C13" s="312"/>
      <c r="D13" s="312"/>
      <c r="E13" s="313">
        <f>M13</f>
        <v>0</v>
      </c>
      <c r="F13" s="314" t="s">
        <v>4</v>
      </c>
      <c r="G13" s="315"/>
      <c r="H13" s="500" t="s">
        <v>235</v>
      </c>
      <c r="I13" s="316"/>
      <c r="J13" s="317" t="s">
        <v>51</v>
      </c>
      <c r="K13" s="318"/>
      <c r="L13" s="318"/>
      <c r="M13" s="319"/>
      <c r="N13" s="318" t="s">
        <v>4</v>
      </c>
      <c r="O13" s="322"/>
      <c r="P13" s="311"/>
      <c r="Q13" s="311"/>
      <c r="R13" s="311"/>
      <c r="S13" s="307"/>
      <c r="T13" s="307"/>
      <c r="U13" s="307"/>
      <c r="X13" s="891" t="s">
        <v>67</v>
      </c>
      <c r="Y13" s="889"/>
      <c r="Z13" s="889"/>
      <c r="AA13" s="890"/>
    </row>
    <row r="14" spans="1:28" s="309" customFormat="1" ht="12.75" customHeight="1" thickBot="1" x14ac:dyDescent="0.25">
      <c r="A14" s="306"/>
      <c r="B14" s="306"/>
      <c r="C14" s="321"/>
      <c r="D14" s="321"/>
      <c r="E14" s="307"/>
      <c r="F14" s="311"/>
      <c r="G14" s="307"/>
      <c r="H14" s="307"/>
      <c r="I14" s="307"/>
      <c r="J14" s="307"/>
      <c r="K14" s="311"/>
      <c r="L14" s="311"/>
      <c r="M14" s="307"/>
      <c r="N14" s="311"/>
      <c r="O14" s="322"/>
      <c r="P14" s="631"/>
      <c r="Q14" s="631"/>
      <c r="R14" s="311"/>
      <c r="S14" s="307"/>
      <c r="T14" s="307"/>
      <c r="U14" s="307"/>
      <c r="X14" s="892" t="s">
        <v>68</v>
      </c>
      <c r="Y14" s="884"/>
      <c r="Z14" s="884"/>
      <c r="AA14" s="893"/>
    </row>
    <row r="15" spans="1:28" s="309" customFormat="1" ht="12.75" customHeight="1" x14ac:dyDescent="0.2">
      <c r="A15" s="306"/>
      <c r="B15" s="306"/>
      <c r="C15" s="321"/>
      <c r="D15" s="321"/>
      <c r="E15" s="307"/>
      <c r="F15" s="311"/>
      <c r="G15" s="2299" t="s">
        <v>72</v>
      </c>
      <c r="H15" s="2300"/>
      <c r="I15" s="2300"/>
      <c r="J15" s="2301"/>
      <c r="K15" s="407"/>
      <c r="L15" s="407"/>
      <c r="M15" s="307"/>
      <c r="N15" s="311"/>
      <c r="O15" s="322"/>
      <c r="P15" s="2261" t="s">
        <v>528</v>
      </c>
      <c r="Q15" s="2262"/>
      <c r="R15" s="311"/>
      <c r="S15" s="2299" t="s">
        <v>66</v>
      </c>
      <c r="T15" s="2300"/>
      <c r="U15" s="2301"/>
      <c r="X15" s="892" t="s">
        <v>69</v>
      </c>
      <c r="Y15" s="884"/>
      <c r="Z15" s="884"/>
      <c r="AA15" s="893"/>
    </row>
    <row r="16" spans="1:28" s="309" customFormat="1" ht="12.75" customHeight="1" x14ac:dyDescent="0.2">
      <c r="A16" s="313" t="s">
        <v>76</v>
      </c>
      <c r="B16" s="313"/>
      <c r="C16" s="313"/>
      <c r="D16" s="313"/>
      <c r="E16" s="313"/>
      <c r="F16" s="323"/>
      <c r="G16" s="324" t="s">
        <v>73</v>
      </c>
      <c r="H16" s="2284"/>
      <c r="I16" s="2258"/>
      <c r="J16" s="325" t="s">
        <v>75</v>
      </c>
      <c r="K16" s="313"/>
      <c r="L16" s="313"/>
      <c r="M16" s="313">
        <f>H16*IF(ISBLANK(I17),H17,I17)</f>
        <v>0</v>
      </c>
      <c r="N16" s="318" t="s">
        <v>4</v>
      </c>
      <c r="O16" s="322"/>
      <c r="P16" s="2263" t="s">
        <v>527</v>
      </c>
      <c r="Q16" s="2264"/>
      <c r="R16" s="311"/>
      <c r="S16" s="2302"/>
      <c r="T16" s="2303"/>
      <c r="U16" s="2304"/>
      <c r="X16" s="892" t="s">
        <v>78</v>
      </c>
      <c r="Y16" s="884"/>
      <c r="Z16" s="884"/>
      <c r="AA16" s="893"/>
    </row>
    <row r="17" spans="1:27" s="309" customFormat="1" ht="12.75" customHeight="1" thickBot="1" x14ac:dyDescent="0.25">
      <c r="A17" s="306"/>
      <c r="B17" s="306"/>
      <c r="C17" s="321"/>
      <c r="D17" s="321"/>
      <c r="E17" s="1472"/>
      <c r="F17" s="311"/>
      <c r="G17" s="326" t="s">
        <v>74</v>
      </c>
      <c r="H17" s="359">
        <f>IF(ISBLANK(H16),0,Grunddaten!H122)</f>
        <v>0</v>
      </c>
      <c r="I17" s="328"/>
      <c r="J17" s="329" t="s">
        <v>77</v>
      </c>
      <c r="K17" s="330"/>
      <c r="L17" s="330"/>
      <c r="M17" s="1472"/>
      <c r="N17" s="311"/>
      <c r="O17" s="331"/>
      <c r="P17" s="2260"/>
      <c r="Q17" s="2260"/>
      <c r="R17" s="323"/>
      <c r="S17" s="2305"/>
      <c r="T17" s="2306"/>
      <c r="U17" s="2307"/>
      <c r="X17" s="894" t="str">
        <f>Grunddaten!$C$55</f>
        <v>Wärmeverbund XY</v>
      </c>
      <c r="Y17" s="895"/>
      <c r="Z17" s="895"/>
      <c r="AA17" s="896"/>
    </row>
    <row r="18" spans="1:27" s="309" customFormat="1" ht="12.75" customHeight="1" thickBot="1" x14ac:dyDescent="0.25">
      <c r="A18" s="306"/>
      <c r="B18" s="306"/>
      <c r="C18" s="321"/>
      <c r="D18" s="321"/>
      <c r="E18" s="307"/>
      <c r="F18" s="311"/>
      <c r="G18" s="307"/>
      <c r="H18" s="307"/>
      <c r="I18" s="307"/>
      <c r="J18" s="307"/>
      <c r="K18" s="311"/>
      <c r="L18" s="311"/>
      <c r="M18" s="307"/>
      <c r="N18" s="311"/>
      <c r="O18" s="322"/>
      <c r="P18" s="2267" t="s">
        <v>555</v>
      </c>
      <c r="Q18" s="2268"/>
      <c r="R18" s="311"/>
      <c r="S18" s="611" t="s">
        <v>70</v>
      </c>
      <c r="T18" s="333"/>
      <c r="U18" s="334"/>
    </row>
    <row r="19" spans="1:27" s="309" customFormat="1" ht="12.75" customHeight="1" x14ac:dyDescent="0.2">
      <c r="A19" s="435"/>
      <c r="B19" s="435"/>
      <c r="C19" s="450"/>
      <c r="D19" s="450"/>
      <c r="E19" s="436"/>
      <c r="F19" s="441"/>
      <c r="G19" s="2299" t="s">
        <v>47</v>
      </c>
      <c r="H19" s="2300"/>
      <c r="I19" s="2300"/>
      <c r="J19" s="2301"/>
      <c r="K19" s="407"/>
      <c r="L19" s="407"/>
      <c r="M19" s="307"/>
      <c r="N19" s="311"/>
      <c r="O19" s="322"/>
      <c r="P19" s="441"/>
      <c r="Q19" s="441"/>
      <c r="R19" s="311"/>
      <c r="S19" s="2250">
        <f>Projektdaten!K29</f>
        <v>0</v>
      </c>
      <c r="T19" s="2251"/>
      <c r="U19" s="610" t="s">
        <v>4</v>
      </c>
      <c r="X19" s="886" t="s">
        <v>450</v>
      </c>
      <c r="Y19" s="887"/>
      <c r="Z19" s="887"/>
      <c r="AA19" s="888"/>
    </row>
    <row r="20" spans="1:27" s="309" customFormat="1" ht="12.75" customHeight="1" x14ac:dyDescent="0.2">
      <c r="A20" s="2252"/>
      <c r="B20" s="2252"/>
      <c r="C20" s="501"/>
      <c r="D20" s="501">
        <f>IF(A20=$X$36,1-D21,1)</f>
        <v>1</v>
      </c>
      <c r="E20" s="443">
        <f>IF(M20,M20/IF(ISBLANK(J21),I21,J21)*D20,0)</f>
        <v>0</v>
      </c>
      <c r="F20" s="448" t="s">
        <v>4</v>
      </c>
      <c r="G20" s="324" t="s">
        <v>50</v>
      </c>
      <c r="H20" s="2258"/>
      <c r="I20" s="2258"/>
      <c r="J20" s="336" t="s">
        <v>51</v>
      </c>
      <c r="K20" s="313"/>
      <c r="L20" s="313"/>
      <c r="M20" s="319"/>
      <c r="N20" s="318" t="s">
        <v>4</v>
      </c>
      <c r="O20" s="322"/>
      <c r="P20" s="441"/>
      <c r="Q20" s="441"/>
      <c r="R20" s="311"/>
      <c r="S20" s="606" t="s">
        <v>526</v>
      </c>
      <c r="T20" s="607"/>
      <c r="U20" s="608"/>
      <c r="X20" s="891" t="s">
        <v>35</v>
      </c>
      <c r="Y20" s="889"/>
      <c r="Z20" s="889"/>
      <c r="AA20" s="890"/>
    </row>
    <row r="21" spans="1:27" s="309" customFormat="1" ht="12.75" customHeight="1" thickBot="1" x14ac:dyDescent="0.25">
      <c r="A21" s="2269" t="str">
        <f>IF(A20=$X$36,Berechnungen!$A$34,"")</f>
        <v/>
      </c>
      <c r="B21" s="2269"/>
      <c r="C21" s="496"/>
      <c r="D21" s="1591">
        <v>0.25</v>
      </c>
      <c r="E21" s="1438">
        <f>IF(AND(M20&gt;0,A20=$X$36),M20/IF(ISBLANK(J21),I21,J21)*D21,0)</f>
        <v>0</v>
      </c>
      <c r="F21" s="441"/>
      <c r="G21" s="337"/>
      <c r="H21" s="338" t="s">
        <v>46</v>
      </c>
      <c r="I21" s="327">
        <f>IF(ISBLANK(H20),0,IFERROR(HLOOKUP(A20,Grunddaten!H121:Y125,4,FALSE),Grunddaten!H124))</f>
        <v>0</v>
      </c>
      <c r="J21" s="339"/>
      <c r="K21" s="330"/>
      <c r="L21" s="330"/>
      <c r="M21" s="1472"/>
      <c r="N21" s="311"/>
      <c r="O21" s="322"/>
      <c r="P21" s="441"/>
      <c r="Q21" s="441"/>
      <c r="R21" s="311"/>
      <c r="S21" s="2253">
        <f>S19*(1+P17)</f>
        <v>0</v>
      </c>
      <c r="T21" s="2254"/>
      <c r="U21" s="463" t="s">
        <v>4</v>
      </c>
      <c r="X21" s="894" t="s">
        <v>452</v>
      </c>
      <c r="Y21" s="895"/>
      <c r="Z21" s="895"/>
      <c r="AA21" s="896"/>
    </row>
    <row r="22" spans="1:27" s="309" customFormat="1" ht="12.75" customHeight="1" thickBot="1" x14ac:dyDescent="0.25">
      <c r="A22" s="435"/>
      <c r="B22" s="435"/>
      <c r="C22" s="450"/>
      <c r="D22" s="450"/>
      <c r="E22" s="436"/>
      <c r="F22" s="441"/>
      <c r="G22" s="307"/>
      <c r="H22" s="307"/>
      <c r="I22" s="307"/>
      <c r="J22" s="307"/>
      <c r="K22" s="311"/>
      <c r="L22" s="311"/>
      <c r="M22" s="307"/>
      <c r="N22" s="311"/>
      <c r="O22" s="322"/>
      <c r="P22" s="441"/>
      <c r="Q22" s="441"/>
      <c r="R22" s="311"/>
      <c r="S22" s="307"/>
      <c r="T22" s="307"/>
      <c r="U22" s="307"/>
      <c r="X22" s="343"/>
      <c r="Y22" s="343"/>
      <c r="Z22" s="343"/>
      <c r="AA22" s="343"/>
    </row>
    <row r="23" spans="1:27" s="309" customFormat="1" ht="12.75" customHeight="1" x14ac:dyDescent="0.2">
      <c r="A23" s="435"/>
      <c r="B23" s="435"/>
      <c r="C23" s="450"/>
      <c r="D23" s="450"/>
      <c r="E23" s="436"/>
      <c r="F23" s="441"/>
      <c r="G23" s="2299" t="s">
        <v>48</v>
      </c>
      <c r="H23" s="2300"/>
      <c r="I23" s="2300"/>
      <c r="J23" s="2301"/>
      <c r="K23" s="407"/>
      <c r="L23" s="407"/>
      <c r="M23" s="307"/>
      <c r="N23" s="311"/>
      <c r="O23" s="322"/>
      <c r="P23" s="441"/>
      <c r="Q23" s="441"/>
      <c r="R23" s="311"/>
      <c r="S23" s="307"/>
      <c r="T23" s="307"/>
      <c r="U23" s="307"/>
      <c r="X23" s="937" t="s">
        <v>515</v>
      </c>
      <c r="Y23" s="938"/>
      <c r="Z23" s="938"/>
      <c r="AA23" s="939"/>
    </row>
    <row r="24" spans="1:27" s="309" customFormat="1" ht="12.75" customHeight="1" x14ac:dyDescent="0.2">
      <c r="A24" s="2252"/>
      <c r="B24" s="2252"/>
      <c r="C24" s="501"/>
      <c r="D24" s="501">
        <f>IF(A24=$X$36,1-D25,1)</f>
        <v>1</v>
      </c>
      <c r="E24" s="443">
        <f>IF(M24,M24/IF(ISBLANK(J25),I25,J25)*D24,0)</f>
        <v>0</v>
      </c>
      <c r="F24" s="448" t="s">
        <v>4</v>
      </c>
      <c r="G24" s="324" t="s">
        <v>50</v>
      </c>
      <c r="H24" s="2258"/>
      <c r="I24" s="2258"/>
      <c r="J24" s="336" t="s">
        <v>51</v>
      </c>
      <c r="K24" s="313"/>
      <c r="L24" s="313"/>
      <c r="M24" s="319"/>
      <c r="N24" s="318" t="s">
        <v>4</v>
      </c>
      <c r="O24" s="322"/>
      <c r="P24" s="441"/>
      <c r="Q24" s="441"/>
      <c r="R24" s="311"/>
      <c r="S24" s="307"/>
      <c r="T24" s="307"/>
      <c r="U24" s="307"/>
      <c r="X24" s="940" t="str">
        <f>G27</f>
        <v>Gasmotorwärmepumpe</v>
      </c>
      <c r="Y24" s="941"/>
      <c r="Z24" s="941"/>
      <c r="AA24" s="942">
        <f>ROUND(IF(E27=0,0,H28*(1-1/IF(ISBLANK(J29),I29,J29))),0)</f>
        <v>0</v>
      </c>
    </row>
    <row r="25" spans="1:27" s="309" customFormat="1" ht="12.75" customHeight="1" thickBot="1" x14ac:dyDescent="0.25">
      <c r="A25" s="2269" t="str">
        <f>IF(A24=$X$36,Berechnungen!$A$34,"")</f>
        <v/>
      </c>
      <c r="B25" s="2269"/>
      <c r="C25" s="496"/>
      <c r="D25" s="1591">
        <v>0.25</v>
      </c>
      <c r="E25" s="1438">
        <f>IF(AND(M24&gt;0,A24=$X$36),M24/IF(ISBLANK(J25),I25,J25)*D25,0)</f>
        <v>0</v>
      </c>
      <c r="F25" s="441"/>
      <c r="G25" s="337"/>
      <c r="H25" s="338" t="s">
        <v>46</v>
      </c>
      <c r="I25" s="327">
        <f>IF(ISBLANK(H24),0,IFERROR(HLOOKUP(A24,Grunddaten!H121:Y125,4,FALSE),Grunddaten!H124))</f>
        <v>0</v>
      </c>
      <c r="J25" s="339"/>
      <c r="K25" s="330"/>
      <c r="L25" s="330"/>
      <c r="M25" s="1472"/>
      <c r="N25" s="311"/>
      <c r="O25" s="322"/>
      <c r="P25" s="441"/>
      <c r="Q25" s="441"/>
      <c r="R25" s="311"/>
      <c r="S25" s="307"/>
      <c r="T25" s="307"/>
      <c r="U25" s="307"/>
      <c r="X25" s="943" t="str">
        <f>G32</f>
        <v>Wärmepumpe 1</v>
      </c>
      <c r="Y25" s="885"/>
      <c r="Z25" s="885"/>
      <c r="AA25" s="944">
        <f>ROUND(IF(E32=0,0,H33*(1-1/IF(ISBLANK(J34),I34,J34))),0)</f>
        <v>0</v>
      </c>
    </row>
    <row r="26" spans="1:27" s="309" customFormat="1" ht="12.75" customHeight="1" thickBot="1" x14ac:dyDescent="0.25">
      <c r="A26" s="1445"/>
      <c r="B26" s="1445"/>
      <c r="C26" s="340"/>
      <c r="D26" s="340"/>
      <c r="E26" s="1439"/>
      <c r="F26" s="441"/>
      <c r="G26" s="307"/>
      <c r="H26" s="307"/>
      <c r="I26" s="307"/>
      <c r="J26" s="307"/>
      <c r="K26" s="330"/>
      <c r="L26" s="330"/>
      <c r="M26" s="1472"/>
      <c r="N26" s="311"/>
      <c r="O26" s="322"/>
      <c r="P26" s="441"/>
      <c r="Q26" s="441"/>
      <c r="R26" s="311"/>
      <c r="S26" s="307"/>
      <c r="T26" s="307"/>
      <c r="U26" s="307"/>
      <c r="X26" s="945" t="str">
        <f>G36</f>
        <v>Wärmepumpe 2</v>
      </c>
      <c r="Y26" s="946"/>
      <c r="Z26" s="946"/>
      <c r="AA26" s="947">
        <f>ROUND(IF(E36=0,0,H37*(1-1/IF(ISBLANK(J38),I38,J38))),0)</f>
        <v>0</v>
      </c>
    </row>
    <row r="27" spans="1:27" s="309" customFormat="1" ht="12.75" customHeight="1" x14ac:dyDescent="0.2">
      <c r="A27" s="2252"/>
      <c r="B27" s="2252"/>
      <c r="C27" s="467"/>
      <c r="D27" s="577"/>
      <c r="E27" s="468">
        <f>M28-E29-E30</f>
        <v>0</v>
      </c>
      <c r="F27" s="448" t="s">
        <v>4</v>
      </c>
      <c r="G27" s="2299" t="s">
        <v>244</v>
      </c>
      <c r="H27" s="2300"/>
      <c r="I27" s="2300"/>
      <c r="J27" s="2301"/>
      <c r="K27" s="330"/>
      <c r="L27" s="330"/>
      <c r="M27" s="1472"/>
      <c r="N27" s="311"/>
      <c r="O27" s="322"/>
      <c r="P27" s="441"/>
      <c r="Q27" s="441"/>
      <c r="R27" s="311"/>
      <c r="S27" s="307"/>
      <c r="T27" s="307"/>
      <c r="U27" s="307"/>
    </row>
    <row r="28" spans="1:27" s="309" customFormat="1" ht="12.75" customHeight="1" x14ac:dyDescent="0.2">
      <c r="A28" s="1445"/>
      <c r="B28" s="1445"/>
      <c r="C28" s="340"/>
      <c r="D28" s="340"/>
      <c r="E28" s="1439"/>
      <c r="F28" s="441"/>
      <c r="G28" s="324" t="s">
        <v>50</v>
      </c>
      <c r="H28" s="2258"/>
      <c r="I28" s="2258"/>
      <c r="J28" s="336" t="s">
        <v>51</v>
      </c>
      <c r="K28" s="313"/>
      <c r="L28" s="313"/>
      <c r="M28" s="319"/>
      <c r="N28" s="318" t="s">
        <v>4</v>
      </c>
      <c r="O28" s="322"/>
      <c r="P28" s="441"/>
      <c r="Q28" s="441"/>
      <c r="R28" s="311"/>
      <c r="S28" s="307"/>
      <c r="T28" s="307"/>
      <c r="U28" s="307"/>
      <c r="X28" s="937" t="s">
        <v>517</v>
      </c>
      <c r="Y28" s="938"/>
      <c r="Z28" s="938"/>
      <c r="AA28" s="939"/>
    </row>
    <row r="29" spans="1:27" s="309" customFormat="1" ht="12.75" customHeight="1" thickBot="1" x14ac:dyDescent="0.25">
      <c r="A29" s="2280" t="str">
        <f>X36</f>
        <v>Erdgas</v>
      </c>
      <c r="B29" s="2280"/>
      <c r="C29" s="501"/>
      <c r="D29" s="501">
        <f>IF(A29=$X$36,1-D30,1)</f>
        <v>0.75</v>
      </c>
      <c r="E29" s="443">
        <f>IF(M28,M28/IF(ISBLANK(J29),I29,J29)*D29,0)</f>
        <v>0</v>
      </c>
      <c r="F29" s="448" t="s">
        <v>4</v>
      </c>
      <c r="G29" s="337"/>
      <c r="H29" s="338" t="s">
        <v>65</v>
      </c>
      <c r="I29" s="327">
        <f>IF(ISBLANK(H28),0,IFERROR(HLOOKUP(A27,Grunddaten!H126:Y130,2,FALSE),Grunddaten!H127))</f>
        <v>0</v>
      </c>
      <c r="J29" s="339"/>
      <c r="K29" s="311"/>
      <c r="L29" s="311"/>
      <c r="M29" s="307"/>
      <c r="N29" s="311"/>
      <c r="O29" s="322"/>
      <c r="P29" s="441"/>
      <c r="Q29" s="441"/>
      <c r="R29" s="311"/>
      <c r="S29" s="307"/>
      <c r="T29" s="1480"/>
      <c r="U29" s="1480"/>
      <c r="V29" s="353"/>
      <c r="X29" s="940" t="s">
        <v>536</v>
      </c>
      <c r="Y29" s="941"/>
      <c r="Z29" s="941"/>
      <c r="AA29" s="942">
        <f>I11</f>
        <v>0</v>
      </c>
    </row>
    <row r="30" spans="1:27" s="309" customFormat="1" ht="12.75" customHeight="1" x14ac:dyDescent="0.2">
      <c r="A30" s="2269" t="str">
        <f>IF(A29=$X$36,Berechnungen!$A$34,"")</f>
        <v>Biogas</v>
      </c>
      <c r="B30" s="2269"/>
      <c r="C30" s="496"/>
      <c r="D30" s="1591">
        <v>0.25</v>
      </c>
      <c r="E30" s="1438">
        <f>IF(AND(M28&gt;0,A29=$X$36),M28/IF(ISBLANK(J29),I29,J29)*D30,0)</f>
        <v>0</v>
      </c>
      <c r="F30" s="441"/>
      <c r="G30" s="307"/>
      <c r="H30" s="307"/>
      <c r="I30" s="307"/>
      <c r="J30" s="307"/>
      <c r="K30" s="311"/>
      <c r="L30" s="311"/>
      <c r="M30" s="307"/>
      <c r="N30" s="311"/>
      <c r="O30" s="322"/>
      <c r="P30" s="2261" t="s">
        <v>528</v>
      </c>
      <c r="Q30" s="2265"/>
      <c r="R30" s="311"/>
      <c r="S30" s="2299" t="s">
        <v>529</v>
      </c>
      <c r="T30" s="2300"/>
      <c r="U30" s="2301"/>
      <c r="X30" s="945" t="s">
        <v>245</v>
      </c>
      <c r="Y30" s="946"/>
      <c r="Z30" s="946"/>
      <c r="AA30" s="947">
        <f>IF(AND(H41&gt;0,A42=X20),H41/IF(J42,J42,I42),0)</f>
        <v>0</v>
      </c>
    </row>
    <row r="31" spans="1:27" s="309" customFormat="1" ht="12.75" customHeight="1" thickBot="1" x14ac:dyDescent="0.25">
      <c r="A31" s="1445"/>
      <c r="B31" s="1445"/>
      <c r="C31" s="340"/>
      <c r="D31" s="340"/>
      <c r="E31" s="1473"/>
      <c r="F31" s="311"/>
      <c r="G31" s="307"/>
      <c r="H31" s="307"/>
      <c r="I31" s="307"/>
      <c r="J31" s="307"/>
      <c r="K31" s="311"/>
      <c r="L31" s="311"/>
      <c r="M31" s="307"/>
      <c r="N31" s="311"/>
      <c r="O31" s="322"/>
      <c r="P31" s="2263" t="s">
        <v>527</v>
      </c>
      <c r="Q31" s="2264"/>
      <c r="R31" s="311"/>
      <c r="S31" s="2302"/>
      <c r="T31" s="2303"/>
      <c r="U31" s="2304"/>
      <c r="X31" s="948" t="s">
        <v>518</v>
      </c>
      <c r="Y31" s="938"/>
      <c r="Z31" s="938"/>
      <c r="AA31" s="949">
        <f>ROUNDUP(SUM(AA29:AA30),-1)</f>
        <v>0</v>
      </c>
    </row>
    <row r="32" spans="1:27" s="309" customFormat="1" ht="12.75" customHeight="1" x14ac:dyDescent="0.2">
      <c r="A32" s="2252"/>
      <c r="B32" s="2252"/>
      <c r="C32" s="341"/>
      <c r="D32" s="341"/>
      <c r="E32" s="342">
        <f>M33-E34</f>
        <v>0</v>
      </c>
      <c r="F32" s="318" t="s">
        <v>4</v>
      </c>
      <c r="G32" s="2299" t="s">
        <v>64</v>
      </c>
      <c r="H32" s="2300"/>
      <c r="I32" s="2300"/>
      <c r="J32" s="2301"/>
      <c r="K32" s="407"/>
      <c r="L32" s="407"/>
      <c r="M32" s="307"/>
      <c r="N32" s="311"/>
      <c r="O32" s="331"/>
      <c r="P32" s="2260"/>
      <c r="Q32" s="2260"/>
      <c r="R32" s="323"/>
      <c r="S32" s="2305"/>
      <c r="T32" s="2306"/>
      <c r="U32" s="2307"/>
    </row>
    <row r="33" spans="1:27" s="309" customFormat="1" ht="12.75" customHeight="1" x14ac:dyDescent="0.2">
      <c r="A33" s="306"/>
      <c r="B33" s="306"/>
      <c r="C33" s="321"/>
      <c r="D33" s="321"/>
      <c r="E33" s="1474"/>
      <c r="F33" s="311"/>
      <c r="G33" s="324" t="s">
        <v>50</v>
      </c>
      <c r="H33" s="2258"/>
      <c r="I33" s="2258"/>
      <c r="J33" s="336" t="s">
        <v>51</v>
      </c>
      <c r="K33" s="313"/>
      <c r="L33" s="313"/>
      <c r="M33" s="319"/>
      <c r="N33" s="318" t="s">
        <v>4</v>
      </c>
      <c r="O33" s="322"/>
      <c r="P33" s="2267" t="s">
        <v>555</v>
      </c>
      <c r="Q33" s="2268"/>
      <c r="R33" s="311"/>
      <c r="S33" s="611" t="s">
        <v>70</v>
      </c>
      <c r="T33" s="333"/>
      <c r="U33" s="334"/>
      <c r="X33" s="886" t="s">
        <v>796</v>
      </c>
      <c r="Y33" s="887"/>
      <c r="Z33" s="887"/>
      <c r="AA33" s="888"/>
    </row>
    <row r="34" spans="1:27" s="309" customFormat="1" ht="12.75" customHeight="1" thickBot="1" x14ac:dyDescent="0.25">
      <c r="A34" s="306"/>
      <c r="B34" s="306"/>
      <c r="C34" s="344"/>
      <c r="D34" s="312"/>
      <c r="E34" s="342">
        <f>IF(M33,M33/IF(ISBLANK(J34),I34,J34),0)</f>
        <v>0</v>
      </c>
      <c r="F34" s="318" t="s">
        <v>4</v>
      </c>
      <c r="G34" s="337"/>
      <c r="H34" s="338" t="s">
        <v>65</v>
      </c>
      <c r="I34" s="327">
        <f>IF(ISBLANK(H33),0,IFERROR(HLOOKUP(A32,Grunddaten!H126:Y130,3,FALSE),Grunddaten!H128))</f>
        <v>0</v>
      </c>
      <c r="J34" s="339"/>
      <c r="K34" s="330"/>
      <c r="L34" s="330"/>
      <c r="M34" s="1472"/>
      <c r="N34" s="311"/>
      <c r="O34" s="322"/>
      <c r="P34" s="311"/>
      <c r="Q34" s="311"/>
      <c r="R34" s="311"/>
      <c r="S34" s="2250">
        <f>Projektdaten!K31</f>
        <v>0</v>
      </c>
      <c r="T34" s="2251"/>
      <c r="U34" s="610" t="s">
        <v>4</v>
      </c>
      <c r="X34" s="891" t="str">
        <f>Berechnungen!A36</f>
        <v>Holzpellets</v>
      </c>
      <c r="Y34" s="889"/>
      <c r="Z34" s="889"/>
      <c r="AA34" s="890"/>
    </row>
    <row r="35" spans="1:27" s="309" customFormat="1" ht="12.75" customHeight="1" thickBot="1" x14ac:dyDescent="0.25">
      <c r="A35" s="306"/>
      <c r="B35" s="306"/>
      <c r="C35" s="345"/>
      <c r="D35" s="321"/>
      <c r="E35" s="1474"/>
      <c r="F35" s="311"/>
      <c r="G35" s="307"/>
      <c r="H35" s="307"/>
      <c r="I35" s="307"/>
      <c r="J35" s="307"/>
      <c r="K35" s="311"/>
      <c r="L35" s="311"/>
      <c r="M35" s="307"/>
      <c r="N35" s="311"/>
      <c r="O35" s="322"/>
      <c r="P35" s="311"/>
      <c r="Q35" s="311"/>
      <c r="R35" s="311"/>
      <c r="S35" s="606" t="s">
        <v>526</v>
      </c>
      <c r="T35" s="607"/>
      <c r="U35" s="608"/>
      <c r="X35" s="892" t="str">
        <f>Berechnungen!A35</f>
        <v>Holzschnitzel</v>
      </c>
      <c r="Y35" s="884"/>
      <c r="Z35" s="884"/>
      <c r="AA35" s="893"/>
    </row>
    <row r="36" spans="1:27" s="309" customFormat="1" ht="12.75" customHeight="1" thickBot="1" x14ac:dyDescent="0.25">
      <c r="A36" s="2252"/>
      <c r="B36" s="2252"/>
      <c r="C36" s="341"/>
      <c r="D36" s="341"/>
      <c r="E36" s="342">
        <f>M37-E38</f>
        <v>0</v>
      </c>
      <c r="F36" s="318" t="s">
        <v>4</v>
      </c>
      <c r="G36" s="2314" t="s">
        <v>71</v>
      </c>
      <c r="H36" s="2315"/>
      <c r="I36" s="2315"/>
      <c r="J36" s="2316"/>
      <c r="K36" s="407"/>
      <c r="L36" s="407"/>
      <c r="M36" s="307"/>
      <c r="N36" s="311"/>
      <c r="O36" s="322"/>
      <c r="P36" s="311"/>
      <c r="Q36" s="311"/>
      <c r="R36" s="311"/>
      <c r="S36" s="2253">
        <f>S34*(1+P32)</f>
        <v>0</v>
      </c>
      <c r="T36" s="2254"/>
      <c r="U36" s="463" t="s">
        <v>4</v>
      </c>
      <c r="X36" s="892" t="str">
        <f>Berechnungen!A33</f>
        <v>Erdgas</v>
      </c>
      <c r="Y36" s="884"/>
      <c r="Z36" s="884"/>
      <c r="AA36" s="893"/>
    </row>
    <row r="37" spans="1:27" s="309" customFormat="1" ht="12.75" customHeight="1" x14ac:dyDescent="0.2">
      <c r="A37" s="306"/>
      <c r="B37" s="306"/>
      <c r="C37" s="345"/>
      <c r="D37" s="321"/>
      <c r="E37" s="1474"/>
      <c r="F37" s="311"/>
      <c r="G37" s="324" t="s">
        <v>50</v>
      </c>
      <c r="H37" s="2258"/>
      <c r="I37" s="2258"/>
      <c r="J37" s="336" t="s">
        <v>51</v>
      </c>
      <c r="K37" s="313"/>
      <c r="L37" s="313"/>
      <c r="M37" s="319"/>
      <c r="N37" s="318" t="s">
        <v>4</v>
      </c>
      <c r="O37" s="322"/>
      <c r="P37" s="311"/>
      <c r="Q37" s="311"/>
      <c r="R37" s="311"/>
      <c r="S37" s="307"/>
      <c r="T37" s="307"/>
      <c r="U37" s="307"/>
      <c r="X37" s="892" t="str">
        <f>Berechnungen!A32</f>
        <v>Heizöl EL</v>
      </c>
      <c r="Y37" s="884"/>
      <c r="Z37" s="884"/>
      <c r="AA37" s="893"/>
    </row>
    <row r="38" spans="1:27" s="309" customFormat="1" ht="12.75" customHeight="1" thickBot="1" x14ac:dyDescent="0.25">
      <c r="A38" s="306"/>
      <c r="B38" s="306"/>
      <c r="C38" s="346"/>
      <c r="D38" s="312"/>
      <c r="E38" s="342">
        <f>IF(M37,M37/IF(ISBLANK(J38),I38,J38),0)</f>
        <v>0</v>
      </c>
      <c r="F38" s="318" t="s">
        <v>4</v>
      </c>
      <c r="G38" s="337"/>
      <c r="H38" s="338" t="s">
        <v>65</v>
      </c>
      <c r="I38" s="327">
        <f>IF(ISBLANK(H37),0,IFERROR(HLOOKUP(A36,Grunddaten!H126:Y130,3,FALSE),Grunddaten!H128))</f>
        <v>0</v>
      </c>
      <c r="J38" s="339"/>
      <c r="K38" s="330"/>
      <c r="L38" s="330"/>
      <c r="M38" s="1472"/>
      <c r="N38" s="311"/>
      <c r="O38" s="322"/>
      <c r="P38" s="311"/>
      <c r="Q38" s="311"/>
      <c r="R38" s="311"/>
      <c r="S38" s="1452" t="s">
        <v>88</v>
      </c>
      <c r="T38" s="436"/>
      <c r="U38" s="436"/>
      <c r="X38" s="894" t="str">
        <f>Berechnungen!A37</f>
        <v>Brennstoff XY</v>
      </c>
      <c r="Y38" s="895"/>
      <c r="Z38" s="895"/>
      <c r="AA38" s="896"/>
    </row>
    <row r="39" spans="1:27" s="309" customFormat="1" ht="12.75" customHeight="1" thickBot="1" x14ac:dyDescent="0.25">
      <c r="A39" s="306"/>
      <c r="B39" s="306"/>
      <c r="C39" s="345"/>
      <c r="D39" s="321"/>
      <c r="E39" s="307"/>
      <c r="F39" s="311"/>
      <c r="G39" s="307"/>
      <c r="H39" s="307"/>
      <c r="I39" s="307"/>
      <c r="J39" s="307"/>
      <c r="K39" s="311"/>
      <c r="L39" s="311"/>
      <c r="M39" s="307"/>
      <c r="N39" s="311"/>
      <c r="O39" s="322"/>
      <c r="P39" s="311"/>
      <c r="Q39" s="311"/>
      <c r="R39" s="311"/>
      <c r="S39" s="2298" t="e">
        <f>ROUND((M11+M13+M16+M20+M24+M28+M33+M37+M40+M44+M48+M59+R59)/(S21+S36),2)</f>
        <v>#DIV/0!</v>
      </c>
      <c r="T39" s="2298"/>
      <c r="U39" s="436"/>
    </row>
    <row r="40" spans="1:27" s="309" customFormat="1" ht="12.75" customHeight="1" x14ac:dyDescent="0.2">
      <c r="A40" s="318"/>
      <c r="B40" s="313">
        <f>M42+E42-M40</f>
        <v>0</v>
      </c>
      <c r="C40" s="347" t="s">
        <v>4</v>
      </c>
      <c r="D40" s="312"/>
      <c r="E40" s="312"/>
      <c r="F40" s="348" t="s">
        <v>80</v>
      </c>
      <c r="G40" s="2299" t="s">
        <v>245</v>
      </c>
      <c r="H40" s="2300"/>
      <c r="I40" s="2300"/>
      <c r="J40" s="2301"/>
      <c r="K40" s="349" t="s">
        <v>119</v>
      </c>
      <c r="L40" s="313"/>
      <c r="M40" s="319"/>
      <c r="N40" s="318" t="s">
        <v>4</v>
      </c>
      <c r="O40" s="322"/>
      <c r="P40" s="311"/>
      <c r="Q40" s="311"/>
      <c r="R40" s="311"/>
      <c r="S40" s="2294">
        <f>ROUND((M11+M13+M16+M20+M24+M28+M33+M37+M40+M44+M48+M59+R59)-(S21+S36),-2)</f>
        <v>0</v>
      </c>
      <c r="T40" s="2294"/>
      <c r="U40" s="2294"/>
    </row>
    <row r="41" spans="1:27" s="309" customFormat="1" ht="12.75" customHeight="1" x14ac:dyDescent="0.2">
      <c r="A41" s="1469"/>
      <c r="B41" s="306"/>
      <c r="C41" s="345"/>
      <c r="D41" s="321"/>
      <c r="E41" s="307"/>
      <c r="F41" s="311"/>
      <c r="G41" s="324" t="s">
        <v>50</v>
      </c>
      <c r="H41" s="2258"/>
      <c r="I41" s="2258"/>
      <c r="J41" s="336" t="s">
        <v>51</v>
      </c>
      <c r="K41" s="311"/>
      <c r="L41" s="311"/>
      <c r="M41" s="307"/>
      <c r="N41" s="311"/>
      <c r="O41" s="322"/>
      <c r="P41" s="311"/>
      <c r="Q41" s="320"/>
      <c r="R41" s="311"/>
      <c r="S41" s="307"/>
      <c r="T41" s="307"/>
      <c r="U41" s="307"/>
    </row>
    <row r="42" spans="1:27" s="309" customFormat="1" ht="12.75" customHeight="1" thickBot="1" x14ac:dyDescent="0.25">
      <c r="A42" s="2296"/>
      <c r="B42" s="2296"/>
      <c r="C42" s="313"/>
      <c r="D42" s="313"/>
      <c r="E42" s="313">
        <f>IF(M42,M42/IF(ISBLANK(J42),I42,J42),0)</f>
        <v>0</v>
      </c>
      <c r="F42" s="318" t="s">
        <v>4</v>
      </c>
      <c r="G42" s="337"/>
      <c r="H42" s="338" t="s">
        <v>65</v>
      </c>
      <c r="I42" s="327">
        <f>IF(ISBLANK(H41),0,Grunddaten!H130)</f>
        <v>0</v>
      </c>
      <c r="J42" s="339"/>
      <c r="K42" s="318"/>
      <c r="L42" s="318"/>
      <c r="M42" s="319"/>
      <c r="N42" s="315" t="s">
        <v>4</v>
      </c>
      <c r="O42" s="318"/>
      <c r="P42" s="318"/>
      <c r="Q42" s="350"/>
      <c r="R42" s="311"/>
      <c r="S42" s="307"/>
      <c r="T42" s="307"/>
      <c r="U42" s="307"/>
    </row>
    <row r="43" spans="1:27" s="309" customFormat="1" ht="12.75" customHeight="1" thickBot="1" x14ac:dyDescent="0.25">
      <c r="A43" s="307"/>
      <c r="B43" s="1470"/>
      <c r="C43" s="345"/>
      <c r="D43" s="321"/>
      <c r="E43" s="307"/>
      <c r="F43" s="311"/>
      <c r="G43" s="307"/>
      <c r="H43" s="307"/>
      <c r="I43" s="307"/>
      <c r="J43" s="307"/>
      <c r="K43" s="407"/>
      <c r="L43" s="407"/>
      <c r="M43" s="307"/>
      <c r="N43" s="311"/>
      <c r="O43" s="322"/>
      <c r="P43" s="311"/>
      <c r="Q43" s="322"/>
      <c r="R43" s="635" t="s">
        <v>528</v>
      </c>
      <c r="S43" s="2299" t="s">
        <v>45</v>
      </c>
      <c r="T43" s="2300"/>
      <c r="U43" s="2301"/>
    </row>
    <row r="44" spans="1:27" s="309" customFormat="1" ht="12.75" customHeight="1" x14ac:dyDescent="0.2">
      <c r="A44" s="318"/>
      <c r="B44" s="313">
        <f>M46+E46-M44</f>
        <v>0</v>
      </c>
      <c r="C44" s="347" t="s">
        <v>4</v>
      </c>
      <c r="D44" s="312"/>
      <c r="E44" s="312"/>
      <c r="F44" s="348" t="s">
        <v>80</v>
      </c>
      <c r="G44" s="2299" t="s">
        <v>79</v>
      </c>
      <c r="H44" s="2300"/>
      <c r="I44" s="2300"/>
      <c r="J44" s="2301"/>
      <c r="K44" s="349" t="s">
        <v>119</v>
      </c>
      <c r="L44" s="313"/>
      <c r="M44" s="319"/>
      <c r="N44" s="318" t="s">
        <v>4</v>
      </c>
      <c r="O44" s="322"/>
      <c r="P44" s="311"/>
      <c r="Q44" s="322"/>
      <c r="R44" s="635" t="s">
        <v>527</v>
      </c>
      <c r="S44" s="2302"/>
      <c r="T44" s="2303"/>
      <c r="U44" s="2304"/>
    </row>
    <row r="45" spans="1:27" s="309" customFormat="1" ht="12.75" customHeight="1" x14ac:dyDescent="0.2">
      <c r="A45" s="307"/>
      <c r="B45" s="306"/>
      <c r="C45" s="345"/>
      <c r="D45" s="321"/>
      <c r="E45" s="307"/>
      <c r="F45" s="311"/>
      <c r="G45" s="324" t="s">
        <v>50</v>
      </c>
      <c r="H45" s="2258"/>
      <c r="I45" s="2258"/>
      <c r="J45" s="336" t="s">
        <v>51</v>
      </c>
      <c r="K45" s="311"/>
      <c r="L45" s="311"/>
      <c r="M45" s="1472"/>
      <c r="N45" s="311"/>
      <c r="O45" s="351"/>
      <c r="P45" s="311"/>
      <c r="Q45" s="322"/>
      <c r="R45" s="633"/>
      <c r="S45" s="2302"/>
      <c r="T45" s="2303"/>
      <c r="U45" s="2304"/>
    </row>
    <row r="46" spans="1:27" s="309" customFormat="1" ht="12.75" customHeight="1" thickBot="1" x14ac:dyDescent="0.25">
      <c r="A46" s="306"/>
      <c r="B46" s="306"/>
      <c r="C46" s="346"/>
      <c r="D46" s="312"/>
      <c r="E46" s="313">
        <f>IF(M46,M46/IF(ISBLANK(J46),I46,J46),0)</f>
        <v>0</v>
      </c>
      <c r="F46" s="318" t="s">
        <v>4</v>
      </c>
      <c r="G46" s="337"/>
      <c r="H46" s="338" t="s">
        <v>65</v>
      </c>
      <c r="I46" s="327">
        <f>IF(ISBLANK(H45),0,Grunddaten!H129)</f>
        <v>0</v>
      </c>
      <c r="J46" s="339"/>
      <c r="K46" s="318"/>
      <c r="L46" s="318"/>
      <c r="M46" s="319"/>
      <c r="N46" s="315" t="s">
        <v>4</v>
      </c>
      <c r="O46" s="318"/>
      <c r="P46" s="318"/>
      <c r="Q46" s="350"/>
      <c r="R46" s="632" t="s">
        <v>555</v>
      </c>
      <c r="S46" s="606" t="s">
        <v>70</v>
      </c>
      <c r="T46" s="461"/>
      <c r="U46" s="462"/>
    </row>
    <row r="47" spans="1:27" s="309" customFormat="1" ht="12.75" customHeight="1" thickBot="1" x14ac:dyDescent="0.25">
      <c r="A47" s="307"/>
      <c r="B47" s="306"/>
      <c r="C47" s="345"/>
      <c r="D47" s="321"/>
      <c r="E47" s="307"/>
      <c r="F47" s="311"/>
      <c r="G47" s="307"/>
      <c r="H47" s="307"/>
      <c r="I47" s="307"/>
      <c r="J47" s="307"/>
      <c r="K47" s="311"/>
      <c r="L47" s="311"/>
      <c r="M47" s="307"/>
      <c r="N47" s="311"/>
      <c r="O47" s="320"/>
      <c r="P47" s="311"/>
      <c r="Q47" s="322"/>
      <c r="R47" s="311"/>
      <c r="S47" s="2250">
        <f>Projektdaten!K33</f>
        <v>0</v>
      </c>
      <c r="T47" s="2251"/>
      <c r="U47" s="605" t="s">
        <v>4</v>
      </c>
    </row>
    <row r="48" spans="1:27" s="309" customFormat="1" ht="12.75" customHeight="1" x14ac:dyDescent="0.2">
      <c r="A48" s="318"/>
      <c r="B48" s="313">
        <f>M50+E50-M48</f>
        <v>0</v>
      </c>
      <c r="C48" s="347" t="s">
        <v>4</v>
      </c>
      <c r="D48" s="312"/>
      <c r="E48" s="312"/>
      <c r="F48" s="348" t="s">
        <v>80</v>
      </c>
      <c r="G48" s="2299" t="s">
        <v>149</v>
      </c>
      <c r="H48" s="2300"/>
      <c r="I48" s="2300"/>
      <c r="J48" s="2301"/>
      <c r="K48" s="349" t="s">
        <v>119</v>
      </c>
      <c r="L48" s="313"/>
      <c r="M48" s="319"/>
      <c r="N48" s="318" t="s">
        <v>4</v>
      </c>
      <c r="O48" s="322"/>
      <c r="P48" s="311"/>
      <c r="Q48" s="322"/>
      <c r="S48" s="606" t="s">
        <v>526</v>
      </c>
      <c r="T48" s="461"/>
      <c r="U48" s="462"/>
    </row>
    <row r="49" spans="1:27" s="309" customFormat="1" ht="12.75" customHeight="1" thickBot="1" x14ac:dyDescent="0.25">
      <c r="A49" s="307"/>
      <c r="B49" s="306"/>
      <c r="C49" s="345"/>
      <c r="D49" s="321"/>
      <c r="E49" s="307"/>
      <c r="F49" s="311"/>
      <c r="G49" s="324" t="s">
        <v>50</v>
      </c>
      <c r="H49" s="2258"/>
      <c r="I49" s="2258"/>
      <c r="J49" s="336" t="s">
        <v>51</v>
      </c>
      <c r="K49" s="311"/>
      <c r="L49" s="311"/>
      <c r="M49" s="1472"/>
      <c r="N49" s="311"/>
      <c r="O49" s="351"/>
      <c r="P49" s="311"/>
      <c r="Q49" s="322"/>
      <c r="R49" s="311"/>
      <c r="S49" s="2253">
        <f>S47*(1+R45)</f>
        <v>0</v>
      </c>
      <c r="T49" s="2254"/>
      <c r="U49" s="463" t="s">
        <v>4</v>
      </c>
    </row>
    <row r="50" spans="1:27" s="309" customFormat="1" ht="12.75" customHeight="1" thickBot="1" x14ac:dyDescent="0.25">
      <c r="A50" s="306"/>
      <c r="B50" s="306"/>
      <c r="C50" s="346"/>
      <c r="D50" s="312"/>
      <c r="E50" s="313">
        <f>IF(M50,M50/IF(ISBLANK(J50),I50,J50),0)</f>
        <v>0</v>
      </c>
      <c r="F50" s="318" t="s">
        <v>4</v>
      </c>
      <c r="G50" s="337"/>
      <c r="H50" s="338" t="s">
        <v>65</v>
      </c>
      <c r="I50" s="327">
        <f>IF(ISBLANK(H49),0,Grunddaten!H129)</f>
        <v>0</v>
      </c>
      <c r="J50" s="339"/>
      <c r="K50" s="318"/>
      <c r="L50" s="318"/>
      <c r="M50" s="319"/>
      <c r="N50" s="315" t="s">
        <v>4</v>
      </c>
      <c r="O50" s="318"/>
      <c r="P50" s="318"/>
      <c r="Q50" s="350"/>
      <c r="R50" s="311"/>
      <c r="S50" s="307"/>
      <c r="T50" s="307"/>
      <c r="U50" s="307"/>
    </row>
    <row r="51" spans="1:27" s="309" customFormat="1" ht="12.75" customHeight="1" thickBot="1" x14ac:dyDescent="0.25">
      <c r="A51" s="306"/>
      <c r="B51" s="306"/>
      <c r="C51" s="345"/>
      <c r="D51" s="321"/>
      <c r="E51" s="307"/>
      <c r="F51" s="311"/>
      <c r="G51" s="307"/>
      <c r="H51" s="307"/>
      <c r="I51" s="307"/>
      <c r="J51" s="307"/>
      <c r="K51" s="311"/>
      <c r="L51" s="311"/>
      <c r="M51" s="307"/>
      <c r="N51" s="311"/>
      <c r="O51" s="320"/>
      <c r="P51" s="311"/>
      <c r="Q51" s="322"/>
      <c r="R51" s="311"/>
      <c r="S51" s="1452" t="s">
        <v>88</v>
      </c>
      <c r="T51" s="436"/>
      <c r="U51" s="436"/>
    </row>
    <row r="52" spans="1:27" s="309" customFormat="1" ht="12.75" customHeight="1" x14ac:dyDescent="0.2">
      <c r="A52" s="318"/>
      <c r="B52" s="313">
        <f>M53+E54</f>
        <v>0</v>
      </c>
      <c r="C52" s="347" t="s">
        <v>4</v>
      </c>
      <c r="D52" s="312"/>
      <c r="E52" s="312"/>
      <c r="F52" s="348" t="s">
        <v>80</v>
      </c>
      <c r="G52" s="2299" t="s">
        <v>122</v>
      </c>
      <c r="H52" s="2300"/>
      <c r="I52" s="2300"/>
      <c r="J52" s="2301"/>
      <c r="K52" s="311"/>
      <c r="L52" s="311"/>
      <c r="M52" s="307"/>
      <c r="N52" s="311"/>
      <c r="O52" s="322"/>
      <c r="P52" s="311"/>
      <c r="Q52" s="322"/>
      <c r="S52" s="1453" t="e">
        <f>ROUND((M42+M46+M50+M53+M56)/S49,2)</f>
        <v>#DIV/0!</v>
      </c>
      <c r="T52" s="436"/>
      <c r="U52" s="436"/>
      <c r="Z52" s="2310"/>
      <c r="AA52" s="2311"/>
    </row>
    <row r="53" spans="1:27" s="309" customFormat="1" ht="12.75" customHeight="1" x14ac:dyDescent="0.2">
      <c r="A53" s="306"/>
      <c r="B53" s="306"/>
      <c r="C53" s="345"/>
      <c r="D53" s="321"/>
      <c r="E53" s="307"/>
      <c r="F53" s="311"/>
      <c r="G53" s="324" t="s">
        <v>50</v>
      </c>
      <c r="H53" s="2258"/>
      <c r="I53" s="2258"/>
      <c r="J53" s="336" t="s">
        <v>51</v>
      </c>
      <c r="K53" s="318"/>
      <c r="L53" s="318"/>
      <c r="M53" s="319"/>
      <c r="N53" s="315" t="s">
        <v>4</v>
      </c>
      <c r="O53" s="318"/>
      <c r="P53" s="318"/>
      <c r="Q53" s="350"/>
      <c r="S53" s="2294">
        <f>ROUND((M42+M46+M50+M53+M56)-S49,-2)</f>
        <v>0</v>
      </c>
      <c r="T53" s="2294"/>
      <c r="U53" s="2294"/>
    </row>
    <row r="54" spans="1:27" s="309" customFormat="1" ht="12.75" customHeight="1" thickBot="1" x14ac:dyDescent="0.25">
      <c r="A54" s="306"/>
      <c r="B54" s="306"/>
      <c r="C54" s="346"/>
      <c r="D54" s="312"/>
      <c r="E54" s="313">
        <f>IF(M53,M53/IF(ISBLANK(J54),I54,J54),0)</f>
        <v>0</v>
      </c>
      <c r="F54" s="318" t="s">
        <v>4</v>
      </c>
      <c r="G54" s="337"/>
      <c r="H54" s="338" t="s">
        <v>65</v>
      </c>
      <c r="I54" s="327">
        <f>IF(ISBLANK(H53),0,Grunddaten!H131)</f>
        <v>0</v>
      </c>
      <c r="J54" s="339"/>
      <c r="K54" s="311"/>
      <c r="L54" s="311"/>
      <c r="M54" s="307"/>
      <c r="N54" s="311"/>
      <c r="O54" s="322"/>
      <c r="P54" s="311"/>
      <c r="Q54" s="322"/>
      <c r="R54" s="311"/>
      <c r="S54" s="1481"/>
      <c r="T54" s="307"/>
      <c r="U54" s="307"/>
    </row>
    <row r="55" spans="1:27" s="439" customFormat="1" ht="12.75" customHeight="1" x14ac:dyDescent="0.2">
      <c r="A55" s="435"/>
      <c r="B55" s="435"/>
      <c r="C55" s="345"/>
      <c r="D55" s="450"/>
      <c r="E55" s="436"/>
      <c r="F55" s="441"/>
      <c r="G55" s="436"/>
      <c r="H55" s="436"/>
      <c r="I55" s="436"/>
      <c r="J55" s="436"/>
      <c r="K55" s="441"/>
      <c r="L55" s="441"/>
      <c r="M55" s="436"/>
      <c r="N55" s="441"/>
      <c r="O55" s="451"/>
      <c r="P55" s="441"/>
      <c r="Q55" s="451"/>
      <c r="R55" s="441"/>
      <c r="S55" s="436"/>
      <c r="T55" s="436"/>
      <c r="U55" s="436"/>
    </row>
    <row r="56" spans="1:27" s="439" customFormat="1" ht="12.75" customHeight="1" x14ac:dyDescent="0.2">
      <c r="A56" s="677" t="str">
        <f>Grunddaten!C56</f>
        <v>Kälteverbund XY</v>
      </c>
      <c r="B56" s="442"/>
      <c r="C56" s="442"/>
      <c r="D56" s="442"/>
      <c r="E56" s="443">
        <f>M56</f>
        <v>0</v>
      </c>
      <c r="F56" s="444" t="s">
        <v>4</v>
      </c>
      <c r="G56" s="445"/>
      <c r="H56" s="446" t="s">
        <v>235</v>
      </c>
      <c r="I56" s="316"/>
      <c r="J56" s="447" t="s">
        <v>51</v>
      </c>
      <c r="K56" s="448"/>
      <c r="L56" s="448"/>
      <c r="M56" s="319"/>
      <c r="N56" s="448" t="s">
        <v>4</v>
      </c>
      <c r="O56" s="448"/>
      <c r="P56" s="448"/>
      <c r="Q56" s="477"/>
      <c r="R56" s="441"/>
      <c r="S56" s="436"/>
      <c r="T56" s="436"/>
      <c r="U56" s="436"/>
    </row>
    <row r="57" spans="1:27" s="439" customFormat="1" ht="6" customHeight="1" x14ac:dyDescent="0.2">
      <c r="A57" s="1443"/>
      <c r="B57" s="1444"/>
      <c r="C57" s="345"/>
      <c r="D57" s="479"/>
      <c r="E57" s="436"/>
      <c r="F57" s="678"/>
      <c r="G57" s="1446"/>
      <c r="H57" s="436"/>
      <c r="I57" s="436"/>
      <c r="J57" s="436"/>
      <c r="K57" s="469"/>
      <c r="L57" s="469"/>
      <c r="M57" s="436"/>
      <c r="N57" s="469"/>
      <c r="O57" s="451"/>
      <c r="P57" s="469"/>
      <c r="Q57" s="478"/>
      <c r="R57" s="441"/>
      <c r="S57" s="436"/>
      <c r="T57" s="436"/>
      <c r="U57" s="436"/>
    </row>
    <row r="58" spans="1:27" s="309" customFormat="1" ht="12.75" customHeight="1" thickBot="1" x14ac:dyDescent="0.25">
      <c r="A58" s="306"/>
      <c r="B58" s="306"/>
      <c r="C58" s="345"/>
      <c r="D58" s="352"/>
      <c r="E58" s="307"/>
      <c r="F58" s="353"/>
      <c r="G58" s="1475"/>
      <c r="H58" s="307"/>
      <c r="I58" s="307"/>
      <c r="J58" s="307"/>
      <c r="K58" s="311"/>
      <c r="L58" s="311"/>
      <c r="M58" s="307"/>
      <c r="N58" s="307"/>
      <c r="O58" s="322"/>
      <c r="P58" s="307"/>
      <c r="Q58" s="1478"/>
      <c r="R58" s="307"/>
      <c r="S58" s="1481"/>
      <c r="T58" s="307"/>
      <c r="U58" s="307"/>
    </row>
    <row r="59" spans="1:27" s="309" customFormat="1" ht="12.75" customHeight="1" x14ac:dyDescent="0.2">
      <c r="A59" s="306"/>
      <c r="B59" s="306"/>
      <c r="C59" s="345"/>
      <c r="D59" s="321"/>
      <c r="E59" s="307"/>
      <c r="F59" s="311"/>
      <c r="G59" s="2299" t="s">
        <v>146</v>
      </c>
      <c r="H59" s="2300"/>
      <c r="I59" s="2300"/>
      <c r="J59" s="2301"/>
      <c r="K59" s="313"/>
      <c r="L59" s="313"/>
      <c r="M59" s="319"/>
      <c r="N59" s="318" t="s">
        <v>4</v>
      </c>
      <c r="O59" s="351"/>
      <c r="P59" s="318"/>
      <c r="Q59" s="318"/>
      <c r="R59" s="319"/>
      <c r="S59" s="315" t="s">
        <v>4</v>
      </c>
      <c r="T59" s="354"/>
      <c r="U59" s="307"/>
      <c r="X59" s="2310"/>
      <c r="Y59" s="2311"/>
    </row>
    <row r="60" spans="1:27" s="309" customFormat="1" ht="12.75" customHeight="1" x14ac:dyDescent="0.2">
      <c r="A60" s="2252"/>
      <c r="B60" s="2252"/>
      <c r="C60" s="501"/>
      <c r="D60" s="501">
        <f>IF(A60=$X$36,1-D61,1)</f>
        <v>1</v>
      </c>
      <c r="E60" s="443">
        <f>IF(M59,(M59+M61)/IF(ISBLANK(J61),I61,J61)*D60,0)</f>
        <v>0</v>
      </c>
      <c r="F60" s="448" t="s">
        <v>4</v>
      </c>
      <c r="G60" s="324" t="s">
        <v>147</v>
      </c>
      <c r="H60" s="2258"/>
      <c r="I60" s="2258"/>
      <c r="J60" s="336" t="s">
        <v>51</v>
      </c>
      <c r="K60" s="353"/>
      <c r="L60" s="330"/>
      <c r="M60" s="1472"/>
      <c r="N60" s="311"/>
      <c r="O60" s="311"/>
      <c r="P60" s="311"/>
      <c r="Q60" s="311"/>
      <c r="R60" s="307"/>
      <c r="S60" s="307"/>
      <c r="T60" s="2312" t="s">
        <v>87</v>
      </c>
      <c r="U60" s="307"/>
    </row>
    <row r="61" spans="1:27" s="309" customFormat="1" ht="12.75" customHeight="1" thickBot="1" x14ac:dyDescent="0.25">
      <c r="A61" s="2269" t="str">
        <f>IF(A60=$X$36,Berechnungen!$A$34,"")</f>
        <v/>
      </c>
      <c r="B61" s="2269"/>
      <c r="C61" s="497"/>
      <c r="D61" s="1591">
        <v>0.25</v>
      </c>
      <c r="E61" s="1438">
        <f>IF(AND(M59&gt;0,A60=$X$36),(M59+M61)/IF(ISBLANK(J61),I61,J61)*D61,0)</f>
        <v>0</v>
      </c>
      <c r="F61" s="441"/>
      <c r="G61" s="337"/>
      <c r="H61" s="338" t="s">
        <v>148</v>
      </c>
      <c r="I61" s="327">
        <f>IF(ISBLANK(H60),0,IFERROR(HLOOKUP(A60,Grunddaten!H121:Y125,5,FALSE),Grunddaten!H125))</f>
        <v>0</v>
      </c>
      <c r="J61" s="339"/>
      <c r="K61" s="313"/>
      <c r="L61" s="313"/>
      <c r="M61" s="319"/>
      <c r="N61" s="318" t="s">
        <v>4</v>
      </c>
      <c r="O61" s="320"/>
      <c r="P61" s="353"/>
      <c r="Q61" s="353"/>
      <c r="R61" s="1478"/>
      <c r="S61" s="307"/>
      <c r="T61" s="2312"/>
      <c r="U61" s="307"/>
    </row>
    <row r="62" spans="1:27" s="309" customFormat="1" ht="12.75" customHeight="1" x14ac:dyDescent="0.2">
      <c r="A62" s="306"/>
      <c r="B62" s="306"/>
      <c r="C62" s="345"/>
      <c r="D62" s="321"/>
      <c r="E62" s="307"/>
      <c r="F62" s="311"/>
      <c r="G62" s="1476"/>
      <c r="H62" s="1477"/>
      <c r="I62" s="1477"/>
      <c r="J62" s="1449"/>
      <c r="K62" s="353"/>
      <c r="L62" s="353"/>
      <c r="M62" s="1478"/>
      <c r="N62" s="1478"/>
      <c r="O62" s="322"/>
      <c r="P62" s="1478"/>
      <c r="Q62" s="1478"/>
      <c r="R62" s="1478"/>
      <c r="S62" s="307"/>
      <c r="T62" s="2312"/>
      <c r="U62" s="307"/>
    </row>
    <row r="63" spans="1:27" s="309" customFormat="1" ht="12.75" customHeight="1" x14ac:dyDescent="0.2">
      <c r="A63" s="306"/>
      <c r="B63" s="306"/>
      <c r="C63" s="355"/>
      <c r="D63" s="312"/>
      <c r="E63" s="318"/>
      <c r="F63" s="318"/>
      <c r="G63" s="318"/>
      <c r="H63" s="318"/>
      <c r="I63" s="318"/>
      <c r="J63" s="318"/>
      <c r="K63" s="318"/>
      <c r="L63" s="318"/>
      <c r="M63" s="313">
        <f>E34+E38+E46+E50+E54</f>
        <v>0</v>
      </c>
      <c r="N63" s="315" t="s">
        <v>4</v>
      </c>
      <c r="O63" s="350"/>
      <c r="P63" s="353"/>
      <c r="Q63" s="353"/>
      <c r="R63" s="353"/>
      <c r="S63" s="307"/>
      <c r="T63" s="2312"/>
      <c r="U63" s="307"/>
    </row>
    <row r="64" spans="1:27" s="309" customFormat="1" ht="12.75" customHeight="1" thickBot="1" x14ac:dyDescent="0.25">
      <c r="A64" s="306"/>
      <c r="B64" s="306"/>
      <c r="C64" s="321"/>
      <c r="D64" s="321"/>
      <c r="E64" s="307"/>
      <c r="F64" s="311"/>
      <c r="G64" s="1450"/>
      <c r="H64" s="1450"/>
      <c r="I64" s="1450"/>
      <c r="J64" s="1450"/>
      <c r="K64" s="469"/>
      <c r="L64" s="469"/>
      <c r="M64" s="436"/>
      <c r="N64" s="609"/>
      <c r="O64" s="322"/>
      <c r="P64" s="353"/>
      <c r="Q64" s="353"/>
      <c r="R64" s="353"/>
      <c r="S64" s="307"/>
      <c r="T64" s="2312"/>
      <c r="U64" s="307"/>
    </row>
    <row r="65" spans="1:30" s="309" customFormat="1" ht="12.75" customHeight="1" x14ac:dyDescent="0.2">
      <c r="A65" s="306"/>
      <c r="B65" s="306"/>
      <c r="C65" s="321"/>
      <c r="D65" s="321"/>
      <c r="E65" s="307"/>
      <c r="F65" s="311"/>
      <c r="G65" s="2255" t="s">
        <v>530</v>
      </c>
      <c r="H65" s="2256"/>
      <c r="I65" s="2256"/>
      <c r="J65" s="2257"/>
      <c r="K65" s="469"/>
      <c r="L65" s="469"/>
      <c r="M65" s="436"/>
      <c r="N65" s="609"/>
      <c r="O65" s="322"/>
      <c r="P65" s="353"/>
      <c r="Q65" s="353"/>
      <c r="R65" s="353"/>
      <c r="S65" s="307"/>
      <c r="T65" s="2312"/>
      <c r="U65" s="307"/>
    </row>
    <row r="66" spans="1:30" s="309" customFormat="1" ht="12.75" customHeight="1" thickBot="1" x14ac:dyDescent="0.25">
      <c r="A66" s="306"/>
      <c r="B66" s="306"/>
      <c r="C66" s="321"/>
      <c r="D66" s="321"/>
      <c r="E66" s="307"/>
      <c r="F66" s="311"/>
      <c r="G66" s="456" t="s">
        <v>50</v>
      </c>
      <c r="H66" s="2297"/>
      <c r="I66" s="2297"/>
      <c r="J66" s="483" t="s">
        <v>51</v>
      </c>
      <c r="K66" s="448"/>
      <c r="L66" s="448"/>
      <c r="M66" s="319"/>
      <c r="N66" s="445" t="s">
        <v>4</v>
      </c>
      <c r="O66" s="350"/>
      <c r="P66" s="353"/>
      <c r="Q66" s="353"/>
      <c r="R66" s="353"/>
      <c r="S66" s="307"/>
      <c r="T66" s="2312"/>
      <c r="U66" s="307"/>
    </row>
    <row r="67" spans="1:30" s="309" customFormat="1" ht="12.75" customHeight="1" x14ac:dyDescent="0.2">
      <c r="A67" s="306"/>
      <c r="B67" s="306"/>
      <c r="C67" s="321"/>
      <c r="D67" s="321"/>
      <c r="E67" s="307"/>
      <c r="F67" s="311"/>
      <c r="G67" s="436"/>
      <c r="H67" s="436"/>
      <c r="I67" s="436"/>
      <c r="J67" s="436"/>
      <c r="K67" s="441"/>
      <c r="L67" s="441"/>
      <c r="M67" s="436"/>
      <c r="N67" s="441"/>
      <c r="O67" s="322"/>
      <c r="P67" s="353"/>
      <c r="Q67" s="353"/>
      <c r="R67" s="353"/>
      <c r="S67" s="307"/>
      <c r="T67" s="2312"/>
      <c r="U67" s="307"/>
    </row>
    <row r="68" spans="1:30" s="309" customFormat="1" ht="12.75" customHeight="1" thickBot="1" x14ac:dyDescent="0.25">
      <c r="A68" s="499" t="s">
        <v>83</v>
      </c>
      <c r="B68" s="312"/>
      <c r="C68" s="312"/>
      <c r="D68" s="312"/>
      <c r="E68" s="313">
        <f>M68</f>
        <v>0</v>
      </c>
      <c r="F68" s="314" t="s">
        <v>4</v>
      </c>
      <c r="G68" s="318"/>
      <c r="H68" s="500" t="s">
        <v>522</v>
      </c>
      <c r="I68" s="597"/>
      <c r="J68" s="317" t="s">
        <v>51</v>
      </c>
      <c r="K68" s="318"/>
      <c r="L68" s="318"/>
      <c r="M68" s="313">
        <f>S73+M63+M66+M74-M61-M71</f>
        <v>0</v>
      </c>
      <c r="N68" s="318" t="s">
        <v>4</v>
      </c>
      <c r="O68" s="345"/>
      <c r="P68" s="353"/>
      <c r="Q68" s="353"/>
      <c r="R68" s="353"/>
      <c r="S68" s="307"/>
      <c r="T68" s="2313"/>
      <c r="U68" s="307"/>
    </row>
    <row r="69" spans="1:30" s="309" customFormat="1" ht="12.75" customHeight="1" thickBot="1" x14ac:dyDescent="0.25">
      <c r="A69" s="306"/>
      <c r="B69" s="306"/>
      <c r="C69" s="321"/>
      <c r="D69" s="321"/>
      <c r="E69" s="307"/>
      <c r="F69" s="311"/>
      <c r="G69" s="307"/>
      <c r="H69" s="307"/>
      <c r="I69" s="307"/>
      <c r="J69" s="307"/>
      <c r="K69" s="311"/>
      <c r="L69" s="311"/>
      <c r="M69" s="307"/>
      <c r="N69" s="311"/>
      <c r="O69" s="322"/>
      <c r="P69" s="311"/>
      <c r="Q69" s="311"/>
      <c r="R69" s="311"/>
      <c r="S69" s="2299" t="s">
        <v>81</v>
      </c>
      <c r="T69" s="2300"/>
      <c r="U69" s="2301"/>
    </row>
    <row r="70" spans="1:30" s="309" customFormat="1" ht="12.75" customHeight="1" x14ac:dyDescent="0.2">
      <c r="A70" s="306"/>
      <c r="B70" s="306"/>
      <c r="C70" s="321"/>
      <c r="D70" s="321"/>
      <c r="E70" s="307"/>
      <c r="F70" s="311"/>
      <c r="G70" s="2299" t="s">
        <v>84</v>
      </c>
      <c r="H70" s="2300"/>
      <c r="I70" s="2300"/>
      <c r="J70" s="2301"/>
      <c r="K70" s="407"/>
      <c r="L70" s="407"/>
      <c r="M70" s="307"/>
      <c r="N70" s="311"/>
      <c r="O70" s="322"/>
      <c r="P70" s="311"/>
      <c r="Q70" s="311"/>
      <c r="R70" s="311"/>
      <c r="S70" s="2302"/>
      <c r="T70" s="2303"/>
      <c r="U70" s="2304"/>
    </row>
    <row r="71" spans="1:30" s="309" customFormat="1" ht="12.75" customHeight="1" x14ac:dyDescent="0.2">
      <c r="A71" s="637" t="s">
        <v>82</v>
      </c>
      <c r="B71" s="341"/>
      <c r="C71" s="341"/>
      <c r="D71" s="341"/>
      <c r="E71" s="313"/>
      <c r="F71" s="323"/>
      <c r="G71" s="324" t="s">
        <v>50</v>
      </c>
      <c r="H71" s="2258"/>
      <c r="I71" s="2258"/>
      <c r="J71" s="325" t="s">
        <v>85</v>
      </c>
      <c r="K71" s="356"/>
      <c r="L71" s="356"/>
      <c r="M71" s="313">
        <f>H71*IF(ISBLANK(I72),H72,I72)</f>
        <v>0</v>
      </c>
      <c r="N71" s="318" t="s">
        <v>4</v>
      </c>
      <c r="O71" s="331"/>
      <c r="P71" s="318"/>
      <c r="Q71" s="318"/>
      <c r="R71" s="318"/>
      <c r="S71" s="2302"/>
      <c r="T71" s="2303"/>
      <c r="U71" s="2304"/>
    </row>
    <row r="72" spans="1:30" s="309" customFormat="1" ht="12.75" customHeight="1" thickBot="1" x14ac:dyDescent="0.25">
      <c r="A72" s="306"/>
      <c r="B72" s="306"/>
      <c r="C72" s="321"/>
      <c r="D72" s="321"/>
      <c r="E72" s="1472"/>
      <c r="F72" s="311"/>
      <c r="G72" s="326" t="s">
        <v>74</v>
      </c>
      <c r="H72" s="359">
        <f>IF(ISBLANK(H71),0,Grunddaten!H123)</f>
        <v>0</v>
      </c>
      <c r="I72" s="617"/>
      <c r="J72" s="357" t="s">
        <v>86</v>
      </c>
      <c r="K72" s="330"/>
      <c r="L72" s="330"/>
      <c r="M72" s="1472"/>
      <c r="N72" s="311"/>
      <c r="O72" s="322"/>
      <c r="P72" s="311"/>
      <c r="Q72" s="311"/>
      <c r="R72" s="311"/>
      <c r="S72" s="332" t="s">
        <v>70</v>
      </c>
      <c r="T72" s="333"/>
      <c r="U72" s="334"/>
    </row>
    <row r="73" spans="1:30" s="309" customFormat="1" ht="12.75" customHeight="1" thickBot="1" x14ac:dyDescent="0.25">
      <c r="A73" s="306"/>
      <c r="B73" s="306"/>
      <c r="C73" s="321"/>
      <c r="D73" s="321"/>
      <c r="E73" s="1472"/>
      <c r="F73" s="311"/>
      <c r="G73" s="307"/>
      <c r="H73" s="307"/>
      <c r="I73" s="307"/>
      <c r="J73" s="307"/>
      <c r="K73" s="311"/>
      <c r="L73" s="311"/>
      <c r="M73" s="1472"/>
      <c r="N73" s="311"/>
      <c r="O73" s="322"/>
      <c r="P73" s="311"/>
      <c r="Q73" s="311"/>
      <c r="R73" s="311"/>
      <c r="S73" s="2253">
        <f>Projektdaten!K35</f>
        <v>0</v>
      </c>
      <c r="T73" s="2254"/>
      <c r="U73" s="335" t="s">
        <v>4</v>
      </c>
    </row>
    <row r="74" spans="1:30" s="309" customFormat="1" ht="12.75" customHeight="1" x14ac:dyDescent="0.2">
      <c r="A74" s="312"/>
      <c r="B74" s="312"/>
      <c r="C74" s="312"/>
      <c r="D74" s="312"/>
      <c r="E74" s="313">
        <f>M74</f>
        <v>0</v>
      </c>
      <c r="F74" s="318" t="s">
        <v>4</v>
      </c>
      <c r="G74" s="2309" t="s">
        <v>243</v>
      </c>
      <c r="H74" s="2309"/>
      <c r="I74" s="2309"/>
      <c r="J74" s="2309"/>
      <c r="K74" s="318"/>
      <c r="L74" s="318"/>
      <c r="M74" s="319"/>
      <c r="N74" s="315" t="s">
        <v>4</v>
      </c>
      <c r="O74" s="350"/>
      <c r="P74" s="311"/>
      <c r="Q74" s="311"/>
      <c r="R74" s="311"/>
      <c r="S74" s="307"/>
      <c r="T74" s="307"/>
      <c r="U74" s="307"/>
      <c r="X74" s="948" t="s">
        <v>484</v>
      </c>
      <c r="Y74" s="938"/>
      <c r="Z74" s="939"/>
      <c r="AA74" s="950" t="b">
        <f>IF(M74&lt;=(M61+M71),TRUE,FALSE)</f>
        <v>1</v>
      </c>
    </row>
    <row r="75" spans="1:30" s="309" customFormat="1" ht="6" customHeight="1" x14ac:dyDescent="0.2">
      <c r="A75" s="306"/>
      <c r="B75" s="306"/>
      <c r="C75" s="321"/>
      <c r="D75" s="321"/>
      <c r="E75" s="1472"/>
      <c r="F75" s="311"/>
      <c r="G75" s="307"/>
      <c r="H75" s="307"/>
      <c r="I75" s="307"/>
      <c r="J75" s="307"/>
      <c r="K75" s="311"/>
      <c r="L75" s="311"/>
      <c r="M75" s="1472"/>
      <c r="N75" s="311"/>
      <c r="O75" s="351"/>
      <c r="P75" s="311"/>
      <c r="Q75" s="311"/>
      <c r="R75" s="311"/>
      <c r="S75" s="307"/>
      <c r="T75" s="307"/>
      <c r="U75" s="307"/>
    </row>
    <row r="76" spans="1:30" s="309" customFormat="1" ht="15" customHeight="1" x14ac:dyDescent="0.2">
      <c r="A76" s="321"/>
      <c r="B76" s="321"/>
      <c r="C76" s="321"/>
      <c r="D76" s="321"/>
      <c r="E76" s="311"/>
      <c r="F76" s="311"/>
      <c r="G76" s="311"/>
      <c r="H76" s="311"/>
      <c r="I76" s="311"/>
      <c r="J76" s="311"/>
      <c r="K76" s="311"/>
      <c r="L76" s="311"/>
      <c r="M76" s="311"/>
      <c r="N76" s="311"/>
      <c r="O76" s="311"/>
      <c r="P76" s="311"/>
      <c r="Q76" s="311"/>
      <c r="R76" s="311"/>
    </row>
    <row r="77" spans="1:30" s="309" customFormat="1" ht="15" customHeight="1" x14ac:dyDescent="0.2">
      <c r="A77" s="1463" t="s">
        <v>53</v>
      </c>
      <c r="B77" s="1464"/>
      <c r="C77" s="1464"/>
      <c r="D77" s="1464"/>
      <c r="E77" s="1465"/>
      <c r="F77" s="1465"/>
      <c r="G77" s="1465"/>
      <c r="H77" s="1465"/>
      <c r="I77" s="1465"/>
      <c r="J77" s="1465"/>
      <c r="K77" s="1465"/>
      <c r="L77" s="1465"/>
      <c r="M77" s="1465"/>
      <c r="N77" s="1465"/>
      <c r="O77" s="1465"/>
      <c r="P77" s="1465"/>
      <c r="Q77" s="1465"/>
      <c r="R77" s="1465"/>
      <c r="S77" s="1465"/>
      <c r="T77" s="1465"/>
      <c r="U77" s="1465"/>
      <c r="X77" s="886" t="s">
        <v>89</v>
      </c>
      <c r="Y77" s="887"/>
      <c r="Z77" s="887"/>
      <c r="AA77" s="888"/>
      <c r="AB77" s="358"/>
      <c r="AC77" s="886" t="s">
        <v>90</v>
      </c>
      <c r="AD77" s="888"/>
    </row>
    <row r="78" spans="1:30" s="309" customFormat="1" ht="12.75" customHeight="1" x14ac:dyDescent="0.2">
      <c r="A78" s="1466" t="s">
        <v>54</v>
      </c>
      <c r="B78" s="2287"/>
      <c r="C78" s="2287"/>
      <c r="D78" s="2287"/>
      <c r="E78" s="2287"/>
      <c r="F78" s="2287"/>
      <c r="G78" s="1467" t="s">
        <v>57</v>
      </c>
      <c r="H78" s="2288"/>
      <c r="I78" s="2288"/>
      <c r="J78" s="1468"/>
      <c r="K78" s="1467"/>
      <c r="L78" s="1467" t="s">
        <v>58</v>
      </c>
      <c r="M78" s="1457"/>
      <c r="N78" s="1467" t="s">
        <v>59</v>
      </c>
      <c r="O78" s="2289"/>
      <c r="P78" s="2289"/>
      <c r="Q78" s="2289"/>
      <c r="R78" s="1467" t="s">
        <v>52</v>
      </c>
      <c r="S78" s="2290"/>
      <c r="T78" s="2290"/>
      <c r="U78" s="2290"/>
      <c r="X78" s="891" t="s">
        <v>60</v>
      </c>
      <c r="Y78" s="889"/>
      <c r="Z78" s="889"/>
      <c r="AA78" s="890"/>
      <c r="AB78" s="358"/>
      <c r="AC78" s="891" t="s">
        <v>62</v>
      </c>
      <c r="AD78" s="890"/>
    </row>
    <row r="79" spans="1:30" s="309" customFormat="1" ht="12.75" customHeight="1" x14ac:dyDescent="0.2">
      <c r="A79" s="1466" t="s">
        <v>55</v>
      </c>
      <c r="B79" s="2287"/>
      <c r="C79" s="2287"/>
      <c r="D79" s="2287"/>
      <c r="E79" s="2287"/>
      <c r="F79" s="2287"/>
      <c r="G79" s="1467" t="s">
        <v>57</v>
      </c>
      <c r="H79" s="2288"/>
      <c r="I79" s="2288"/>
      <c r="J79" s="1468"/>
      <c r="K79" s="1467"/>
      <c r="L79" s="1467" t="s">
        <v>58</v>
      </c>
      <c r="M79" s="1457"/>
      <c r="N79" s="1467" t="s">
        <v>59</v>
      </c>
      <c r="O79" s="2289"/>
      <c r="P79" s="2289"/>
      <c r="Q79" s="2289"/>
      <c r="R79" s="1467" t="s">
        <v>52</v>
      </c>
      <c r="S79" s="2290"/>
      <c r="T79" s="2290"/>
      <c r="U79" s="2290"/>
      <c r="X79" s="892" t="s">
        <v>61</v>
      </c>
      <c r="Y79" s="884"/>
      <c r="Z79" s="884"/>
      <c r="AA79" s="893"/>
      <c r="AB79" s="358"/>
      <c r="AC79" s="894" t="s">
        <v>63</v>
      </c>
      <c r="AD79" s="896"/>
    </row>
    <row r="80" spans="1:30" s="309" customFormat="1" ht="12.75" customHeight="1" x14ac:dyDescent="0.2">
      <c r="A80" s="1466" t="s">
        <v>56</v>
      </c>
      <c r="B80" s="2287"/>
      <c r="C80" s="2287"/>
      <c r="D80" s="2287"/>
      <c r="E80" s="2287"/>
      <c r="F80" s="2287"/>
      <c r="G80" s="1467" t="s">
        <v>57</v>
      </c>
      <c r="H80" s="2288"/>
      <c r="I80" s="2288"/>
      <c r="J80" s="1468"/>
      <c r="K80" s="1467"/>
      <c r="L80" s="1467" t="s">
        <v>58</v>
      </c>
      <c r="M80" s="1457"/>
      <c r="N80" s="1467" t="s">
        <v>59</v>
      </c>
      <c r="O80" s="2289"/>
      <c r="P80" s="2289"/>
      <c r="Q80" s="2289"/>
      <c r="R80" s="1467" t="s">
        <v>52</v>
      </c>
      <c r="S80" s="2290"/>
      <c r="T80" s="2290"/>
      <c r="U80" s="2290"/>
      <c r="X80" s="945" t="s">
        <v>663</v>
      </c>
      <c r="Y80" s="895"/>
      <c r="Z80" s="895"/>
      <c r="AA80" s="896"/>
      <c r="AB80" s="358"/>
      <c r="AC80" s="343"/>
      <c r="AD80" s="343"/>
    </row>
    <row r="83" spans="1:21" s="310" customFormat="1" ht="15" customHeight="1" x14ac:dyDescent="0.2">
      <c r="A83" s="960" t="s">
        <v>54</v>
      </c>
      <c r="B83" s="960" t="s">
        <v>130</v>
      </c>
      <c r="C83" s="2308">
        <f xml:space="preserve"> IF(S78=$AC$79,H78*M78*(O78+1)+(O78+1)^2/2*(H78+M78)*2,0)</f>
        <v>0</v>
      </c>
      <c r="D83" s="2308"/>
      <c r="E83" s="961" t="s">
        <v>711</v>
      </c>
      <c r="F83" s="961"/>
      <c r="G83" s="962"/>
      <c r="H83" s="963" t="s">
        <v>131</v>
      </c>
      <c r="I83" s="964">
        <f>H78*M78</f>
        <v>0</v>
      </c>
      <c r="J83" s="961" t="s">
        <v>712</v>
      </c>
      <c r="K83" s="965"/>
      <c r="L83" s="966" t="s">
        <v>132</v>
      </c>
      <c r="M83" s="961"/>
      <c r="N83" s="964">
        <f>H78*O78</f>
        <v>0</v>
      </c>
      <c r="O83" s="961" t="s">
        <v>712</v>
      </c>
      <c r="P83" s="961"/>
      <c r="Q83" s="961" t="s">
        <v>133</v>
      </c>
      <c r="R83" s="961"/>
      <c r="S83" s="964">
        <f>M78*O78</f>
        <v>0</v>
      </c>
      <c r="T83" s="961" t="s">
        <v>712</v>
      </c>
      <c r="U83" s="961"/>
    </row>
    <row r="84" spans="1:21" s="310" customFormat="1" ht="15" customHeight="1" x14ac:dyDescent="0.2">
      <c r="A84" s="960" t="s">
        <v>55</v>
      </c>
      <c r="B84" s="960" t="s">
        <v>130</v>
      </c>
      <c r="C84" s="2308">
        <f xml:space="preserve"> IF(S79=$AC$79,H79*M79*(O79+1)+(O79+1)^2/2*(H79+M79)*2,0)</f>
        <v>0</v>
      </c>
      <c r="D84" s="2308"/>
      <c r="E84" s="961" t="s">
        <v>711</v>
      </c>
      <c r="F84" s="961"/>
      <c r="G84" s="962"/>
      <c r="H84" s="963" t="s">
        <v>131</v>
      </c>
      <c r="I84" s="964">
        <f>H79*M79</f>
        <v>0</v>
      </c>
      <c r="J84" s="961" t="s">
        <v>712</v>
      </c>
      <c r="K84" s="965"/>
      <c r="L84" s="966" t="s">
        <v>132</v>
      </c>
      <c r="M84" s="961"/>
      <c r="N84" s="964">
        <f>H79*O79</f>
        <v>0</v>
      </c>
      <c r="O84" s="961" t="s">
        <v>712</v>
      </c>
      <c r="P84" s="961"/>
      <c r="Q84" s="961" t="s">
        <v>133</v>
      </c>
      <c r="R84" s="961"/>
      <c r="S84" s="964">
        <f>M79*O79</f>
        <v>0</v>
      </c>
      <c r="T84" s="961" t="s">
        <v>712</v>
      </c>
      <c r="U84" s="961"/>
    </row>
    <row r="85" spans="1:21" s="310" customFormat="1" ht="15" customHeight="1" x14ac:dyDescent="0.2">
      <c r="A85" s="960" t="s">
        <v>56</v>
      </c>
      <c r="B85" s="960" t="s">
        <v>130</v>
      </c>
      <c r="C85" s="2308">
        <f xml:space="preserve"> IF(S80=$AC$79,H80*M80*(O80+1)+(O80+1)^2/2*(H80+M80)*2,0)</f>
        <v>0</v>
      </c>
      <c r="D85" s="2308"/>
      <c r="E85" s="961" t="s">
        <v>711</v>
      </c>
      <c r="F85" s="961"/>
      <c r="G85" s="962"/>
      <c r="H85" s="963" t="s">
        <v>131</v>
      </c>
      <c r="I85" s="964">
        <f>H80*M80</f>
        <v>0</v>
      </c>
      <c r="J85" s="961" t="s">
        <v>712</v>
      </c>
      <c r="K85" s="965"/>
      <c r="L85" s="966" t="s">
        <v>132</v>
      </c>
      <c r="M85" s="961"/>
      <c r="N85" s="964">
        <f>H80*O80</f>
        <v>0</v>
      </c>
      <c r="O85" s="961" t="s">
        <v>712</v>
      </c>
      <c r="P85" s="961"/>
      <c r="Q85" s="961" t="s">
        <v>133</v>
      </c>
      <c r="R85" s="961"/>
      <c r="S85" s="964">
        <f>M80*O80</f>
        <v>0</v>
      </c>
      <c r="T85" s="961" t="s">
        <v>712</v>
      </c>
      <c r="U85" s="961"/>
    </row>
    <row r="88" spans="1:21" x14ac:dyDescent="0.2">
      <c r="B88" s="304"/>
      <c r="C88" s="304"/>
      <c r="D88" s="304"/>
    </row>
    <row r="89" spans="1:21" x14ac:dyDescent="0.2">
      <c r="B89" s="304"/>
      <c r="C89" s="304"/>
      <c r="D89" s="304"/>
    </row>
    <row r="90" spans="1:21" x14ac:dyDescent="0.2">
      <c r="B90" s="304"/>
      <c r="C90" s="304"/>
      <c r="D90" s="304"/>
    </row>
    <row r="91" spans="1:21" x14ac:dyDescent="0.2">
      <c r="B91" s="304"/>
      <c r="C91" s="304"/>
      <c r="D91" s="304"/>
    </row>
    <row r="92" spans="1:21" x14ac:dyDescent="0.2">
      <c r="B92" s="304"/>
      <c r="C92" s="304"/>
      <c r="D92" s="304"/>
    </row>
    <row r="93" spans="1:21" x14ac:dyDescent="0.2">
      <c r="B93" s="304"/>
      <c r="C93" s="304"/>
      <c r="D93" s="304"/>
    </row>
  </sheetData>
  <sheetProtection algorithmName="SHA-512" hashValue="UGw/h37K0c4Hpp5iizjWJYgfjUhacJwUiPtbKywuohuNofRVp59Iu1z+xg9UfJy+YVw5TP6RSwFtwSMXbocV6A==" saltValue="B5JvpPmxUhfXTBrH8folag==" spinCount="100000" sheet="1" objects="1" scenarios="1" selectLockedCells="1"/>
  <mergeCells count="86">
    <mergeCell ref="C83:D83"/>
    <mergeCell ref="C84:D84"/>
    <mergeCell ref="C85:D85"/>
    <mergeCell ref="B79:F79"/>
    <mergeCell ref="H79:I79"/>
    <mergeCell ref="O79:Q79"/>
    <mergeCell ref="S79:U79"/>
    <mergeCell ref="B80:F80"/>
    <mergeCell ref="H80:I80"/>
    <mergeCell ref="O80:Q80"/>
    <mergeCell ref="S80:U80"/>
    <mergeCell ref="S69:U71"/>
    <mergeCell ref="G70:J70"/>
    <mergeCell ref="H71:I71"/>
    <mergeCell ref="S73:T73"/>
    <mergeCell ref="B78:F78"/>
    <mergeCell ref="H78:I78"/>
    <mergeCell ref="O78:Q78"/>
    <mergeCell ref="S78:U78"/>
    <mergeCell ref="G74:J74"/>
    <mergeCell ref="A60:B60"/>
    <mergeCell ref="H60:I60"/>
    <mergeCell ref="T60:T68"/>
    <mergeCell ref="A61:B61"/>
    <mergeCell ref="G65:J65"/>
    <mergeCell ref="H66:I66"/>
    <mergeCell ref="S53:U53"/>
    <mergeCell ref="S49:T49"/>
    <mergeCell ref="H53:I53"/>
    <mergeCell ref="G59:J59"/>
    <mergeCell ref="X59:Y59"/>
    <mergeCell ref="Z52:AA52"/>
    <mergeCell ref="H37:I37"/>
    <mergeCell ref="G40:J40"/>
    <mergeCell ref="H41:I41"/>
    <mergeCell ref="A42:B42"/>
    <mergeCell ref="G44:J44"/>
    <mergeCell ref="H45:I45"/>
    <mergeCell ref="S43:U45"/>
    <mergeCell ref="G48:J48"/>
    <mergeCell ref="H49:I49"/>
    <mergeCell ref="S47:T47"/>
    <mergeCell ref="G52:J52"/>
    <mergeCell ref="S39:T39"/>
    <mergeCell ref="S40:U40"/>
    <mergeCell ref="A24:B24"/>
    <mergeCell ref="H24:I24"/>
    <mergeCell ref="A25:B25"/>
    <mergeCell ref="A36:B36"/>
    <mergeCell ref="G36:J36"/>
    <mergeCell ref="A27:B27"/>
    <mergeCell ref="G27:J27"/>
    <mergeCell ref="H28:I28"/>
    <mergeCell ref="A29:B29"/>
    <mergeCell ref="A30:B30"/>
    <mergeCell ref="A32:B32"/>
    <mergeCell ref="G32:J32"/>
    <mergeCell ref="H33:I33"/>
    <mergeCell ref="A20:B20"/>
    <mergeCell ref="H20:I20"/>
    <mergeCell ref="S21:T21"/>
    <mergeCell ref="P18:Q18"/>
    <mergeCell ref="G23:J23"/>
    <mergeCell ref="G19:J19"/>
    <mergeCell ref="W7:AB7"/>
    <mergeCell ref="J7:T7"/>
    <mergeCell ref="G9:J9"/>
    <mergeCell ref="G15:J15"/>
    <mergeCell ref="S15:U17"/>
    <mergeCell ref="H16:I16"/>
    <mergeCell ref="C7:F7"/>
    <mergeCell ref="S5:U5"/>
    <mergeCell ref="A9:B9"/>
    <mergeCell ref="S9:U9"/>
    <mergeCell ref="S36:T36"/>
    <mergeCell ref="P15:Q15"/>
    <mergeCell ref="P16:Q16"/>
    <mergeCell ref="P17:Q17"/>
    <mergeCell ref="P30:Q30"/>
    <mergeCell ref="P31:Q31"/>
    <mergeCell ref="P32:Q32"/>
    <mergeCell ref="S30:U32"/>
    <mergeCell ref="S34:T34"/>
    <mergeCell ref="P33:Q33"/>
    <mergeCell ref="A21:B21"/>
    <mergeCell ref="S19:T19"/>
  </mergeCells>
  <conditionalFormatting sqref="G15:J15 G16:G17 J16:J17">
    <cfRule type="expression" dxfId="1531" priority="326">
      <formula>$H$16&gt;0</formula>
    </cfRule>
  </conditionalFormatting>
  <conditionalFormatting sqref="G19:J19 G20 G21:H21 J20">
    <cfRule type="expression" dxfId="1530" priority="325">
      <formula>$H$20&gt;0</formula>
    </cfRule>
  </conditionalFormatting>
  <conditionalFormatting sqref="G23:J23 G24 J24 G25:H25">
    <cfRule type="expression" dxfId="1529" priority="324">
      <formula>$H$24&gt;0</formula>
    </cfRule>
  </conditionalFormatting>
  <conditionalFormatting sqref="G32:J32 G33 G34:H34 J33">
    <cfRule type="expression" dxfId="1528" priority="323">
      <formula>$H$33&gt;0</formula>
    </cfRule>
  </conditionalFormatting>
  <conditionalFormatting sqref="G36:J36 G37 G38:H38 J37">
    <cfRule type="expression" dxfId="1527" priority="322">
      <formula>$H$37&gt;0</formula>
    </cfRule>
  </conditionalFormatting>
  <conditionalFormatting sqref="G44:J44 G45 G46:H46 J45">
    <cfRule type="expression" dxfId="1526" priority="321">
      <formula>$H$45&gt;0</formula>
    </cfRule>
  </conditionalFormatting>
  <conditionalFormatting sqref="G70:G72 J71:J72 K71:N71">
    <cfRule type="expression" dxfId="1525" priority="320">
      <formula>$H$71&gt;0</formula>
    </cfRule>
  </conditionalFormatting>
  <conditionalFormatting sqref="R32 O47:O49 O51:O52 O43:O45 S30 O11:O41 O54 S33:U36 O58:O59">
    <cfRule type="expression" dxfId="1524" priority="318">
      <formula>$S$34&gt;0</formula>
    </cfRule>
  </conditionalFormatting>
  <conditionalFormatting sqref="S43:U49 Q41:Q57">
    <cfRule type="expression" dxfId="1523" priority="317">
      <formula>$S$47&gt;0</formula>
    </cfRule>
  </conditionalFormatting>
  <conditionalFormatting sqref="P71:R71 S69:U73 O61:O75">
    <cfRule type="expression" dxfId="1522" priority="316">
      <formula>$S$73&gt;0</formula>
    </cfRule>
  </conditionalFormatting>
  <conditionalFormatting sqref="B44:F44">
    <cfRule type="expression" dxfId="1521" priority="312">
      <formula>$B$44&lt;0</formula>
    </cfRule>
  </conditionalFormatting>
  <conditionalFormatting sqref="B48:F48">
    <cfRule type="expression" dxfId="1520" priority="311">
      <formula>$B$48&lt;0</formula>
    </cfRule>
  </conditionalFormatting>
  <conditionalFormatting sqref="G25:H25">
    <cfRule type="expression" dxfId="1519" priority="310">
      <formula>AND($H$24&gt;0,$J$25=0,$I$25=0)</formula>
    </cfRule>
  </conditionalFormatting>
  <conditionalFormatting sqref="G20:H20 J20">
    <cfRule type="expression" dxfId="1518" priority="309">
      <formula>AND($M$20&gt;0,$H$20=0)</formula>
    </cfRule>
  </conditionalFormatting>
  <conditionalFormatting sqref="G24:H24 J24">
    <cfRule type="expression" dxfId="1517" priority="308">
      <formula>AND($M$24&gt;0,$H$24=0)</formula>
    </cfRule>
  </conditionalFormatting>
  <conditionalFormatting sqref="G34:H34">
    <cfRule type="expression" dxfId="1516" priority="307">
      <formula>AND($H$33&gt;0,$J$34=0,$I$34=0)</formula>
    </cfRule>
  </conditionalFormatting>
  <conditionalFormatting sqref="G33:H33 J33">
    <cfRule type="expression" dxfId="1515" priority="306">
      <formula>AND($M$33&gt;0,$H$33=0)</formula>
    </cfRule>
  </conditionalFormatting>
  <conditionalFormatting sqref="G37:H37 J37">
    <cfRule type="expression" dxfId="1514" priority="305">
      <formula>AND($M$37&gt;0,$H$37=0)</formula>
    </cfRule>
  </conditionalFormatting>
  <conditionalFormatting sqref="G38:H38">
    <cfRule type="expression" dxfId="1513" priority="304">
      <formula>AND($H$37&gt;0,$J$38=0,$I$38=0)</formula>
    </cfRule>
  </conditionalFormatting>
  <conditionalFormatting sqref="G45:H45 J45">
    <cfRule type="expression" dxfId="1512" priority="303">
      <formula>AND($M$46&gt;0,$H$45=0)</formula>
    </cfRule>
  </conditionalFormatting>
  <conditionalFormatting sqref="G46:H46">
    <cfRule type="expression" dxfId="1511" priority="302">
      <formula>AND($H$45&gt;0,$J$46=0,$I$46=0)</formula>
    </cfRule>
  </conditionalFormatting>
  <conditionalFormatting sqref="G60:H60 J60">
    <cfRule type="expression" dxfId="1510" priority="301">
      <formula>AND($M$59&gt;0,$H$60=0)</formula>
    </cfRule>
  </conditionalFormatting>
  <conditionalFormatting sqref="G50:H50">
    <cfRule type="expression" dxfId="1509" priority="300">
      <formula>AND($H$49&gt;0,$J$50=0,$I$50=0)</formula>
    </cfRule>
  </conditionalFormatting>
  <conditionalFormatting sqref="G17 I17:J17">
    <cfRule type="expression" dxfId="1508" priority="299">
      <formula>AND($H$16&gt;0,$H$17=0,$I$17=0)</formula>
    </cfRule>
  </conditionalFormatting>
  <conditionalFormatting sqref="G72 J72">
    <cfRule type="expression" dxfId="1507" priority="298">
      <formula>AND($H$71&gt;0,$H$72=0,$I$72=0)</formula>
    </cfRule>
  </conditionalFormatting>
  <conditionalFormatting sqref="A44:F44">
    <cfRule type="expression" dxfId="1506" priority="295">
      <formula>$B$44&lt;&gt;0</formula>
    </cfRule>
  </conditionalFormatting>
  <conditionalFormatting sqref="A48:F48">
    <cfRule type="expression" dxfId="1505" priority="294">
      <formula>$B$48&lt;&gt;0</formula>
    </cfRule>
  </conditionalFormatting>
  <conditionalFormatting sqref="P59:Q59 S59:T59 T60">
    <cfRule type="expression" dxfId="1504" priority="293">
      <formula>$R$59&gt;0</formula>
    </cfRule>
  </conditionalFormatting>
  <conditionalFormatting sqref="K59:L59 N59">
    <cfRule type="expression" dxfId="1503" priority="292">
      <formula>$M$59&gt;0</formula>
    </cfRule>
  </conditionalFormatting>
  <conditionalFormatting sqref="C36:F36">
    <cfRule type="expression" dxfId="1502" priority="291">
      <formula>$E$36&gt;0</formula>
    </cfRule>
  </conditionalFormatting>
  <conditionalFormatting sqref="E36:F36">
    <cfRule type="expression" dxfId="1501" priority="290">
      <formula>AND($A$36="",$E$36&gt;0)</formula>
    </cfRule>
  </conditionalFormatting>
  <conditionalFormatting sqref="C32:F32">
    <cfRule type="expression" dxfId="1500" priority="289">
      <formula>$E$32&gt;0</formula>
    </cfRule>
  </conditionalFormatting>
  <conditionalFormatting sqref="E32:F32">
    <cfRule type="expression" dxfId="1499" priority="288">
      <formula>AND($A$32="",$E$32&gt;0)</formula>
    </cfRule>
  </conditionalFormatting>
  <conditionalFormatting sqref="A71:F71">
    <cfRule type="expression" dxfId="1498" priority="287">
      <formula>$H$71&gt;0</formula>
    </cfRule>
  </conditionalFormatting>
  <conditionalFormatting sqref="K33:L33 N33">
    <cfRule type="expression" dxfId="1497" priority="286">
      <formula>$M$33&gt;0</formula>
    </cfRule>
  </conditionalFormatting>
  <conditionalFormatting sqref="K44:L44 N44">
    <cfRule type="expression" dxfId="1496" priority="285">
      <formula>$M$44&gt;0</formula>
    </cfRule>
  </conditionalFormatting>
  <conditionalFormatting sqref="K48:L48 N48">
    <cfRule type="expression" dxfId="1495" priority="284">
      <formula>$M$48&gt;0</formula>
    </cfRule>
  </conditionalFormatting>
  <conditionalFormatting sqref="K24:L24 N24">
    <cfRule type="expression" dxfId="1494" priority="283">
      <formula>$M$24&gt;0</formula>
    </cfRule>
  </conditionalFormatting>
  <conditionalFormatting sqref="K20:L20 N20">
    <cfRule type="expression" dxfId="1493" priority="280">
      <formula>$M$20&gt;0</formula>
    </cfRule>
  </conditionalFormatting>
  <conditionalFormatting sqref="K16:N16">
    <cfRule type="expression" dxfId="1492" priority="277">
      <formula>$M$16&gt;0</formula>
    </cfRule>
  </conditionalFormatting>
  <conditionalFormatting sqref="A16:F16">
    <cfRule type="expression" dxfId="1491" priority="276">
      <formula>$H$16&gt;0</formula>
    </cfRule>
  </conditionalFormatting>
  <conditionalFormatting sqref="N11 A11:H11 J11:L11">
    <cfRule type="expression" dxfId="1490" priority="275">
      <formula>$M$11&gt;0</formula>
    </cfRule>
  </conditionalFormatting>
  <conditionalFormatting sqref="A52:F52">
    <cfRule type="expression" dxfId="1489" priority="272">
      <formula>$B$52&lt;&gt;0</formula>
    </cfRule>
  </conditionalFormatting>
  <conditionalFormatting sqref="G61:J61">
    <cfRule type="expression" dxfId="1488" priority="271">
      <formula>AND($H$60&gt;0,$I$61=0,$J$61=0)</formula>
    </cfRule>
  </conditionalFormatting>
  <conditionalFormatting sqref="K61:L61 N61 O61:O75">
    <cfRule type="expression" dxfId="1487" priority="270">
      <formula>$M$61&gt;0</formula>
    </cfRule>
  </conditionalFormatting>
  <conditionalFormatting sqref="D63:N63 C34:F34 C35 C37:C39 C45:C47 C49:C51 C41 C43 O61:O75 C53:C54 C62:C63 C57:C58">
    <cfRule type="expression" dxfId="1486" priority="269">
      <formula>$E$34&gt;0</formula>
    </cfRule>
  </conditionalFormatting>
  <conditionalFormatting sqref="D63:N63 C38:F38 C39 C45:C47 C49:C51 C41 C43 O61:O75 C53:C54 C62:C63 C57:C58">
    <cfRule type="expression" dxfId="1485" priority="268">
      <formula>$E$38&gt;0</formula>
    </cfRule>
  </conditionalFormatting>
  <conditionalFormatting sqref="D63:N63 C46:F46 C47 C49:C51 O61:O75 C53:C54 C62:C63 C57:C58">
    <cfRule type="expression" dxfId="1484" priority="267">
      <formula>$E$46&gt;0</formula>
    </cfRule>
  </conditionalFormatting>
  <conditionalFormatting sqref="D63:N63 C50:F50 C51 O61:O75 C53:C54 C62:C63 C57:C58">
    <cfRule type="expression" dxfId="1483" priority="266">
      <formula>$E$50&gt;0</formula>
    </cfRule>
  </conditionalFormatting>
  <conditionalFormatting sqref="D63:N63 C54:F54 O61:O75 C62:C63 C57:C58">
    <cfRule type="expression" dxfId="1482" priority="265">
      <formula>$E$54&gt;0</formula>
    </cfRule>
  </conditionalFormatting>
  <conditionalFormatting sqref="G59:J59 G60 G61:H61 J60">
    <cfRule type="expression" dxfId="1481" priority="262">
      <formula>$H$60&gt;0</formula>
    </cfRule>
  </conditionalFormatting>
  <conditionalFormatting sqref="G48:J48 G49 G50:H50 J49">
    <cfRule type="expression" dxfId="1480" priority="261">
      <formula>$H$49&gt;0</formula>
    </cfRule>
  </conditionalFormatting>
  <conditionalFormatting sqref="G49:H49 J49">
    <cfRule type="expression" dxfId="1479" priority="260">
      <formula>AND($M$50&gt;0,$H$49=0)</formula>
    </cfRule>
  </conditionalFormatting>
  <conditionalFormatting sqref="K50:L50 N50:P50">
    <cfRule type="expression" dxfId="1478" priority="259">
      <formula>$M$50&gt;0</formula>
    </cfRule>
  </conditionalFormatting>
  <conditionalFormatting sqref="N46:P46 K46:L46">
    <cfRule type="expression" dxfId="1477" priority="258">
      <formula>$M$46&gt;0</formula>
    </cfRule>
  </conditionalFormatting>
  <conditionalFormatting sqref="H21">
    <cfRule type="expression" dxfId="1476" priority="257">
      <formula>AND($H$20&gt;0,$J$21=0,$I$21=0)</formula>
    </cfRule>
  </conditionalFormatting>
  <conditionalFormatting sqref="N20">
    <cfRule type="expression" dxfId="1475" priority="256">
      <formula>AND($H$20&gt;0,$M$20=0)</formula>
    </cfRule>
  </conditionalFormatting>
  <conditionalFormatting sqref="N24">
    <cfRule type="expression" dxfId="1474" priority="255">
      <formula>AND($H$24&gt;0,$M$24=0)</formula>
    </cfRule>
  </conditionalFormatting>
  <conditionalFormatting sqref="N33">
    <cfRule type="expression" dxfId="1473" priority="254">
      <formula>AND($H$33&gt;0,$M$33=0)</formula>
    </cfRule>
  </conditionalFormatting>
  <conditionalFormatting sqref="K37:L37 N37">
    <cfRule type="expression" dxfId="1472" priority="253">
      <formula>$M$37&gt;0</formula>
    </cfRule>
  </conditionalFormatting>
  <conditionalFormatting sqref="N37">
    <cfRule type="expression" dxfId="1471" priority="252">
      <formula>AND($H$37&gt;0,$M$37=0)</formula>
    </cfRule>
  </conditionalFormatting>
  <conditionalFormatting sqref="N46">
    <cfRule type="expression" dxfId="1470" priority="251">
      <formula>AND($H$45&gt;0,$M$46=0)</formula>
    </cfRule>
  </conditionalFormatting>
  <conditionalFormatting sqref="N50">
    <cfRule type="expression" dxfId="1469" priority="250">
      <formula>AND($H$49&gt;0,$M$50=0)</formula>
    </cfRule>
  </conditionalFormatting>
  <conditionalFormatting sqref="N59">
    <cfRule type="expression" dxfId="1468" priority="249">
      <formula>AND(OR($H$60&gt;0,$M$61&gt;0),$M$59=0)</formula>
    </cfRule>
  </conditionalFormatting>
  <conditionalFormatting sqref="N61">
    <cfRule type="expression" dxfId="1467" priority="248">
      <formula>AND(OR($H$60&gt;0,$M$59&gt;0),$M$61=0)</formula>
    </cfRule>
  </conditionalFormatting>
  <conditionalFormatting sqref="J11 H11">
    <cfRule type="expression" dxfId="1466" priority="234">
      <formula>AND($M$11&gt;0,$I$11=0)</formula>
    </cfRule>
  </conditionalFormatting>
  <conditionalFormatting sqref="N74 A74:G74 K74:L74">
    <cfRule type="expression" dxfId="1465" priority="219">
      <formula>$M$74&lt;&gt;0</formula>
    </cfRule>
  </conditionalFormatting>
  <conditionalFormatting sqref="K28:L28 N28">
    <cfRule type="expression" dxfId="1464" priority="216">
      <formula>$M$28&gt;0</formula>
    </cfRule>
  </conditionalFormatting>
  <conditionalFormatting sqref="N28">
    <cfRule type="expression" dxfId="1463" priority="215">
      <formula>AND($H$28&gt;0,$M$28=0)</formula>
    </cfRule>
  </conditionalFormatting>
  <conditionalFormatting sqref="G40:J40 G41 G42:H42 J41">
    <cfRule type="expression" dxfId="1462" priority="204">
      <formula>$H$41&gt;0</formula>
    </cfRule>
  </conditionalFormatting>
  <conditionalFormatting sqref="G41:H41 J41">
    <cfRule type="expression" dxfId="1461" priority="203">
      <formula>AND($M$42&gt;0,$H$41=0)</formula>
    </cfRule>
  </conditionalFormatting>
  <conditionalFormatting sqref="G42:H42">
    <cfRule type="expression" dxfId="1460" priority="202">
      <formula>AND($H$41&gt;0,$J$42=0,$I$42=0)</formula>
    </cfRule>
  </conditionalFormatting>
  <conditionalFormatting sqref="N42:P42 K42:L42">
    <cfRule type="expression" dxfId="1459" priority="201">
      <formula>$M$42&gt;0</formula>
    </cfRule>
  </conditionalFormatting>
  <conditionalFormatting sqref="N42">
    <cfRule type="expression" dxfId="1458" priority="200">
      <formula>AND($H$41&gt;0,$M$42=0)</formula>
    </cfRule>
  </conditionalFormatting>
  <conditionalFormatting sqref="K40:L40 N40">
    <cfRule type="expression" dxfId="1457" priority="199">
      <formula>$M$40&gt;0</formula>
    </cfRule>
  </conditionalFormatting>
  <conditionalFormatting sqref="B40:F40">
    <cfRule type="expression" dxfId="1456" priority="198">
      <formula>$B$40&lt;0</formula>
    </cfRule>
  </conditionalFormatting>
  <conditionalFormatting sqref="A40:F40">
    <cfRule type="expression" dxfId="1455" priority="197">
      <formula>$B$40&lt;&gt;0</formula>
    </cfRule>
  </conditionalFormatting>
  <conditionalFormatting sqref="J50">
    <cfRule type="expression" dxfId="1454" priority="195">
      <formula>AND($H$45&gt;0,$J$46=0)</formula>
    </cfRule>
  </conditionalFormatting>
  <conditionalFormatting sqref="H17">
    <cfRule type="expression" dxfId="1453" priority="194">
      <formula>I17&lt;&gt;""</formula>
    </cfRule>
  </conditionalFormatting>
  <conditionalFormatting sqref="I21">
    <cfRule type="expression" dxfId="1452" priority="193">
      <formula>J21&lt;&gt;""</formula>
    </cfRule>
  </conditionalFormatting>
  <conditionalFormatting sqref="I25">
    <cfRule type="expression" dxfId="1451" priority="192">
      <formula>J25&lt;&gt;""</formula>
    </cfRule>
  </conditionalFormatting>
  <conditionalFormatting sqref="I42">
    <cfRule type="expression" dxfId="1450" priority="189">
      <formula>J42&lt;&gt;""</formula>
    </cfRule>
  </conditionalFormatting>
  <conditionalFormatting sqref="I61">
    <cfRule type="expression" dxfId="1449" priority="188">
      <formula>J61&lt;&gt;""</formula>
    </cfRule>
  </conditionalFormatting>
  <conditionalFormatting sqref="I72">
    <cfRule type="expression" dxfId="1448" priority="187">
      <formula>AND($H$60&gt;0,$J$61=0)</formula>
    </cfRule>
  </conditionalFormatting>
  <conditionalFormatting sqref="I46">
    <cfRule type="expression" dxfId="1447" priority="183">
      <formula>J46&lt;&gt;""</formula>
    </cfRule>
  </conditionalFormatting>
  <conditionalFormatting sqref="I50">
    <cfRule type="expression" dxfId="1446" priority="182">
      <formula>J50&lt;&gt;""</formula>
    </cfRule>
  </conditionalFormatting>
  <conditionalFormatting sqref="H72">
    <cfRule type="expression" dxfId="1445" priority="181">
      <formula>I72&lt;&gt;""</formula>
    </cfRule>
  </conditionalFormatting>
  <conditionalFormatting sqref="G52:J52 G53 J53 G54:H54">
    <cfRule type="expression" dxfId="1444" priority="176">
      <formula>$H$53&gt;0</formula>
    </cfRule>
  </conditionalFormatting>
  <conditionalFormatting sqref="G53:H53 J53">
    <cfRule type="expression" dxfId="1443" priority="175">
      <formula>AND($M$53&gt;0,$H$53=0)</formula>
    </cfRule>
  </conditionalFormatting>
  <conditionalFormatting sqref="G54:H54">
    <cfRule type="expression" dxfId="1442" priority="173">
      <formula>AND($H$53&gt;0,$J$54=0,$I$54=0)</formula>
    </cfRule>
  </conditionalFormatting>
  <conditionalFormatting sqref="I54">
    <cfRule type="expression" dxfId="1441" priority="172">
      <formula>J54&lt;&gt;""</formula>
    </cfRule>
  </conditionalFormatting>
  <conditionalFormatting sqref="N53:P53 K53:L53">
    <cfRule type="expression" dxfId="1440" priority="171">
      <formula>$M$53&gt;0</formula>
    </cfRule>
  </conditionalFormatting>
  <conditionalFormatting sqref="N53">
    <cfRule type="expression" dxfId="1439" priority="170">
      <formula>AND($H$53&gt;0,$M$53=0)</formula>
    </cfRule>
  </conditionalFormatting>
  <conditionalFormatting sqref="G27:J27 G28 G29:H29 J28">
    <cfRule type="expression" dxfId="1438" priority="164">
      <formula>$H$28&gt;0</formula>
    </cfRule>
  </conditionalFormatting>
  <conditionalFormatting sqref="G29:H29">
    <cfRule type="expression" dxfId="1437" priority="163">
      <formula>AND($H$28&gt;0,$J$29=0,$I$29=0)</formula>
    </cfRule>
  </conditionalFormatting>
  <conditionalFormatting sqref="G28:H28 J28">
    <cfRule type="expression" dxfId="1436" priority="162">
      <formula>AND($M$28&gt;0,$H$28=0)</formula>
    </cfRule>
  </conditionalFormatting>
  <conditionalFormatting sqref="I29">
    <cfRule type="expression" dxfId="1435" priority="106">
      <formula>J29&lt;&gt;""</formula>
    </cfRule>
  </conditionalFormatting>
  <conditionalFormatting sqref="I34">
    <cfRule type="expression" dxfId="1434" priority="105">
      <formula>J34&lt;&gt;""</formula>
    </cfRule>
  </conditionalFormatting>
  <conditionalFormatting sqref="I38">
    <cfRule type="expression" dxfId="1433" priority="104">
      <formula>J38&lt;&gt;""</formula>
    </cfRule>
  </conditionalFormatting>
  <conditionalFormatting sqref="C42:F42">
    <cfRule type="expression" dxfId="1432" priority="103">
      <formula>$E$42&gt;0</formula>
    </cfRule>
  </conditionalFormatting>
  <conditionalFormatting sqref="E42:F42">
    <cfRule type="expression" dxfId="1431" priority="102">
      <formula>AND($A$42="",$M$42&gt;0)</formula>
    </cfRule>
  </conditionalFormatting>
  <conditionalFormatting sqref="A68:N68">
    <cfRule type="expression" dxfId="1430" priority="101">
      <formula>$M$68&lt;0</formula>
    </cfRule>
  </conditionalFormatting>
  <conditionalFormatting sqref="A68:H68 J68:N68">
    <cfRule type="expression" dxfId="1429" priority="100">
      <formula>$M$68&lt;&gt;0</formula>
    </cfRule>
  </conditionalFormatting>
  <conditionalFormatting sqref="R17 O47:O49 O51:O52 O43:O45 O11:O41 O54 S15:U21 O58:O59">
    <cfRule type="expression" dxfId="1428" priority="946">
      <formula>$S$19&gt;0</formula>
    </cfRule>
  </conditionalFormatting>
  <conditionalFormatting sqref="G66 J66">
    <cfRule type="expression" dxfId="1427" priority="95">
      <formula>AND($M$66&gt;0,$H$66=0)</formula>
    </cfRule>
  </conditionalFormatting>
  <conditionalFormatting sqref="N66 K66:L66">
    <cfRule type="expression" dxfId="1426" priority="93">
      <formula>($M$66&gt;0)</formula>
    </cfRule>
  </conditionalFormatting>
  <conditionalFormatting sqref="N66">
    <cfRule type="expression" dxfId="1425" priority="94">
      <formula>AND($H$66&gt;0,$M$66=0)</formula>
    </cfRule>
  </conditionalFormatting>
  <conditionalFormatting sqref="G65:J65 G66 J66">
    <cfRule type="expression" dxfId="1424" priority="92">
      <formula>($H$66&gt;0)</formula>
    </cfRule>
  </conditionalFormatting>
  <conditionalFormatting sqref="S38:S39">
    <cfRule type="expression" dxfId="1423" priority="88">
      <formula>($S$19+$S$34)=0</formula>
    </cfRule>
    <cfRule type="expression" dxfId="1422" priority="89">
      <formula>AND($S$39&gt;0.99,$S$39&lt;1.01)</formula>
    </cfRule>
  </conditionalFormatting>
  <conditionalFormatting sqref="S40">
    <cfRule type="expression" dxfId="1421" priority="87">
      <formula>AND($S$39&gt;0.99,$S$39&lt;1.01)</formula>
    </cfRule>
  </conditionalFormatting>
  <conditionalFormatting sqref="S53">
    <cfRule type="expression" dxfId="1420" priority="81">
      <formula>AND($S$52&gt;0.99,$S$52&lt;1.01)</formula>
    </cfRule>
  </conditionalFormatting>
  <conditionalFormatting sqref="S51:S52 S54 S58">
    <cfRule type="expression" dxfId="1419" priority="1137">
      <formula>$S$47=0</formula>
    </cfRule>
    <cfRule type="expression" dxfId="1418" priority="1138">
      <formula>AND($S$52&gt;0.99,$S$52&lt;1.01)</formula>
    </cfRule>
  </conditionalFormatting>
  <conditionalFormatting sqref="M74">
    <cfRule type="expression" dxfId="1417" priority="75">
      <formula>$M$74&gt;SUM($M$61,$M$71)</formula>
    </cfRule>
  </conditionalFormatting>
  <conditionalFormatting sqref="N13 J13:L13 A13:H13">
    <cfRule type="expression" dxfId="1416" priority="74">
      <formula>$M$13&gt;0</formula>
    </cfRule>
  </conditionalFormatting>
  <conditionalFormatting sqref="J13 H13">
    <cfRule type="expression" dxfId="1415" priority="73">
      <formula>AND($M$13&gt;0,$I$13=0)</formula>
    </cfRule>
  </conditionalFormatting>
  <conditionalFormatting sqref="O10">
    <cfRule type="expression" dxfId="1414" priority="71">
      <formula>$S$34&gt;0</formula>
    </cfRule>
  </conditionalFormatting>
  <conditionalFormatting sqref="O10">
    <cfRule type="expression" dxfId="1413" priority="72">
      <formula>$S$19&gt;0</formula>
    </cfRule>
  </conditionalFormatting>
  <conditionalFormatting sqref="N11">
    <cfRule type="expression" dxfId="1412" priority="70">
      <formula>AND($I$11&gt;0,$M$11=0)</formula>
    </cfRule>
  </conditionalFormatting>
  <conditionalFormatting sqref="N13">
    <cfRule type="expression" dxfId="1411" priority="69">
      <formula>AND($I$13&gt;0,$M$13=0)</formula>
    </cfRule>
  </conditionalFormatting>
  <conditionalFormatting sqref="H56 J56">
    <cfRule type="expression" dxfId="1410" priority="65">
      <formula>AND($M$56&gt;0,$I$56=0)</formula>
    </cfRule>
  </conditionalFormatting>
  <conditionalFormatting sqref="A56:H56 J56:L56 N56:P56">
    <cfRule type="expression" dxfId="1409" priority="59">
      <formula>$M$56&gt;0</formula>
    </cfRule>
  </conditionalFormatting>
  <conditionalFormatting sqref="N56">
    <cfRule type="expression" dxfId="1408" priority="51">
      <formula>AND($I$56&gt;0,$M$56=0)</formula>
    </cfRule>
  </conditionalFormatting>
  <conditionalFormatting sqref="C55">
    <cfRule type="expression" dxfId="1407" priority="50">
      <formula>$E$34&gt;0</formula>
    </cfRule>
  </conditionalFormatting>
  <conditionalFormatting sqref="C55">
    <cfRule type="expression" dxfId="1406" priority="49">
      <formula>$E$38&gt;0</formula>
    </cfRule>
  </conditionalFormatting>
  <conditionalFormatting sqref="C55">
    <cfRule type="expression" dxfId="1405" priority="48">
      <formula>$E$46&gt;0</formula>
    </cfRule>
  </conditionalFormatting>
  <conditionalFormatting sqref="C55">
    <cfRule type="expression" dxfId="1404" priority="47">
      <formula>$E$50&gt;0</formula>
    </cfRule>
  </conditionalFormatting>
  <conditionalFormatting sqref="C55">
    <cfRule type="expression" dxfId="1403" priority="46">
      <formula>$E$54&gt;0</formula>
    </cfRule>
  </conditionalFormatting>
  <conditionalFormatting sqref="H68 J68">
    <cfRule type="expression" dxfId="1402" priority="45">
      <formula>AND($M$68&gt;0,$I$68=0)</formula>
    </cfRule>
  </conditionalFormatting>
  <conditionalFormatting sqref="C20:F20">
    <cfRule type="expression" dxfId="1401" priority="36">
      <formula>$E$20&gt;0</formula>
    </cfRule>
  </conditionalFormatting>
  <conditionalFormatting sqref="E20:F20">
    <cfRule type="expression" dxfId="1400" priority="42">
      <formula>AND($A$20="",$E$20&gt;0)</formula>
    </cfRule>
  </conditionalFormatting>
  <conditionalFormatting sqref="C27:F27">
    <cfRule type="expression" dxfId="1399" priority="41">
      <formula>$E$27&gt;0</formula>
    </cfRule>
  </conditionalFormatting>
  <conditionalFormatting sqref="E27:F27">
    <cfRule type="expression" dxfId="1398" priority="40">
      <formula>AND($A$27="",$E$27&gt;0)</formula>
    </cfRule>
  </conditionalFormatting>
  <conditionalFormatting sqref="A21:C21">
    <cfRule type="expression" dxfId="1397" priority="39">
      <formula>$A$20=$X$36</formula>
    </cfRule>
  </conditionalFormatting>
  <conditionalFormatting sqref="D20">
    <cfRule type="expression" dxfId="1396" priority="38">
      <formula>$A$20=$X$36</formula>
    </cfRule>
    <cfRule type="expression" dxfId="1395" priority="43">
      <formula>$E$20&gt;0</formula>
    </cfRule>
  </conditionalFormatting>
  <conditionalFormatting sqref="E21">
    <cfRule type="expression" dxfId="1394" priority="44">
      <formula>$A$20=$X$36</formula>
    </cfRule>
  </conditionalFormatting>
  <conditionalFormatting sqref="D21">
    <cfRule type="expression" dxfId="1393" priority="37">
      <formula>$A$20=$X$36</formula>
    </cfRule>
  </conditionalFormatting>
  <conditionalFormatting sqref="A21:C21 E21">
    <cfRule type="expression" dxfId="1392" priority="35">
      <formula>$E$21&gt;0</formula>
    </cfRule>
  </conditionalFormatting>
  <conditionalFormatting sqref="C24:F24">
    <cfRule type="expression" dxfId="1391" priority="28">
      <formula>$E$24&gt;0</formula>
    </cfRule>
  </conditionalFormatting>
  <conditionalFormatting sqref="E24:F24">
    <cfRule type="expression" dxfId="1390" priority="32">
      <formula>AND($A$24="",$E$24&gt;0)</formula>
    </cfRule>
  </conditionalFormatting>
  <conditionalFormatting sqref="A25:C25">
    <cfRule type="expression" dxfId="1389" priority="31">
      <formula>$A$24=$X$36</formula>
    </cfRule>
  </conditionalFormatting>
  <conditionalFormatting sqref="D24">
    <cfRule type="expression" dxfId="1388" priority="30">
      <formula>$A$24=$X$36</formula>
    </cfRule>
    <cfRule type="expression" dxfId="1387" priority="33">
      <formula>$E$24&gt;0</formula>
    </cfRule>
  </conditionalFormatting>
  <conditionalFormatting sqref="E25">
    <cfRule type="expression" dxfId="1386" priority="34">
      <formula>$A$24=$X$36</formula>
    </cfRule>
  </conditionalFormatting>
  <conditionalFormatting sqref="D25">
    <cfRule type="expression" dxfId="1385" priority="29">
      <formula>$A$24=$X$36</formula>
    </cfRule>
  </conditionalFormatting>
  <conditionalFormatting sqref="A25:C25 E25">
    <cfRule type="expression" dxfId="1384" priority="27">
      <formula>$E$25&gt;0</formula>
    </cfRule>
  </conditionalFormatting>
  <conditionalFormatting sqref="A29:F29">
    <cfRule type="expression" dxfId="1383" priority="20">
      <formula>$E$29&gt;0</formula>
    </cfRule>
  </conditionalFormatting>
  <conditionalFormatting sqref="E29:F29">
    <cfRule type="expression" dxfId="1382" priority="24">
      <formula>AND($A$29="",$E$29&gt;0)</formula>
    </cfRule>
  </conditionalFormatting>
  <conditionalFormatting sqref="A30:C30">
    <cfRule type="expression" dxfId="1381" priority="23">
      <formula>$A$29=$X$36</formula>
    </cfRule>
  </conditionalFormatting>
  <conditionalFormatting sqref="D29">
    <cfRule type="expression" dxfId="1380" priority="22">
      <formula>$A$29=$X$36</formula>
    </cfRule>
    <cfRule type="expression" dxfId="1379" priority="25">
      <formula>$E$29&gt;0</formula>
    </cfRule>
  </conditionalFormatting>
  <conditionalFormatting sqref="E30">
    <cfRule type="expression" dxfId="1378" priority="26">
      <formula>$A$29=$X$36</formula>
    </cfRule>
  </conditionalFormatting>
  <conditionalFormatting sqref="D30">
    <cfRule type="expression" dxfId="1377" priority="21">
      <formula>$A$29=$X$36</formula>
    </cfRule>
  </conditionalFormatting>
  <conditionalFormatting sqref="A30:C30 E30">
    <cfRule type="expression" dxfId="1376" priority="19">
      <formula>$E$30&gt;0</formula>
    </cfRule>
  </conditionalFormatting>
  <conditionalFormatting sqref="C59">
    <cfRule type="expression" dxfId="1375" priority="18">
      <formula>$E$34&gt;0</formula>
    </cfRule>
  </conditionalFormatting>
  <conditionalFormatting sqref="C59">
    <cfRule type="expression" dxfId="1374" priority="17">
      <formula>$E$38&gt;0</formula>
    </cfRule>
  </conditionalFormatting>
  <conditionalFormatting sqref="C59">
    <cfRule type="expression" dxfId="1373" priority="16">
      <formula>$E$46&gt;0</formula>
    </cfRule>
  </conditionalFormatting>
  <conditionalFormatting sqref="C59">
    <cfRule type="expression" dxfId="1372" priority="15">
      <formula>$E$50&gt;0</formula>
    </cfRule>
  </conditionalFormatting>
  <conditionalFormatting sqref="C59">
    <cfRule type="expression" dxfId="1371" priority="14">
      <formula>$E$54&gt;0</formula>
    </cfRule>
  </conditionalFormatting>
  <conditionalFormatting sqref="C61">
    <cfRule type="expression" dxfId="1370" priority="13">
      <formula>$E$34&gt;0</formula>
    </cfRule>
  </conditionalFormatting>
  <conditionalFormatting sqref="C61">
    <cfRule type="expression" dxfId="1369" priority="12">
      <formula>$E$38&gt;0</formula>
    </cfRule>
  </conditionalFormatting>
  <conditionalFormatting sqref="C61">
    <cfRule type="expression" dxfId="1368" priority="11">
      <formula>$E$46&gt;0</formula>
    </cfRule>
  </conditionalFormatting>
  <conditionalFormatting sqref="C61">
    <cfRule type="expression" dxfId="1367" priority="10">
      <formula>$E$50&gt;0</formula>
    </cfRule>
  </conditionalFormatting>
  <conditionalFormatting sqref="C61">
    <cfRule type="expression" dxfId="1366" priority="9">
      <formula>$E$54&gt;0</formula>
    </cfRule>
  </conditionalFormatting>
  <conditionalFormatting sqref="C60:F60">
    <cfRule type="expression" dxfId="1365" priority="2">
      <formula>$E$60&gt;0</formula>
    </cfRule>
  </conditionalFormatting>
  <conditionalFormatting sqref="E60:F60">
    <cfRule type="expression" dxfId="1364" priority="6">
      <formula>AND($A$60="",$E$60&gt;0)</formula>
    </cfRule>
  </conditionalFormatting>
  <conditionalFormatting sqref="A61:C61">
    <cfRule type="expression" dxfId="1363" priority="5">
      <formula>$A$60=$X$36</formula>
    </cfRule>
  </conditionalFormatting>
  <conditionalFormatting sqref="D60">
    <cfRule type="expression" dxfId="1362" priority="4">
      <formula>$A$60=$X$36</formula>
    </cfRule>
    <cfRule type="expression" dxfId="1361" priority="7">
      <formula>$E$60&gt;0</formula>
    </cfRule>
  </conditionalFormatting>
  <conditionalFormatting sqref="E61">
    <cfRule type="expression" dxfId="1360" priority="8">
      <formula>$A$60=$X$36</formula>
    </cfRule>
  </conditionalFormatting>
  <conditionalFormatting sqref="D61">
    <cfRule type="expression" dxfId="1359" priority="3">
      <formula>$A$60=$X$36</formula>
    </cfRule>
  </conditionalFormatting>
  <conditionalFormatting sqref="A61:C61 E61">
    <cfRule type="expression" dxfId="1358" priority="1">
      <formula>$E$61&gt;0</formula>
    </cfRule>
  </conditionalFormatting>
  <dataValidations count="19">
    <dataValidation type="custom" allowBlank="1" showInputMessage="1" showErrorMessage="1" errorTitle="Netzrückspeisung zu hoch" error="Die Netzrückspeisung darf nicht grösser sein als die Summe der mit WKK und Solarstromanlage erzeugten Elektrizität." sqref="M74" xr:uid="{00000000-0002-0000-0600-000000000000}">
      <formula1>AA74</formula1>
    </dataValidation>
    <dataValidation type="list" allowBlank="1" showInputMessage="1" showErrorMessage="1" sqref="B78:E80" xr:uid="{00000000-0002-0000-0600-000001000000}">
      <formula1>$X$78:$X$80</formula1>
    </dataValidation>
    <dataValidation type="list" allowBlank="1" showInputMessage="1" showErrorMessage="1" sqref="S78:S80" xr:uid="{00000000-0002-0000-0600-000002000000}">
      <formula1>$AC$78:$AC$79</formula1>
    </dataValidation>
    <dataValidation type="decimal" allowBlank="1" showInputMessage="1" showErrorMessage="1" error="Wert muss zwischen 400 und 1'500 liegen" sqref="I72" xr:uid="{00000000-0002-0000-0600-000003000000}">
      <formula1>400</formula1>
      <formula2>1500</formula2>
    </dataValidation>
    <dataValidation type="decimal" allowBlank="1" showInputMessage="1" showErrorMessage="1" error="Wert muss zwischen 2.0 und 8.0 liegen" sqref="J34 J38 J29" xr:uid="{00000000-0002-0000-0600-000004000000}">
      <formula1>2</formula1>
      <formula2>8</formula2>
    </dataValidation>
    <dataValidation type="decimal" allowBlank="1" showInputMessage="1" showErrorMessage="1" error="Wert muss zwischen 1.5 und 8.0 liegen" sqref="J46 J50" xr:uid="{00000000-0002-0000-0600-000005000000}">
      <formula1>1.5</formula1>
      <formula2>8</formula2>
    </dataValidation>
    <dataValidation type="decimal" showInputMessage="1" showErrorMessage="1" error="Wert muss im Bereich 5 ... 100% liegen" sqref="C29 C24 C20 C60" xr:uid="{00000000-0002-0000-0600-000006000000}">
      <formula1>0.05</formula1>
      <formula2>1</formula2>
    </dataValidation>
    <dataValidation type="decimal" allowBlank="1" showErrorMessage="1" error="Wert muss zwischen 0.5 und 1.0 liegen" prompt="Wert muss zwischen 0.5 und 1.0 liegen" sqref="J61" xr:uid="{00000000-0002-0000-0600-000007000000}">
      <formula1>0.5</formula1>
      <formula2>1</formula2>
    </dataValidation>
    <dataValidation type="decimal" allowBlank="1" showInputMessage="1" showErrorMessage="1" error="Wert muss zwischen 200 und 800 liegen" sqref="I17" xr:uid="{00000000-0002-0000-0600-000008000000}">
      <formula1>200</formula1>
      <formula2>800</formula2>
    </dataValidation>
    <dataValidation type="decimal" allowBlank="1" showInputMessage="1" showErrorMessage="1" error="Wert muss zwischen 0.5 und 1.0 liegen" sqref="J21 J25" xr:uid="{00000000-0002-0000-0600-000009000000}">
      <formula1>0.5</formula1>
      <formula2>1</formula2>
    </dataValidation>
    <dataValidation type="decimal" allowBlank="1" showInputMessage="1" showErrorMessage="1" error="Wert muss zwischen 5 und 100 liegen" sqref="J54" xr:uid="{00000000-0002-0000-0600-00000A000000}">
      <formula1>5</formula1>
      <formula2>100</formula2>
    </dataValidation>
    <dataValidation type="decimal" allowBlank="1" showInputMessage="1" showErrorMessage="1" error="Wert muss zwischen 0.3 und 1.5 liegen" sqref="J42" xr:uid="{00000000-0002-0000-0600-00000B000000}">
      <formula1>0.3</formula1>
      <formula2>1.5</formula2>
    </dataValidation>
    <dataValidation type="list" allowBlank="1" showInputMessage="1" showErrorMessage="1" sqref="A32:B32 A36:B36 A27:B27" xr:uid="{00000000-0002-0000-0600-00000C000000}">
      <formula1>$X$13:$X$17</formula1>
    </dataValidation>
    <dataValidation type="list" allowBlank="1" showInputMessage="1" showErrorMessage="1" sqref="A42:B42" xr:uid="{00000000-0002-0000-0600-00000D000000}">
      <formula1>$X$20:$X$21</formula1>
    </dataValidation>
    <dataValidation type="decimal" operator="greaterThanOrEqual" allowBlank="1" showInputMessage="1" showErrorMessage="1" sqref="I11 I13 H16:I16 H20:I20 H24:I24 H28:I28 H33:I33 H37:I37 H41:I41 H45:I45 H49:I49 H53:I53 H60:I60 H66:I66 I68 H71:I71 I56" xr:uid="{00000000-0002-0000-0600-00000E000000}">
      <formula1>0</formula1>
    </dataValidation>
    <dataValidation type="list" allowBlank="1" showInputMessage="1" showErrorMessage="1" promptTitle="Biogas" prompt="Bei Wahl &quot;Erdgas&quot; kann der Biogas-Anteil (0..100%) eingegeben werden" sqref="A20:B20 A24:B24 A60:B60" xr:uid="{00000000-0002-0000-0600-00000F000000}">
      <formula1>$X$34:$X$38</formula1>
    </dataValidation>
    <dataValidation showInputMessage="1" sqref="D20 D29 D24 D60" xr:uid="{00000000-0002-0000-0600-000010000000}"/>
    <dataValidation type="decimal" allowBlank="1" showInputMessage="1" showErrorMessage="1" errorTitle="Eingabe unzulässig" error="Wert muss im Bereich 0% ... 100% liegen" promptTitle="Biogas-Anteil Energie 360°" prompt="Erdgas von Energie 360° enthält standardmässig 25% Biogas" sqref="D61 D30 D21 D25" xr:uid="{00000000-0002-0000-0600-000011000000}">
      <formula1>0</formula1>
      <formula2>1</formula2>
    </dataValidation>
    <dataValidation allowBlank="1" showErrorMessage="1" promptTitle="Biogas" prompt="Bei Wahl &quot;Erdgas&quot; kann der Biogas-Anteil (0..100%) eingegeben werden" sqref="A29:B29" xr:uid="{00000000-0002-0000-0600-000012000000}"/>
  </dataValidations>
  <hyperlinks>
    <hyperlink ref="I2" location="Neu_in_Version" display="i" xr:uid="{00000000-0004-0000-0600-000000000000}"/>
  </hyperlinks>
  <printOptions horizontalCentered="1"/>
  <pageMargins left="0.59055118110236227" right="0.59055118110236227" top="0.39370078740157483" bottom="0.59055118110236227" header="0.39370078740157483" footer="0.31496062992125984"/>
  <pageSetup paperSize="9" scale="74" orientation="portrait" r:id="rId1"/>
  <headerFooter scaleWithDoc="0">
    <oddFooter>&amp;L&amp;8Druckdatum  &amp;D&amp;C&amp;8&amp;F/&amp;A&amp;R&amp;8Seite &amp;P / &amp;N</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7" id="{E8B9DB20-BF2C-4114-BBA0-C95886014ED4}">
            <xm:f>EV_Var1!$S$34&gt;0</xm:f>
            <x14:dxf>
              <fill>
                <patternFill>
                  <bgColor theme="9" tint="0.39994506668294322"/>
                </patternFill>
              </fill>
            </x14:dxf>
          </x14:cfRule>
          <xm:sqref>O55</xm:sqref>
        </x14:conditionalFormatting>
        <x14:conditionalFormatting xmlns:xm="http://schemas.microsoft.com/office/excel/2006/main">
          <x14:cfRule type="expression" priority="66" id="{79589CD0-C7D0-48C5-BE4B-4DAE8C4E1626}">
            <xm:f>EV_Var1!$S$19&gt;0</xm:f>
            <x14:dxf>
              <fill>
                <patternFill>
                  <bgColor theme="9" tint="0.39994506668294322"/>
                </patternFill>
              </fill>
            </x14:dxf>
          </x14:cfRule>
          <xm:sqref>O55</xm:sqref>
        </x14:conditionalFormatting>
        <x14:conditionalFormatting xmlns:xm="http://schemas.microsoft.com/office/excel/2006/main">
          <x14:cfRule type="expression" priority="53" id="{04496708-D406-41EC-BED0-125CEE461D76}">
            <xm:f>EV_Var1!$S$34&gt;0</xm:f>
            <x14:dxf>
              <fill>
                <patternFill>
                  <bgColor theme="9" tint="0.39994506668294322"/>
                </patternFill>
              </fill>
            </x14:dxf>
          </x14:cfRule>
          <xm:sqref>O57</xm:sqref>
        </x14:conditionalFormatting>
        <x14:conditionalFormatting xmlns:xm="http://schemas.microsoft.com/office/excel/2006/main">
          <x14:cfRule type="expression" priority="52" id="{4C6D6BE8-75EB-4255-A4C0-D60877959C97}">
            <xm:f>EV_Var1!$S$19&gt;0</xm:f>
            <x14:dxf>
              <fill>
                <patternFill>
                  <bgColor theme="9" tint="0.39994506668294322"/>
                </patternFill>
              </fill>
            </x14:dxf>
          </x14:cfRule>
          <xm:sqref>O57</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theme="5" tint="0.39997558519241921"/>
  </sheetPr>
  <dimension ref="A1:AD93"/>
  <sheetViews>
    <sheetView showGridLines="0" showZeros="0" zoomScaleNormal="100" zoomScaleSheetLayoutView="100" workbookViewId="0">
      <selection activeCell="C7" sqref="C7:F7"/>
    </sheetView>
  </sheetViews>
  <sheetFormatPr baseColWidth="10" defaultColWidth="9.28515625" defaultRowHeight="12.75" x14ac:dyDescent="0.2"/>
  <cols>
    <col min="1" max="1" width="4" style="305" customWidth="1"/>
    <col min="2" max="2" width="9.140625" style="305" customWidth="1"/>
    <col min="3" max="3" width="2.5703125" style="305" customWidth="1"/>
    <col min="4" max="4" width="4.85546875" style="305" customWidth="1"/>
    <col min="5" max="5" width="9.7109375" style="304" customWidth="1"/>
    <col min="6" max="6" width="7.7109375" style="304" customWidth="1"/>
    <col min="7" max="7" width="10.140625" style="304" customWidth="1"/>
    <col min="8" max="9" width="6.42578125" style="304" customWidth="1"/>
    <col min="10" max="10" width="7" style="304" customWidth="1"/>
    <col min="11" max="12" width="2.5703125" style="304" customWidth="1"/>
    <col min="13" max="13" width="9.7109375" style="304" customWidth="1"/>
    <col min="14" max="14" width="7.7109375" style="304" customWidth="1"/>
    <col min="15" max="15" width="2.5703125" style="304" customWidth="1"/>
    <col min="16" max="16" width="3.7109375" style="304" customWidth="1"/>
    <col min="17" max="17" width="2.5703125" style="304" customWidth="1"/>
    <col min="18" max="18" width="7.7109375" style="304" customWidth="1"/>
    <col min="19" max="19" width="6.7109375" style="304" customWidth="1"/>
    <col min="20" max="20" width="2.5703125" style="304" customWidth="1"/>
    <col min="21" max="21" width="6.7109375" style="304" customWidth="1"/>
    <col min="22" max="22" width="7.7109375" style="304" customWidth="1"/>
    <col min="23" max="23" width="9.28515625" style="304"/>
    <col min="24" max="30" width="9.28515625" style="304" customWidth="1"/>
    <col min="31" max="16384" width="9.28515625" style="304"/>
  </cols>
  <sheetData>
    <row r="1" spans="1:28" s="1570" customFormat="1" ht="54" customHeight="1" x14ac:dyDescent="0.2">
      <c r="D1" s="1556"/>
      <c r="E1" s="1556"/>
      <c r="F1" s="1556"/>
      <c r="G1" s="1556"/>
      <c r="H1" s="67"/>
      <c r="I1" s="67"/>
      <c r="J1" s="67"/>
      <c r="K1" s="67"/>
      <c r="L1" s="67"/>
      <c r="M1" s="67"/>
      <c r="N1" s="67"/>
      <c r="O1" s="67"/>
      <c r="P1" s="67"/>
      <c r="Q1" s="67"/>
    </row>
    <row r="2" spans="1:28" s="1570" customFormat="1" ht="15" customHeight="1" x14ac:dyDescent="0.25">
      <c r="A2" s="1565" t="str">
        <f>CONCATENATE("Variantenvergleich Energiesysteme - Version ",Versionsinfo!$B$4)</f>
        <v>Variantenvergleich Energiesysteme - Version 3.0</v>
      </c>
      <c r="B2" s="716"/>
      <c r="C2" s="716"/>
      <c r="D2" s="717"/>
      <c r="E2" s="717"/>
      <c r="F2" s="717"/>
      <c r="G2" s="718"/>
      <c r="H2" s="651"/>
      <c r="I2" s="652" t="s">
        <v>586</v>
      </c>
      <c r="N2" s="67"/>
      <c r="O2" s="67"/>
      <c r="P2" s="67"/>
      <c r="Q2" s="67"/>
      <c r="V2" s="1376"/>
    </row>
    <row r="3" spans="1:28" s="425" customFormat="1" ht="12.75" customHeight="1" x14ac:dyDescent="0.2">
      <c r="A3" s="1557" t="s">
        <v>781</v>
      </c>
      <c r="D3" s="427"/>
      <c r="E3" s="427"/>
      <c r="F3" s="427"/>
      <c r="G3" s="427"/>
      <c r="J3" s="428"/>
      <c r="K3" s="428"/>
      <c r="L3" s="428"/>
      <c r="M3" s="429"/>
      <c r="N3" s="903">
        <f>Projektdaten!$C$8</f>
        <v>0</v>
      </c>
      <c r="O3" s="903"/>
      <c r="P3" s="903"/>
      <c r="Q3" s="903"/>
      <c r="R3" s="903"/>
      <c r="S3" s="903"/>
      <c r="T3" s="903"/>
      <c r="U3" s="906"/>
      <c r="V3" s="428"/>
    </row>
    <row r="4" spans="1:28" s="425" customFormat="1" ht="16.5" customHeight="1" x14ac:dyDescent="0.2">
      <c r="A4" s="430"/>
      <c r="N4" s="903">
        <f>Projektdaten!$J$8</f>
        <v>0</v>
      </c>
      <c r="O4" s="903"/>
      <c r="P4" s="904"/>
      <c r="Q4" s="905"/>
      <c r="R4" s="905"/>
      <c r="S4" s="905"/>
      <c r="T4" s="905"/>
      <c r="U4" s="907"/>
    </row>
    <row r="5" spans="1:28" s="432" customFormat="1" ht="16.5" customHeight="1" x14ac:dyDescent="0.25">
      <c r="A5" s="1566" t="s">
        <v>33</v>
      </c>
      <c r="B5" s="431"/>
      <c r="C5" s="431"/>
      <c r="D5" s="431"/>
      <c r="F5" s="1566" t="s">
        <v>19</v>
      </c>
      <c r="H5" s="433"/>
      <c r="I5" s="433"/>
      <c r="J5" s="600"/>
      <c r="K5" s="600"/>
      <c r="L5" s="600"/>
      <c r="M5" s="600"/>
      <c r="N5" s="1435" t="str">
        <f>CONCATENATE("Version: ",Projektdaten!$F$13)</f>
        <v>Version: 1</v>
      </c>
      <c r="O5" s="1435"/>
      <c r="P5" s="1435"/>
      <c r="Q5" s="1435"/>
      <c r="R5" s="1435"/>
      <c r="S5" s="2199">
        <f ca="1">Projektdaten!$F$15</f>
        <v>45372</v>
      </c>
      <c r="T5" s="2199"/>
      <c r="U5" s="2199"/>
    </row>
    <row r="6" spans="1:28" s="1570" customFormat="1" ht="13.5" customHeight="1" x14ac:dyDescent="0.2"/>
    <row r="7" spans="1:28" s="425" customFormat="1" ht="15" customHeight="1" x14ac:dyDescent="0.2">
      <c r="A7" s="434"/>
      <c r="B7" s="1567" t="s">
        <v>472</v>
      </c>
      <c r="C7" s="2276"/>
      <c r="D7" s="2276"/>
      <c r="E7" s="2276"/>
      <c r="F7" s="2276"/>
      <c r="G7" s="436"/>
      <c r="H7" s="436"/>
      <c r="I7" s="1568" t="s">
        <v>782</v>
      </c>
      <c r="J7" s="2282"/>
      <c r="K7" s="2283"/>
      <c r="L7" s="2283"/>
      <c r="M7" s="2283"/>
      <c r="N7" s="2283"/>
      <c r="O7" s="2283"/>
      <c r="P7" s="2283"/>
      <c r="Q7" s="2283"/>
      <c r="R7" s="2283"/>
      <c r="S7" s="2283"/>
      <c r="T7" s="2283"/>
      <c r="U7" s="437"/>
      <c r="W7" s="2281" t="s">
        <v>162</v>
      </c>
      <c r="X7" s="2281"/>
      <c r="Y7" s="2281"/>
      <c r="Z7" s="2281"/>
      <c r="AA7" s="2281"/>
      <c r="AB7" s="2281"/>
    </row>
    <row r="8" spans="1:28" s="309" customFormat="1" ht="13.5" customHeight="1" x14ac:dyDescent="0.2">
      <c r="A8" s="308"/>
      <c r="B8" s="308"/>
      <c r="C8" s="308"/>
      <c r="D8" s="308"/>
    </row>
    <row r="9" spans="1:28" s="309" customFormat="1" ht="12.75" customHeight="1" x14ac:dyDescent="0.2">
      <c r="A9" s="2259" t="s">
        <v>726</v>
      </c>
      <c r="B9" s="2259"/>
      <c r="C9" s="308"/>
      <c r="D9" s="308"/>
      <c r="E9" s="1471" t="s">
        <v>120</v>
      </c>
      <c r="G9" s="2317" t="s">
        <v>198</v>
      </c>
      <c r="H9" s="2317"/>
      <c r="I9" s="2317"/>
      <c r="J9" s="2317"/>
      <c r="M9" s="1471" t="s">
        <v>121</v>
      </c>
      <c r="S9" s="2259" t="s">
        <v>727</v>
      </c>
      <c r="T9" s="2259"/>
      <c r="U9" s="2259"/>
    </row>
    <row r="10" spans="1:28" s="309" customFormat="1" ht="6" customHeight="1" x14ac:dyDescent="0.2">
      <c r="A10" s="1469"/>
      <c r="B10" s="306"/>
      <c r="C10" s="308"/>
      <c r="D10" s="308"/>
      <c r="E10" s="307"/>
      <c r="G10" s="307"/>
      <c r="H10" s="307"/>
      <c r="I10" s="307"/>
      <c r="J10" s="307"/>
      <c r="M10" s="307"/>
      <c r="N10" s="311"/>
      <c r="O10" s="320"/>
      <c r="Q10" s="308"/>
      <c r="R10" s="308"/>
      <c r="S10" s="307"/>
      <c r="T10" s="307"/>
      <c r="U10" s="307"/>
    </row>
    <row r="11" spans="1:28" s="309" customFormat="1" ht="12.75" customHeight="1" x14ac:dyDescent="0.2">
      <c r="A11" s="499" t="s">
        <v>35</v>
      </c>
      <c r="B11" s="312"/>
      <c r="C11" s="312"/>
      <c r="D11" s="312"/>
      <c r="E11" s="313">
        <f>M11</f>
        <v>0</v>
      </c>
      <c r="F11" s="314" t="s">
        <v>4</v>
      </c>
      <c r="G11" s="315"/>
      <c r="H11" s="500" t="s">
        <v>235</v>
      </c>
      <c r="I11" s="316"/>
      <c r="J11" s="317" t="s">
        <v>51</v>
      </c>
      <c r="K11" s="318"/>
      <c r="L11" s="318"/>
      <c r="M11" s="319"/>
      <c r="N11" s="318" t="s">
        <v>4</v>
      </c>
      <c r="O11" s="322"/>
      <c r="P11" s="311"/>
      <c r="Q11" s="311"/>
      <c r="R11" s="311"/>
      <c r="S11" s="307"/>
      <c r="T11" s="307"/>
      <c r="U11" s="307"/>
    </row>
    <row r="12" spans="1:28" s="309" customFormat="1" ht="12.75" customHeight="1" x14ac:dyDescent="0.2">
      <c r="A12" s="306"/>
      <c r="B12" s="306"/>
      <c r="C12" s="321"/>
      <c r="D12" s="321"/>
      <c r="E12" s="307"/>
      <c r="F12" s="311"/>
      <c r="G12" s="307"/>
      <c r="H12" s="307"/>
      <c r="I12" s="307"/>
      <c r="J12" s="307"/>
      <c r="K12" s="311"/>
      <c r="L12" s="311"/>
      <c r="M12" s="307"/>
      <c r="N12" s="311"/>
      <c r="O12" s="322"/>
      <c r="P12" s="311"/>
      <c r="Q12" s="311"/>
      <c r="R12" s="311"/>
      <c r="S12" s="307"/>
      <c r="T12" s="307"/>
      <c r="U12" s="307"/>
      <c r="X12" s="886" t="s">
        <v>451</v>
      </c>
      <c r="Y12" s="887"/>
      <c r="Z12" s="887"/>
      <c r="AA12" s="888"/>
    </row>
    <row r="13" spans="1:28" s="309" customFormat="1" ht="12.75" customHeight="1" x14ac:dyDescent="0.2">
      <c r="A13" s="654" t="str">
        <f>Grunddaten!C55</f>
        <v>Wärmeverbund XY</v>
      </c>
      <c r="B13" s="312"/>
      <c r="C13" s="312"/>
      <c r="D13" s="312"/>
      <c r="E13" s="313">
        <f>M13</f>
        <v>0</v>
      </c>
      <c r="F13" s="314" t="s">
        <v>4</v>
      </c>
      <c r="G13" s="315"/>
      <c r="H13" s="500" t="s">
        <v>235</v>
      </c>
      <c r="I13" s="316"/>
      <c r="J13" s="317" t="s">
        <v>51</v>
      </c>
      <c r="K13" s="318"/>
      <c r="L13" s="318"/>
      <c r="M13" s="319"/>
      <c r="N13" s="318" t="s">
        <v>4</v>
      </c>
      <c r="O13" s="322"/>
      <c r="P13" s="311"/>
      <c r="Q13" s="311"/>
      <c r="R13" s="311"/>
      <c r="S13" s="307"/>
      <c r="T13" s="307"/>
      <c r="U13" s="307"/>
      <c r="X13" s="891" t="s">
        <v>67</v>
      </c>
      <c r="Y13" s="889"/>
      <c r="Z13" s="889"/>
      <c r="AA13" s="890"/>
    </row>
    <row r="14" spans="1:28" s="309" customFormat="1" ht="12.75" customHeight="1" thickBot="1" x14ac:dyDescent="0.25">
      <c r="A14" s="306"/>
      <c r="B14" s="306"/>
      <c r="C14" s="321"/>
      <c r="D14" s="321"/>
      <c r="E14" s="307"/>
      <c r="F14" s="311"/>
      <c r="G14" s="307"/>
      <c r="H14" s="307"/>
      <c r="I14" s="307"/>
      <c r="J14" s="307"/>
      <c r="K14" s="311"/>
      <c r="L14" s="311"/>
      <c r="M14" s="307"/>
      <c r="N14" s="311"/>
      <c r="O14" s="322"/>
      <c r="P14" s="311"/>
      <c r="Q14" s="311"/>
      <c r="R14" s="311"/>
      <c r="S14" s="307"/>
      <c r="T14" s="307"/>
      <c r="U14" s="307"/>
      <c r="X14" s="892" t="s">
        <v>68</v>
      </c>
      <c r="Y14" s="884"/>
      <c r="Z14" s="884"/>
      <c r="AA14" s="893"/>
    </row>
    <row r="15" spans="1:28" s="309" customFormat="1" ht="12.75" customHeight="1" x14ac:dyDescent="0.2">
      <c r="A15" s="306"/>
      <c r="B15" s="306"/>
      <c r="C15" s="321"/>
      <c r="D15" s="321"/>
      <c r="E15" s="307"/>
      <c r="F15" s="311"/>
      <c r="G15" s="2299" t="s">
        <v>72</v>
      </c>
      <c r="H15" s="2300"/>
      <c r="I15" s="2300"/>
      <c r="J15" s="2301"/>
      <c r="K15" s="407"/>
      <c r="L15" s="407"/>
      <c r="M15" s="307"/>
      <c r="N15" s="311"/>
      <c r="O15" s="322"/>
      <c r="P15" s="2261" t="s">
        <v>528</v>
      </c>
      <c r="Q15" s="2262"/>
      <c r="R15" s="311"/>
      <c r="S15" s="2299" t="s">
        <v>66</v>
      </c>
      <c r="T15" s="2300"/>
      <c r="U15" s="2301"/>
      <c r="X15" s="892" t="s">
        <v>69</v>
      </c>
      <c r="Y15" s="884"/>
      <c r="Z15" s="884"/>
      <c r="AA15" s="893"/>
    </row>
    <row r="16" spans="1:28" s="309" customFormat="1" ht="12.75" customHeight="1" x14ac:dyDescent="0.2">
      <c r="A16" s="313" t="s">
        <v>76</v>
      </c>
      <c r="B16" s="313"/>
      <c r="C16" s="313"/>
      <c r="D16" s="313"/>
      <c r="E16" s="313"/>
      <c r="F16" s="323"/>
      <c r="G16" s="324" t="s">
        <v>73</v>
      </c>
      <c r="H16" s="2284"/>
      <c r="I16" s="2258"/>
      <c r="J16" s="325" t="s">
        <v>75</v>
      </c>
      <c r="K16" s="313"/>
      <c r="L16" s="313"/>
      <c r="M16" s="313">
        <f>H16*IF(ISBLANK(I17),H17,I17)</f>
        <v>0</v>
      </c>
      <c r="N16" s="318" t="s">
        <v>4</v>
      </c>
      <c r="O16" s="322"/>
      <c r="P16" s="2263" t="s">
        <v>527</v>
      </c>
      <c r="Q16" s="2264"/>
      <c r="R16" s="311"/>
      <c r="S16" s="2302"/>
      <c r="T16" s="2303"/>
      <c r="U16" s="2304"/>
      <c r="X16" s="892" t="s">
        <v>78</v>
      </c>
      <c r="Y16" s="884"/>
      <c r="Z16" s="884"/>
      <c r="AA16" s="893"/>
    </row>
    <row r="17" spans="1:27" s="309" customFormat="1" ht="12.75" customHeight="1" thickBot="1" x14ac:dyDescent="0.25">
      <c r="A17" s="306"/>
      <c r="B17" s="306"/>
      <c r="C17" s="321"/>
      <c r="D17" s="321"/>
      <c r="E17" s="1472"/>
      <c r="F17" s="311"/>
      <c r="G17" s="326" t="s">
        <v>74</v>
      </c>
      <c r="H17" s="359">
        <f>IF(ISBLANK(H16),0,Grunddaten!H122)</f>
        <v>0</v>
      </c>
      <c r="I17" s="328"/>
      <c r="J17" s="329" t="s">
        <v>77</v>
      </c>
      <c r="K17" s="330"/>
      <c r="L17" s="330"/>
      <c r="M17" s="1472"/>
      <c r="N17" s="311"/>
      <c r="O17" s="331"/>
      <c r="P17" s="2260"/>
      <c r="Q17" s="2260"/>
      <c r="R17" s="323"/>
      <c r="S17" s="2305"/>
      <c r="T17" s="2306"/>
      <c r="U17" s="2307"/>
      <c r="X17" s="894" t="str">
        <f>Grunddaten!$C$55</f>
        <v>Wärmeverbund XY</v>
      </c>
      <c r="Y17" s="895"/>
      <c r="Z17" s="895"/>
      <c r="AA17" s="896"/>
    </row>
    <row r="18" spans="1:27" s="309" customFormat="1" ht="12.75" customHeight="1" thickBot="1" x14ac:dyDescent="0.25">
      <c r="A18" s="306"/>
      <c r="B18" s="306"/>
      <c r="C18" s="321"/>
      <c r="D18" s="321"/>
      <c r="E18" s="307"/>
      <c r="F18" s="311"/>
      <c r="G18" s="307"/>
      <c r="H18" s="307"/>
      <c r="I18" s="307"/>
      <c r="J18" s="307"/>
      <c r="K18" s="311"/>
      <c r="L18" s="311"/>
      <c r="M18" s="307"/>
      <c r="N18" s="311"/>
      <c r="O18" s="322"/>
      <c r="P18" s="2267" t="s">
        <v>555</v>
      </c>
      <c r="Q18" s="2268"/>
      <c r="R18" s="311"/>
      <c r="S18" s="611" t="s">
        <v>70</v>
      </c>
      <c r="T18" s="333"/>
      <c r="U18" s="334"/>
    </row>
    <row r="19" spans="1:27" s="309" customFormat="1" ht="12.75" customHeight="1" x14ac:dyDescent="0.2">
      <c r="A19" s="435"/>
      <c r="B19" s="435"/>
      <c r="C19" s="450"/>
      <c r="D19" s="450"/>
      <c r="E19" s="436"/>
      <c r="F19" s="441"/>
      <c r="G19" s="2299" t="s">
        <v>47</v>
      </c>
      <c r="H19" s="2300"/>
      <c r="I19" s="2300"/>
      <c r="J19" s="2301"/>
      <c r="K19" s="407"/>
      <c r="L19" s="407"/>
      <c r="M19" s="307"/>
      <c r="N19" s="311"/>
      <c r="O19" s="322"/>
      <c r="P19" s="441"/>
      <c r="Q19" s="441"/>
      <c r="R19" s="311"/>
      <c r="S19" s="2250">
        <f>Projektdaten!K29</f>
        <v>0</v>
      </c>
      <c r="T19" s="2251"/>
      <c r="U19" s="610" t="s">
        <v>4</v>
      </c>
      <c r="X19" s="886" t="s">
        <v>450</v>
      </c>
      <c r="Y19" s="887"/>
      <c r="Z19" s="887"/>
      <c r="AA19" s="888"/>
    </row>
    <row r="20" spans="1:27" s="309" customFormat="1" ht="12.75" customHeight="1" x14ac:dyDescent="0.2">
      <c r="A20" s="2252"/>
      <c r="B20" s="2252"/>
      <c r="C20" s="501"/>
      <c r="D20" s="501">
        <f>IF(A20=$X$36,1-D21,1)</f>
        <v>1</v>
      </c>
      <c r="E20" s="443">
        <f>IF(M20,M20/IF(ISBLANK(J21),I21,J21)*D20,0)</f>
        <v>0</v>
      </c>
      <c r="F20" s="448" t="s">
        <v>4</v>
      </c>
      <c r="G20" s="324" t="s">
        <v>50</v>
      </c>
      <c r="H20" s="2258"/>
      <c r="I20" s="2258"/>
      <c r="J20" s="336" t="s">
        <v>51</v>
      </c>
      <c r="K20" s="313"/>
      <c r="L20" s="313"/>
      <c r="M20" s="319"/>
      <c r="N20" s="318" t="s">
        <v>4</v>
      </c>
      <c r="O20" s="322"/>
      <c r="P20" s="441"/>
      <c r="Q20" s="441"/>
      <c r="R20" s="311"/>
      <c r="S20" s="606" t="s">
        <v>526</v>
      </c>
      <c r="T20" s="607"/>
      <c r="U20" s="608"/>
      <c r="X20" s="891" t="s">
        <v>35</v>
      </c>
      <c r="Y20" s="889"/>
      <c r="Z20" s="889"/>
      <c r="AA20" s="890"/>
    </row>
    <row r="21" spans="1:27" s="309" customFormat="1" ht="12.75" customHeight="1" thickBot="1" x14ac:dyDescent="0.25">
      <c r="A21" s="2269" t="str">
        <f>IF(A20=$X$36,Berechnungen!$A$34,"")</f>
        <v/>
      </c>
      <c r="B21" s="2269"/>
      <c r="C21" s="496"/>
      <c r="D21" s="1591">
        <v>0.25</v>
      </c>
      <c r="E21" s="1438">
        <f>IF(AND(M20&gt;0,A20=$X$36),M20/IF(ISBLANK(J21),I21,J21)*D21,0)</f>
        <v>0</v>
      </c>
      <c r="F21" s="441"/>
      <c r="G21" s="337"/>
      <c r="H21" s="338" t="s">
        <v>46</v>
      </c>
      <c r="I21" s="327">
        <f>IF(ISBLANK(H20),0,IFERROR(HLOOKUP(A20,Grunddaten!H121:Y125,4,FALSE),Grunddaten!H124))</f>
        <v>0</v>
      </c>
      <c r="J21" s="339"/>
      <c r="K21" s="330"/>
      <c r="L21" s="330"/>
      <c r="M21" s="1472"/>
      <c r="N21" s="311"/>
      <c r="O21" s="322"/>
      <c r="P21" s="441"/>
      <c r="Q21" s="441"/>
      <c r="R21" s="311"/>
      <c r="S21" s="2253">
        <f>S19*(1+P17)</f>
        <v>0</v>
      </c>
      <c r="T21" s="2254"/>
      <c r="U21" s="463" t="s">
        <v>4</v>
      </c>
      <c r="X21" s="894" t="s">
        <v>452</v>
      </c>
      <c r="Y21" s="895"/>
      <c r="Z21" s="895"/>
      <c r="AA21" s="896"/>
    </row>
    <row r="22" spans="1:27" s="309" customFormat="1" ht="12.75" customHeight="1" thickBot="1" x14ac:dyDescent="0.25">
      <c r="A22" s="435"/>
      <c r="B22" s="435"/>
      <c r="C22" s="450"/>
      <c r="D22" s="450"/>
      <c r="E22" s="436"/>
      <c r="F22" s="441"/>
      <c r="G22" s="307"/>
      <c r="H22" s="307"/>
      <c r="I22" s="307"/>
      <c r="J22" s="307"/>
      <c r="K22" s="311"/>
      <c r="L22" s="311"/>
      <c r="M22" s="307"/>
      <c r="N22" s="311"/>
      <c r="O22" s="322"/>
      <c r="P22" s="441"/>
      <c r="Q22" s="441"/>
      <c r="R22" s="311"/>
      <c r="S22" s="307"/>
      <c r="T22" s="1479"/>
      <c r="U22" s="307"/>
      <c r="X22" s="343"/>
      <c r="Y22" s="343"/>
      <c r="Z22" s="343"/>
      <c r="AA22" s="343"/>
    </row>
    <row r="23" spans="1:27" s="309" customFormat="1" ht="12.75" customHeight="1" x14ac:dyDescent="0.2">
      <c r="A23" s="435"/>
      <c r="B23" s="435"/>
      <c r="C23" s="450"/>
      <c r="D23" s="450"/>
      <c r="E23" s="436"/>
      <c r="F23" s="441"/>
      <c r="G23" s="2299" t="s">
        <v>48</v>
      </c>
      <c r="H23" s="2300"/>
      <c r="I23" s="2300"/>
      <c r="J23" s="2301"/>
      <c r="K23" s="407"/>
      <c r="L23" s="407"/>
      <c r="M23" s="307"/>
      <c r="N23" s="311"/>
      <c r="O23" s="322"/>
      <c r="P23" s="441"/>
      <c r="Q23" s="441"/>
      <c r="R23" s="311"/>
      <c r="S23" s="307"/>
      <c r="T23" s="307"/>
      <c r="U23" s="307"/>
      <c r="X23" s="937" t="s">
        <v>515</v>
      </c>
      <c r="Y23" s="938"/>
      <c r="Z23" s="938"/>
      <c r="AA23" s="939"/>
    </row>
    <row r="24" spans="1:27" s="309" customFormat="1" ht="12.75" customHeight="1" x14ac:dyDescent="0.2">
      <c r="A24" s="2252"/>
      <c r="B24" s="2252"/>
      <c r="C24" s="501"/>
      <c r="D24" s="501">
        <f>IF(A24=$X$36,1-D25,1)</f>
        <v>1</v>
      </c>
      <c r="E24" s="443">
        <f>IF(M24,M24/IF(ISBLANK(J25),I25,J25)*D24,0)</f>
        <v>0</v>
      </c>
      <c r="F24" s="448" t="s">
        <v>4</v>
      </c>
      <c r="G24" s="324" t="s">
        <v>50</v>
      </c>
      <c r="H24" s="2258"/>
      <c r="I24" s="2258"/>
      <c r="J24" s="336" t="s">
        <v>51</v>
      </c>
      <c r="K24" s="313"/>
      <c r="L24" s="313"/>
      <c r="M24" s="319"/>
      <c r="N24" s="318" t="s">
        <v>4</v>
      </c>
      <c r="O24" s="322"/>
      <c r="P24" s="441"/>
      <c r="Q24" s="441"/>
      <c r="R24" s="311"/>
      <c r="S24" s="307"/>
      <c r="T24" s="307"/>
      <c r="U24" s="307"/>
      <c r="X24" s="940" t="str">
        <f>G27</f>
        <v>Gasmotorwärmepumpe</v>
      </c>
      <c r="Y24" s="941"/>
      <c r="Z24" s="941"/>
      <c r="AA24" s="942">
        <f>ROUND(IF(E27=0,0,H28*(1-1/IF(ISBLANK(J29),I29,J29))),0)</f>
        <v>0</v>
      </c>
    </row>
    <row r="25" spans="1:27" s="309" customFormat="1" ht="12.75" customHeight="1" thickBot="1" x14ac:dyDescent="0.25">
      <c r="A25" s="2269" t="str">
        <f>IF(A24=$X$36,Berechnungen!$A$34,"")</f>
        <v/>
      </c>
      <c r="B25" s="2269"/>
      <c r="C25" s="496"/>
      <c r="D25" s="1591">
        <v>0.25</v>
      </c>
      <c r="E25" s="1438">
        <f>IF(AND(M24&gt;0,A24=$X$36),M24/IF(ISBLANK(J25),I25,J25)*D25,0)</f>
        <v>0</v>
      </c>
      <c r="F25" s="441"/>
      <c r="G25" s="337"/>
      <c r="H25" s="338" t="s">
        <v>46</v>
      </c>
      <c r="I25" s="327">
        <f>IF(ISBLANK(H24),0,IFERROR(HLOOKUP(A24,Grunddaten!H121:Y125,4,FALSE),Grunddaten!H124))</f>
        <v>0</v>
      </c>
      <c r="J25" s="339"/>
      <c r="K25" s="330"/>
      <c r="L25" s="330"/>
      <c r="M25" s="1472"/>
      <c r="N25" s="311"/>
      <c r="O25" s="322"/>
      <c r="P25" s="441"/>
      <c r="Q25" s="441"/>
      <c r="R25" s="311"/>
      <c r="S25" s="307"/>
      <c r="T25" s="307"/>
      <c r="U25" s="307"/>
      <c r="X25" s="943" t="str">
        <f>G32</f>
        <v>Wärmepumpe 1</v>
      </c>
      <c r="Y25" s="885"/>
      <c r="Z25" s="885"/>
      <c r="AA25" s="944">
        <f>ROUND(IF(E32=0,0,H33*(1-1/IF(ISBLANK(J34),I34,J34))),0)</f>
        <v>0</v>
      </c>
    </row>
    <row r="26" spans="1:27" s="309" customFormat="1" ht="12.75" customHeight="1" thickBot="1" x14ac:dyDescent="0.25">
      <c r="A26" s="1445"/>
      <c r="B26" s="1445"/>
      <c r="C26" s="340"/>
      <c r="D26" s="340"/>
      <c r="E26" s="1439"/>
      <c r="F26" s="441"/>
      <c r="G26" s="307"/>
      <c r="H26" s="307"/>
      <c r="I26" s="307"/>
      <c r="J26" s="307"/>
      <c r="K26" s="330"/>
      <c r="L26" s="330"/>
      <c r="M26" s="1472"/>
      <c r="N26" s="311"/>
      <c r="O26" s="322"/>
      <c r="P26" s="441"/>
      <c r="Q26" s="441"/>
      <c r="R26" s="311"/>
      <c r="S26" s="307"/>
      <c r="T26" s="307"/>
      <c r="U26" s="307"/>
      <c r="X26" s="945" t="str">
        <f>G36</f>
        <v>Wärmepumpe 2</v>
      </c>
      <c r="Y26" s="946"/>
      <c r="Z26" s="946"/>
      <c r="AA26" s="947">
        <f>ROUND(IF(E36=0,0,H37*(1-1/IF(ISBLANK(J38),I38,J38))),0)</f>
        <v>0</v>
      </c>
    </row>
    <row r="27" spans="1:27" s="309" customFormat="1" ht="12.75" customHeight="1" x14ac:dyDescent="0.2">
      <c r="A27" s="2252"/>
      <c r="B27" s="2252"/>
      <c r="C27" s="467"/>
      <c r="D27" s="577"/>
      <c r="E27" s="468">
        <f>M28-E29-E30</f>
        <v>0</v>
      </c>
      <c r="F27" s="448" t="s">
        <v>4</v>
      </c>
      <c r="G27" s="2299" t="s">
        <v>244</v>
      </c>
      <c r="H27" s="2300"/>
      <c r="I27" s="2300"/>
      <c r="J27" s="2301"/>
      <c r="K27" s="330"/>
      <c r="L27" s="330"/>
      <c r="M27" s="1472"/>
      <c r="N27" s="311"/>
      <c r="O27" s="322"/>
      <c r="P27" s="441"/>
      <c r="Q27" s="441"/>
      <c r="R27" s="311"/>
      <c r="S27" s="307"/>
      <c r="T27" s="307"/>
      <c r="U27" s="307"/>
    </row>
    <row r="28" spans="1:27" s="309" customFormat="1" ht="12.75" customHeight="1" x14ac:dyDescent="0.2">
      <c r="A28" s="1445"/>
      <c r="B28" s="1445"/>
      <c r="C28" s="340"/>
      <c r="D28" s="340"/>
      <c r="E28" s="1439"/>
      <c r="F28" s="441"/>
      <c r="G28" s="324" t="s">
        <v>50</v>
      </c>
      <c r="H28" s="2258"/>
      <c r="I28" s="2258"/>
      <c r="J28" s="336" t="s">
        <v>51</v>
      </c>
      <c r="K28" s="313"/>
      <c r="L28" s="313"/>
      <c r="M28" s="319"/>
      <c r="N28" s="318" t="s">
        <v>4</v>
      </c>
      <c r="O28" s="322"/>
      <c r="P28" s="441"/>
      <c r="Q28" s="441"/>
      <c r="R28" s="311"/>
      <c r="S28" s="307"/>
      <c r="T28" s="307"/>
      <c r="U28" s="307"/>
      <c r="X28" s="937" t="s">
        <v>517</v>
      </c>
      <c r="Y28" s="938"/>
      <c r="Z28" s="938"/>
      <c r="AA28" s="939"/>
    </row>
    <row r="29" spans="1:27" s="309" customFormat="1" ht="12.75" customHeight="1" thickBot="1" x14ac:dyDescent="0.25">
      <c r="A29" s="2280" t="str">
        <f>X36</f>
        <v>Erdgas</v>
      </c>
      <c r="B29" s="2280"/>
      <c r="C29" s="501"/>
      <c r="D29" s="501">
        <f>IF(A29=$X$36,1-D30,1)</f>
        <v>0.75</v>
      </c>
      <c r="E29" s="443">
        <f>IF(M28,M28/IF(ISBLANK(J29),I29,J29)*D29,0)</f>
        <v>0</v>
      </c>
      <c r="F29" s="448" t="s">
        <v>4</v>
      </c>
      <c r="G29" s="337"/>
      <c r="H29" s="338" t="s">
        <v>65</v>
      </c>
      <c r="I29" s="327">
        <f>IF(ISBLANK(H28),0,IFERROR(HLOOKUP(A27,Grunddaten!H126:Y130,2,FALSE),Grunddaten!H127))</f>
        <v>0</v>
      </c>
      <c r="J29" s="339"/>
      <c r="K29" s="311"/>
      <c r="L29" s="311"/>
      <c r="M29" s="307"/>
      <c r="N29" s="311"/>
      <c r="O29" s="322"/>
      <c r="P29" s="441"/>
      <c r="Q29" s="441"/>
      <c r="R29" s="311"/>
      <c r="S29" s="307"/>
      <c r="T29" s="1480"/>
      <c r="U29" s="1480"/>
      <c r="V29" s="353"/>
      <c r="X29" s="940" t="s">
        <v>536</v>
      </c>
      <c r="Y29" s="941"/>
      <c r="Z29" s="941"/>
      <c r="AA29" s="942">
        <f>I11</f>
        <v>0</v>
      </c>
    </row>
    <row r="30" spans="1:27" s="309" customFormat="1" ht="12.75" customHeight="1" x14ac:dyDescent="0.2">
      <c r="A30" s="2269" t="str">
        <f>IF(A29=$X$36,Berechnungen!$A$34,"")</f>
        <v>Biogas</v>
      </c>
      <c r="B30" s="2269"/>
      <c r="C30" s="496"/>
      <c r="D30" s="1591">
        <v>0.25</v>
      </c>
      <c r="E30" s="1438">
        <f>IF(AND(M28&gt;0,A29=$X$36),M28/IF(ISBLANK(J29),I29,J29)*D30,0)</f>
        <v>0</v>
      </c>
      <c r="F30" s="441"/>
      <c r="G30" s="307"/>
      <c r="H30" s="307"/>
      <c r="I30" s="307"/>
      <c r="J30" s="307"/>
      <c r="K30" s="311"/>
      <c r="L30" s="311"/>
      <c r="M30" s="307"/>
      <c r="N30" s="311"/>
      <c r="O30" s="322"/>
      <c r="P30" s="2261" t="s">
        <v>528</v>
      </c>
      <c r="Q30" s="2265"/>
      <c r="R30" s="311"/>
      <c r="S30" s="2299" t="s">
        <v>529</v>
      </c>
      <c r="T30" s="2300"/>
      <c r="U30" s="2301"/>
      <c r="X30" s="945" t="s">
        <v>245</v>
      </c>
      <c r="Y30" s="946"/>
      <c r="Z30" s="946"/>
      <c r="AA30" s="947">
        <f>IF(AND(H41&gt;0,A42=X20),H41/IF(J42,J42,I42),0)</f>
        <v>0</v>
      </c>
    </row>
    <row r="31" spans="1:27" s="309" customFormat="1" ht="12.75" customHeight="1" thickBot="1" x14ac:dyDescent="0.25">
      <c r="A31" s="1445"/>
      <c r="B31" s="1445"/>
      <c r="C31" s="340"/>
      <c r="D31" s="340"/>
      <c r="E31" s="1473"/>
      <c r="F31" s="311"/>
      <c r="G31" s="307"/>
      <c r="H31" s="307"/>
      <c r="I31" s="307"/>
      <c r="J31" s="307"/>
      <c r="K31" s="311"/>
      <c r="L31" s="311"/>
      <c r="M31" s="307"/>
      <c r="N31" s="311"/>
      <c r="O31" s="322"/>
      <c r="P31" s="2263" t="s">
        <v>527</v>
      </c>
      <c r="Q31" s="2264"/>
      <c r="R31" s="311"/>
      <c r="S31" s="2302"/>
      <c r="T31" s="2303"/>
      <c r="U31" s="2304"/>
      <c r="X31" s="948" t="s">
        <v>518</v>
      </c>
      <c r="Y31" s="938"/>
      <c r="Z31" s="938"/>
      <c r="AA31" s="949">
        <f>ROUNDUP(SUM(AA29:AA30),-1)</f>
        <v>0</v>
      </c>
    </row>
    <row r="32" spans="1:27" s="309" customFormat="1" ht="12.75" customHeight="1" x14ac:dyDescent="0.2">
      <c r="A32" s="2252"/>
      <c r="B32" s="2252"/>
      <c r="C32" s="341"/>
      <c r="D32" s="341"/>
      <c r="E32" s="342">
        <f>M33-E34</f>
        <v>0</v>
      </c>
      <c r="F32" s="318" t="s">
        <v>4</v>
      </c>
      <c r="G32" s="2299" t="s">
        <v>64</v>
      </c>
      <c r="H32" s="2300"/>
      <c r="I32" s="2300"/>
      <c r="J32" s="2301"/>
      <c r="K32" s="407"/>
      <c r="L32" s="407"/>
      <c r="M32" s="307"/>
      <c r="N32" s="311"/>
      <c r="O32" s="331"/>
      <c r="P32" s="2260"/>
      <c r="Q32" s="2260"/>
      <c r="R32" s="323"/>
      <c r="S32" s="2305"/>
      <c r="T32" s="2306"/>
      <c r="U32" s="2307"/>
    </row>
    <row r="33" spans="1:27" s="309" customFormat="1" ht="12.75" customHeight="1" x14ac:dyDescent="0.2">
      <c r="A33" s="306"/>
      <c r="B33" s="306"/>
      <c r="C33" s="321"/>
      <c r="D33" s="321"/>
      <c r="E33" s="1474"/>
      <c r="F33" s="311"/>
      <c r="G33" s="324" t="s">
        <v>50</v>
      </c>
      <c r="H33" s="2258"/>
      <c r="I33" s="2258"/>
      <c r="J33" s="336" t="s">
        <v>51</v>
      </c>
      <c r="K33" s="313"/>
      <c r="L33" s="313"/>
      <c r="M33" s="319"/>
      <c r="N33" s="318" t="s">
        <v>4</v>
      </c>
      <c r="O33" s="322"/>
      <c r="P33" s="2267" t="s">
        <v>555</v>
      </c>
      <c r="Q33" s="2268"/>
      <c r="R33" s="311"/>
      <c r="S33" s="611" t="s">
        <v>70</v>
      </c>
      <c r="T33" s="333"/>
      <c r="U33" s="334"/>
      <c r="X33" s="886" t="s">
        <v>796</v>
      </c>
      <c r="Y33" s="887"/>
      <c r="Z33" s="887"/>
      <c r="AA33" s="888"/>
    </row>
    <row r="34" spans="1:27" s="309" customFormat="1" ht="12.75" customHeight="1" thickBot="1" x14ac:dyDescent="0.25">
      <c r="A34" s="306"/>
      <c r="B34" s="306"/>
      <c r="C34" s="344"/>
      <c r="D34" s="312"/>
      <c r="E34" s="342">
        <f>IF(M33,M33/IF(ISBLANK(J34),I34,J34),0)</f>
        <v>0</v>
      </c>
      <c r="F34" s="318" t="s">
        <v>4</v>
      </c>
      <c r="G34" s="337"/>
      <c r="H34" s="338" t="s">
        <v>65</v>
      </c>
      <c r="I34" s="327">
        <f>IF(ISBLANK(H33),0,IFERROR(HLOOKUP(A32,Grunddaten!H126:Y130,3,FALSE),Grunddaten!H128))</f>
        <v>0</v>
      </c>
      <c r="J34" s="339"/>
      <c r="K34" s="330"/>
      <c r="L34" s="330"/>
      <c r="M34" s="1472"/>
      <c r="N34" s="311"/>
      <c r="O34" s="322"/>
      <c r="P34" s="311"/>
      <c r="Q34" s="311"/>
      <c r="R34" s="311"/>
      <c r="S34" s="2250">
        <f>Projektdaten!K31</f>
        <v>0</v>
      </c>
      <c r="T34" s="2251"/>
      <c r="U34" s="610" t="s">
        <v>4</v>
      </c>
      <c r="X34" s="891" t="str">
        <f>Berechnungen!A36</f>
        <v>Holzpellets</v>
      </c>
      <c r="Y34" s="889"/>
      <c r="Z34" s="889"/>
      <c r="AA34" s="890"/>
    </row>
    <row r="35" spans="1:27" s="309" customFormat="1" ht="12.75" customHeight="1" thickBot="1" x14ac:dyDescent="0.25">
      <c r="A35" s="306"/>
      <c r="B35" s="306"/>
      <c r="C35" s="345"/>
      <c r="D35" s="321"/>
      <c r="E35" s="1474"/>
      <c r="F35" s="311"/>
      <c r="G35" s="307"/>
      <c r="H35" s="307"/>
      <c r="I35" s="307"/>
      <c r="J35" s="307"/>
      <c r="K35" s="311"/>
      <c r="L35" s="311"/>
      <c r="M35" s="307"/>
      <c r="N35" s="311"/>
      <c r="O35" s="322"/>
      <c r="P35" s="311"/>
      <c r="Q35" s="311"/>
      <c r="R35" s="311"/>
      <c r="S35" s="606" t="s">
        <v>526</v>
      </c>
      <c r="T35" s="607"/>
      <c r="U35" s="608"/>
      <c r="X35" s="892" t="str">
        <f>Berechnungen!A35</f>
        <v>Holzschnitzel</v>
      </c>
      <c r="Y35" s="884"/>
      <c r="Z35" s="884"/>
      <c r="AA35" s="893"/>
    </row>
    <row r="36" spans="1:27" s="309" customFormat="1" ht="12.75" customHeight="1" thickBot="1" x14ac:dyDescent="0.25">
      <c r="A36" s="2252"/>
      <c r="B36" s="2252"/>
      <c r="C36" s="341"/>
      <c r="D36" s="341"/>
      <c r="E36" s="342">
        <f>M37-E38</f>
        <v>0</v>
      </c>
      <c r="F36" s="318" t="s">
        <v>4</v>
      </c>
      <c r="G36" s="2314" t="s">
        <v>71</v>
      </c>
      <c r="H36" s="2315"/>
      <c r="I36" s="2315"/>
      <c r="J36" s="2316"/>
      <c r="K36" s="407"/>
      <c r="L36" s="407"/>
      <c r="M36" s="307"/>
      <c r="N36" s="311"/>
      <c r="O36" s="322"/>
      <c r="P36" s="311"/>
      <c r="Q36" s="311"/>
      <c r="R36" s="311"/>
      <c r="S36" s="2253">
        <f>S34*(1+P32)</f>
        <v>0</v>
      </c>
      <c r="T36" s="2254"/>
      <c r="U36" s="463" t="s">
        <v>4</v>
      </c>
      <c r="X36" s="892" t="str">
        <f>Berechnungen!A33</f>
        <v>Erdgas</v>
      </c>
      <c r="Y36" s="884"/>
      <c r="Z36" s="884"/>
      <c r="AA36" s="893"/>
    </row>
    <row r="37" spans="1:27" s="309" customFormat="1" ht="12.75" customHeight="1" x14ac:dyDescent="0.2">
      <c r="A37" s="306"/>
      <c r="B37" s="306"/>
      <c r="C37" s="345"/>
      <c r="D37" s="321"/>
      <c r="E37" s="1474"/>
      <c r="F37" s="311"/>
      <c r="G37" s="324" t="s">
        <v>50</v>
      </c>
      <c r="H37" s="2258"/>
      <c r="I37" s="2258"/>
      <c r="J37" s="336" t="s">
        <v>51</v>
      </c>
      <c r="K37" s="313"/>
      <c r="L37" s="313"/>
      <c r="M37" s="319"/>
      <c r="N37" s="318" t="s">
        <v>4</v>
      </c>
      <c r="O37" s="322"/>
      <c r="P37" s="311"/>
      <c r="Q37" s="311"/>
      <c r="R37" s="311"/>
      <c r="S37" s="307"/>
      <c r="T37" s="307"/>
      <c r="U37" s="307"/>
      <c r="X37" s="892" t="str">
        <f>Berechnungen!A32</f>
        <v>Heizöl EL</v>
      </c>
      <c r="Y37" s="884"/>
      <c r="Z37" s="884"/>
      <c r="AA37" s="893"/>
    </row>
    <row r="38" spans="1:27" s="309" customFormat="1" ht="12.75" customHeight="1" thickBot="1" x14ac:dyDescent="0.25">
      <c r="A38" s="306"/>
      <c r="B38" s="306"/>
      <c r="C38" s="346"/>
      <c r="D38" s="312"/>
      <c r="E38" s="342">
        <f>IF(M37,M37/IF(ISBLANK(J38),I38,J38),0)</f>
        <v>0</v>
      </c>
      <c r="F38" s="318" t="s">
        <v>4</v>
      </c>
      <c r="G38" s="337"/>
      <c r="H38" s="338" t="s">
        <v>65</v>
      </c>
      <c r="I38" s="327">
        <f>IF(ISBLANK(H37),0,IFERROR(HLOOKUP(A36,Grunddaten!H126:Y130,3,FALSE),Grunddaten!H128))</f>
        <v>0</v>
      </c>
      <c r="J38" s="339"/>
      <c r="K38" s="330"/>
      <c r="L38" s="330"/>
      <c r="M38" s="1472"/>
      <c r="N38" s="311"/>
      <c r="O38" s="322"/>
      <c r="P38" s="311"/>
      <c r="Q38" s="311"/>
      <c r="R38" s="311"/>
      <c r="S38" s="1452" t="s">
        <v>88</v>
      </c>
      <c r="T38" s="436"/>
      <c r="U38" s="436"/>
      <c r="X38" s="894" t="str">
        <f>Berechnungen!A37</f>
        <v>Brennstoff XY</v>
      </c>
      <c r="Y38" s="895"/>
      <c r="Z38" s="895"/>
      <c r="AA38" s="896"/>
    </row>
    <row r="39" spans="1:27" s="309" customFormat="1" ht="12.75" customHeight="1" thickBot="1" x14ac:dyDescent="0.25">
      <c r="A39" s="306"/>
      <c r="B39" s="306"/>
      <c r="C39" s="345"/>
      <c r="D39" s="321"/>
      <c r="E39" s="307"/>
      <c r="F39" s="311"/>
      <c r="G39" s="307"/>
      <c r="H39" s="307"/>
      <c r="I39" s="307"/>
      <c r="J39" s="307"/>
      <c r="K39" s="311"/>
      <c r="L39" s="311"/>
      <c r="M39" s="307"/>
      <c r="N39" s="311"/>
      <c r="O39" s="322"/>
      <c r="P39" s="311"/>
      <c r="Q39" s="311"/>
      <c r="R39" s="311"/>
      <c r="S39" s="2298" t="e">
        <f>ROUND((M11+M13+M16+M20+M24+M28+M33+M37+M40+M44+M48+M59+R59)/(S21+S36),2)</f>
        <v>#DIV/0!</v>
      </c>
      <c r="T39" s="2298"/>
      <c r="U39" s="436"/>
    </row>
    <row r="40" spans="1:27" s="309" customFormat="1" ht="12.75" customHeight="1" x14ac:dyDescent="0.2">
      <c r="A40" s="318"/>
      <c r="B40" s="313">
        <f>M42+E42-M40</f>
        <v>0</v>
      </c>
      <c r="C40" s="347" t="s">
        <v>4</v>
      </c>
      <c r="D40" s="312"/>
      <c r="E40" s="312"/>
      <c r="F40" s="348" t="s">
        <v>80</v>
      </c>
      <c r="G40" s="2299" t="s">
        <v>245</v>
      </c>
      <c r="H40" s="2300"/>
      <c r="I40" s="2300"/>
      <c r="J40" s="2301"/>
      <c r="K40" s="349" t="s">
        <v>119</v>
      </c>
      <c r="L40" s="313"/>
      <c r="M40" s="319"/>
      <c r="N40" s="318" t="s">
        <v>4</v>
      </c>
      <c r="O40" s="322"/>
      <c r="P40" s="311"/>
      <c r="Q40" s="311"/>
      <c r="R40" s="311"/>
      <c r="S40" s="2294">
        <f>ROUND((M11+M13+M16+M20+M24+M28+M33+M37+M40+M44+M48+M59+R59)-(S21+S36),-2)</f>
        <v>0</v>
      </c>
      <c r="T40" s="2294"/>
      <c r="U40" s="2294"/>
    </row>
    <row r="41" spans="1:27" s="309" customFormat="1" ht="12.75" customHeight="1" x14ac:dyDescent="0.2">
      <c r="A41" s="1469"/>
      <c r="B41" s="306"/>
      <c r="C41" s="345"/>
      <c r="D41" s="321"/>
      <c r="E41" s="307"/>
      <c r="F41" s="311"/>
      <c r="G41" s="324" t="s">
        <v>50</v>
      </c>
      <c r="H41" s="2258"/>
      <c r="I41" s="2258"/>
      <c r="J41" s="336" t="s">
        <v>51</v>
      </c>
      <c r="K41" s="311"/>
      <c r="L41" s="311"/>
      <c r="M41" s="307"/>
      <c r="N41" s="311"/>
      <c r="O41" s="322"/>
      <c r="P41" s="311"/>
      <c r="Q41" s="320"/>
      <c r="R41" s="311"/>
      <c r="S41" s="307"/>
      <c r="T41" s="307"/>
      <c r="U41" s="307"/>
    </row>
    <row r="42" spans="1:27" s="309" customFormat="1" ht="12.75" customHeight="1" thickBot="1" x14ac:dyDescent="0.25">
      <c r="A42" s="2296"/>
      <c r="B42" s="2296"/>
      <c r="C42" s="313"/>
      <c r="D42" s="313"/>
      <c r="E42" s="313">
        <f>IF(M42,M42/IF(ISBLANK(J42),I42,J42),0)</f>
        <v>0</v>
      </c>
      <c r="F42" s="318" t="s">
        <v>4</v>
      </c>
      <c r="G42" s="337"/>
      <c r="H42" s="338" t="s">
        <v>65</v>
      </c>
      <c r="I42" s="327">
        <f>IF(ISBLANK(H41),0,Grunddaten!H130)</f>
        <v>0</v>
      </c>
      <c r="J42" s="339"/>
      <c r="K42" s="318"/>
      <c r="L42" s="318"/>
      <c r="M42" s="319"/>
      <c r="N42" s="315" t="s">
        <v>4</v>
      </c>
      <c r="O42" s="318"/>
      <c r="P42" s="318"/>
      <c r="Q42" s="350"/>
      <c r="R42" s="311"/>
      <c r="S42" s="307"/>
      <c r="T42" s="307"/>
      <c r="U42" s="307"/>
    </row>
    <row r="43" spans="1:27" s="309" customFormat="1" ht="12.75" customHeight="1" thickBot="1" x14ac:dyDescent="0.25">
      <c r="A43" s="307"/>
      <c r="B43" s="1470"/>
      <c r="C43" s="345"/>
      <c r="D43" s="321"/>
      <c r="E43" s="307"/>
      <c r="F43" s="311"/>
      <c r="G43" s="307"/>
      <c r="H43" s="307"/>
      <c r="I43" s="307"/>
      <c r="J43" s="307"/>
      <c r="K43" s="407"/>
      <c r="L43" s="407"/>
      <c r="M43" s="307"/>
      <c r="N43" s="311"/>
      <c r="O43" s="322"/>
      <c r="P43" s="311"/>
      <c r="Q43" s="322"/>
      <c r="R43" s="635" t="s">
        <v>528</v>
      </c>
      <c r="S43" s="2299" t="s">
        <v>45</v>
      </c>
      <c r="T43" s="2300"/>
      <c r="U43" s="2301"/>
    </row>
    <row r="44" spans="1:27" s="309" customFormat="1" ht="12.75" customHeight="1" x14ac:dyDescent="0.2">
      <c r="A44" s="318"/>
      <c r="B44" s="313">
        <f>M46+E46-M44</f>
        <v>0</v>
      </c>
      <c r="C44" s="347" t="s">
        <v>4</v>
      </c>
      <c r="D44" s="312"/>
      <c r="E44" s="312"/>
      <c r="F44" s="348" t="s">
        <v>80</v>
      </c>
      <c r="G44" s="2299" t="s">
        <v>79</v>
      </c>
      <c r="H44" s="2300"/>
      <c r="I44" s="2300"/>
      <c r="J44" s="2301"/>
      <c r="K44" s="349" t="s">
        <v>119</v>
      </c>
      <c r="L44" s="313"/>
      <c r="M44" s="319"/>
      <c r="N44" s="318" t="s">
        <v>4</v>
      </c>
      <c r="O44" s="322"/>
      <c r="P44" s="311"/>
      <c r="Q44" s="322"/>
      <c r="R44" s="635" t="s">
        <v>527</v>
      </c>
      <c r="S44" s="2302"/>
      <c r="T44" s="2303"/>
      <c r="U44" s="2304"/>
    </row>
    <row r="45" spans="1:27" s="309" customFormat="1" ht="12.75" customHeight="1" x14ac:dyDescent="0.2">
      <c r="A45" s="307"/>
      <c r="B45" s="306"/>
      <c r="C45" s="345"/>
      <c r="D45" s="321"/>
      <c r="E45" s="307"/>
      <c r="F45" s="311"/>
      <c r="G45" s="324" t="s">
        <v>50</v>
      </c>
      <c r="H45" s="2258"/>
      <c r="I45" s="2258"/>
      <c r="J45" s="336" t="s">
        <v>51</v>
      </c>
      <c r="K45" s="311"/>
      <c r="L45" s="311"/>
      <c r="M45" s="1472"/>
      <c r="N45" s="311"/>
      <c r="O45" s="351"/>
      <c r="P45" s="311"/>
      <c r="Q45" s="322"/>
      <c r="R45" s="633"/>
      <c r="S45" s="2302"/>
      <c r="T45" s="2303"/>
      <c r="U45" s="2304"/>
    </row>
    <row r="46" spans="1:27" s="309" customFormat="1" ht="12.75" customHeight="1" thickBot="1" x14ac:dyDescent="0.25">
      <c r="A46" s="306"/>
      <c r="B46" s="306"/>
      <c r="C46" s="346"/>
      <c r="D46" s="312"/>
      <c r="E46" s="313">
        <f>IF(M46,M46/IF(ISBLANK(J46),I46,J46),0)</f>
        <v>0</v>
      </c>
      <c r="F46" s="318" t="s">
        <v>4</v>
      </c>
      <c r="G46" s="337"/>
      <c r="H46" s="338" t="s">
        <v>65</v>
      </c>
      <c r="I46" s="327">
        <f>IF(ISBLANK(H45),0,Grunddaten!H129)</f>
        <v>0</v>
      </c>
      <c r="J46" s="339"/>
      <c r="K46" s="318"/>
      <c r="L46" s="318"/>
      <c r="M46" s="319"/>
      <c r="N46" s="315" t="s">
        <v>4</v>
      </c>
      <c r="O46" s="318"/>
      <c r="P46" s="318"/>
      <c r="Q46" s="350"/>
      <c r="R46" s="632" t="s">
        <v>555</v>
      </c>
      <c r="S46" s="606" t="s">
        <v>70</v>
      </c>
      <c r="T46" s="461"/>
      <c r="U46" s="462"/>
    </row>
    <row r="47" spans="1:27" s="309" customFormat="1" ht="12.75" customHeight="1" thickBot="1" x14ac:dyDescent="0.25">
      <c r="A47" s="307"/>
      <c r="B47" s="306"/>
      <c r="C47" s="345"/>
      <c r="D47" s="321"/>
      <c r="E47" s="307"/>
      <c r="F47" s="311"/>
      <c r="G47" s="307"/>
      <c r="H47" s="307"/>
      <c r="I47" s="307"/>
      <c r="J47" s="307"/>
      <c r="K47" s="311"/>
      <c r="L47" s="311"/>
      <c r="M47" s="307"/>
      <c r="N47" s="311"/>
      <c r="O47" s="320"/>
      <c r="P47" s="311"/>
      <c r="Q47" s="322"/>
      <c r="R47" s="311"/>
      <c r="S47" s="2250">
        <f>Projektdaten!K33</f>
        <v>0</v>
      </c>
      <c r="T47" s="2251"/>
      <c r="U47" s="605" t="s">
        <v>4</v>
      </c>
    </row>
    <row r="48" spans="1:27" s="309" customFormat="1" ht="12.75" customHeight="1" x14ac:dyDescent="0.2">
      <c r="A48" s="318"/>
      <c r="B48" s="313">
        <f>M50+E50-M48</f>
        <v>0</v>
      </c>
      <c r="C48" s="347" t="s">
        <v>4</v>
      </c>
      <c r="D48" s="312"/>
      <c r="E48" s="312"/>
      <c r="F48" s="348" t="s">
        <v>80</v>
      </c>
      <c r="G48" s="2299" t="s">
        <v>149</v>
      </c>
      <c r="H48" s="2300"/>
      <c r="I48" s="2300"/>
      <c r="J48" s="2301"/>
      <c r="K48" s="349" t="s">
        <v>119</v>
      </c>
      <c r="L48" s="313"/>
      <c r="M48" s="319"/>
      <c r="N48" s="318" t="s">
        <v>4</v>
      </c>
      <c r="O48" s="322"/>
      <c r="P48" s="311"/>
      <c r="Q48" s="322"/>
      <c r="S48" s="606" t="s">
        <v>526</v>
      </c>
      <c r="T48" s="461"/>
      <c r="U48" s="462"/>
    </row>
    <row r="49" spans="1:27" s="309" customFormat="1" ht="12.75" customHeight="1" thickBot="1" x14ac:dyDescent="0.25">
      <c r="A49" s="307"/>
      <c r="B49" s="306"/>
      <c r="C49" s="345"/>
      <c r="D49" s="321"/>
      <c r="E49" s="307"/>
      <c r="F49" s="311"/>
      <c r="G49" s="324" t="s">
        <v>50</v>
      </c>
      <c r="H49" s="2258"/>
      <c r="I49" s="2258"/>
      <c r="J49" s="336" t="s">
        <v>51</v>
      </c>
      <c r="K49" s="311"/>
      <c r="L49" s="311"/>
      <c r="M49" s="1472"/>
      <c r="N49" s="311"/>
      <c r="O49" s="351"/>
      <c r="P49" s="311"/>
      <c r="Q49" s="322"/>
      <c r="R49" s="311"/>
      <c r="S49" s="2253">
        <f>S47*(1+R45)</f>
        <v>0</v>
      </c>
      <c r="T49" s="2254"/>
      <c r="U49" s="463" t="s">
        <v>4</v>
      </c>
    </row>
    <row r="50" spans="1:27" s="309" customFormat="1" ht="12.75" customHeight="1" thickBot="1" x14ac:dyDescent="0.25">
      <c r="A50" s="306"/>
      <c r="B50" s="306"/>
      <c r="C50" s="346"/>
      <c r="D50" s="312"/>
      <c r="E50" s="313">
        <f>IF(M50,M50/IF(ISBLANK(J50),I50,J50),0)</f>
        <v>0</v>
      </c>
      <c r="F50" s="318" t="s">
        <v>4</v>
      </c>
      <c r="G50" s="337"/>
      <c r="H50" s="338" t="s">
        <v>65</v>
      </c>
      <c r="I50" s="327">
        <f>IF(ISBLANK(H49),0,Grunddaten!H129)</f>
        <v>0</v>
      </c>
      <c r="J50" s="339"/>
      <c r="K50" s="318"/>
      <c r="L50" s="318"/>
      <c r="M50" s="319"/>
      <c r="N50" s="315" t="s">
        <v>4</v>
      </c>
      <c r="O50" s="318"/>
      <c r="P50" s="318"/>
      <c r="Q50" s="350"/>
      <c r="R50" s="311"/>
      <c r="S50" s="307"/>
      <c r="T50" s="307"/>
      <c r="U50" s="307"/>
    </row>
    <row r="51" spans="1:27" s="309" customFormat="1" ht="12.75" customHeight="1" thickBot="1" x14ac:dyDescent="0.25">
      <c r="A51" s="306"/>
      <c r="B51" s="306"/>
      <c r="C51" s="345"/>
      <c r="D51" s="321"/>
      <c r="E51" s="307"/>
      <c r="F51" s="311"/>
      <c r="G51" s="307"/>
      <c r="H51" s="307"/>
      <c r="I51" s="307"/>
      <c r="J51" s="307"/>
      <c r="K51" s="311"/>
      <c r="L51" s="311"/>
      <c r="M51" s="307"/>
      <c r="N51" s="311"/>
      <c r="O51" s="320"/>
      <c r="P51" s="311"/>
      <c r="Q51" s="322"/>
      <c r="R51" s="311"/>
      <c r="S51" s="1452" t="s">
        <v>88</v>
      </c>
      <c r="T51" s="436"/>
      <c r="U51" s="436"/>
    </row>
    <row r="52" spans="1:27" s="309" customFormat="1" ht="12.75" customHeight="1" x14ac:dyDescent="0.2">
      <c r="A52" s="318"/>
      <c r="B52" s="313">
        <f>M53+E54</f>
        <v>0</v>
      </c>
      <c r="C52" s="347" t="s">
        <v>4</v>
      </c>
      <c r="D52" s="312"/>
      <c r="E52" s="312"/>
      <c r="F52" s="348" t="s">
        <v>80</v>
      </c>
      <c r="G52" s="2299" t="s">
        <v>122</v>
      </c>
      <c r="H52" s="2300"/>
      <c r="I52" s="2300"/>
      <c r="J52" s="2301"/>
      <c r="K52" s="311"/>
      <c r="L52" s="311"/>
      <c r="M52" s="307"/>
      <c r="N52" s="311"/>
      <c r="O52" s="322"/>
      <c r="P52" s="311"/>
      <c r="Q52" s="322"/>
      <c r="S52" s="1453" t="e">
        <f>ROUND((M42+M46+M50+M53+M56)/S49,2)</f>
        <v>#DIV/0!</v>
      </c>
      <c r="T52" s="436"/>
      <c r="U52" s="436"/>
      <c r="Z52" s="2310"/>
      <c r="AA52" s="2311"/>
    </row>
    <row r="53" spans="1:27" s="309" customFormat="1" ht="12.75" customHeight="1" x14ac:dyDescent="0.2">
      <c r="A53" s="306"/>
      <c r="B53" s="306"/>
      <c r="C53" s="345"/>
      <c r="D53" s="321"/>
      <c r="E53" s="307"/>
      <c r="F53" s="311"/>
      <c r="G53" s="324" t="s">
        <v>50</v>
      </c>
      <c r="H53" s="2258"/>
      <c r="I53" s="2258"/>
      <c r="J53" s="336" t="s">
        <v>51</v>
      </c>
      <c r="K53" s="318"/>
      <c r="L53" s="318"/>
      <c r="M53" s="319"/>
      <c r="N53" s="315" t="s">
        <v>4</v>
      </c>
      <c r="O53" s="318"/>
      <c r="P53" s="318"/>
      <c r="Q53" s="350"/>
      <c r="S53" s="2294">
        <f>ROUND((M42+M46+M50+M53+M56)-S49,-2)</f>
        <v>0</v>
      </c>
      <c r="T53" s="2294"/>
      <c r="U53" s="2294"/>
    </row>
    <row r="54" spans="1:27" s="309" customFormat="1" ht="12.75" customHeight="1" thickBot="1" x14ac:dyDescent="0.25">
      <c r="A54" s="306"/>
      <c r="B54" s="306"/>
      <c r="C54" s="346"/>
      <c r="D54" s="312"/>
      <c r="E54" s="313">
        <f>IF(M53,M53/IF(ISBLANK(J54),I54,J54),0)</f>
        <v>0</v>
      </c>
      <c r="F54" s="318" t="s">
        <v>4</v>
      </c>
      <c r="G54" s="337"/>
      <c r="H54" s="338" t="s">
        <v>65</v>
      </c>
      <c r="I54" s="327">
        <f>IF(ISBLANK(H53),0,Grunddaten!H131)</f>
        <v>0</v>
      </c>
      <c r="J54" s="339"/>
      <c r="K54" s="311"/>
      <c r="L54" s="311"/>
      <c r="M54" s="307"/>
      <c r="N54" s="311"/>
      <c r="O54" s="322"/>
      <c r="P54" s="311"/>
      <c r="Q54" s="322"/>
      <c r="R54" s="311"/>
      <c r="S54" s="1481"/>
      <c r="T54" s="307"/>
      <c r="U54" s="307"/>
    </row>
    <row r="55" spans="1:27" s="439" customFormat="1" ht="12.75" customHeight="1" x14ac:dyDescent="0.2">
      <c r="A55" s="435"/>
      <c r="B55" s="435"/>
      <c r="C55" s="345"/>
      <c r="D55" s="450"/>
      <c r="E55" s="436"/>
      <c r="F55" s="441"/>
      <c r="G55" s="436"/>
      <c r="H55" s="436"/>
      <c r="I55" s="436"/>
      <c r="J55" s="436"/>
      <c r="K55" s="441"/>
      <c r="L55" s="441"/>
      <c r="M55" s="436"/>
      <c r="N55" s="441"/>
      <c r="O55" s="451"/>
      <c r="P55" s="441"/>
      <c r="Q55" s="451"/>
      <c r="R55" s="441"/>
      <c r="S55" s="436"/>
      <c r="T55" s="436"/>
      <c r="U55" s="436"/>
    </row>
    <row r="56" spans="1:27" s="439" customFormat="1" ht="12.75" customHeight="1" x14ac:dyDescent="0.2">
      <c r="A56" s="677" t="str">
        <f>Grunddaten!C56</f>
        <v>Kälteverbund XY</v>
      </c>
      <c r="B56" s="442"/>
      <c r="C56" s="442"/>
      <c r="D56" s="442"/>
      <c r="E56" s="443">
        <f>M56</f>
        <v>0</v>
      </c>
      <c r="F56" s="444" t="s">
        <v>4</v>
      </c>
      <c r="G56" s="445"/>
      <c r="H56" s="446" t="s">
        <v>235</v>
      </c>
      <c r="I56" s="316"/>
      <c r="J56" s="447" t="s">
        <v>51</v>
      </c>
      <c r="K56" s="448"/>
      <c r="L56" s="448"/>
      <c r="M56" s="319"/>
      <c r="N56" s="448" t="s">
        <v>4</v>
      </c>
      <c r="O56" s="448"/>
      <c r="P56" s="448"/>
      <c r="Q56" s="477"/>
      <c r="R56" s="441"/>
      <c r="S56" s="436"/>
      <c r="T56" s="436"/>
      <c r="U56" s="436"/>
    </row>
    <row r="57" spans="1:27" s="439" customFormat="1" ht="6" customHeight="1" x14ac:dyDescent="0.2">
      <c r="A57" s="1443"/>
      <c r="B57" s="1444"/>
      <c r="C57" s="345"/>
      <c r="D57" s="479"/>
      <c r="E57" s="436"/>
      <c r="F57" s="678"/>
      <c r="G57" s="1446"/>
      <c r="H57" s="436"/>
      <c r="I57" s="436"/>
      <c r="J57" s="436"/>
      <c r="K57" s="469"/>
      <c r="L57" s="469"/>
      <c r="M57" s="436"/>
      <c r="N57" s="469"/>
      <c r="O57" s="451"/>
      <c r="P57" s="469"/>
      <c r="Q57" s="478"/>
      <c r="R57" s="441"/>
      <c r="S57" s="436"/>
      <c r="T57" s="436"/>
      <c r="U57" s="436"/>
    </row>
    <row r="58" spans="1:27" s="309" customFormat="1" ht="12.75" customHeight="1" thickBot="1" x14ac:dyDescent="0.25">
      <c r="A58" s="306"/>
      <c r="B58" s="306"/>
      <c r="C58" s="345"/>
      <c r="D58" s="352"/>
      <c r="E58" s="307"/>
      <c r="F58" s="353"/>
      <c r="G58" s="1475"/>
      <c r="H58" s="307"/>
      <c r="I58" s="307"/>
      <c r="J58" s="307"/>
      <c r="K58" s="311"/>
      <c r="L58" s="311"/>
      <c r="M58" s="307"/>
      <c r="N58" s="307"/>
      <c r="O58" s="322"/>
      <c r="P58" s="307"/>
      <c r="Q58" s="1478"/>
      <c r="R58" s="307"/>
      <c r="S58" s="1481"/>
      <c r="T58" s="307"/>
      <c r="U58" s="307"/>
    </row>
    <row r="59" spans="1:27" s="309" customFormat="1" ht="12.75" customHeight="1" x14ac:dyDescent="0.2">
      <c r="A59" s="306"/>
      <c r="B59" s="306"/>
      <c r="C59" s="345"/>
      <c r="D59" s="321"/>
      <c r="E59" s="307"/>
      <c r="F59" s="311"/>
      <c r="G59" s="2299" t="s">
        <v>146</v>
      </c>
      <c r="H59" s="2300"/>
      <c r="I59" s="2300"/>
      <c r="J59" s="2301"/>
      <c r="K59" s="313"/>
      <c r="L59" s="313"/>
      <c r="M59" s="319"/>
      <c r="N59" s="318" t="s">
        <v>4</v>
      </c>
      <c r="O59" s="351"/>
      <c r="P59" s="318"/>
      <c r="Q59" s="318"/>
      <c r="R59" s="319"/>
      <c r="S59" s="315" t="s">
        <v>4</v>
      </c>
      <c r="T59" s="354"/>
      <c r="U59" s="307"/>
      <c r="X59" s="2310"/>
      <c r="Y59" s="2311"/>
    </row>
    <row r="60" spans="1:27" s="309" customFormat="1" ht="12.75" customHeight="1" x14ac:dyDescent="0.2">
      <c r="A60" s="2252"/>
      <c r="B60" s="2252"/>
      <c r="C60" s="501"/>
      <c r="D60" s="501">
        <f>IF(A60=$X$36,1-D61,1)</f>
        <v>1</v>
      </c>
      <c r="E60" s="443">
        <f>IF(M59,(M59+M61)/IF(ISBLANK(J61),I61,J61)*D60,0)</f>
        <v>0</v>
      </c>
      <c r="F60" s="448" t="s">
        <v>4</v>
      </c>
      <c r="G60" s="324" t="s">
        <v>147</v>
      </c>
      <c r="H60" s="2258"/>
      <c r="I60" s="2258"/>
      <c r="J60" s="336" t="s">
        <v>51</v>
      </c>
      <c r="K60" s="353"/>
      <c r="L60" s="330"/>
      <c r="M60" s="1472"/>
      <c r="N60" s="311"/>
      <c r="O60" s="311"/>
      <c r="P60" s="311"/>
      <c r="Q60" s="311"/>
      <c r="R60" s="307"/>
      <c r="S60" s="307"/>
      <c r="T60" s="2312" t="s">
        <v>87</v>
      </c>
      <c r="U60" s="307"/>
    </row>
    <row r="61" spans="1:27" s="309" customFormat="1" ht="12.75" customHeight="1" thickBot="1" x14ac:dyDescent="0.25">
      <c r="A61" s="2269" t="str">
        <f>IF(A60=$X$36,Berechnungen!$A$34,"")</f>
        <v/>
      </c>
      <c r="B61" s="2269"/>
      <c r="C61" s="497"/>
      <c r="D61" s="1591">
        <v>0.25</v>
      </c>
      <c r="E61" s="1438">
        <f>IF(AND(M59&gt;0,A60=$X$36),(M59+M61)/IF(ISBLANK(J61),I61,J61)*D61,0)</f>
        <v>0</v>
      </c>
      <c r="F61" s="441"/>
      <c r="G61" s="337"/>
      <c r="H61" s="338" t="s">
        <v>148</v>
      </c>
      <c r="I61" s="327">
        <f>IF(ISBLANK(H60),0,IFERROR(HLOOKUP(A60,Grunddaten!H121:Y125,5,FALSE),Grunddaten!H125))</f>
        <v>0</v>
      </c>
      <c r="J61" s="339"/>
      <c r="K61" s="313"/>
      <c r="L61" s="313"/>
      <c r="M61" s="319"/>
      <c r="N61" s="318" t="s">
        <v>4</v>
      </c>
      <c r="O61" s="320"/>
      <c r="P61" s="353"/>
      <c r="Q61" s="353"/>
      <c r="R61" s="1478"/>
      <c r="S61" s="307"/>
      <c r="T61" s="2312"/>
      <c r="U61" s="307"/>
    </row>
    <row r="62" spans="1:27" s="309" customFormat="1" ht="12.75" customHeight="1" x14ac:dyDescent="0.2">
      <c r="A62" s="306"/>
      <c r="B62" s="306"/>
      <c r="C62" s="345"/>
      <c r="D62" s="321"/>
      <c r="E62" s="307"/>
      <c r="F62" s="311"/>
      <c r="G62" s="1476"/>
      <c r="H62" s="1477"/>
      <c r="I62" s="1477"/>
      <c r="J62" s="1449"/>
      <c r="K62" s="353"/>
      <c r="L62" s="353"/>
      <c r="M62" s="1478"/>
      <c r="N62" s="1478"/>
      <c r="O62" s="322"/>
      <c r="P62" s="1478"/>
      <c r="Q62" s="1478"/>
      <c r="R62" s="1478"/>
      <c r="S62" s="307"/>
      <c r="T62" s="2312"/>
      <c r="U62" s="307"/>
    </row>
    <row r="63" spans="1:27" s="309" customFormat="1" ht="12.75" customHeight="1" x14ac:dyDescent="0.2">
      <c r="A63" s="306"/>
      <c r="B63" s="306"/>
      <c r="C63" s="355"/>
      <c r="D63" s="312"/>
      <c r="E63" s="318"/>
      <c r="F63" s="318"/>
      <c r="G63" s="318"/>
      <c r="H63" s="318"/>
      <c r="I63" s="318"/>
      <c r="J63" s="318"/>
      <c r="K63" s="318"/>
      <c r="L63" s="318"/>
      <c r="M63" s="313">
        <f>E34+E38+E46+E50+E54</f>
        <v>0</v>
      </c>
      <c r="N63" s="315" t="s">
        <v>4</v>
      </c>
      <c r="O63" s="350"/>
      <c r="P63" s="353"/>
      <c r="Q63" s="353"/>
      <c r="R63" s="353"/>
      <c r="S63" s="307"/>
      <c r="T63" s="2312"/>
      <c r="U63" s="307"/>
    </row>
    <row r="64" spans="1:27" s="309" customFormat="1" ht="12.75" customHeight="1" thickBot="1" x14ac:dyDescent="0.25">
      <c r="A64" s="306"/>
      <c r="B64" s="306"/>
      <c r="C64" s="321"/>
      <c r="D64" s="321"/>
      <c r="E64" s="307"/>
      <c r="F64" s="311"/>
      <c r="G64" s="1450"/>
      <c r="H64" s="1450"/>
      <c r="I64" s="1450"/>
      <c r="J64" s="1450"/>
      <c r="K64" s="469"/>
      <c r="L64" s="469"/>
      <c r="M64" s="436"/>
      <c r="N64" s="609"/>
      <c r="O64" s="322"/>
      <c r="P64" s="353"/>
      <c r="Q64" s="353"/>
      <c r="R64" s="353"/>
      <c r="S64" s="307"/>
      <c r="T64" s="2312"/>
      <c r="U64" s="307"/>
    </row>
    <row r="65" spans="1:30" s="309" customFormat="1" ht="12.75" customHeight="1" x14ac:dyDescent="0.2">
      <c r="A65" s="306"/>
      <c r="B65" s="306"/>
      <c r="C65" s="321"/>
      <c r="D65" s="321"/>
      <c r="E65" s="307"/>
      <c r="F65" s="311"/>
      <c r="G65" s="2255" t="s">
        <v>530</v>
      </c>
      <c r="H65" s="2256"/>
      <c r="I65" s="2256"/>
      <c r="J65" s="2257"/>
      <c r="K65" s="469"/>
      <c r="L65" s="469"/>
      <c r="M65" s="436"/>
      <c r="N65" s="609"/>
      <c r="O65" s="322"/>
      <c r="P65" s="353"/>
      <c r="Q65" s="353"/>
      <c r="R65" s="353"/>
      <c r="S65" s="307"/>
      <c r="T65" s="2312"/>
      <c r="U65" s="307"/>
    </row>
    <row r="66" spans="1:30" s="309" customFormat="1" ht="12.75" customHeight="1" thickBot="1" x14ac:dyDescent="0.25">
      <c r="A66" s="306"/>
      <c r="B66" s="306"/>
      <c r="C66" s="321"/>
      <c r="D66" s="321"/>
      <c r="E66" s="307"/>
      <c r="F66" s="311"/>
      <c r="G66" s="456" t="s">
        <v>50</v>
      </c>
      <c r="H66" s="2297"/>
      <c r="I66" s="2297"/>
      <c r="J66" s="483" t="s">
        <v>51</v>
      </c>
      <c r="K66" s="448"/>
      <c r="L66" s="448"/>
      <c r="M66" s="319"/>
      <c r="N66" s="445" t="s">
        <v>4</v>
      </c>
      <c r="O66" s="350"/>
      <c r="P66" s="353"/>
      <c r="Q66" s="353"/>
      <c r="R66" s="353"/>
      <c r="S66" s="307"/>
      <c r="T66" s="2312"/>
      <c r="U66" s="307"/>
    </row>
    <row r="67" spans="1:30" s="309" customFormat="1" ht="12.75" customHeight="1" x14ac:dyDescent="0.2">
      <c r="A67" s="306"/>
      <c r="B67" s="306"/>
      <c r="C67" s="321"/>
      <c r="D67" s="321"/>
      <c r="E67" s="307"/>
      <c r="F67" s="311"/>
      <c r="G67" s="436"/>
      <c r="H67" s="436"/>
      <c r="I67" s="436"/>
      <c r="J67" s="436"/>
      <c r="K67" s="441"/>
      <c r="L67" s="441"/>
      <c r="M67" s="436"/>
      <c r="N67" s="441"/>
      <c r="O67" s="322"/>
      <c r="P67" s="353"/>
      <c r="Q67" s="353"/>
      <c r="R67" s="353"/>
      <c r="S67" s="307"/>
      <c r="T67" s="2312"/>
      <c r="U67" s="307"/>
    </row>
    <row r="68" spans="1:30" s="309" customFormat="1" ht="12.75" customHeight="1" thickBot="1" x14ac:dyDescent="0.25">
      <c r="A68" s="499" t="s">
        <v>83</v>
      </c>
      <c r="B68" s="312"/>
      <c r="C68" s="312"/>
      <c r="D68" s="312"/>
      <c r="E68" s="313">
        <f>M68</f>
        <v>0</v>
      </c>
      <c r="F68" s="314" t="s">
        <v>4</v>
      </c>
      <c r="G68" s="318"/>
      <c r="H68" s="500" t="s">
        <v>522</v>
      </c>
      <c r="I68" s="597"/>
      <c r="J68" s="317" t="s">
        <v>51</v>
      </c>
      <c r="K68" s="318"/>
      <c r="L68" s="318"/>
      <c r="M68" s="313">
        <f>S73+M63+M66+M74-M61-M71</f>
        <v>0</v>
      </c>
      <c r="N68" s="318" t="s">
        <v>4</v>
      </c>
      <c r="O68" s="345"/>
      <c r="P68" s="353"/>
      <c r="Q68" s="353"/>
      <c r="R68" s="353"/>
      <c r="S68" s="307"/>
      <c r="T68" s="2313"/>
      <c r="U68" s="307"/>
    </row>
    <row r="69" spans="1:30" s="309" customFormat="1" ht="12.75" customHeight="1" thickBot="1" x14ac:dyDescent="0.25">
      <c r="A69" s="306"/>
      <c r="B69" s="306"/>
      <c r="C69" s="321"/>
      <c r="D69" s="321"/>
      <c r="E69" s="307"/>
      <c r="F69" s="311"/>
      <c r="G69" s="307"/>
      <c r="H69" s="307"/>
      <c r="I69" s="307"/>
      <c r="J69" s="307"/>
      <c r="K69" s="311"/>
      <c r="L69" s="311"/>
      <c r="M69" s="307"/>
      <c r="N69" s="311"/>
      <c r="O69" s="322"/>
      <c r="P69" s="311"/>
      <c r="Q69" s="311"/>
      <c r="R69" s="311"/>
      <c r="S69" s="2299" t="s">
        <v>81</v>
      </c>
      <c r="T69" s="2300"/>
      <c r="U69" s="2301"/>
    </row>
    <row r="70" spans="1:30" s="309" customFormat="1" ht="12.75" customHeight="1" x14ac:dyDescent="0.2">
      <c r="A70" s="306"/>
      <c r="B70" s="306"/>
      <c r="C70" s="321"/>
      <c r="D70" s="321"/>
      <c r="E70" s="307"/>
      <c r="F70" s="311"/>
      <c r="G70" s="2299" t="s">
        <v>84</v>
      </c>
      <c r="H70" s="2300"/>
      <c r="I70" s="2300"/>
      <c r="J70" s="2301"/>
      <c r="K70" s="407"/>
      <c r="L70" s="407"/>
      <c r="M70" s="307"/>
      <c r="N70" s="311"/>
      <c r="O70" s="322"/>
      <c r="P70" s="311"/>
      <c r="Q70" s="311"/>
      <c r="R70" s="311"/>
      <c r="S70" s="2302"/>
      <c r="T70" s="2303"/>
      <c r="U70" s="2304"/>
    </row>
    <row r="71" spans="1:30" s="309" customFormat="1" ht="12.75" customHeight="1" x14ac:dyDescent="0.2">
      <c r="A71" s="637" t="s">
        <v>82</v>
      </c>
      <c r="B71" s="341"/>
      <c r="C71" s="341"/>
      <c r="D71" s="341"/>
      <c r="E71" s="313"/>
      <c r="F71" s="323"/>
      <c r="G71" s="324" t="s">
        <v>50</v>
      </c>
      <c r="H71" s="2258"/>
      <c r="I71" s="2258"/>
      <c r="J71" s="325" t="s">
        <v>85</v>
      </c>
      <c r="K71" s="356"/>
      <c r="L71" s="356"/>
      <c r="M71" s="313">
        <f>H71*IF(ISBLANK(I72),H72,I72)</f>
        <v>0</v>
      </c>
      <c r="N71" s="318" t="s">
        <v>4</v>
      </c>
      <c r="O71" s="331"/>
      <c r="P71" s="318"/>
      <c r="Q71" s="318"/>
      <c r="R71" s="318"/>
      <c r="S71" s="2302"/>
      <c r="T71" s="2303"/>
      <c r="U71" s="2304"/>
    </row>
    <row r="72" spans="1:30" s="309" customFormat="1" ht="12.75" customHeight="1" thickBot="1" x14ac:dyDescent="0.25">
      <c r="A72" s="306"/>
      <c r="B72" s="306"/>
      <c r="C72" s="321"/>
      <c r="D72" s="321"/>
      <c r="E72" s="1472"/>
      <c r="F72" s="311"/>
      <c r="G72" s="326" t="s">
        <v>74</v>
      </c>
      <c r="H72" s="359">
        <f>IF(ISBLANK(H71),0,Grunddaten!H123)</f>
        <v>0</v>
      </c>
      <c r="I72" s="617"/>
      <c r="J72" s="357" t="s">
        <v>86</v>
      </c>
      <c r="K72" s="330"/>
      <c r="L72" s="330"/>
      <c r="M72" s="1472"/>
      <c r="N72" s="311"/>
      <c r="O72" s="322"/>
      <c r="P72" s="311"/>
      <c r="Q72" s="311"/>
      <c r="R72" s="311"/>
      <c r="S72" s="332" t="s">
        <v>70</v>
      </c>
      <c r="T72" s="333"/>
      <c r="U72" s="334"/>
    </row>
    <row r="73" spans="1:30" s="309" customFormat="1" ht="12.75" customHeight="1" thickBot="1" x14ac:dyDescent="0.25">
      <c r="A73" s="306"/>
      <c r="B73" s="306"/>
      <c r="C73" s="321"/>
      <c r="D73" s="321"/>
      <c r="E73" s="1472"/>
      <c r="F73" s="311"/>
      <c r="G73" s="307"/>
      <c r="H73" s="307"/>
      <c r="I73" s="307"/>
      <c r="J73" s="307"/>
      <c r="K73" s="311"/>
      <c r="L73" s="311"/>
      <c r="M73" s="1472"/>
      <c r="N73" s="311"/>
      <c r="O73" s="322"/>
      <c r="P73" s="311"/>
      <c r="Q73" s="311"/>
      <c r="R73" s="311"/>
      <c r="S73" s="2253">
        <f>Projektdaten!K35</f>
        <v>0</v>
      </c>
      <c r="T73" s="2254"/>
      <c r="U73" s="335" t="s">
        <v>4</v>
      </c>
    </row>
    <row r="74" spans="1:30" s="309" customFormat="1" ht="12.75" customHeight="1" x14ac:dyDescent="0.2">
      <c r="A74" s="312"/>
      <c r="B74" s="312"/>
      <c r="C74" s="312"/>
      <c r="D74" s="312"/>
      <c r="E74" s="313">
        <f>M74</f>
        <v>0</v>
      </c>
      <c r="F74" s="318" t="s">
        <v>4</v>
      </c>
      <c r="G74" s="2309" t="s">
        <v>243</v>
      </c>
      <c r="H74" s="2309"/>
      <c r="I74" s="2309"/>
      <c r="J74" s="2309"/>
      <c r="K74" s="318"/>
      <c r="L74" s="318"/>
      <c r="M74" s="319"/>
      <c r="N74" s="315" t="s">
        <v>4</v>
      </c>
      <c r="O74" s="350"/>
      <c r="P74" s="311"/>
      <c r="Q74" s="311"/>
      <c r="R74" s="311"/>
      <c r="S74" s="307"/>
      <c r="T74" s="307"/>
      <c r="U74" s="307"/>
      <c r="X74" s="948" t="s">
        <v>484</v>
      </c>
      <c r="Y74" s="938"/>
      <c r="Z74" s="939"/>
      <c r="AA74" s="950" t="b">
        <f>IF(M74&lt;=(M61+M71),TRUE,FALSE)</f>
        <v>1</v>
      </c>
    </row>
    <row r="75" spans="1:30" s="309" customFormat="1" ht="6" customHeight="1" x14ac:dyDescent="0.2">
      <c r="A75" s="306"/>
      <c r="B75" s="306"/>
      <c r="C75" s="321"/>
      <c r="D75" s="321"/>
      <c r="E75" s="1472"/>
      <c r="F75" s="311"/>
      <c r="G75" s="307"/>
      <c r="H75" s="307"/>
      <c r="I75" s="307"/>
      <c r="J75" s="307"/>
      <c r="K75" s="311"/>
      <c r="L75" s="311"/>
      <c r="M75" s="1472"/>
      <c r="N75" s="311"/>
      <c r="O75" s="351"/>
      <c r="P75" s="311"/>
      <c r="Q75" s="311"/>
      <c r="R75" s="311"/>
      <c r="S75" s="307"/>
      <c r="T75" s="307"/>
      <c r="U75" s="307"/>
    </row>
    <row r="76" spans="1:30" s="309" customFormat="1" ht="15" customHeight="1" x14ac:dyDescent="0.2">
      <c r="A76" s="321"/>
      <c r="B76" s="321"/>
      <c r="C76" s="321"/>
      <c r="D76" s="321"/>
      <c r="E76" s="311"/>
      <c r="F76" s="311"/>
      <c r="G76" s="311"/>
      <c r="H76" s="311"/>
      <c r="I76" s="311"/>
      <c r="J76" s="311"/>
      <c r="K76" s="311"/>
      <c r="L76" s="311"/>
      <c r="M76" s="311"/>
      <c r="N76" s="311"/>
      <c r="O76" s="311"/>
      <c r="P76" s="311"/>
      <c r="Q76" s="311"/>
      <c r="R76" s="311"/>
    </row>
    <row r="77" spans="1:30" s="309" customFormat="1" ht="15" customHeight="1" x14ac:dyDescent="0.2">
      <c r="A77" s="1463" t="s">
        <v>53</v>
      </c>
      <c r="B77" s="1464"/>
      <c r="C77" s="1464"/>
      <c r="D77" s="1464"/>
      <c r="E77" s="1465"/>
      <c r="F77" s="1465"/>
      <c r="G77" s="1465"/>
      <c r="H77" s="1465"/>
      <c r="I77" s="1465"/>
      <c r="J77" s="1465"/>
      <c r="K77" s="1465"/>
      <c r="L77" s="1465"/>
      <c r="M77" s="1465"/>
      <c r="N77" s="1465"/>
      <c r="O77" s="1465"/>
      <c r="P77" s="1465"/>
      <c r="Q77" s="1465"/>
      <c r="R77" s="1465"/>
      <c r="S77" s="1465"/>
      <c r="T77" s="1465"/>
      <c r="U77" s="1465"/>
      <c r="X77" s="886" t="s">
        <v>89</v>
      </c>
      <c r="Y77" s="887"/>
      <c r="Z77" s="887"/>
      <c r="AA77" s="888"/>
      <c r="AB77" s="358"/>
      <c r="AC77" s="886" t="s">
        <v>90</v>
      </c>
      <c r="AD77" s="888"/>
    </row>
    <row r="78" spans="1:30" s="309" customFormat="1" ht="12.75" customHeight="1" x14ac:dyDescent="0.2">
      <c r="A78" s="1466" t="s">
        <v>54</v>
      </c>
      <c r="B78" s="2287"/>
      <c r="C78" s="2287"/>
      <c r="D78" s="2287"/>
      <c r="E78" s="2287"/>
      <c r="F78" s="2287"/>
      <c r="G78" s="1467" t="s">
        <v>57</v>
      </c>
      <c r="H78" s="2288"/>
      <c r="I78" s="2288"/>
      <c r="J78" s="1468"/>
      <c r="K78" s="1467"/>
      <c r="L78" s="1467" t="s">
        <v>58</v>
      </c>
      <c r="M78" s="1457"/>
      <c r="N78" s="1467" t="s">
        <v>59</v>
      </c>
      <c r="O78" s="2289"/>
      <c r="P78" s="2289"/>
      <c r="Q78" s="2289"/>
      <c r="R78" s="1467" t="s">
        <v>52</v>
      </c>
      <c r="S78" s="2290"/>
      <c r="T78" s="2290"/>
      <c r="U78" s="2290"/>
      <c r="X78" s="891" t="s">
        <v>60</v>
      </c>
      <c r="Y78" s="889"/>
      <c r="Z78" s="889"/>
      <c r="AA78" s="890"/>
      <c r="AB78" s="358"/>
      <c r="AC78" s="891" t="s">
        <v>62</v>
      </c>
      <c r="AD78" s="890"/>
    </row>
    <row r="79" spans="1:30" s="309" customFormat="1" ht="12.75" customHeight="1" x14ac:dyDescent="0.2">
      <c r="A79" s="1466" t="s">
        <v>55</v>
      </c>
      <c r="B79" s="2287"/>
      <c r="C79" s="2287"/>
      <c r="D79" s="2287"/>
      <c r="E79" s="2287"/>
      <c r="F79" s="2287"/>
      <c r="G79" s="1467" t="s">
        <v>57</v>
      </c>
      <c r="H79" s="2288"/>
      <c r="I79" s="2288"/>
      <c r="J79" s="1468"/>
      <c r="K79" s="1467"/>
      <c r="L79" s="1467" t="s">
        <v>58</v>
      </c>
      <c r="M79" s="1457"/>
      <c r="N79" s="1467" t="s">
        <v>59</v>
      </c>
      <c r="O79" s="2289"/>
      <c r="P79" s="2289"/>
      <c r="Q79" s="2289"/>
      <c r="R79" s="1467" t="s">
        <v>52</v>
      </c>
      <c r="S79" s="2290"/>
      <c r="T79" s="2290"/>
      <c r="U79" s="2290"/>
      <c r="X79" s="892" t="s">
        <v>61</v>
      </c>
      <c r="Y79" s="884"/>
      <c r="Z79" s="884"/>
      <c r="AA79" s="893"/>
      <c r="AB79" s="358"/>
      <c r="AC79" s="894" t="s">
        <v>63</v>
      </c>
      <c r="AD79" s="896"/>
    </row>
    <row r="80" spans="1:30" s="309" customFormat="1" ht="12.75" customHeight="1" x14ac:dyDescent="0.2">
      <c r="A80" s="1466" t="s">
        <v>56</v>
      </c>
      <c r="B80" s="2287"/>
      <c r="C80" s="2287"/>
      <c r="D80" s="2287"/>
      <c r="E80" s="2287"/>
      <c r="F80" s="2287"/>
      <c r="G80" s="1467" t="s">
        <v>57</v>
      </c>
      <c r="H80" s="2288"/>
      <c r="I80" s="2288"/>
      <c r="J80" s="1468"/>
      <c r="K80" s="1467"/>
      <c r="L80" s="1467" t="s">
        <v>58</v>
      </c>
      <c r="M80" s="1457"/>
      <c r="N80" s="1467" t="s">
        <v>59</v>
      </c>
      <c r="O80" s="2289"/>
      <c r="P80" s="2289"/>
      <c r="Q80" s="2289"/>
      <c r="R80" s="1467" t="s">
        <v>52</v>
      </c>
      <c r="S80" s="2290"/>
      <c r="T80" s="2290"/>
      <c r="U80" s="2290"/>
      <c r="X80" s="945" t="s">
        <v>663</v>
      </c>
      <c r="Y80" s="895"/>
      <c r="Z80" s="895"/>
      <c r="AA80" s="896"/>
      <c r="AB80" s="358"/>
      <c r="AC80" s="343"/>
      <c r="AD80" s="343"/>
    </row>
    <row r="83" spans="1:21" s="310" customFormat="1" ht="15" customHeight="1" x14ac:dyDescent="0.2">
      <c r="A83" s="967" t="s">
        <v>54</v>
      </c>
      <c r="B83" s="967" t="s">
        <v>130</v>
      </c>
      <c r="C83" s="2318">
        <f xml:space="preserve"> IF(S78=$AC$79,H78*M78*(O78+1)+(O78+1)^2/2*(H78+M78)*2,0)</f>
        <v>0</v>
      </c>
      <c r="D83" s="2318"/>
      <c r="E83" s="968" t="s">
        <v>713</v>
      </c>
      <c r="F83" s="968"/>
      <c r="G83" s="969"/>
      <c r="H83" s="970" t="s">
        <v>131</v>
      </c>
      <c r="I83" s="971">
        <f>H78*M78</f>
        <v>0</v>
      </c>
      <c r="J83" s="968" t="s">
        <v>714</v>
      </c>
      <c r="K83" s="972"/>
      <c r="L83" s="973" t="s">
        <v>132</v>
      </c>
      <c r="M83" s="968"/>
      <c r="N83" s="971">
        <f>H78*O78</f>
        <v>0</v>
      </c>
      <c r="O83" s="968" t="s">
        <v>714</v>
      </c>
      <c r="P83" s="968"/>
      <c r="Q83" s="968" t="s">
        <v>133</v>
      </c>
      <c r="R83" s="968"/>
      <c r="S83" s="971">
        <f>M78*O78</f>
        <v>0</v>
      </c>
      <c r="T83" s="968" t="s">
        <v>714</v>
      </c>
      <c r="U83" s="968"/>
    </row>
    <row r="84" spans="1:21" s="310" customFormat="1" ht="15" customHeight="1" x14ac:dyDescent="0.2">
      <c r="A84" s="967" t="s">
        <v>55</v>
      </c>
      <c r="B84" s="967" t="s">
        <v>130</v>
      </c>
      <c r="C84" s="2318">
        <f xml:space="preserve"> IF(S79=$AC$79,H79*M79*(O79+1)+(O79+1)^2/2*(H79+M79)*2,0)</f>
        <v>0</v>
      </c>
      <c r="D84" s="2318"/>
      <c r="E84" s="968" t="s">
        <v>713</v>
      </c>
      <c r="F84" s="968"/>
      <c r="G84" s="969"/>
      <c r="H84" s="970" t="s">
        <v>131</v>
      </c>
      <c r="I84" s="971">
        <f>H79*M79</f>
        <v>0</v>
      </c>
      <c r="J84" s="968" t="s">
        <v>714</v>
      </c>
      <c r="K84" s="972"/>
      <c r="L84" s="973" t="s">
        <v>132</v>
      </c>
      <c r="M84" s="968"/>
      <c r="N84" s="971">
        <f>H79*O79</f>
        <v>0</v>
      </c>
      <c r="O84" s="968" t="s">
        <v>714</v>
      </c>
      <c r="P84" s="968"/>
      <c r="Q84" s="968" t="s">
        <v>133</v>
      </c>
      <c r="R84" s="968"/>
      <c r="S84" s="971">
        <f>M79*O79</f>
        <v>0</v>
      </c>
      <c r="T84" s="968" t="s">
        <v>714</v>
      </c>
      <c r="U84" s="968"/>
    </row>
    <row r="85" spans="1:21" s="310" customFormat="1" ht="15" customHeight="1" x14ac:dyDescent="0.2">
      <c r="A85" s="967" t="s">
        <v>56</v>
      </c>
      <c r="B85" s="967" t="s">
        <v>130</v>
      </c>
      <c r="C85" s="2318">
        <f xml:space="preserve"> IF(S80=$AC$79,H80*M80*(O80+1)+(O80+1)^2/2*(H80+M80)*2,0)</f>
        <v>0</v>
      </c>
      <c r="D85" s="2318"/>
      <c r="E85" s="968" t="s">
        <v>713</v>
      </c>
      <c r="F85" s="968"/>
      <c r="G85" s="969"/>
      <c r="H85" s="970" t="s">
        <v>131</v>
      </c>
      <c r="I85" s="971">
        <f>H80*M80</f>
        <v>0</v>
      </c>
      <c r="J85" s="968" t="s">
        <v>714</v>
      </c>
      <c r="K85" s="972"/>
      <c r="L85" s="973" t="s">
        <v>132</v>
      </c>
      <c r="M85" s="968"/>
      <c r="N85" s="971">
        <f>H80*O80</f>
        <v>0</v>
      </c>
      <c r="O85" s="968" t="s">
        <v>714</v>
      </c>
      <c r="P85" s="968"/>
      <c r="Q85" s="968" t="s">
        <v>133</v>
      </c>
      <c r="R85" s="968"/>
      <c r="S85" s="971">
        <f>M80*O80</f>
        <v>0</v>
      </c>
      <c r="T85" s="968" t="s">
        <v>714</v>
      </c>
      <c r="U85" s="968"/>
    </row>
    <row r="88" spans="1:21" x14ac:dyDescent="0.2">
      <c r="B88" s="304"/>
      <c r="C88" s="304"/>
      <c r="D88" s="304"/>
    </row>
    <row r="89" spans="1:21" x14ac:dyDescent="0.2">
      <c r="B89" s="304"/>
      <c r="C89" s="304"/>
      <c r="D89" s="304"/>
    </row>
    <row r="90" spans="1:21" x14ac:dyDescent="0.2">
      <c r="B90" s="304"/>
      <c r="C90" s="304"/>
      <c r="D90" s="304"/>
    </row>
    <row r="91" spans="1:21" x14ac:dyDescent="0.2">
      <c r="B91" s="304"/>
      <c r="C91" s="304"/>
      <c r="D91" s="304"/>
    </row>
    <row r="92" spans="1:21" x14ac:dyDescent="0.2">
      <c r="B92" s="304"/>
      <c r="C92" s="304"/>
      <c r="D92" s="304"/>
    </row>
    <row r="93" spans="1:21" x14ac:dyDescent="0.2">
      <c r="B93" s="304"/>
      <c r="C93" s="304"/>
      <c r="D93" s="304"/>
    </row>
  </sheetData>
  <sheetProtection algorithmName="SHA-512" hashValue="x0gzge9ENYtStQ7F0r5x6bhDhvrSx53SQQeyGW+HJvLd1AIau1sStdY2c34oym7G12oK8HEgbGB0CpStitGqDg==" saltValue="HEV0XJkUcLuRFWC/gl/WiQ==" spinCount="100000" sheet="1" objects="1" scenarios="1" selectLockedCells="1"/>
  <mergeCells count="86">
    <mergeCell ref="C83:D83"/>
    <mergeCell ref="C84:D84"/>
    <mergeCell ref="C85:D85"/>
    <mergeCell ref="B79:F79"/>
    <mergeCell ref="A60:B60"/>
    <mergeCell ref="H79:I79"/>
    <mergeCell ref="O79:Q79"/>
    <mergeCell ref="S79:U79"/>
    <mergeCell ref="B80:F80"/>
    <mergeCell ref="H80:I80"/>
    <mergeCell ref="O80:Q80"/>
    <mergeCell ref="S80:U80"/>
    <mergeCell ref="S69:U71"/>
    <mergeCell ref="G70:J70"/>
    <mergeCell ref="H71:I71"/>
    <mergeCell ref="S73:T73"/>
    <mergeCell ref="B78:F78"/>
    <mergeCell ref="H78:I78"/>
    <mergeCell ref="O78:Q78"/>
    <mergeCell ref="S78:U78"/>
    <mergeCell ref="G74:J74"/>
    <mergeCell ref="H60:I60"/>
    <mergeCell ref="T60:T68"/>
    <mergeCell ref="A61:B61"/>
    <mergeCell ref="G65:J65"/>
    <mergeCell ref="H66:I66"/>
    <mergeCell ref="S53:U53"/>
    <mergeCell ref="S49:T49"/>
    <mergeCell ref="H53:I53"/>
    <mergeCell ref="G59:J59"/>
    <mergeCell ref="X59:Y59"/>
    <mergeCell ref="Z52:AA52"/>
    <mergeCell ref="H37:I37"/>
    <mergeCell ref="G40:J40"/>
    <mergeCell ref="H41:I41"/>
    <mergeCell ref="A42:B42"/>
    <mergeCell ref="G44:J44"/>
    <mergeCell ref="H45:I45"/>
    <mergeCell ref="S43:U45"/>
    <mergeCell ref="G48:J48"/>
    <mergeCell ref="H49:I49"/>
    <mergeCell ref="S47:T47"/>
    <mergeCell ref="G52:J52"/>
    <mergeCell ref="S39:T39"/>
    <mergeCell ref="S40:U40"/>
    <mergeCell ref="G23:J23"/>
    <mergeCell ref="A24:B24"/>
    <mergeCell ref="H24:I24"/>
    <mergeCell ref="A25:B25"/>
    <mergeCell ref="A36:B36"/>
    <mergeCell ref="G36:J36"/>
    <mergeCell ref="A27:B27"/>
    <mergeCell ref="G27:J27"/>
    <mergeCell ref="H28:I28"/>
    <mergeCell ref="A29:B29"/>
    <mergeCell ref="A30:B30"/>
    <mergeCell ref="A32:B32"/>
    <mergeCell ref="G32:J32"/>
    <mergeCell ref="H33:I33"/>
    <mergeCell ref="A20:B20"/>
    <mergeCell ref="H20:I20"/>
    <mergeCell ref="S21:T21"/>
    <mergeCell ref="W7:AB7"/>
    <mergeCell ref="J7:T7"/>
    <mergeCell ref="G9:J9"/>
    <mergeCell ref="G15:J15"/>
    <mergeCell ref="S15:U17"/>
    <mergeCell ref="H16:I16"/>
    <mergeCell ref="C7:F7"/>
    <mergeCell ref="A21:B21"/>
    <mergeCell ref="P18:Q18"/>
    <mergeCell ref="A9:B9"/>
    <mergeCell ref="S9:U9"/>
    <mergeCell ref="G19:J19"/>
    <mergeCell ref="S5:U5"/>
    <mergeCell ref="S36:T36"/>
    <mergeCell ref="P15:Q15"/>
    <mergeCell ref="P16:Q16"/>
    <mergeCell ref="P17:Q17"/>
    <mergeCell ref="P30:Q30"/>
    <mergeCell ref="P31:Q31"/>
    <mergeCell ref="P32:Q32"/>
    <mergeCell ref="S30:U32"/>
    <mergeCell ref="S34:T34"/>
    <mergeCell ref="P33:Q33"/>
    <mergeCell ref="S19:T19"/>
  </mergeCells>
  <conditionalFormatting sqref="G15:J15 G16:G17 J16:J17">
    <cfRule type="expression" dxfId="1353" priority="331">
      <formula>$H$16&gt;0</formula>
    </cfRule>
  </conditionalFormatting>
  <conditionalFormatting sqref="G19:J19 G20 G21:H21 J20">
    <cfRule type="expression" dxfId="1352" priority="330">
      <formula>$H$20&gt;0</formula>
    </cfRule>
  </conditionalFormatting>
  <conditionalFormatting sqref="G23:J23 G24 J24 G25:H25">
    <cfRule type="expression" dxfId="1351" priority="329">
      <formula>$H$24&gt;0</formula>
    </cfRule>
  </conditionalFormatting>
  <conditionalFormatting sqref="G32:J32 G33 G34:H34 J33">
    <cfRule type="expression" dxfId="1350" priority="328">
      <formula>$H$33&gt;0</formula>
    </cfRule>
  </conditionalFormatting>
  <conditionalFormatting sqref="G36:J36 G37 G38:H38 J37">
    <cfRule type="expression" dxfId="1349" priority="327">
      <formula>$H$37&gt;0</formula>
    </cfRule>
  </conditionalFormatting>
  <conditionalFormatting sqref="G44:J44 G45 G46:H46 J45">
    <cfRule type="expression" dxfId="1348" priority="326">
      <formula>$H$45&gt;0</formula>
    </cfRule>
  </conditionalFormatting>
  <conditionalFormatting sqref="G70:G72 J71:J72 K71:N71">
    <cfRule type="expression" dxfId="1347" priority="325">
      <formula>$H$71&gt;0</formula>
    </cfRule>
  </conditionalFormatting>
  <conditionalFormatting sqref="R32 O47:O49 O51:O52 O43:O45 S30 O11:O41 O54 S33:U36 O58:O59">
    <cfRule type="expression" dxfId="1346" priority="323">
      <formula>$S$34&gt;0</formula>
    </cfRule>
  </conditionalFormatting>
  <conditionalFormatting sqref="Q41:Q57 S43:U49">
    <cfRule type="expression" dxfId="1345" priority="322">
      <formula>$S$47&gt;0</formula>
    </cfRule>
  </conditionalFormatting>
  <conditionalFormatting sqref="P71:R71 S69:U73 O61:O75">
    <cfRule type="expression" dxfId="1344" priority="321">
      <formula>$S$73&gt;0</formula>
    </cfRule>
  </conditionalFormatting>
  <conditionalFormatting sqref="B44:F44">
    <cfRule type="expression" dxfId="1343" priority="317">
      <formula>$B$44&lt;0</formula>
    </cfRule>
  </conditionalFormatting>
  <conditionalFormatting sqref="B48:F48">
    <cfRule type="expression" dxfId="1342" priority="316">
      <formula>$B$48&lt;0</formula>
    </cfRule>
  </conditionalFormatting>
  <conditionalFormatting sqref="G25:H25">
    <cfRule type="expression" dxfId="1341" priority="315">
      <formula>AND($H$24&gt;0,$J$25=0,$I$25=0)</formula>
    </cfRule>
  </conditionalFormatting>
  <conditionalFormatting sqref="G20:H20 J20">
    <cfRule type="expression" dxfId="1340" priority="314">
      <formula>AND($M$20&gt;0,$H$20=0)</formula>
    </cfRule>
  </conditionalFormatting>
  <conditionalFormatting sqref="G24:H24 J24">
    <cfRule type="expression" dxfId="1339" priority="313">
      <formula>AND($M$24&gt;0,$H$24=0)</formula>
    </cfRule>
  </conditionalFormatting>
  <conditionalFormatting sqref="G34:H34">
    <cfRule type="expression" dxfId="1338" priority="312">
      <formula>AND($H$33&gt;0,$J$34=0,$I$34=0)</formula>
    </cfRule>
  </conditionalFormatting>
  <conditionalFormatting sqref="G33:H33 J33">
    <cfRule type="expression" dxfId="1337" priority="311">
      <formula>AND($M$33&gt;0,$H$33=0)</formula>
    </cfRule>
  </conditionalFormatting>
  <conditionalFormatting sqref="G37:H37 J37">
    <cfRule type="expression" dxfId="1336" priority="310">
      <formula>AND($M$37&gt;0,$H$37=0)</formula>
    </cfRule>
  </conditionalFormatting>
  <conditionalFormatting sqref="G38:H38">
    <cfRule type="expression" dxfId="1335" priority="309">
      <formula>AND($H$37&gt;0,$J$38=0,$I$38=0)</formula>
    </cfRule>
  </conditionalFormatting>
  <conditionalFormatting sqref="G45:H45 J45">
    <cfRule type="expression" dxfId="1334" priority="308">
      <formula>AND($M$46&gt;0,$H$45=0)</formula>
    </cfRule>
  </conditionalFormatting>
  <conditionalFormatting sqref="G46:H46">
    <cfRule type="expression" dxfId="1333" priority="307">
      <formula>AND($H$45&gt;0,$J$46=0,$I$46=0)</formula>
    </cfRule>
  </conditionalFormatting>
  <conditionalFormatting sqref="G60:H60 J60">
    <cfRule type="expression" dxfId="1332" priority="306">
      <formula>AND($M$59&gt;0,$H$60=0)</formula>
    </cfRule>
  </conditionalFormatting>
  <conditionalFormatting sqref="G50:H50">
    <cfRule type="expression" dxfId="1331" priority="305">
      <formula>AND($H$49&gt;0,$J$50=0,$I$50=0)</formula>
    </cfRule>
  </conditionalFormatting>
  <conditionalFormatting sqref="G17 I17:J17">
    <cfRule type="expression" dxfId="1330" priority="304">
      <formula>AND($H$16&gt;0,$H$17=0,$I$17=0)</formula>
    </cfRule>
  </conditionalFormatting>
  <conditionalFormatting sqref="G72 J72">
    <cfRule type="expression" dxfId="1329" priority="303">
      <formula>AND($H$71&gt;0,$H$72=0,$I$72=0)</formula>
    </cfRule>
  </conditionalFormatting>
  <conditionalFormatting sqref="A68:N68">
    <cfRule type="expression" dxfId="1328" priority="301">
      <formula>$M$68&lt;0</formula>
    </cfRule>
  </conditionalFormatting>
  <conditionalFormatting sqref="A44:F44">
    <cfRule type="expression" dxfId="1327" priority="300">
      <formula>$B$44&lt;&gt;0</formula>
    </cfRule>
  </conditionalFormatting>
  <conditionalFormatting sqref="A48:F48">
    <cfRule type="expression" dxfId="1326" priority="299">
      <formula>$B$48&lt;&gt;0</formula>
    </cfRule>
  </conditionalFormatting>
  <conditionalFormatting sqref="P59:Q59 S59:T59 T60">
    <cfRule type="expression" dxfId="1325" priority="298">
      <formula>$R$59&gt;0</formula>
    </cfRule>
  </conditionalFormatting>
  <conditionalFormatting sqref="K59:L59 N59">
    <cfRule type="expression" dxfId="1324" priority="297">
      <formula>$M$59&gt;0</formula>
    </cfRule>
  </conditionalFormatting>
  <conditionalFormatting sqref="C36:F36">
    <cfRule type="expression" dxfId="1323" priority="296">
      <formula>$E$36&gt;0</formula>
    </cfRule>
  </conditionalFormatting>
  <conditionalFormatting sqref="E36:F36">
    <cfRule type="expression" dxfId="1322" priority="295">
      <formula>AND($A$36="",$E$36&gt;0)</formula>
    </cfRule>
  </conditionalFormatting>
  <conditionalFormatting sqref="C32:F32">
    <cfRule type="expression" dxfId="1321" priority="294">
      <formula>$E$32&gt;0</formula>
    </cfRule>
  </conditionalFormatting>
  <conditionalFormatting sqref="E32:F32">
    <cfRule type="expression" dxfId="1320" priority="293">
      <formula>AND($A$32="",$E$32&gt;0)</formula>
    </cfRule>
  </conditionalFormatting>
  <conditionalFormatting sqref="A71:F71">
    <cfRule type="expression" dxfId="1319" priority="292">
      <formula>$H$71&gt;0</formula>
    </cfRule>
  </conditionalFormatting>
  <conditionalFormatting sqref="K33:L33 N33">
    <cfRule type="expression" dxfId="1318" priority="291">
      <formula>$M$33&gt;0</formula>
    </cfRule>
  </conditionalFormatting>
  <conditionalFormatting sqref="K44:L44 N44">
    <cfRule type="expression" dxfId="1317" priority="290">
      <formula>$M$44&gt;0</formula>
    </cfRule>
  </conditionalFormatting>
  <conditionalFormatting sqref="K48:L48 N48">
    <cfRule type="expression" dxfId="1316" priority="289">
      <formula>$M$48&gt;0</formula>
    </cfRule>
  </conditionalFormatting>
  <conditionalFormatting sqref="K24:L24 N24">
    <cfRule type="expression" dxfId="1315" priority="288">
      <formula>$M$24&gt;0</formula>
    </cfRule>
  </conditionalFormatting>
  <conditionalFormatting sqref="K20:L20 N20">
    <cfRule type="expression" dxfId="1314" priority="285">
      <formula>$M$20&gt;0</formula>
    </cfRule>
  </conditionalFormatting>
  <conditionalFormatting sqref="K16:N16">
    <cfRule type="expression" dxfId="1313" priority="282">
      <formula>$M$16&gt;0</formula>
    </cfRule>
  </conditionalFormatting>
  <conditionalFormatting sqref="A16:F16">
    <cfRule type="expression" dxfId="1312" priority="281">
      <formula>$H$16&gt;0</formula>
    </cfRule>
  </conditionalFormatting>
  <conditionalFormatting sqref="N11 J11:L11 A11:H11">
    <cfRule type="expression" dxfId="1311" priority="280">
      <formula>$M$11&gt;0</formula>
    </cfRule>
  </conditionalFormatting>
  <conditionalFormatting sqref="A52:F52">
    <cfRule type="expression" dxfId="1310" priority="277">
      <formula>$B$52&lt;&gt;0</formula>
    </cfRule>
  </conditionalFormatting>
  <conditionalFormatting sqref="G61:J61">
    <cfRule type="expression" dxfId="1309" priority="276">
      <formula>AND($H$60&gt;0,$I$61=0,$J$61=0)</formula>
    </cfRule>
  </conditionalFormatting>
  <conditionalFormatting sqref="K61:L61 N61 O61:O75">
    <cfRule type="expression" dxfId="1308" priority="275">
      <formula>$M$61&gt;0</formula>
    </cfRule>
  </conditionalFormatting>
  <conditionalFormatting sqref="D63:N63 C34:F34 C35 C37:C39 C45:C47 C49:C51 C41 C43 O61:O75 C62:C63 C53:C54 C58">
    <cfRule type="expression" dxfId="1307" priority="274">
      <formula>$E$34&gt;0</formula>
    </cfRule>
  </conditionalFormatting>
  <conditionalFormatting sqref="D63:N63 C38:F38 C39 C45:C47 C49:C51 C41 C43 O61:O75 C62:C63 C53:C54 C58">
    <cfRule type="expression" dxfId="1306" priority="273">
      <formula>$E$38&gt;0</formula>
    </cfRule>
  </conditionalFormatting>
  <conditionalFormatting sqref="D63:N63 C46:F46 C47 C49:C51 O61:O75 C62:C63 C53:C54 C58">
    <cfRule type="expression" dxfId="1305" priority="272">
      <formula>$E$46&gt;0</formula>
    </cfRule>
  </conditionalFormatting>
  <conditionalFormatting sqref="D63:N63 C50:F50 C51 O61:O75 C62:C63 C53:C54 C58">
    <cfRule type="expression" dxfId="1304" priority="271">
      <formula>$E$50&gt;0</formula>
    </cfRule>
  </conditionalFormatting>
  <conditionalFormatting sqref="D63:N63 C54:F54 O61:O75 C62:C63 C58">
    <cfRule type="expression" dxfId="1303" priority="270">
      <formula>$E$54&gt;0</formula>
    </cfRule>
  </conditionalFormatting>
  <conditionalFormatting sqref="G59:J59 G60 G61:H61 J60">
    <cfRule type="expression" dxfId="1302" priority="267">
      <formula>$H$60&gt;0</formula>
    </cfRule>
  </conditionalFormatting>
  <conditionalFormatting sqref="G48:J48 G49 G50:H50 J49">
    <cfRule type="expression" dxfId="1301" priority="266">
      <formula>$H$49&gt;0</formula>
    </cfRule>
  </conditionalFormatting>
  <conditionalFormatting sqref="G49:H49 J49">
    <cfRule type="expression" dxfId="1300" priority="265">
      <formula>AND($M$50&gt;0,$H$49=0)</formula>
    </cfRule>
  </conditionalFormatting>
  <conditionalFormatting sqref="K50:L50 N50:P50">
    <cfRule type="expression" dxfId="1299" priority="264">
      <formula>$M$50&gt;0</formula>
    </cfRule>
  </conditionalFormatting>
  <conditionalFormatting sqref="N46:P46 K46:L46">
    <cfRule type="expression" dxfId="1298" priority="263">
      <formula>$M$46&gt;0</formula>
    </cfRule>
  </conditionalFormatting>
  <conditionalFormatting sqref="H21">
    <cfRule type="expression" dxfId="1297" priority="262">
      <formula>AND($H$20&gt;0,$J$21=0,$I$21=0)</formula>
    </cfRule>
  </conditionalFormatting>
  <conditionalFormatting sqref="N20">
    <cfRule type="expression" dxfId="1296" priority="261">
      <formula>AND($H$20&gt;0,$M$20=0)</formula>
    </cfRule>
  </conditionalFormatting>
  <conditionalFormatting sqref="N24">
    <cfRule type="expression" dxfId="1295" priority="260">
      <formula>AND($H$24&gt;0,$M$24=0)</formula>
    </cfRule>
  </conditionalFormatting>
  <conditionalFormatting sqref="N33">
    <cfRule type="expression" dxfId="1294" priority="259">
      <formula>AND($H$33&gt;0,$M$33=0)</formula>
    </cfRule>
  </conditionalFormatting>
  <conditionalFormatting sqref="K37:L37 N37">
    <cfRule type="expression" dxfId="1293" priority="258">
      <formula>$M$37&gt;0</formula>
    </cfRule>
  </conditionalFormatting>
  <conditionalFormatting sqref="N37">
    <cfRule type="expression" dxfId="1292" priority="257">
      <formula>AND($H$37&gt;0,$M$37=0)</formula>
    </cfRule>
  </conditionalFormatting>
  <conditionalFormatting sqref="N46">
    <cfRule type="expression" dxfId="1291" priority="256">
      <formula>AND($H$45&gt;0,$M$46=0)</formula>
    </cfRule>
  </conditionalFormatting>
  <conditionalFormatting sqref="N50">
    <cfRule type="expression" dxfId="1290" priority="255">
      <formula>AND($H$49&gt;0,$M$50=0)</formula>
    </cfRule>
  </conditionalFormatting>
  <conditionalFormatting sqref="N59">
    <cfRule type="expression" dxfId="1289" priority="254">
      <formula>AND(OR($H$60&gt;0,$M$61&gt;0),$M$59=0)</formula>
    </cfRule>
  </conditionalFormatting>
  <conditionalFormatting sqref="N61">
    <cfRule type="expression" dxfId="1288" priority="253">
      <formula>AND(OR($H$60&gt;0,$M$59&gt;0),$M$61=0)</formula>
    </cfRule>
  </conditionalFormatting>
  <conditionalFormatting sqref="J11 H11">
    <cfRule type="expression" dxfId="1287" priority="239">
      <formula>AND($M$11&gt;0,$I$11=0)</formula>
    </cfRule>
  </conditionalFormatting>
  <conditionalFormatting sqref="N74 A74:G74 K74:L74">
    <cfRule type="expression" dxfId="1286" priority="224">
      <formula>$M$74&lt;&gt;0</formula>
    </cfRule>
  </conditionalFormatting>
  <conditionalFormatting sqref="K28:L28 N28">
    <cfRule type="expression" dxfId="1285" priority="221">
      <formula>$M$28&gt;0</formula>
    </cfRule>
  </conditionalFormatting>
  <conditionalFormatting sqref="N28">
    <cfRule type="expression" dxfId="1284" priority="220">
      <formula>AND($H$28&gt;0,$M$28=0)</formula>
    </cfRule>
  </conditionalFormatting>
  <conditionalFormatting sqref="G40:J40 G41 G42:H42 J41">
    <cfRule type="expression" dxfId="1283" priority="209">
      <formula>$H$41&gt;0</formula>
    </cfRule>
  </conditionalFormatting>
  <conditionalFormatting sqref="G41:H41 J41">
    <cfRule type="expression" dxfId="1282" priority="208">
      <formula>AND($M$42&gt;0,$H$41=0)</formula>
    </cfRule>
  </conditionalFormatting>
  <conditionalFormatting sqref="G42:H42">
    <cfRule type="expression" dxfId="1281" priority="207">
      <formula>AND($H$41&gt;0,$J$42=0,$I$42=0)</formula>
    </cfRule>
  </conditionalFormatting>
  <conditionalFormatting sqref="N42:P42 K42:L42">
    <cfRule type="expression" dxfId="1280" priority="206">
      <formula>$M$42&gt;0</formula>
    </cfRule>
  </conditionalFormatting>
  <conditionalFormatting sqref="N42">
    <cfRule type="expression" dxfId="1279" priority="205">
      <formula>AND($H$41&gt;0,$M$42=0)</formula>
    </cfRule>
  </conditionalFormatting>
  <conditionalFormatting sqref="K40:L40 N40">
    <cfRule type="expression" dxfId="1278" priority="204">
      <formula>$M$40&gt;0</formula>
    </cfRule>
  </conditionalFormatting>
  <conditionalFormatting sqref="B40:F40">
    <cfRule type="expression" dxfId="1277" priority="203">
      <formula>$B$40&lt;0</formula>
    </cfRule>
  </conditionalFormatting>
  <conditionalFormatting sqref="A40:F40">
    <cfRule type="expression" dxfId="1276" priority="202">
      <formula>$B$40&lt;&gt;0</formula>
    </cfRule>
  </conditionalFormatting>
  <conditionalFormatting sqref="C42:F42">
    <cfRule type="expression" dxfId="1275" priority="201">
      <formula>$E$42&gt;0</formula>
    </cfRule>
  </conditionalFormatting>
  <conditionalFormatting sqref="J50">
    <cfRule type="expression" dxfId="1274" priority="200">
      <formula>AND($H$45&gt;0,$J$46=0)</formula>
    </cfRule>
  </conditionalFormatting>
  <conditionalFormatting sqref="H17">
    <cfRule type="expression" dxfId="1273" priority="199">
      <formula>I17&lt;&gt;""</formula>
    </cfRule>
  </conditionalFormatting>
  <conditionalFormatting sqref="I21">
    <cfRule type="expression" dxfId="1272" priority="198">
      <formula>J21&lt;&gt;""</formula>
    </cfRule>
  </conditionalFormatting>
  <conditionalFormatting sqref="I25">
    <cfRule type="expression" dxfId="1271" priority="197">
      <formula>J25&lt;&gt;""</formula>
    </cfRule>
  </conditionalFormatting>
  <conditionalFormatting sqref="I42">
    <cfRule type="expression" dxfId="1270" priority="194">
      <formula>J42&lt;&gt;""</formula>
    </cfRule>
  </conditionalFormatting>
  <conditionalFormatting sqref="I61">
    <cfRule type="expression" dxfId="1269" priority="193">
      <formula>J61&lt;&gt;""</formula>
    </cfRule>
  </conditionalFormatting>
  <conditionalFormatting sqref="I72">
    <cfRule type="expression" dxfId="1268" priority="192">
      <formula>AND($H$60&gt;0,$J$61=0)</formula>
    </cfRule>
  </conditionalFormatting>
  <conditionalFormatting sqref="I46">
    <cfRule type="expression" dxfId="1267" priority="188">
      <formula>J46&lt;&gt;""</formula>
    </cfRule>
  </conditionalFormatting>
  <conditionalFormatting sqref="I50">
    <cfRule type="expression" dxfId="1266" priority="187">
      <formula>J50&lt;&gt;""</formula>
    </cfRule>
  </conditionalFormatting>
  <conditionalFormatting sqref="H72">
    <cfRule type="expression" dxfId="1265" priority="186">
      <formula>I72&lt;&gt;""</formula>
    </cfRule>
  </conditionalFormatting>
  <conditionalFormatting sqref="G52:J52 G53 J53 G54:H54">
    <cfRule type="expression" dxfId="1264" priority="181">
      <formula>$H$53&gt;0</formula>
    </cfRule>
  </conditionalFormatting>
  <conditionalFormatting sqref="G53:H53 J53">
    <cfRule type="expression" dxfId="1263" priority="180">
      <formula>AND($M$53&gt;0,$H$53=0)</formula>
    </cfRule>
  </conditionalFormatting>
  <conditionalFormatting sqref="G54:H54">
    <cfRule type="expression" dxfId="1262" priority="178">
      <formula>AND($H$53&gt;0,$J$54=0,$I$54=0)</formula>
    </cfRule>
  </conditionalFormatting>
  <conditionalFormatting sqref="I54">
    <cfRule type="expression" dxfId="1261" priority="177">
      <formula>J54&lt;&gt;""</formula>
    </cfRule>
  </conditionalFormatting>
  <conditionalFormatting sqref="N53:P53 K53:L53">
    <cfRule type="expression" dxfId="1260" priority="176">
      <formula>$M$53&gt;0</formula>
    </cfRule>
  </conditionalFormatting>
  <conditionalFormatting sqref="N53">
    <cfRule type="expression" dxfId="1259" priority="175">
      <formula>AND($H$53&gt;0,$M$53=0)</formula>
    </cfRule>
  </conditionalFormatting>
  <conditionalFormatting sqref="G27:J27 G28 G29:H29 J28">
    <cfRule type="expression" dxfId="1258" priority="169">
      <formula>$H$28&gt;0</formula>
    </cfRule>
  </conditionalFormatting>
  <conditionalFormatting sqref="G29:H29">
    <cfRule type="expression" dxfId="1257" priority="168">
      <formula>AND($H$28&gt;0,$J$29=0,$I$29=0)</formula>
    </cfRule>
  </conditionalFormatting>
  <conditionalFormatting sqref="G28:H28 J28">
    <cfRule type="expression" dxfId="1256" priority="167">
      <formula>AND($M$28&gt;0,$H$28=0)</formula>
    </cfRule>
  </conditionalFormatting>
  <conditionalFormatting sqref="I29">
    <cfRule type="expression" dxfId="1255" priority="111">
      <formula>J29&lt;&gt;""</formula>
    </cfRule>
  </conditionalFormatting>
  <conditionalFormatting sqref="I34">
    <cfRule type="expression" dxfId="1254" priority="110">
      <formula>J34&lt;&gt;""</formula>
    </cfRule>
  </conditionalFormatting>
  <conditionalFormatting sqref="I38">
    <cfRule type="expression" dxfId="1253" priority="109">
      <formula>J38&lt;&gt;""</formula>
    </cfRule>
  </conditionalFormatting>
  <conditionalFormatting sqref="E42:F42">
    <cfRule type="expression" dxfId="1252" priority="106">
      <formula>AND($A$42="",$M$42&gt;0)</formula>
    </cfRule>
  </conditionalFormatting>
  <conditionalFormatting sqref="A68:H68 J68:N68">
    <cfRule type="expression" dxfId="1251" priority="302">
      <formula>$M$68&lt;&gt;0</formula>
    </cfRule>
  </conditionalFormatting>
  <conditionalFormatting sqref="R17 O47:O49 O51:O52 O43:O45 O11:O41 O54 S15:U21 O58:O59">
    <cfRule type="expression" dxfId="1250" priority="980">
      <formula>$S$19&gt;0</formula>
    </cfRule>
  </conditionalFormatting>
  <conditionalFormatting sqref="G66 J66">
    <cfRule type="expression" dxfId="1249" priority="101">
      <formula>AND($M$66&gt;0,$H$66=0)</formula>
    </cfRule>
  </conditionalFormatting>
  <conditionalFormatting sqref="N66 K66:L66 O61:O75">
    <cfRule type="expression" dxfId="1248" priority="99">
      <formula>($M$66&gt;0)</formula>
    </cfRule>
  </conditionalFormatting>
  <conditionalFormatting sqref="N66">
    <cfRule type="expression" dxfId="1247" priority="100">
      <formula>AND($H$66&gt;0,$M$66=0)</formula>
    </cfRule>
  </conditionalFormatting>
  <conditionalFormatting sqref="G65:J65 G66 J66">
    <cfRule type="expression" dxfId="1246" priority="98">
      <formula>($H$66&gt;0)</formula>
    </cfRule>
  </conditionalFormatting>
  <conditionalFormatting sqref="S38:S39">
    <cfRule type="expression" dxfId="1245" priority="94">
      <formula>($S$19+$S$34)=0</formula>
    </cfRule>
    <cfRule type="expression" dxfId="1244" priority="95">
      <formula>AND($S$39&gt;0.99,$S$39&lt;1.01)</formula>
    </cfRule>
  </conditionalFormatting>
  <conditionalFormatting sqref="S40">
    <cfRule type="expression" dxfId="1243" priority="93">
      <formula>AND($S$39&gt;0.99,$S$39&lt;1.01)</formula>
    </cfRule>
  </conditionalFormatting>
  <conditionalFormatting sqref="S53">
    <cfRule type="expression" dxfId="1242" priority="87">
      <formula>AND($S$52&gt;0.99,$S$52&lt;1.01)</formula>
    </cfRule>
  </conditionalFormatting>
  <conditionalFormatting sqref="S51:S52 S54 S58">
    <cfRule type="expression" dxfId="1241" priority="1151">
      <formula>$S$47=0</formula>
    </cfRule>
    <cfRule type="expression" dxfId="1240" priority="1152">
      <formula>AND($S$52&gt;0.99,$S$52&lt;1.01)</formula>
    </cfRule>
  </conditionalFormatting>
  <conditionalFormatting sqref="H20">
    <cfRule type="expression" dxfId="1239" priority="81">
      <formula>AND($M$21&gt;0,$H$21=0)</formula>
    </cfRule>
  </conditionalFormatting>
  <conditionalFormatting sqref="M74">
    <cfRule type="expression" dxfId="1238" priority="80">
      <formula>$M$74&gt;SUM($M$61,$M$71)</formula>
    </cfRule>
  </conditionalFormatting>
  <conditionalFormatting sqref="N13 J13:L13 A13:H13">
    <cfRule type="expression" dxfId="1237" priority="79">
      <formula>$M$13&gt;0</formula>
    </cfRule>
  </conditionalFormatting>
  <conditionalFormatting sqref="J13 H13">
    <cfRule type="expression" dxfId="1236" priority="78">
      <formula>AND($M$13&gt;0,$I$13=0)</formula>
    </cfRule>
  </conditionalFormatting>
  <conditionalFormatting sqref="O10">
    <cfRule type="expression" dxfId="1235" priority="76">
      <formula>$S$34&gt;0</formula>
    </cfRule>
  </conditionalFormatting>
  <conditionalFormatting sqref="O10">
    <cfRule type="expression" dxfId="1234" priority="77">
      <formula>$S$19&gt;0</formula>
    </cfRule>
  </conditionalFormatting>
  <conditionalFormatting sqref="N11">
    <cfRule type="expression" dxfId="1233" priority="75">
      <formula>AND($I$11&gt;0,$M$11=0)</formula>
    </cfRule>
  </conditionalFormatting>
  <conditionalFormatting sqref="N13">
    <cfRule type="expression" dxfId="1232" priority="74">
      <formula>AND($I$13&gt;0,$M$13=0)</formula>
    </cfRule>
  </conditionalFormatting>
  <conditionalFormatting sqref="H56 J56">
    <cfRule type="expression" dxfId="1231" priority="70">
      <formula>AND($M$56&gt;0,$I$56=0)</formula>
    </cfRule>
  </conditionalFormatting>
  <conditionalFormatting sqref="A56:H56 J56:L56 N56:P56">
    <cfRule type="expression" dxfId="1230" priority="64">
      <formula>$M$56&gt;0</formula>
    </cfRule>
  </conditionalFormatting>
  <conditionalFormatting sqref="N56">
    <cfRule type="expression" dxfId="1229" priority="56">
      <formula>AND($I$56&gt;0,$M$56=0)</formula>
    </cfRule>
  </conditionalFormatting>
  <conditionalFormatting sqref="C57">
    <cfRule type="expression" dxfId="1228" priority="55">
      <formula>$E$34&gt;0</formula>
    </cfRule>
  </conditionalFormatting>
  <conditionalFormatting sqref="C57">
    <cfRule type="expression" dxfId="1227" priority="54">
      <formula>$E$38&gt;0</formula>
    </cfRule>
  </conditionalFormatting>
  <conditionalFormatting sqref="C57">
    <cfRule type="expression" dxfId="1226" priority="53">
      <formula>$E$46&gt;0</formula>
    </cfRule>
  </conditionalFormatting>
  <conditionalFormatting sqref="C57">
    <cfRule type="expression" dxfId="1225" priority="52">
      <formula>$E$50&gt;0</formula>
    </cfRule>
  </conditionalFormatting>
  <conditionalFormatting sqref="C57">
    <cfRule type="expression" dxfId="1224" priority="51">
      <formula>$E$54&gt;0</formula>
    </cfRule>
  </conditionalFormatting>
  <conditionalFormatting sqref="C55">
    <cfRule type="expression" dxfId="1223" priority="50">
      <formula>$E$34&gt;0</formula>
    </cfRule>
  </conditionalFormatting>
  <conditionalFormatting sqref="C55">
    <cfRule type="expression" dxfId="1222" priority="49">
      <formula>$E$38&gt;0</formula>
    </cfRule>
  </conditionalFormatting>
  <conditionalFormatting sqref="C55">
    <cfRule type="expression" dxfId="1221" priority="48">
      <formula>$E$46&gt;0</formula>
    </cfRule>
  </conditionalFormatting>
  <conditionalFormatting sqref="C55">
    <cfRule type="expression" dxfId="1220" priority="47">
      <formula>$E$50&gt;0</formula>
    </cfRule>
  </conditionalFormatting>
  <conditionalFormatting sqref="C55">
    <cfRule type="expression" dxfId="1219" priority="46">
      <formula>$E$54&gt;0</formula>
    </cfRule>
  </conditionalFormatting>
  <conditionalFormatting sqref="H68 J68">
    <cfRule type="expression" dxfId="1218" priority="45">
      <formula>AND($M$68&gt;0,$I$68=0)</formula>
    </cfRule>
  </conditionalFormatting>
  <conditionalFormatting sqref="C20:F20">
    <cfRule type="expression" dxfId="1217" priority="36">
      <formula>$E$20&gt;0</formula>
    </cfRule>
  </conditionalFormatting>
  <conditionalFormatting sqref="E20:F20">
    <cfRule type="expression" dxfId="1216" priority="42">
      <formula>AND($A$20="",$E$20&gt;0)</formula>
    </cfRule>
  </conditionalFormatting>
  <conditionalFormatting sqref="C27:F27">
    <cfRule type="expression" dxfId="1215" priority="41">
      <formula>$E$27&gt;0</formula>
    </cfRule>
  </conditionalFormatting>
  <conditionalFormatting sqref="E27:F27">
    <cfRule type="expression" dxfId="1214" priority="40">
      <formula>AND($A$27="",$E$27&gt;0)</formula>
    </cfRule>
  </conditionalFormatting>
  <conditionalFormatting sqref="A21:C21">
    <cfRule type="expression" dxfId="1213" priority="39">
      <formula>$A$20=$X$36</formula>
    </cfRule>
  </conditionalFormatting>
  <conditionalFormatting sqref="D20">
    <cfRule type="expression" dxfId="1212" priority="38">
      <formula>$A$20=$X$36</formula>
    </cfRule>
    <cfRule type="expression" dxfId="1211" priority="43">
      <formula>$E$20&gt;0</formula>
    </cfRule>
  </conditionalFormatting>
  <conditionalFormatting sqref="E21">
    <cfRule type="expression" dxfId="1210" priority="44">
      <formula>$A$20=$X$36</formula>
    </cfRule>
  </conditionalFormatting>
  <conditionalFormatting sqref="D21">
    <cfRule type="expression" dxfId="1209" priority="37">
      <formula>$A$20=$X$36</formula>
    </cfRule>
  </conditionalFormatting>
  <conditionalFormatting sqref="A21:C21 E21">
    <cfRule type="expression" dxfId="1208" priority="35">
      <formula>$E$21&gt;0</formula>
    </cfRule>
  </conditionalFormatting>
  <conditionalFormatting sqref="C24:F24">
    <cfRule type="expression" dxfId="1207" priority="28">
      <formula>$E$24&gt;0</formula>
    </cfRule>
  </conditionalFormatting>
  <conditionalFormatting sqref="E24:F24">
    <cfRule type="expression" dxfId="1206" priority="32">
      <formula>AND($A$24="",$E$24&gt;0)</formula>
    </cfRule>
  </conditionalFormatting>
  <conditionalFormatting sqref="A25:C25">
    <cfRule type="expression" dxfId="1205" priority="31">
      <formula>$A$24=$X$36</formula>
    </cfRule>
  </conditionalFormatting>
  <conditionalFormatting sqref="D24">
    <cfRule type="expression" dxfId="1204" priority="30">
      <formula>$A$24=$X$36</formula>
    </cfRule>
    <cfRule type="expression" dxfId="1203" priority="33">
      <formula>$E$24&gt;0</formula>
    </cfRule>
  </conditionalFormatting>
  <conditionalFormatting sqref="E25">
    <cfRule type="expression" dxfId="1202" priority="34">
      <formula>$A$24=$X$36</formula>
    </cfRule>
  </conditionalFormatting>
  <conditionalFormatting sqref="D25">
    <cfRule type="expression" dxfId="1201" priority="29">
      <formula>$A$24=$X$36</formula>
    </cfRule>
  </conditionalFormatting>
  <conditionalFormatting sqref="A25:C25 E25">
    <cfRule type="expression" dxfId="1200" priority="27">
      <formula>$E$25&gt;0</formula>
    </cfRule>
  </conditionalFormatting>
  <conditionalFormatting sqref="A29:F29">
    <cfRule type="expression" dxfId="1199" priority="20">
      <formula>$E$29&gt;0</formula>
    </cfRule>
  </conditionalFormatting>
  <conditionalFormatting sqref="E29:F29">
    <cfRule type="expression" dxfId="1198" priority="24">
      <formula>AND($A$29="",$E$29&gt;0)</formula>
    </cfRule>
  </conditionalFormatting>
  <conditionalFormatting sqref="A30:C30">
    <cfRule type="expression" dxfId="1197" priority="23">
      <formula>$A$29=$X$36</formula>
    </cfRule>
  </conditionalFormatting>
  <conditionalFormatting sqref="D29">
    <cfRule type="expression" dxfId="1196" priority="22">
      <formula>$A$29=$X$36</formula>
    </cfRule>
    <cfRule type="expression" dxfId="1195" priority="25">
      <formula>$E$29&gt;0</formula>
    </cfRule>
  </conditionalFormatting>
  <conditionalFormatting sqref="E30">
    <cfRule type="expression" dxfId="1194" priority="26">
      <formula>$A$29=$X$36</formula>
    </cfRule>
  </conditionalFormatting>
  <conditionalFormatting sqref="D30">
    <cfRule type="expression" dxfId="1193" priority="21">
      <formula>$A$29=$X$36</formula>
    </cfRule>
  </conditionalFormatting>
  <conditionalFormatting sqref="A30:C30 E30">
    <cfRule type="expression" dxfId="1192" priority="19">
      <formula>$E$30&gt;0</formula>
    </cfRule>
  </conditionalFormatting>
  <conditionalFormatting sqref="C59">
    <cfRule type="expression" dxfId="1191" priority="18">
      <formula>$E$34&gt;0</formula>
    </cfRule>
  </conditionalFormatting>
  <conditionalFormatting sqref="C59">
    <cfRule type="expression" dxfId="1190" priority="17">
      <formula>$E$38&gt;0</formula>
    </cfRule>
  </conditionalFormatting>
  <conditionalFormatting sqref="C59">
    <cfRule type="expression" dxfId="1189" priority="16">
      <formula>$E$46&gt;0</formula>
    </cfRule>
  </conditionalFormatting>
  <conditionalFormatting sqref="C59">
    <cfRule type="expression" dxfId="1188" priority="15">
      <formula>$E$50&gt;0</formula>
    </cfRule>
  </conditionalFormatting>
  <conditionalFormatting sqref="C59">
    <cfRule type="expression" dxfId="1187" priority="14">
      <formula>$E$54&gt;0</formula>
    </cfRule>
  </conditionalFormatting>
  <conditionalFormatting sqref="C61">
    <cfRule type="expression" dxfId="1186" priority="13">
      <formula>$E$34&gt;0</formula>
    </cfRule>
  </conditionalFormatting>
  <conditionalFormatting sqref="C61">
    <cfRule type="expression" dxfId="1185" priority="12">
      <formula>$E$38&gt;0</formula>
    </cfRule>
  </conditionalFormatting>
  <conditionalFormatting sqref="C61">
    <cfRule type="expression" dxfId="1184" priority="11">
      <formula>$E$46&gt;0</formula>
    </cfRule>
  </conditionalFormatting>
  <conditionalFormatting sqref="C61">
    <cfRule type="expression" dxfId="1183" priority="10">
      <formula>$E$50&gt;0</formula>
    </cfRule>
  </conditionalFormatting>
  <conditionalFormatting sqref="C61">
    <cfRule type="expression" dxfId="1182" priority="9">
      <formula>$E$54&gt;0</formula>
    </cfRule>
  </conditionalFormatting>
  <conditionalFormatting sqref="C60:F60">
    <cfRule type="expression" dxfId="1181" priority="2">
      <formula>$E$60&gt;0</formula>
    </cfRule>
  </conditionalFormatting>
  <conditionalFormatting sqref="E60:F60">
    <cfRule type="expression" dxfId="1180" priority="6">
      <formula>AND($A$60="",$E$60&gt;0)</formula>
    </cfRule>
  </conditionalFormatting>
  <conditionalFormatting sqref="A61:C61">
    <cfRule type="expression" dxfId="1179" priority="5">
      <formula>$A$60=$X$36</formula>
    </cfRule>
  </conditionalFormatting>
  <conditionalFormatting sqref="D60">
    <cfRule type="expression" dxfId="1178" priority="4">
      <formula>$A$60=$X$36</formula>
    </cfRule>
    <cfRule type="expression" dxfId="1177" priority="7">
      <formula>$E$60&gt;0</formula>
    </cfRule>
  </conditionalFormatting>
  <conditionalFormatting sqref="E61">
    <cfRule type="expression" dxfId="1176" priority="8">
      <formula>$A$60=$X$36</formula>
    </cfRule>
  </conditionalFormatting>
  <conditionalFormatting sqref="D61">
    <cfRule type="expression" dxfId="1175" priority="3">
      <formula>$A$60=$X$36</formula>
    </cfRule>
  </conditionalFormatting>
  <conditionalFormatting sqref="A61:C61 E61">
    <cfRule type="expression" dxfId="1174" priority="1">
      <formula>$E$61&gt;0</formula>
    </cfRule>
  </conditionalFormatting>
  <dataValidations count="19">
    <dataValidation type="custom" allowBlank="1" showInputMessage="1" showErrorMessage="1" errorTitle="Netzrückspeisung zu hoch" error="Die Netzrückspeisung darf nicht grösser sein als die Summe der mit WKK und Solarstromanlage erzeugten Elektrizität." sqref="M74" xr:uid="{00000000-0002-0000-0700-000000000000}">
      <formula1>AA74</formula1>
    </dataValidation>
    <dataValidation type="list" allowBlank="1" showInputMessage="1" showErrorMessage="1" sqref="S78:S80" xr:uid="{00000000-0002-0000-0700-000001000000}">
      <formula1>$AC$78:$AC$79</formula1>
    </dataValidation>
    <dataValidation type="list" allowBlank="1" showInputMessage="1" showErrorMessage="1" sqref="B78:E80" xr:uid="{00000000-0002-0000-0700-000002000000}">
      <formula1>$X$78:$X$80</formula1>
    </dataValidation>
    <dataValidation type="decimal" allowBlank="1" showInputMessage="1" showErrorMessage="1" error="Wert muss zwischen 400 und 1'500 liegen" sqref="I72" xr:uid="{00000000-0002-0000-0700-000003000000}">
      <formula1>400</formula1>
      <formula2>1500</formula2>
    </dataValidation>
    <dataValidation type="decimal" allowBlank="1" showInputMessage="1" showErrorMessage="1" error="Wert muss zwischen 5 und 100 liegen" sqref="J54" xr:uid="{00000000-0002-0000-0700-000004000000}">
      <formula1>5</formula1>
      <formula2>100</formula2>
    </dataValidation>
    <dataValidation type="decimal" allowBlank="1" showInputMessage="1" showErrorMessage="1" error="Wert muss zwischen 0.5 und 1.0 liegen" sqref="J21 J25" xr:uid="{00000000-0002-0000-0700-000005000000}">
      <formula1>0.5</formula1>
      <formula2>1</formula2>
    </dataValidation>
    <dataValidation type="decimal" allowBlank="1" showInputMessage="1" showErrorMessage="1" error="Wert muss zwischen 200 und 800 liegen" sqref="I17" xr:uid="{00000000-0002-0000-0700-000006000000}">
      <formula1>200</formula1>
      <formula2>800</formula2>
    </dataValidation>
    <dataValidation type="decimal" allowBlank="1" showInputMessage="1" showErrorMessage="1" error="Wert muss zwischen 2.0 und 8.0 liegen" sqref="J29 J34 J38" xr:uid="{00000000-0002-0000-0700-000007000000}">
      <formula1>2</formula1>
      <formula2>8</formula2>
    </dataValidation>
    <dataValidation type="decimal" allowBlank="1" showErrorMessage="1" error="Wert muss zwischen 0.5 und 1.0 liegen" prompt="Wert muss zwischen 0.5 und 1.0 liegen" sqref="J61" xr:uid="{00000000-0002-0000-0700-000008000000}">
      <formula1>0.5</formula1>
      <formula2>1</formula2>
    </dataValidation>
    <dataValidation type="decimal" showInputMessage="1" showErrorMessage="1" error="Wert muss im Bereich 5 ... 100% liegen" sqref="C20 C29 C24 C60" xr:uid="{00000000-0002-0000-0700-000009000000}">
      <formula1>0.05</formula1>
      <formula2>1</formula2>
    </dataValidation>
    <dataValidation type="decimal" allowBlank="1" showInputMessage="1" showErrorMessage="1" error="Wert muss zwischen 1.5 und 8.0 liegen" sqref="J46 J50" xr:uid="{00000000-0002-0000-0700-00000A000000}">
      <formula1>1.5</formula1>
      <formula2>8</formula2>
    </dataValidation>
    <dataValidation type="decimal" allowBlank="1" showInputMessage="1" showErrorMessage="1" error="Wert muss zwischen 0.3 und 1.5 liegen" sqref="J42" xr:uid="{00000000-0002-0000-0700-00000B000000}">
      <formula1>0.3</formula1>
      <formula2>1.5</formula2>
    </dataValidation>
    <dataValidation type="list" allowBlank="1" showInputMessage="1" showErrorMessage="1" sqref="A36:B36 A32:B32 A27:B27" xr:uid="{00000000-0002-0000-0700-00000C000000}">
      <formula1>$X$13:$X$17</formula1>
    </dataValidation>
    <dataValidation type="list" allowBlank="1" showInputMessage="1" showErrorMessage="1" sqref="A42:B42" xr:uid="{00000000-0002-0000-0700-00000D000000}">
      <formula1>$X$20:$X$21</formula1>
    </dataValidation>
    <dataValidation type="decimal" operator="greaterThanOrEqual" allowBlank="1" showInputMessage="1" showErrorMessage="1" sqref="I11 I13 H16:I16 H20:I20 H24:I24 H28:I28 H33:I33 H37:I37 H41:I41 H45:I45 H49:I49 H53:I53 H60:I60 H66:I66 I68 H71:I71 I56" xr:uid="{00000000-0002-0000-0700-00000E000000}">
      <formula1>0</formula1>
    </dataValidation>
    <dataValidation allowBlank="1" showErrorMessage="1" promptTitle="Biogas" prompt="Bei Wahl &quot;Erdgas&quot; kann der Biogas-Anteil (0..100%) eingegeben werden" sqref="A29:B29" xr:uid="{00000000-0002-0000-0700-00000F000000}"/>
    <dataValidation type="decimal" allowBlank="1" showInputMessage="1" showErrorMessage="1" errorTitle="Eingabe unzulässig" error="Wert muss im Bereich 0% ... 100% liegen" promptTitle="Biogas-Anteil Energie 360°" prompt="Erdgas von Energie 360° enthält standardmässig 25% Biogas" sqref="D61 D30 D21 D25" xr:uid="{00000000-0002-0000-0700-000010000000}">
      <formula1>0</formula1>
      <formula2>1</formula2>
    </dataValidation>
    <dataValidation showInputMessage="1" sqref="D20 D29 D24 D60" xr:uid="{00000000-0002-0000-0700-000011000000}"/>
    <dataValidation type="list" allowBlank="1" showInputMessage="1" showErrorMessage="1" promptTitle="Biogas" prompt="Bei Wahl &quot;Erdgas&quot; kann der Biogas-Anteil (0..100%) eingegeben werden" sqref="A20:B20 A24:B24 A60:B60" xr:uid="{00000000-0002-0000-0700-000012000000}">
      <formula1>$X$34:$X$38</formula1>
    </dataValidation>
  </dataValidations>
  <hyperlinks>
    <hyperlink ref="I2" location="Neu_in_Version" display="i" xr:uid="{00000000-0004-0000-0700-000000000000}"/>
  </hyperlinks>
  <printOptions horizontalCentered="1"/>
  <pageMargins left="0.59055118110236227" right="0.59055118110236227" top="0.39370078740157483" bottom="0.59055118110236227" header="0.39370078740157483" footer="0.31496062992125984"/>
  <pageSetup paperSize="9" scale="74" orientation="portrait" r:id="rId1"/>
  <headerFooter scaleWithDoc="0">
    <oddFooter>&amp;L&amp;8Druckdatum  &amp;D&amp;C&amp;8&amp;F/&amp;A&amp;R&amp;8Seite &amp;P / &amp;N</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72" id="{5177B4A5-3215-4539-B5F9-FCAD3812F30E}">
            <xm:f>EV_Var1!$S$34&gt;0</xm:f>
            <x14:dxf>
              <fill>
                <patternFill>
                  <bgColor theme="9" tint="0.39994506668294322"/>
                </patternFill>
              </fill>
            </x14:dxf>
          </x14:cfRule>
          <xm:sqref>O55</xm:sqref>
        </x14:conditionalFormatting>
        <x14:conditionalFormatting xmlns:xm="http://schemas.microsoft.com/office/excel/2006/main">
          <x14:cfRule type="expression" priority="71" id="{8EC4DE67-080F-4515-8C26-DE12E3E455C9}">
            <xm:f>EV_Var1!$S$19&gt;0</xm:f>
            <x14:dxf>
              <fill>
                <patternFill>
                  <bgColor theme="9" tint="0.39994506668294322"/>
                </patternFill>
              </fill>
            </x14:dxf>
          </x14:cfRule>
          <xm:sqref>O55</xm:sqref>
        </x14:conditionalFormatting>
        <x14:conditionalFormatting xmlns:xm="http://schemas.microsoft.com/office/excel/2006/main">
          <x14:cfRule type="expression" priority="58" id="{A2119731-F3A8-4BF0-9A2F-A356664C0279}">
            <xm:f>EV_Var1!$S$34&gt;0</xm:f>
            <x14:dxf>
              <fill>
                <patternFill>
                  <bgColor theme="9" tint="0.39994506668294322"/>
                </patternFill>
              </fill>
            </x14:dxf>
          </x14:cfRule>
          <xm:sqref>O57</xm:sqref>
        </x14:conditionalFormatting>
        <x14:conditionalFormatting xmlns:xm="http://schemas.microsoft.com/office/excel/2006/main">
          <x14:cfRule type="expression" priority="57" id="{B156BC40-95A6-412B-B376-D34225B8FBDD}">
            <xm:f>EV_Var1!$S$19&gt;0</xm:f>
            <x14:dxf>
              <fill>
                <patternFill>
                  <bgColor theme="9" tint="0.39994506668294322"/>
                </patternFill>
              </fill>
            </x14:dxf>
          </x14:cfRule>
          <xm:sqref>O57</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theme="9" tint="0.39997558519241921"/>
    <outlinePr summaryBelow="0"/>
  </sheetPr>
  <dimension ref="A1:BQ167"/>
  <sheetViews>
    <sheetView showGridLines="0" showZeros="0" zoomScaleNormal="100" zoomScaleSheetLayoutView="100" workbookViewId="0">
      <selection activeCell="B11" sqref="B11:D11"/>
    </sheetView>
  </sheetViews>
  <sheetFormatPr baseColWidth="10" defaultColWidth="11.42578125" defaultRowHeight="12.95" customHeight="1" x14ac:dyDescent="0.2"/>
  <cols>
    <col min="1" max="1" width="15.42578125" style="34" customWidth="1"/>
    <col min="2" max="2" width="13.7109375" style="34" customWidth="1"/>
    <col min="3" max="3" width="9.42578125" style="33" customWidth="1"/>
    <col min="4" max="5" width="6.5703125" style="33" customWidth="1"/>
    <col min="6" max="6" width="6.28515625" style="33" customWidth="1"/>
    <col min="7" max="7" width="8.5703125" style="33" customWidth="1"/>
    <col min="8" max="9" width="4.42578125" style="32" customWidth="1"/>
    <col min="10" max="10" width="10.7109375" style="32" customWidth="1"/>
    <col min="11" max="11" width="4.85546875" style="34" customWidth="1"/>
    <col min="12" max="13" width="4.28515625" style="34" customWidth="1"/>
    <col min="14" max="14" width="9.7109375" style="34" customWidth="1"/>
    <col min="15" max="15" width="4.28515625" style="34" customWidth="1"/>
    <col min="16" max="16" width="15.7109375" style="34" customWidth="1"/>
    <col min="17" max="19" width="8.7109375" style="123" customWidth="1"/>
    <col min="20" max="20" width="8.7109375" style="127" customWidth="1"/>
    <col min="21" max="33" width="8.7109375" style="123" customWidth="1"/>
    <col min="34" max="36" width="8.7109375" style="174" customWidth="1"/>
    <col min="37" max="69" width="8.7109375" style="175" customWidth="1"/>
    <col min="70" max="16384" width="11.42578125" style="32"/>
  </cols>
  <sheetData>
    <row r="1" spans="1:69" s="1570" customFormat="1" ht="54" customHeight="1" x14ac:dyDescent="0.2">
      <c r="D1" s="1556"/>
      <c r="E1" s="1556"/>
      <c r="F1" s="1556"/>
      <c r="G1" s="1556"/>
      <c r="H1" s="67"/>
      <c r="I1" s="67"/>
      <c r="J1" s="67"/>
    </row>
    <row r="2" spans="1:69" s="1570" customFormat="1" ht="15" customHeight="1" x14ac:dyDescent="0.25">
      <c r="A2" s="1565" t="str">
        <f>CONCATENATE("Variantenvergleich Energiesysteme - Version ",Versionsinfo!$B$4)</f>
        <v>Variantenvergleich Energiesysteme - Version 3.0</v>
      </c>
      <c r="B2" s="716"/>
      <c r="C2" s="716"/>
      <c r="D2" s="717"/>
      <c r="E2" s="717"/>
      <c r="F2" s="651"/>
      <c r="G2" s="652" t="s">
        <v>586</v>
      </c>
      <c r="J2" s="67"/>
      <c r="M2" s="1376"/>
    </row>
    <row r="3" spans="1:69" s="425" customFormat="1" ht="12.75" customHeight="1" x14ac:dyDescent="0.2">
      <c r="A3" s="1557" t="s">
        <v>781</v>
      </c>
      <c r="D3" s="427"/>
      <c r="E3" s="427"/>
      <c r="F3" s="427"/>
      <c r="G3" s="427"/>
      <c r="I3" s="903">
        <f>Projektdaten!$C$8</f>
        <v>0</v>
      </c>
      <c r="J3" s="903"/>
      <c r="K3" s="903"/>
      <c r="L3" s="903"/>
      <c r="M3" s="903"/>
      <c r="N3" s="903"/>
      <c r="O3" s="428"/>
    </row>
    <row r="4" spans="1:69" s="425" customFormat="1" ht="16.5" customHeight="1" x14ac:dyDescent="0.2">
      <c r="A4" s="430"/>
      <c r="I4" s="903">
        <f>Projektdaten!$J$8</f>
        <v>0</v>
      </c>
      <c r="J4" s="903"/>
      <c r="K4" s="904"/>
      <c r="L4" s="905"/>
      <c r="M4" s="905"/>
      <c r="N4" s="905"/>
    </row>
    <row r="5" spans="1:69" s="50" customFormat="1" ht="16.5" customHeight="1" x14ac:dyDescent="0.25">
      <c r="A5" s="1581" t="s">
        <v>715</v>
      </c>
      <c r="B5" s="601"/>
      <c r="I5" s="1435" t="str">
        <f>CONCATENATE("Version: ",Projektdaten!$F$13)</f>
        <v>Version: 1</v>
      </c>
      <c r="J5" s="1435"/>
      <c r="K5" s="1435"/>
      <c r="L5" s="1435"/>
      <c r="M5" s="2199">
        <f ca="1">Projektdaten!$F$15</f>
        <v>45372</v>
      </c>
      <c r="N5" s="2199"/>
      <c r="O5" s="901"/>
      <c r="P5" s="145"/>
      <c r="Q5" s="123"/>
      <c r="R5" s="126"/>
      <c r="S5" s="489"/>
      <c r="T5" s="127"/>
      <c r="U5" s="123"/>
      <c r="V5" s="123"/>
      <c r="W5" s="123"/>
      <c r="X5" s="123"/>
      <c r="Y5" s="123"/>
      <c r="Z5" s="123"/>
      <c r="AA5" s="123"/>
      <c r="AB5" s="123"/>
      <c r="AC5" s="123"/>
      <c r="AD5" s="123"/>
      <c r="AE5" s="123"/>
      <c r="AF5" s="123"/>
      <c r="AG5" s="123"/>
      <c r="AH5" s="174"/>
      <c r="AI5" s="174"/>
      <c r="AJ5" s="174"/>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c r="BN5" s="175"/>
      <c r="BO5" s="175"/>
      <c r="BP5" s="175"/>
      <c r="BQ5" s="175"/>
    </row>
    <row r="6" spans="1:69" ht="13.5" customHeight="1" x14ac:dyDescent="0.2"/>
    <row r="7" spans="1:69" s="48" customFormat="1" ht="15" customHeight="1" x14ac:dyDescent="0.25">
      <c r="A7" s="280" t="s">
        <v>16</v>
      </c>
      <c r="B7" s="1583">
        <f>EV_Var1!$C$7</f>
        <v>0</v>
      </c>
      <c r="C7" s="696"/>
      <c r="D7" s="167"/>
      <c r="E7" s="167"/>
      <c r="F7" s="1582">
        <f>EV_Var1!$J$7</f>
        <v>0</v>
      </c>
      <c r="G7" s="1582"/>
      <c r="H7" s="517"/>
      <c r="I7" s="517"/>
      <c r="J7" s="518"/>
      <c r="K7" s="518"/>
      <c r="L7" s="518"/>
      <c r="M7" s="518"/>
      <c r="N7" s="518"/>
      <c r="P7" s="146"/>
      <c r="Q7" s="144"/>
      <c r="R7" s="128"/>
      <c r="S7" s="216"/>
      <c r="T7" s="125"/>
      <c r="U7" s="217"/>
      <c r="V7" s="183"/>
      <c r="W7" s="217"/>
      <c r="X7" s="217"/>
      <c r="Y7" s="217"/>
      <c r="Z7" s="217"/>
      <c r="AA7" s="217"/>
      <c r="AB7" s="218"/>
      <c r="AC7" s="218"/>
      <c r="AD7" s="218"/>
      <c r="AE7" s="218"/>
      <c r="AF7" s="218"/>
      <c r="AG7" s="218"/>
      <c r="AH7" s="219"/>
      <c r="AI7" s="219"/>
      <c r="AJ7" s="219"/>
      <c r="AK7" s="220"/>
      <c r="AL7" s="220"/>
      <c r="AM7" s="221"/>
      <c r="AN7" s="221"/>
      <c r="AO7" s="221"/>
      <c r="AP7" s="221"/>
      <c r="AQ7" s="221"/>
      <c r="AR7" s="221"/>
      <c r="AS7" s="221"/>
      <c r="AT7" s="221"/>
      <c r="AU7" s="221"/>
      <c r="AV7" s="221"/>
      <c r="AW7" s="221"/>
      <c r="AX7" s="221"/>
      <c r="AY7" s="221"/>
      <c r="AZ7" s="221"/>
      <c r="BA7" s="221"/>
      <c r="BB7" s="221"/>
      <c r="BC7" s="221"/>
      <c r="BD7" s="221"/>
      <c r="BE7" s="221"/>
      <c r="BF7" s="221"/>
      <c r="BG7" s="221"/>
      <c r="BH7" s="221"/>
      <c r="BI7" s="221"/>
      <c r="BJ7" s="221"/>
      <c r="BK7" s="221"/>
      <c r="BL7" s="221"/>
      <c r="BM7" s="221"/>
      <c r="BN7" s="221"/>
      <c r="BO7" s="221"/>
      <c r="BP7" s="221"/>
      <c r="BQ7" s="221"/>
    </row>
    <row r="8" spans="1:69" s="46" customFormat="1" ht="6" customHeight="1" x14ac:dyDescent="0.25">
      <c r="A8" s="47"/>
      <c r="B8" s="47"/>
      <c r="H8" s="23" t="s">
        <v>11</v>
      </c>
      <c r="I8" s="23"/>
      <c r="J8" s="33"/>
      <c r="K8" s="33"/>
      <c r="L8" s="33"/>
      <c r="M8" s="33"/>
      <c r="N8" s="33"/>
      <c r="O8" s="33"/>
      <c r="P8" s="33"/>
      <c r="Q8" s="123"/>
      <c r="R8" s="129"/>
      <c r="S8" s="130"/>
      <c r="T8" s="125"/>
      <c r="U8" s="124"/>
      <c r="V8" s="124"/>
      <c r="W8" s="124"/>
      <c r="X8" s="124"/>
      <c r="Y8" s="124"/>
      <c r="Z8" s="124"/>
      <c r="AA8" s="124"/>
      <c r="AB8" s="123"/>
      <c r="AC8" s="123"/>
      <c r="AD8" s="123"/>
      <c r="AE8" s="123"/>
      <c r="AF8" s="123"/>
      <c r="AG8" s="123"/>
      <c r="AH8" s="174"/>
      <c r="AI8" s="174"/>
      <c r="AJ8" s="174"/>
      <c r="AK8" s="175"/>
      <c r="AL8" s="175"/>
      <c r="AM8" s="175"/>
      <c r="AN8" s="175"/>
      <c r="AO8" s="175"/>
      <c r="AP8" s="175"/>
      <c r="AQ8" s="175"/>
      <c r="AR8" s="175"/>
      <c r="AS8" s="175"/>
      <c r="AT8" s="175"/>
      <c r="AU8" s="175"/>
      <c r="AV8" s="175"/>
      <c r="AW8" s="175"/>
      <c r="AX8" s="175"/>
      <c r="AY8" s="175"/>
      <c r="AZ8" s="175"/>
      <c r="BA8" s="175"/>
      <c r="BB8" s="175"/>
      <c r="BC8" s="175"/>
      <c r="BD8" s="175"/>
      <c r="BE8" s="175"/>
      <c r="BF8" s="175"/>
      <c r="BG8" s="175"/>
      <c r="BH8" s="175"/>
      <c r="BI8" s="175"/>
      <c r="BJ8" s="175"/>
      <c r="BK8" s="175"/>
      <c r="BL8" s="175"/>
      <c r="BM8" s="175"/>
      <c r="BN8" s="175"/>
      <c r="BO8" s="175"/>
      <c r="BP8" s="175"/>
      <c r="BQ8" s="175"/>
    </row>
    <row r="9" spans="1:69" ht="17.25" customHeight="1" x14ac:dyDescent="0.25">
      <c r="A9" s="504" t="s">
        <v>629</v>
      </c>
      <c r="B9" s="504"/>
      <c r="I9" s="148" t="s">
        <v>651</v>
      </c>
      <c r="J9" s="149">
        <f>IF(ISBLANK(Grunddaten!$O$8),Grunddaten!$N$8,Grunddaten!$O$8)</f>
        <v>2.2499999999999999E-2</v>
      </c>
      <c r="K9" s="510" t="s">
        <v>494</v>
      </c>
      <c r="L9" s="45"/>
      <c r="M9" s="45"/>
      <c r="N9" s="45"/>
      <c r="O9" s="45"/>
      <c r="P9" s="2525" t="s">
        <v>489</v>
      </c>
      <c r="Q9" s="2525"/>
      <c r="R9" s="2525"/>
      <c r="S9" s="2525"/>
      <c r="T9" s="125"/>
      <c r="U9" s="124"/>
      <c r="V9" s="124"/>
      <c r="W9" s="124"/>
      <c r="X9" s="124"/>
      <c r="Y9" s="124"/>
      <c r="Z9" s="124"/>
      <c r="AA9" s="124"/>
    </row>
    <row r="10" spans="1:69" ht="2.25" customHeight="1" x14ac:dyDescent="0.2">
      <c r="O10" s="489"/>
      <c r="P10" s="509"/>
      <c r="Q10" s="511"/>
      <c r="R10" s="511"/>
      <c r="S10" s="511"/>
      <c r="T10" s="125"/>
      <c r="U10" s="124"/>
      <c r="V10" s="124"/>
      <c r="W10" s="124"/>
      <c r="X10" s="124"/>
      <c r="Y10" s="124"/>
      <c r="Z10" s="124"/>
      <c r="AA10" s="124"/>
    </row>
    <row r="11" spans="1:69" s="176" customFormat="1" ht="11.25" customHeight="1" x14ac:dyDescent="0.2">
      <c r="A11" s="1049" t="s">
        <v>258</v>
      </c>
      <c r="B11" s="2367" t="s">
        <v>504</v>
      </c>
      <c r="C11" s="2368"/>
      <c r="D11" s="2369"/>
      <c r="E11" s="2378" t="s">
        <v>563</v>
      </c>
      <c r="F11" s="2379"/>
      <c r="G11" s="2376" t="s">
        <v>565</v>
      </c>
      <c r="H11" s="2378" t="s">
        <v>578</v>
      </c>
      <c r="I11" s="2379"/>
      <c r="J11" s="2376" t="s">
        <v>630</v>
      </c>
      <c r="K11" s="2378" t="s">
        <v>631</v>
      </c>
      <c r="L11" s="2405"/>
      <c r="M11" s="2405"/>
      <c r="N11" s="2379"/>
      <c r="O11" s="489"/>
      <c r="P11" s="512" t="s">
        <v>490</v>
      </c>
      <c r="Q11" s="2533" t="s">
        <v>491</v>
      </c>
      <c r="R11" s="2533"/>
      <c r="S11" s="2533"/>
      <c r="T11" s="129"/>
      <c r="U11" s="587" t="s">
        <v>505</v>
      </c>
      <c r="V11" s="588"/>
      <c r="W11" s="589"/>
      <c r="X11" s="593" t="b">
        <f>(U11=B11)</f>
        <v>0</v>
      </c>
      <c r="Y11" s="124"/>
      <c r="Z11" s="124"/>
      <c r="AA11" s="123"/>
      <c r="AB11" s="123"/>
      <c r="AC11" s="123"/>
      <c r="AD11" s="123"/>
      <c r="AE11" s="123"/>
      <c r="AF11" s="123"/>
      <c r="AG11" s="174"/>
      <c r="AH11" s="174"/>
      <c r="AI11" s="174"/>
      <c r="AJ11" s="175"/>
      <c r="AK11" s="175"/>
    </row>
    <row r="12" spans="1:69" s="176" customFormat="1" ht="11.25" customHeight="1" x14ac:dyDescent="0.2">
      <c r="A12" s="1050"/>
      <c r="B12" s="1196"/>
      <c r="C12" s="1197"/>
      <c r="D12" s="1197"/>
      <c r="E12" s="2380"/>
      <c r="F12" s="2381"/>
      <c r="G12" s="2377"/>
      <c r="H12" s="2380"/>
      <c r="I12" s="2381"/>
      <c r="J12" s="2377"/>
      <c r="K12" s="2380"/>
      <c r="L12" s="2406"/>
      <c r="M12" s="2406"/>
      <c r="N12" s="2381"/>
      <c r="O12" s="489"/>
      <c r="P12" s="513"/>
      <c r="Q12" s="2533"/>
      <c r="R12" s="2533"/>
      <c r="S12" s="2533"/>
      <c r="T12" s="129"/>
      <c r="U12" s="590" t="s">
        <v>504</v>
      </c>
      <c r="V12" s="591"/>
      <c r="W12" s="592"/>
      <c r="X12" s="594" t="b">
        <f>(U12=B11)</f>
        <v>1</v>
      </c>
      <c r="Y12" s="124"/>
      <c r="Z12" s="124"/>
      <c r="AA12" s="123"/>
      <c r="AB12" s="123"/>
      <c r="AC12" s="123"/>
      <c r="AD12" s="123"/>
      <c r="AE12" s="123"/>
      <c r="AF12" s="123"/>
      <c r="AG12" s="174"/>
      <c r="AH12" s="174"/>
      <c r="AI12" s="174"/>
      <c r="AJ12" s="175"/>
      <c r="AK12" s="175"/>
    </row>
    <row r="13" spans="1:69" s="176" customFormat="1" ht="11.25" customHeight="1" x14ac:dyDescent="0.2">
      <c r="A13" s="1050"/>
      <c r="B13" s="1196"/>
      <c r="C13" s="1197"/>
      <c r="D13" s="1197"/>
      <c r="E13" s="2382" t="s">
        <v>564</v>
      </c>
      <c r="F13" s="2383"/>
      <c r="G13" s="1198" t="s">
        <v>20</v>
      </c>
      <c r="H13" s="2512" t="s">
        <v>555</v>
      </c>
      <c r="I13" s="2430"/>
      <c r="J13" s="1198" t="s">
        <v>567</v>
      </c>
      <c r="K13" s="1199" t="s">
        <v>580</v>
      </c>
      <c r="L13" s="2356" t="s">
        <v>579</v>
      </c>
      <c r="M13" s="2356"/>
      <c r="N13" s="1200" t="s">
        <v>567</v>
      </c>
      <c r="O13" s="489"/>
      <c r="P13" s="513"/>
      <c r="Q13" s="2533"/>
      <c r="R13" s="2533"/>
      <c r="S13" s="2533"/>
      <c r="T13" s="129"/>
      <c r="U13" s="124"/>
      <c r="V13" s="124"/>
      <c r="W13" s="124"/>
      <c r="X13" s="124"/>
      <c r="Y13" s="124"/>
      <c r="Z13" s="124"/>
      <c r="AA13" s="123"/>
      <c r="AB13" s="123"/>
      <c r="AC13" s="123"/>
      <c r="AD13" s="123"/>
      <c r="AE13" s="123"/>
      <c r="AF13" s="123"/>
      <c r="AG13" s="174"/>
      <c r="AH13" s="174"/>
      <c r="AI13" s="174"/>
      <c r="AJ13" s="175"/>
      <c r="AK13" s="175"/>
    </row>
    <row r="14" spans="1:69" s="36" customFormat="1" ht="12" customHeight="1" x14ac:dyDescent="0.2">
      <c r="A14" s="2370" t="s">
        <v>488</v>
      </c>
      <c r="B14" s="2371"/>
      <c r="C14" s="2371"/>
      <c r="D14" s="2371"/>
      <c r="E14" s="2384">
        <f>DK_Var1!E404</f>
        <v>0</v>
      </c>
      <c r="F14" s="2385"/>
      <c r="G14" s="974">
        <f>DK_Var1!G404</f>
        <v>0</v>
      </c>
      <c r="H14" s="2372">
        <f>DK_Var1!I404</f>
        <v>0</v>
      </c>
      <c r="I14" s="2373"/>
      <c r="J14" s="975">
        <f>DK_Var1!J404</f>
        <v>0</v>
      </c>
      <c r="K14" s="976">
        <f>IF(E14=0,0,N14/E14*100)</f>
        <v>0</v>
      </c>
      <c r="L14" s="2548"/>
      <c r="M14" s="2548"/>
      <c r="N14" s="977">
        <f>DK_Var1!M404</f>
        <v>0</v>
      </c>
      <c r="O14" s="489"/>
      <c r="P14" s="2534" t="s">
        <v>495</v>
      </c>
      <c r="Q14" s="2534"/>
      <c r="R14" s="2534"/>
      <c r="S14" s="2534"/>
      <c r="T14" s="129"/>
      <c r="U14" s="129"/>
      <c r="V14" s="129"/>
      <c r="W14" s="129"/>
      <c r="X14" s="129"/>
      <c r="Y14" s="129"/>
      <c r="Z14" s="129"/>
      <c r="AA14" s="133"/>
      <c r="AB14" s="133"/>
      <c r="AC14" s="133"/>
      <c r="AD14" s="133"/>
      <c r="AE14" s="133"/>
      <c r="AF14" s="133"/>
      <c r="AG14" s="222"/>
      <c r="AH14" s="222"/>
      <c r="AI14" s="222"/>
      <c r="AJ14" s="176"/>
      <c r="AK14" s="176"/>
      <c r="AL14" s="176"/>
      <c r="AM14" s="176"/>
      <c r="AN14" s="176"/>
      <c r="AO14" s="176"/>
      <c r="AP14" s="176"/>
      <c r="AQ14" s="176"/>
      <c r="AR14" s="176"/>
      <c r="AS14" s="176"/>
      <c r="AT14" s="176"/>
      <c r="AU14" s="176"/>
      <c r="AV14" s="176"/>
      <c r="AW14" s="176"/>
      <c r="AX14" s="176"/>
      <c r="AY14" s="176"/>
      <c r="AZ14" s="176"/>
      <c r="BA14" s="176"/>
      <c r="BB14" s="176"/>
      <c r="BC14" s="176"/>
      <c r="BD14" s="176"/>
      <c r="BE14" s="176"/>
      <c r="BF14" s="176"/>
      <c r="BG14" s="176"/>
      <c r="BH14" s="176"/>
      <c r="BI14" s="176"/>
      <c r="BJ14" s="176"/>
      <c r="BK14" s="176"/>
      <c r="BL14" s="176"/>
      <c r="BM14" s="176"/>
      <c r="BN14" s="176"/>
      <c r="BO14" s="176"/>
      <c r="BP14" s="176"/>
    </row>
    <row r="15" spans="1:69" s="36" customFormat="1" ht="11.25" customHeight="1" x14ac:dyDescent="0.2">
      <c r="A15" s="978"/>
      <c r="B15" s="979"/>
      <c r="C15" s="980"/>
      <c r="D15" s="980"/>
      <c r="E15" s="2386"/>
      <c r="F15" s="2387"/>
      <c r="G15" s="981"/>
      <c r="H15" s="2374">
        <f t="shared" ref="H15:H38" si="0">IF($G15&gt;0,-PMT(($J$9),$G15,1),0)</f>
        <v>0</v>
      </c>
      <c r="I15" s="2375"/>
      <c r="J15" s="982">
        <f t="shared" ref="J15:J38" si="1">ROUND(E15*H15,-1)</f>
        <v>0</v>
      </c>
      <c r="K15" s="983"/>
      <c r="L15" s="2526"/>
      <c r="M15" s="2526"/>
      <c r="N15" s="984">
        <f>IF(L15,L15,ROUND(E15/100*K15,-1))</f>
        <v>0</v>
      </c>
      <c r="O15" s="489"/>
      <c r="P15" s="513"/>
      <c r="Q15" s="514"/>
      <c r="R15" s="515"/>
      <c r="S15" s="516"/>
      <c r="T15" s="129"/>
      <c r="U15" s="129"/>
      <c r="V15" s="129"/>
      <c r="W15" s="129"/>
      <c r="X15" s="129"/>
      <c r="Y15" s="129"/>
      <c r="Z15" s="129"/>
      <c r="AA15" s="133"/>
      <c r="AB15" s="133"/>
      <c r="AC15" s="133"/>
      <c r="AD15" s="133"/>
      <c r="AE15" s="133"/>
      <c r="AF15" s="133"/>
      <c r="AG15" s="222"/>
      <c r="AH15" s="222"/>
      <c r="AI15" s="222"/>
      <c r="AJ15" s="176"/>
      <c r="AK15" s="176"/>
      <c r="AL15" s="176"/>
      <c r="AM15" s="176"/>
      <c r="AN15" s="176"/>
      <c r="AO15" s="176"/>
      <c r="AP15" s="176"/>
      <c r="AQ15" s="176"/>
      <c r="AR15" s="176"/>
      <c r="AS15" s="176"/>
      <c r="AT15" s="176"/>
      <c r="AU15" s="176"/>
      <c r="AV15" s="176"/>
      <c r="AW15" s="176"/>
      <c r="AX15" s="176"/>
      <c r="AY15" s="176"/>
      <c r="AZ15" s="176"/>
      <c r="BA15" s="176"/>
      <c r="BB15" s="176"/>
      <c r="BC15" s="176"/>
      <c r="BD15" s="176"/>
      <c r="BE15" s="176"/>
      <c r="BF15" s="176"/>
      <c r="BG15" s="176"/>
      <c r="BH15" s="176"/>
      <c r="BI15" s="176"/>
      <c r="BJ15" s="176"/>
      <c r="BK15" s="176"/>
      <c r="BL15" s="176"/>
      <c r="BM15" s="176"/>
      <c r="BN15" s="176"/>
      <c r="BO15" s="176"/>
      <c r="BP15" s="176"/>
    </row>
    <row r="16" spans="1:69" s="36" customFormat="1" ht="11.25" customHeight="1" x14ac:dyDescent="0.2">
      <c r="A16" s="985"/>
      <c r="B16" s="986"/>
      <c r="C16" s="987"/>
      <c r="D16" s="987"/>
      <c r="E16" s="2395"/>
      <c r="F16" s="2396"/>
      <c r="G16" s="988"/>
      <c r="H16" s="2352">
        <f t="shared" si="0"/>
        <v>0</v>
      </c>
      <c r="I16" s="2353"/>
      <c r="J16" s="989">
        <f t="shared" si="1"/>
        <v>0</v>
      </c>
      <c r="K16" s="990"/>
      <c r="L16" s="2359"/>
      <c r="M16" s="2360"/>
      <c r="N16" s="991">
        <f t="shared" ref="N16:N38" si="2">IF(L16,L16,ROUND(E16/100*K16,-1))</f>
        <v>0</v>
      </c>
      <c r="O16" s="503"/>
      <c r="P16" s="512"/>
      <c r="Q16" s="514"/>
      <c r="R16" s="515"/>
      <c r="S16" s="516"/>
      <c r="T16" s="129"/>
      <c r="U16" s="129"/>
      <c r="V16" s="129"/>
      <c r="W16" s="129"/>
      <c r="X16" s="129"/>
      <c r="Y16" s="129"/>
      <c r="Z16" s="129"/>
      <c r="AA16" s="133"/>
      <c r="AB16" s="133"/>
      <c r="AC16" s="133"/>
      <c r="AD16" s="133"/>
      <c r="AE16" s="133"/>
      <c r="AF16" s="133"/>
      <c r="AG16" s="222"/>
      <c r="AH16" s="222"/>
      <c r="AI16" s="222"/>
      <c r="AJ16" s="176"/>
      <c r="AK16" s="176"/>
      <c r="AL16" s="176"/>
      <c r="AM16" s="176"/>
      <c r="AN16" s="176"/>
      <c r="AO16" s="176"/>
      <c r="AP16" s="176"/>
      <c r="AQ16" s="176"/>
      <c r="AR16" s="176"/>
      <c r="AS16" s="176"/>
      <c r="AT16" s="176"/>
      <c r="AU16" s="176"/>
      <c r="AV16" s="176"/>
      <c r="AW16" s="176"/>
      <c r="AX16" s="176"/>
      <c r="AY16" s="176"/>
      <c r="AZ16" s="176"/>
      <c r="BA16" s="176"/>
      <c r="BB16" s="176"/>
      <c r="BC16" s="176"/>
      <c r="BD16" s="176"/>
      <c r="BE16" s="176"/>
      <c r="BF16" s="176"/>
      <c r="BG16" s="176"/>
      <c r="BH16" s="176"/>
      <c r="BI16" s="176"/>
      <c r="BJ16" s="176"/>
      <c r="BK16" s="176"/>
      <c r="BL16" s="176"/>
      <c r="BM16" s="176"/>
      <c r="BN16" s="176"/>
      <c r="BO16" s="176"/>
      <c r="BP16" s="176"/>
    </row>
    <row r="17" spans="1:68" s="36" customFormat="1" ht="11.25" customHeight="1" x14ac:dyDescent="0.2">
      <c r="A17" s="985"/>
      <c r="B17" s="986"/>
      <c r="C17" s="987"/>
      <c r="D17" s="987"/>
      <c r="E17" s="2395"/>
      <c r="F17" s="2396"/>
      <c r="G17" s="988"/>
      <c r="H17" s="2352">
        <f t="shared" si="0"/>
        <v>0</v>
      </c>
      <c r="I17" s="2353"/>
      <c r="J17" s="989">
        <f t="shared" si="1"/>
        <v>0</v>
      </c>
      <c r="K17" s="990"/>
      <c r="L17" s="2359"/>
      <c r="M17" s="2360"/>
      <c r="N17" s="991">
        <f t="shared" si="2"/>
        <v>0</v>
      </c>
      <c r="O17" s="503"/>
      <c r="P17" s="513"/>
      <c r="Q17" s="514"/>
      <c r="R17" s="515"/>
      <c r="S17" s="516"/>
      <c r="T17" s="129"/>
      <c r="U17" s="129"/>
      <c r="V17" s="129"/>
      <c r="W17" s="129"/>
      <c r="X17" s="129"/>
      <c r="Y17" s="129"/>
      <c r="Z17" s="129"/>
      <c r="AA17" s="133"/>
      <c r="AB17" s="133"/>
      <c r="AC17" s="133"/>
      <c r="AD17" s="133"/>
      <c r="AE17" s="133"/>
      <c r="AF17" s="133"/>
      <c r="AG17" s="222"/>
      <c r="AH17" s="222"/>
      <c r="AI17" s="222"/>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c r="BP17" s="176"/>
    </row>
    <row r="18" spans="1:68" s="36" customFormat="1" ht="11.25" customHeight="1" x14ac:dyDescent="0.2">
      <c r="A18" s="985"/>
      <c r="B18" s="986"/>
      <c r="C18" s="987"/>
      <c r="D18" s="987"/>
      <c r="E18" s="2395"/>
      <c r="F18" s="2396"/>
      <c r="G18" s="988"/>
      <c r="H18" s="2352">
        <f t="shared" si="0"/>
        <v>0</v>
      </c>
      <c r="I18" s="2353"/>
      <c r="J18" s="989">
        <f t="shared" si="1"/>
        <v>0</v>
      </c>
      <c r="K18" s="990"/>
      <c r="L18" s="2359"/>
      <c r="M18" s="2360"/>
      <c r="N18" s="991">
        <f t="shared" si="2"/>
        <v>0</v>
      </c>
      <c r="O18" s="503"/>
      <c r="P18" s="513"/>
      <c r="Q18" s="514"/>
      <c r="R18" s="515"/>
      <c r="S18" s="516"/>
      <c r="T18" s="129"/>
      <c r="U18" s="129"/>
      <c r="V18" s="129"/>
      <c r="W18" s="129"/>
      <c r="X18" s="129"/>
      <c r="Y18" s="129"/>
      <c r="Z18" s="129"/>
      <c r="AA18" s="133"/>
      <c r="AB18" s="133"/>
      <c r="AC18" s="133"/>
      <c r="AD18" s="133"/>
      <c r="AE18" s="133"/>
      <c r="AF18" s="133"/>
      <c r="AG18" s="222"/>
      <c r="AH18" s="222"/>
      <c r="AI18" s="222"/>
      <c r="AJ18" s="176"/>
      <c r="AK18" s="176"/>
      <c r="AL18" s="176"/>
      <c r="AM18" s="176"/>
      <c r="AN18" s="176"/>
      <c r="AO18" s="176"/>
      <c r="AP18" s="176"/>
      <c r="AQ18" s="176"/>
      <c r="AR18" s="176"/>
      <c r="AS18" s="176"/>
      <c r="AT18" s="176"/>
      <c r="AU18" s="176"/>
      <c r="AV18" s="176"/>
      <c r="AW18" s="176"/>
      <c r="AX18" s="176"/>
      <c r="AY18" s="176"/>
      <c r="AZ18" s="176"/>
      <c r="BA18" s="176"/>
      <c r="BB18" s="176"/>
      <c r="BC18" s="176"/>
      <c r="BD18" s="176"/>
      <c r="BE18" s="176"/>
      <c r="BF18" s="176"/>
      <c r="BG18" s="176"/>
      <c r="BH18" s="176"/>
      <c r="BI18" s="176"/>
      <c r="BJ18" s="176"/>
      <c r="BK18" s="176"/>
      <c r="BL18" s="176"/>
      <c r="BM18" s="176"/>
      <c r="BN18" s="176"/>
      <c r="BO18" s="176"/>
      <c r="BP18" s="176"/>
    </row>
    <row r="19" spans="1:68" s="36" customFormat="1" ht="11.25" customHeight="1" x14ac:dyDescent="0.2">
      <c r="A19" s="985"/>
      <c r="B19" s="986"/>
      <c r="C19" s="987"/>
      <c r="D19" s="987"/>
      <c r="E19" s="2395"/>
      <c r="F19" s="2396"/>
      <c r="G19" s="988"/>
      <c r="H19" s="2352">
        <f t="shared" si="0"/>
        <v>0</v>
      </c>
      <c r="I19" s="2353"/>
      <c r="J19" s="989">
        <f t="shared" si="1"/>
        <v>0</v>
      </c>
      <c r="K19" s="990"/>
      <c r="L19" s="2359"/>
      <c r="M19" s="2360"/>
      <c r="N19" s="991">
        <f t="shared" si="2"/>
        <v>0</v>
      </c>
      <c r="O19" s="503"/>
      <c r="P19" s="513"/>
      <c r="Q19" s="514"/>
      <c r="R19" s="515"/>
      <c r="S19" s="516"/>
      <c r="T19" s="129"/>
      <c r="U19" s="129"/>
      <c r="V19" s="129"/>
      <c r="W19" s="129"/>
      <c r="X19" s="129"/>
      <c r="Y19" s="129"/>
      <c r="Z19" s="129"/>
      <c r="AA19" s="133"/>
      <c r="AB19" s="133"/>
      <c r="AC19" s="133"/>
      <c r="AD19" s="133"/>
      <c r="AE19" s="133"/>
      <c r="AF19" s="133"/>
      <c r="AG19" s="222"/>
      <c r="AH19" s="222"/>
      <c r="AI19" s="222"/>
      <c r="AJ19" s="176"/>
      <c r="AK19" s="176"/>
      <c r="AL19" s="176"/>
      <c r="AM19" s="176"/>
      <c r="AN19" s="176"/>
      <c r="AO19" s="176"/>
      <c r="AP19" s="176"/>
      <c r="AQ19" s="176"/>
      <c r="AR19" s="176"/>
      <c r="AS19" s="176"/>
      <c r="AT19" s="176"/>
      <c r="AU19" s="176"/>
      <c r="AV19" s="176"/>
      <c r="AW19" s="176"/>
      <c r="AX19" s="176"/>
      <c r="AY19" s="176"/>
      <c r="AZ19" s="176"/>
      <c r="BA19" s="176"/>
      <c r="BB19" s="176"/>
      <c r="BC19" s="176"/>
      <c r="BD19" s="176"/>
      <c r="BE19" s="176"/>
      <c r="BF19" s="176"/>
      <c r="BG19" s="176"/>
      <c r="BH19" s="176"/>
      <c r="BI19" s="176"/>
      <c r="BJ19" s="176"/>
      <c r="BK19" s="176"/>
      <c r="BL19" s="176"/>
      <c r="BM19" s="176"/>
      <c r="BN19" s="176"/>
      <c r="BO19" s="176"/>
      <c r="BP19" s="176"/>
    </row>
    <row r="20" spans="1:68" s="36" customFormat="1" ht="11.25" customHeight="1" x14ac:dyDescent="0.2">
      <c r="A20" s="985"/>
      <c r="B20" s="986"/>
      <c r="C20" s="987"/>
      <c r="D20" s="987"/>
      <c r="E20" s="2395"/>
      <c r="F20" s="2396"/>
      <c r="G20" s="988"/>
      <c r="H20" s="2352">
        <f t="shared" si="0"/>
        <v>0</v>
      </c>
      <c r="I20" s="2353"/>
      <c r="J20" s="989">
        <f t="shared" si="1"/>
        <v>0</v>
      </c>
      <c r="K20" s="990"/>
      <c r="L20" s="2359"/>
      <c r="M20" s="2360"/>
      <c r="N20" s="991">
        <f t="shared" si="2"/>
        <v>0</v>
      </c>
      <c r="O20" s="503"/>
      <c r="P20" s="513"/>
      <c r="Q20" s="514"/>
      <c r="R20" s="515"/>
      <c r="S20" s="516"/>
      <c r="T20" s="129"/>
      <c r="U20" s="129"/>
      <c r="V20" s="129"/>
      <c r="W20" s="129"/>
      <c r="X20" s="129"/>
      <c r="Y20" s="129"/>
      <c r="Z20" s="129"/>
      <c r="AA20" s="133"/>
      <c r="AB20" s="133"/>
      <c r="AC20" s="133"/>
      <c r="AD20" s="133"/>
      <c r="AE20" s="133"/>
      <c r="AF20" s="133"/>
      <c r="AG20" s="222"/>
      <c r="AH20" s="222"/>
      <c r="AI20" s="222"/>
      <c r="AJ20" s="176"/>
      <c r="AK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BG20" s="176"/>
      <c r="BH20" s="176"/>
      <c r="BI20" s="176"/>
      <c r="BJ20" s="176"/>
      <c r="BK20" s="176"/>
      <c r="BL20" s="176"/>
      <c r="BM20" s="176"/>
      <c r="BN20" s="176"/>
      <c r="BO20" s="176"/>
      <c r="BP20" s="176"/>
    </row>
    <row r="21" spans="1:68" s="36" customFormat="1" ht="11.25" customHeight="1" x14ac:dyDescent="0.2">
      <c r="A21" s="985"/>
      <c r="B21" s="986"/>
      <c r="C21" s="987"/>
      <c r="D21" s="987"/>
      <c r="E21" s="2395"/>
      <c r="F21" s="2396"/>
      <c r="G21" s="988"/>
      <c r="H21" s="2352">
        <f t="shared" si="0"/>
        <v>0</v>
      </c>
      <c r="I21" s="2353"/>
      <c r="J21" s="989">
        <f t="shared" si="1"/>
        <v>0</v>
      </c>
      <c r="K21" s="990"/>
      <c r="L21" s="2359"/>
      <c r="M21" s="2360"/>
      <c r="N21" s="991">
        <f t="shared" si="2"/>
        <v>0</v>
      </c>
      <c r="O21" s="503"/>
      <c r="P21" s="513"/>
      <c r="Q21" s="514"/>
      <c r="R21" s="515"/>
      <c r="S21" s="516"/>
      <c r="T21" s="129"/>
      <c r="U21" s="129"/>
      <c r="V21" s="129"/>
      <c r="W21" s="129"/>
      <c r="X21" s="129"/>
      <c r="Y21" s="129"/>
      <c r="Z21" s="129"/>
      <c r="AA21" s="133"/>
      <c r="AB21" s="133"/>
      <c r="AC21" s="133"/>
      <c r="AD21" s="133"/>
      <c r="AE21" s="133"/>
      <c r="AF21" s="133"/>
      <c r="AG21" s="222"/>
      <c r="AH21" s="222"/>
      <c r="AI21" s="222"/>
      <c r="AJ21" s="176"/>
      <c r="AK21" s="176"/>
      <c r="AL21" s="176"/>
      <c r="AM21" s="176"/>
      <c r="AN21" s="176"/>
      <c r="AO21" s="176"/>
      <c r="AP21" s="176"/>
      <c r="AQ21" s="176"/>
      <c r="AR21" s="176"/>
      <c r="AS21" s="176"/>
      <c r="AT21" s="176"/>
      <c r="AU21" s="176"/>
      <c r="AV21" s="176"/>
      <c r="AW21" s="176"/>
      <c r="AX21" s="176"/>
      <c r="AY21" s="176"/>
      <c r="AZ21" s="176"/>
      <c r="BA21" s="176"/>
      <c r="BB21" s="176"/>
      <c r="BC21" s="176"/>
      <c r="BD21" s="176"/>
      <c r="BE21" s="176"/>
      <c r="BF21" s="176"/>
      <c r="BG21" s="176"/>
      <c r="BH21" s="176"/>
      <c r="BI21" s="176"/>
      <c r="BJ21" s="176"/>
      <c r="BK21" s="176"/>
      <c r="BL21" s="176"/>
      <c r="BM21" s="176"/>
      <c r="BN21" s="176"/>
      <c r="BO21" s="176"/>
      <c r="BP21" s="176"/>
    </row>
    <row r="22" spans="1:68" s="36" customFormat="1" ht="11.25" customHeight="1" x14ac:dyDescent="0.2">
      <c r="A22" s="985"/>
      <c r="B22" s="986"/>
      <c r="C22" s="987"/>
      <c r="D22" s="987"/>
      <c r="E22" s="2395"/>
      <c r="F22" s="2396"/>
      <c r="G22" s="988"/>
      <c r="H22" s="2352">
        <f t="shared" si="0"/>
        <v>0</v>
      </c>
      <c r="I22" s="2353"/>
      <c r="J22" s="989">
        <f t="shared" si="1"/>
        <v>0</v>
      </c>
      <c r="K22" s="990"/>
      <c r="L22" s="2359"/>
      <c r="M22" s="2360"/>
      <c r="N22" s="991">
        <f t="shared" si="2"/>
        <v>0</v>
      </c>
      <c r="O22" s="503"/>
      <c r="P22" s="513"/>
      <c r="Q22" s="514"/>
      <c r="R22" s="515"/>
      <c r="S22" s="516"/>
      <c r="T22" s="129"/>
      <c r="U22" s="129"/>
      <c r="V22" s="129"/>
      <c r="W22" s="129"/>
      <c r="X22" s="129"/>
      <c r="Y22" s="129"/>
      <c r="Z22" s="129"/>
      <c r="AA22" s="133"/>
      <c r="AB22" s="133"/>
      <c r="AC22" s="133"/>
      <c r="AD22" s="133"/>
      <c r="AE22" s="133"/>
      <c r="AF22" s="133"/>
      <c r="AG22" s="222"/>
      <c r="AH22" s="222"/>
      <c r="AI22" s="222"/>
      <c r="AJ22" s="176"/>
      <c r="AK22" s="176"/>
      <c r="AL22" s="176"/>
      <c r="AM22" s="176"/>
      <c r="AN22" s="176"/>
      <c r="AO22" s="176"/>
      <c r="AP22" s="176"/>
      <c r="AQ22" s="176"/>
      <c r="AR22" s="176"/>
      <c r="AS22" s="176"/>
      <c r="AT22" s="176"/>
      <c r="AU22" s="176"/>
      <c r="AV22" s="176"/>
      <c r="AW22" s="176"/>
      <c r="AX22" s="176"/>
      <c r="AY22" s="176"/>
      <c r="AZ22" s="176"/>
      <c r="BA22" s="176"/>
      <c r="BB22" s="176"/>
      <c r="BC22" s="176"/>
      <c r="BD22" s="176"/>
      <c r="BE22" s="176"/>
      <c r="BF22" s="176"/>
      <c r="BG22" s="176"/>
      <c r="BH22" s="176"/>
      <c r="BI22" s="176"/>
      <c r="BJ22" s="176"/>
      <c r="BK22" s="176"/>
      <c r="BL22" s="176"/>
      <c r="BM22" s="176"/>
      <c r="BN22" s="176"/>
      <c r="BO22" s="176"/>
      <c r="BP22" s="176"/>
    </row>
    <row r="23" spans="1:68" s="36" customFormat="1" ht="11.25" customHeight="1" x14ac:dyDescent="0.2">
      <c r="A23" s="992"/>
      <c r="B23" s="993"/>
      <c r="C23" s="993"/>
      <c r="D23" s="993"/>
      <c r="E23" s="2395"/>
      <c r="F23" s="2396"/>
      <c r="G23" s="988"/>
      <c r="H23" s="2352">
        <f t="shared" si="0"/>
        <v>0</v>
      </c>
      <c r="I23" s="2353"/>
      <c r="J23" s="989">
        <f t="shared" si="1"/>
        <v>0</v>
      </c>
      <c r="K23" s="990"/>
      <c r="L23" s="2359"/>
      <c r="M23" s="2360"/>
      <c r="N23" s="991">
        <f t="shared" si="2"/>
        <v>0</v>
      </c>
      <c r="O23" s="503"/>
      <c r="P23" s="513"/>
      <c r="Q23" s="514"/>
      <c r="R23" s="515"/>
      <c r="S23" s="516"/>
      <c r="T23" s="129"/>
      <c r="U23" s="129"/>
      <c r="V23" s="129"/>
      <c r="W23" s="129"/>
      <c r="X23" s="129"/>
      <c r="Y23" s="129"/>
      <c r="Z23" s="129"/>
      <c r="AA23" s="133"/>
      <c r="AB23" s="133"/>
      <c r="AC23" s="133"/>
      <c r="AD23" s="133"/>
      <c r="AE23" s="133"/>
      <c r="AF23" s="133"/>
      <c r="AG23" s="222"/>
      <c r="AH23" s="222"/>
      <c r="AI23" s="222"/>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row>
    <row r="24" spans="1:68" s="36" customFormat="1" ht="11.25" customHeight="1" x14ac:dyDescent="0.2">
      <c r="A24" s="992"/>
      <c r="B24" s="993"/>
      <c r="C24" s="993"/>
      <c r="D24" s="993"/>
      <c r="E24" s="2395"/>
      <c r="F24" s="2396"/>
      <c r="G24" s="988"/>
      <c r="H24" s="2352">
        <f t="shared" si="0"/>
        <v>0</v>
      </c>
      <c r="I24" s="2353"/>
      <c r="J24" s="989">
        <f t="shared" si="1"/>
        <v>0</v>
      </c>
      <c r="K24" s="990"/>
      <c r="L24" s="2359"/>
      <c r="M24" s="2360"/>
      <c r="N24" s="991">
        <f t="shared" si="2"/>
        <v>0</v>
      </c>
      <c r="O24" s="503"/>
      <c r="P24" s="513"/>
      <c r="Q24" s="514"/>
      <c r="R24" s="515"/>
      <c r="S24" s="516"/>
      <c r="T24" s="129"/>
      <c r="U24" s="129"/>
      <c r="V24" s="129"/>
      <c r="W24" s="129"/>
      <c r="X24" s="129"/>
      <c r="Y24" s="129"/>
      <c r="Z24" s="129"/>
      <c r="AA24" s="133"/>
      <c r="AB24" s="133"/>
      <c r="AC24" s="133"/>
      <c r="AD24" s="133"/>
      <c r="AE24" s="133"/>
      <c r="AF24" s="133"/>
      <c r="AG24" s="222"/>
      <c r="AH24" s="222"/>
      <c r="AI24" s="222"/>
      <c r="AJ24" s="176"/>
      <c r="AK24" s="176"/>
      <c r="AL24" s="176"/>
      <c r="AM24" s="176"/>
      <c r="AN24" s="176"/>
      <c r="AO24" s="176"/>
      <c r="AP24" s="176"/>
      <c r="AQ24" s="176"/>
      <c r="AR24" s="176"/>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c r="BP24" s="176"/>
    </row>
    <row r="25" spans="1:68" s="36" customFormat="1" ht="11.25" customHeight="1" x14ac:dyDescent="0.2">
      <c r="A25" s="992"/>
      <c r="B25" s="993"/>
      <c r="C25" s="993"/>
      <c r="D25" s="993"/>
      <c r="E25" s="2395"/>
      <c r="F25" s="2396"/>
      <c r="G25" s="988"/>
      <c r="H25" s="2352">
        <f t="shared" si="0"/>
        <v>0</v>
      </c>
      <c r="I25" s="2353"/>
      <c r="J25" s="989">
        <f t="shared" si="1"/>
        <v>0</v>
      </c>
      <c r="K25" s="990"/>
      <c r="L25" s="2359"/>
      <c r="M25" s="2360"/>
      <c r="N25" s="991">
        <f t="shared" si="2"/>
        <v>0</v>
      </c>
      <c r="O25" s="503"/>
      <c r="P25" s="513"/>
      <c r="Q25" s="514"/>
      <c r="R25" s="515"/>
      <c r="S25" s="516"/>
      <c r="T25" s="129"/>
      <c r="U25" s="129"/>
      <c r="V25" s="129"/>
      <c r="W25" s="129"/>
      <c r="X25" s="129"/>
      <c r="Y25" s="129"/>
      <c r="Z25" s="129"/>
      <c r="AA25" s="133"/>
      <c r="AB25" s="133"/>
      <c r="AC25" s="133"/>
      <c r="AD25" s="133"/>
      <c r="AE25" s="133"/>
      <c r="AF25" s="133"/>
      <c r="AG25" s="222"/>
      <c r="AH25" s="222"/>
      <c r="AI25" s="222"/>
      <c r="AJ25" s="176"/>
      <c r="AK25" s="176"/>
      <c r="AL25" s="176"/>
      <c r="AM25" s="176"/>
      <c r="AN25" s="176"/>
      <c r="AO25" s="176"/>
      <c r="AP25" s="176"/>
      <c r="AQ25" s="176"/>
      <c r="AR25" s="176"/>
      <c r="AS25" s="176"/>
      <c r="AT25" s="176"/>
      <c r="AU25" s="176"/>
      <c r="AV25" s="176"/>
      <c r="AW25" s="176"/>
      <c r="AX25" s="176"/>
      <c r="AY25" s="176"/>
      <c r="AZ25" s="176"/>
      <c r="BA25" s="176"/>
      <c r="BB25" s="176"/>
      <c r="BC25" s="176"/>
      <c r="BD25" s="176"/>
      <c r="BE25" s="176"/>
      <c r="BF25" s="176"/>
      <c r="BG25" s="176"/>
      <c r="BH25" s="176"/>
      <c r="BI25" s="176"/>
      <c r="BJ25" s="176"/>
      <c r="BK25" s="176"/>
      <c r="BL25" s="176"/>
      <c r="BM25" s="176"/>
      <c r="BN25" s="176"/>
      <c r="BO25" s="176"/>
      <c r="BP25" s="176"/>
    </row>
    <row r="26" spans="1:68" s="36" customFormat="1" ht="11.25" customHeight="1" x14ac:dyDescent="0.2">
      <c r="A26" s="992"/>
      <c r="B26" s="993"/>
      <c r="C26" s="993"/>
      <c r="D26" s="993"/>
      <c r="E26" s="2395"/>
      <c r="F26" s="2396"/>
      <c r="G26" s="988"/>
      <c r="H26" s="2352">
        <f t="shared" si="0"/>
        <v>0</v>
      </c>
      <c r="I26" s="2353"/>
      <c r="J26" s="989">
        <f t="shared" si="1"/>
        <v>0</v>
      </c>
      <c r="K26" s="990"/>
      <c r="L26" s="2359"/>
      <c r="M26" s="2360"/>
      <c r="N26" s="991">
        <f t="shared" si="2"/>
        <v>0</v>
      </c>
      <c r="O26" s="503"/>
      <c r="P26" s="2535" t="s">
        <v>492</v>
      </c>
      <c r="Q26" s="2536" t="s">
        <v>493</v>
      </c>
      <c r="R26" s="2536"/>
      <c r="S26" s="2536"/>
      <c r="T26" s="129"/>
      <c r="U26" s="129"/>
      <c r="V26" s="129"/>
      <c r="W26" s="129"/>
      <c r="X26" s="129"/>
      <c r="Y26" s="129"/>
      <c r="Z26" s="129"/>
      <c r="AA26" s="133"/>
      <c r="AB26" s="133"/>
      <c r="AC26" s="133"/>
      <c r="AD26" s="133"/>
      <c r="AE26" s="133"/>
      <c r="AF26" s="133"/>
      <c r="AG26" s="222"/>
      <c r="AH26" s="222"/>
      <c r="AI26" s="222"/>
      <c r="AJ26" s="176"/>
      <c r="AK26" s="176"/>
      <c r="AL26" s="176"/>
      <c r="AM26" s="176"/>
      <c r="AN26" s="176"/>
      <c r="AO26" s="176"/>
      <c r="AP26" s="176"/>
      <c r="AQ26" s="176"/>
      <c r="AR26" s="176"/>
      <c r="AS26" s="176"/>
      <c r="AT26" s="176"/>
      <c r="AU26" s="176"/>
      <c r="AV26" s="176"/>
      <c r="AW26" s="176"/>
      <c r="AX26" s="176"/>
      <c r="AY26" s="176"/>
      <c r="AZ26" s="176"/>
      <c r="BA26" s="176"/>
      <c r="BB26" s="176"/>
      <c r="BC26" s="176"/>
      <c r="BD26" s="176"/>
      <c r="BE26" s="176"/>
      <c r="BF26" s="176"/>
      <c r="BG26" s="176"/>
      <c r="BH26" s="176"/>
      <c r="BI26" s="176"/>
      <c r="BJ26" s="176"/>
      <c r="BK26" s="176"/>
      <c r="BL26" s="176"/>
      <c r="BM26" s="176"/>
      <c r="BN26" s="176"/>
      <c r="BO26" s="176"/>
      <c r="BP26" s="176"/>
    </row>
    <row r="27" spans="1:68" s="36" customFormat="1" ht="11.25" customHeight="1" x14ac:dyDescent="0.2">
      <c r="A27" s="992"/>
      <c r="B27" s="993"/>
      <c r="C27" s="993"/>
      <c r="D27" s="993"/>
      <c r="E27" s="2395"/>
      <c r="F27" s="2396"/>
      <c r="G27" s="988"/>
      <c r="H27" s="2352">
        <f t="shared" si="0"/>
        <v>0</v>
      </c>
      <c r="I27" s="2353"/>
      <c r="J27" s="989">
        <f t="shared" si="1"/>
        <v>0</v>
      </c>
      <c r="K27" s="990"/>
      <c r="L27" s="2359"/>
      <c r="M27" s="2360"/>
      <c r="N27" s="991">
        <f t="shared" si="2"/>
        <v>0</v>
      </c>
      <c r="O27" s="489"/>
      <c r="P27" s="2535"/>
      <c r="Q27" s="2536"/>
      <c r="R27" s="2536"/>
      <c r="S27" s="2536"/>
      <c r="T27" s="129"/>
      <c r="U27" s="129"/>
      <c r="V27" s="129"/>
      <c r="W27" s="129"/>
      <c r="X27" s="129"/>
      <c r="Y27" s="129"/>
      <c r="Z27" s="129"/>
      <c r="AA27" s="133"/>
      <c r="AB27" s="133"/>
      <c r="AC27" s="133"/>
      <c r="AD27" s="133"/>
      <c r="AE27" s="133"/>
      <c r="AF27" s="133"/>
      <c r="AG27" s="222"/>
      <c r="AH27" s="222"/>
      <c r="AI27" s="222"/>
      <c r="AJ27" s="176"/>
      <c r="AK27" s="176"/>
      <c r="AL27" s="176"/>
      <c r="AM27" s="176"/>
      <c r="AN27" s="176"/>
      <c r="AO27" s="176"/>
      <c r="AP27" s="176"/>
      <c r="AQ27" s="176"/>
      <c r="AR27" s="176"/>
      <c r="AS27" s="176"/>
      <c r="AT27" s="176"/>
      <c r="AU27" s="176"/>
      <c r="AV27" s="176"/>
      <c r="AW27" s="176"/>
      <c r="AX27" s="176"/>
      <c r="AY27" s="176"/>
      <c r="AZ27" s="176"/>
      <c r="BA27" s="176"/>
      <c r="BB27" s="176"/>
      <c r="BC27" s="176"/>
      <c r="BD27" s="176"/>
      <c r="BE27" s="176"/>
      <c r="BF27" s="176"/>
      <c r="BG27" s="176"/>
      <c r="BH27" s="176"/>
      <c r="BI27" s="176"/>
      <c r="BJ27" s="176"/>
      <c r="BK27" s="176"/>
      <c r="BL27" s="176"/>
      <c r="BM27" s="176"/>
      <c r="BN27" s="176"/>
      <c r="BO27" s="176"/>
      <c r="BP27" s="176"/>
    </row>
    <row r="28" spans="1:68" s="36" customFormat="1" ht="11.25" customHeight="1" x14ac:dyDescent="0.2">
      <c r="A28" s="992"/>
      <c r="B28" s="993"/>
      <c r="C28" s="993"/>
      <c r="D28" s="993"/>
      <c r="E28" s="2395"/>
      <c r="F28" s="2396"/>
      <c r="G28" s="988"/>
      <c r="H28" s="2352">
        <f t="shared" si="0"/>
        <v>0</v>
      </c>
      <c r="I28" s="2353"/>
      <c r="J28" s="989">
        <f t="shared" si="1"/>
        <v>0</v>
      </c>
      <c r="K28" s="990"/>
      <c r="L28" s="2359"/>
      <c r="M28" s="2360"/>
      <c r="N28" s="991">
        <f t="shared" si="2"/>
        <v>0</v>
      </c>
      <c r="O28" s="489"/>
      <c r="P28" s="513"/>
      <c r="Q28" s="514"/>
      <c r="R28" s="515"/>
      <c r="S28" s="516"/>
      <c r="T28" s="129"/>
      <c r="U28" s="129"/>
      <c r="V28" s="129"/>
      <c r="W28" s="129"/>
      <c r="X28" s="129"/>
      <c r="Y28" s="129"/>
      <c r="Z28" s="129"/>
      <c r="AA28" s="133"/>
      <c r="AB28" s="133"/>
      <c r="AC28" s="133"/>
      <c r="AD28" s="133"/>
      <c r="AE28" s="133"/>
      <c r="AF28" s="133"/>
      <c r="AG28" s="222"/>
      <c r="AH28" s="222"/>
      <c r="AI28" s="222"/>
      <c r="AJ28" s="176"/>
      <c r="AK28" s="176"/>
      <c r="AL28" s="176"/>
      <c r="AM28" s="176"/>
      <c r="AN28" s="176"/>
      <c r="AO28" s="176"/>
      <c r="AP28" s="176"/>
      <c r="AQ28" s="176"/>
      <c r="AR28" s="176"/>
      <c r="AS28" s="176"/>
      <c r="AT28" s="176"/>
      <c r="AU28" s="176"/>
      <c r="AV28" s="176"/>
      <c r="AW28" s="176"/>
      <c r="AX28" s="176"/>
      <c r="AY28" s="176"/>
      <c r="AZ28" s="176"/>
      <c r="BA28" s="176"/>
      <c r="BB28" s="176"/>
      <c r="BC28" s="176"/>
      <c r="BD28" s="176"/>
      <c r="BE28" s="176"/>
      <c r="BF28" s="176"/>
      <c r="BG28" s="176"/>
      <c r="BH28" s="176"/>
      <c r="BI28" s="176"/>
      <c r="BJ28" s="176"/>
      <c r="BK28" s="176"/>
      <c r="BL28" s="176"/>
      <c r="BM28" s="176"/>
      <c r="BN28" s="176"/>
      <c r="BO28" s="176"/>
      <c r="BP28" s="176"/>
    </row>
    <row r="29" spans="1:68" s="36" customFormat="1" ht="11.25" customHeight="1" x14ac:dyDescent="0.2">
      <c r="A29" s="992"/>
      <c r="B29" s="993"/>
      <c r="C29" s="993"/>
      <c r="D29" s="993"/>
      <c r="E29" s="2395"/>
      <c r="F29" s="2396"/>
      <c r="G29" s="988"/>
      <c r="H29" s="2352">
        <f t="shared" si="0"/>
        <v>0</v>
      </c>
      <c r="I29" s="2353"/>
      <c r="J29" s="989">
        <f t="shared" si="1"/>
        <v>0</v>
      </c>
      <c r="K29" s="990"/>
      <c r="L29" s="2359"/>
      <c r="M29" s="2360"/>
      <c r="N29" s="991">
        <f t="shared" si="2"/>
        <v>0</v>
      </c>
      <c r="O29" s="489"/>
      <c r="P29" s="513"/>
      <c r="Q29" s="514"/>
      <c r="R29" s="515"/>
      <c r="S29" s="516"/>
      <c r="T29" s="129"/>
      <c r="U29" s="129"/>
      <c r="V29" s="129"/>
      <c r="W29" s="129"/>
      <c r="X29" s="129"/>
      <c r="Y29" s="129"/>
      <c r="Z29" s="129"/>
      <c r="AA29" s="133"/>
      <c r="AB29" s="133"/>
      <c r="AC29" s="133"/>
      <c r="AD29" s="133"/>
      <c r="AE29" s="133"/>
      <c r="AF29" s="133"/>
      <c r="AG29" s="222"/>
      <c r="AH29" s="222"/>
      <c r="AI29" s="222"/>
      <c r="AJ29" s="176"/>
      <c r="AK29" s="176"/>
      <c r="AL29" s="176"/>
      <c r="AM29" s="176"/>
      <c r="AN29" s="176"/>
      <c r="AO29" s="176"/>
      <c r="AP29" s="176"/>
      <c r="AQ29" s="176"/>
      <c r="AR29" s="176"/>
      <c r="AS29" s="176"/>
      <c r="AT29" s="176"/>
      <c r="AU29" s="176"/>
      <c r="AV29" s="176"/>
      <c r="AW29" s="176"/>
      <c r="AX29" s="176"/>
      <c r="AY29" s="176"/>
      <c r="AZ29" s="176"/>
      <c r="BA29" s="176"/>
      <c r="BB29" s="176"/>
      <c r="BC29" s="176"/>
      <c r="BD29" s="176"/>
      <c r="BE29" s="176"/>
      <c r="BF29" s="176"/>
      <c r="BG29" s="176"/>
      <c r="BH29" s="176"/>
      <c r="BI29" s="176"/>
      <c r="BJ29" s="176"/>
      <c r="BK29" s="176"/>
      <c r="BL29" s="176"/>
      <c r="BM29" s="176"/>
      <c r="BN29" s="176"/>
      <c r="BO29" s="176"/>
      <c r="BP29" s="176"/>
    </row>
    <row r="30" spans="1:68" s="36" customFormat="1" ht="11.25" customHeight="1" x14ac:dyDescent="0.2">
      <c r="A30" s="992"/>
      <c r="B30" s="993"/>
      <c r="C30" s="993"/>
      <c r="D30" s="993"/>
      <c r="E30" s="2395"/>
      <c r="F30" s="2396"/>
      <c r="G30" s="988"/>
      <c r="H30" s="2352">
        <f t="shared" si="0"/>
        <v>0</v>
      </c>
      <c r="I30" s="2353"/>
      <c r="J30" s="989">
        <f t="shared" si="1"/>
        <v>0</v>
      </c>
      <c r="K30" s="990"/>
      <c r="L30" s="2359"/>
      <c r="M30" s="2360"/>
      <c r="N30" s="991">
        <f t="shared" si="2"/>
        <v>0</v>
      </c>
      <c r="O30" s="489"/>
      <c r="P30" s="513"/>
      <c r="Q30" s="514"/>
      <c r="R30" s="515"/>
      <c r="S30" s="516"/>
      <c r="T30" s="129"/>
      <c r="U30" s="129"/>
      <c r="V30" s="129"/>
      <c r="W30" s="129"/>
      <c r="X30" s="129"/>
      <c r="Y30" s="129"/>
      <c r="Z30" s="129"/>
      <c r="AA30" s="133"/>
      <c r="AB30" s="133"/>
      <c r="AC30" s="133"/>
      <c r="AD30" s="133"/>
      <c r="AE30" s="133"/>
      <c r="AF30" s="133"/>
      <c r="AG30" s="222"/>
      <c r="AH30" s="222"/>
      <c r="AI30" s="222"/>
      <c r="AJ30" s="176"/>
      <c r="AK30" s="176"/>
      <c r="AL30" s="176"/>
      <c r="AM30" s="176"/>
      <c r="AN30" s="176"/>
      <c r="AO30" s="176"/>
      <c r="AP30" s="176"/>
      <c r="AQ30" s="176"/>
      <c r="AR30" s="176"/>
      <c r="AS30" s="176"/>
      <c r="AT30" s="176"/>
      <c r="AU30" s="176"/>
      <c r="AV30" s="176"/>
      <c r="AW30" s="176"/>
      <c r="AX30" s="176"/>
      <c r="AY30" s="176"/>
      <c r="AZ30" s="176"/>
      <c r="BA30" s="176"/>
      <c r="BB30" s="176"/>
      <c r="BC30" s="176"/>
      <c r="BD30" s="176"/>
      <c r="BE30" s="176"/>
      <c r="BF30" s="176"/>
      <c r="BG30" s="176"/>
      <c r="BH30" s="176"/>
      <c r="BI30" s="176"/>
      <c r="BJ30" s="176"/>
      <c r="BK30" s="176"/>
      <c r="BL30" s="176"/>
      <c r="BM30" s="176"/>
      <c r="BN30" s="176"/>
      <c r="BO30" s="176"/>
      <c r="BP30" s="176"/>
    </row>
    <row r="31" spans="1:68" s="36" customFormat="1" ht="11.25" customHeight="1" x14ac:dyDescent="0.2">
      <c r="A31" s="992"/>
      <c r="B31" s="993"/>
      <c r="C31" s="993"/>
      <c r="D31" s="993"/>
      <c r="E31" s="2395"/>
      <c r="F31" s="2396"/>
      <c r="G31" s="988"/>
      <c r="H31" s="2352">
        <f t="shared" si="0"/>
        <v>0</v>
      </c>
      <c r="I31" s="2353"/>
      <c r="J31" s="989">
        <f t="shared" si="1"/>
        <v>0</v>
      </c>
      <c r="K31" s="990"/>
      <c r="L31" s="2359"/>
      <c r="M31" s="2360"/>
      <c r="N31" s="991">
        <f t="shared" si="2"/>
        <v>0</v>
      </c>
      <c r="O31" s="489"/>
      <c r="P31" s="513"/>
      <c r="Q31" s="514"/>
      <c r="R31" s="515"/>
      <c r="S31" s="516"/>
      <c r="T31" s="129"/>
      <c r="U31" s="129"/>
      <c r="V31" s="129"/>
      <c r="W31" s="129"/>
      <c r="X31" s="129"/>
      <c r="Y31" s="129"/>
      <c r="Z31" s="129"/>
      <c r="AA31" s="133"/>
      <c r="AB31" s="133"/>
      <c r="AC31" s="133"/>
      <c r="AD31" s="133"/>
      <c r="AE31" s="133"/>
      <c r="AF31" s="133"/>
      <c r="AG31" s="222"/>
      <c r="AH31" s="222"/>
      <c r="AI31" s="222"/>
      <c r="AJ31" s="176"/>
      <c r="AK31" s="176"/>
      <c r="AL31" s="176"/>
      <c r="AM31" s="176"/>
      <c r="AN31" s="176"/>
      <c r="AO31" s="176"/>
      <c r="AP31" s="176"/>
      <c r="AQ31" s="176"/>
      <c r="AR31" s="176"/>
      <c r="AS31" s="176"/>
      <c r="AT31" s="176"/>
      <c r="AU31" s="176"/>
      <c r="AV31" s="176"/>
      <c r="AW31" s="176"/>
      <c r="AX31" s="176"/>
      <c r="AY31" s="176"/>
      <c r="AZ31" s="176"/>
      <c r="BA31" s="176"/>
      <c r="BB31" s="176"/>
      <c r="BC31" s="176"/>
      <c r="BD31" s="176"/>
      <c r="BE31" s="176"/>
      <c r="BF31" s="176"/>
      <c r="BG31" s="176"/>
      <c r="BH31" s="176"/>
      <c r="BI31" s="176"/>
      <c r="BJ31" s="176"/>
      <c r="BK31" s="176"/>
      <c r="BL31" s="176"/>
      <c r="BM31" s="176"/>
      <c r="BN31" s="176"/>
      <c r="BO31" s="176"/>
      <c r="BP31" s="176"/>
    </row>
    <row r="32" spans="1:68" s="36" customFormat="1" ht="11.25" customHeight="1" x14ac:dyDescent="0.2">
      <c r="A32" s="992"/>
      <c r="B32" s="993"/>
      <c r="C32" s="993"/>
      <c r="D32" s="993"/>
      <c r="E32" s="2395"/>
      <c r="F32" s="2396"/>
      <c r="G32" s="988"/>
      <c r="H32" s="2352">
        <f t="shared" si="0"/>
        <v>0</v>
      </c>
      <c r="I32" s="2353"/>
      <c r="J32" s="989">
        <f t="shared" si="1"/>
        <v>0</v>
      </c>
      <c r="K32" s="990"/>
      <c r="L32" s="2359"/>
      <c r="M32" s="2360"/>
      <c r="N32" s="991">
        <f t="shared" si="2"/>
        <v>0</v>
      </c>
      <c r="O32" s="489"/>
      <c r="P32" s="513"/>
      <c r="Q32" s="514"/>
      <c r="R32" s="515"/>
      <c r="S32" s="516"/>
      <c r="T32" s="129"/>
      <c r="U32" s="129"/>
      <c r="V32" s="129"/>
      <c r="W32" s="129"/>
      <c r="X32" s="129"/>
      <c r="Y32" s="129"/>
      <c r="Z32" s="129"/>
      <c r="AA32" s="133"/>
      <c r="AB32" s="133"/>
      <c r="AC32" s="133"/>
      <c r="AD32" s="133"/>
      <c r="AE32" s="133"/>
      <c r="AF32" s="133"/>
      <c r="AG32" s="222"/>
      <c r="AH32" s="222"/>
      <c r="AI32" s="222"/>
      <c r="AJ32" s="176"/>
      <c r="AK32" s="176"/>
      <c r="AL32" s="176"/>
      <c r="AM32" s="176"/>
      <c r="AN32" s="176"/>
      <c r="AO32" s="176"/>
      <c r="AP32" s="176"/>
      <c r="AQ32" s="176"/>
      <c r="AR32" s="176"/>
      <c r="AS32" s="176"/>
      <c r="AT32" s="176"/>
      <c r="AU32" s="176"/>
      <c r="AV32" s="176"/>
      <c r="AW32" s="176"/>
      <c r="AX32" s="176"/>
      <c r="AY32" s="176"/>
      <c r="AZ32" s="176"/>
      <c r="BA32" s="176"/>
      <c r="BB32" s="176"/>
      <c r="BC32" s="176"/>
      <c r="BD32" s="176"/>
      <c r="BE32" s="176"/>
      <c r="BF32" s="176"/>
      <c r="BG32" s="176"/>
      <c r="BH32" s="176"/>
      <c r="BI32" s="176"/>
      <c r="BJ32" s="176"/>
      <c r="BK32" s="176"/>
      <c r="BL32" s="176"/>
      <c r="BM32" s="176"/>
      <c r="BN32" s="176"/>
      <c r="BO32" s="176"/>
      <c r="BP32" s="176"/>
    </row>
    <row r="33" spans="1:69" s="36" customFormat="1" ht="11.25" customHeight="1" x14ac:dyDescent="0.2">
      <c r="A33" s="992"/>
      <c r="B33" s="993"/>
      <c r="C33" s="993"/>
      <c r="D33" s="993"/>
      <c r="E33" s="2395"/>
      <c r="F33" s="2396"/>
      <c r="G33" s="988"/>
      <c r="H33" s="2352">
        <f t="shared" si="0"/>
        <v>0</v>
      </c>
      <c r="I33" s="2353"/>
      <c r="J33" s="989">
        <f t="shared" si="1"/>
        <v>0</v>
      </c>
      <c r="K33" s="990"/>
      <c r="L33" s="2359"/>
      <c r="M33" s="2360"/>
      <c r="N33" s="991">
        <f t="shared" si="2"/>
        <v>0</v>
      </c>
      <c r="O33" s="489"/>
      <c r="P33" s="513"/>
      <c r="Q33" s="514"/>
      <c r="R33" s="515"/>
      <c r="S33" s="516"/>
      <c r="T33" s="129"/>
      <c r="U33" s="129"/>
      <c r="V33" s="129"/>
      <c r="W33" s="129"/>
      <c r="X33" s="129"/>
      <c r="Y33" s="129"/>
      <c r="Z33" s="129"/>
      <c r="AA33" s="133"/>
      <c r="AB33" s="133"/>
      <c r="AC33" s="133"/>
      <c r="AD33" s="133"/>
      <c r="AE33" s="133"/>
      <c r="AF33" s="133"/>
      <c r="AG33" s="222"/>
      <c r="AH33" s="222"/>
      <c r="AI33" s="222"/>
      <c r="AJ33" s="176"/>
      <c r="AK33" s="176"/>
      <c r="AL33" s="176"/>
      <c r="AM33" s="176"/>
      <c r="AN33" s="176"/>
      <c r="AO33" s="176"/>
      <c r="AP33" s="176"/>
      <c r="AQ33" s="176"/>
      <c r="AR33" s="176"/>
      <c r="AS33" s="176"/>
      <c r="AT33" s="176"/>
      <c r="AU33" s="176"/>
      <c r="AV33" s="176"/>
      <c r="AW33" s="176"/>
      <c r="AX33" s="176"/>
      <c r="AY33" s="176"/>
      <c r="AZ33" s="176"/>
      <c r="BA33" s="176"/>
      <c r="BB33" s="176"/>
      <c r="BC33" s="176"/>
      <c r="BD33" s="176"/>
      <c r="BE33" s="176"/>
      <c r="BF33" s="176"/>
      <c r="BG33" s="176"/>
      <c r="BH33" s="176"/>
      <c r="BI33" s="176"/>
      <c r="BJ33" s="176"/>
      <c r="BK33" s="176"/>
      <c r="BL33" s="176"/>
      <c r="BM33" s="176"/>
      <c r="BN33" s="176"/>
      <c r="BO33" s="176"/>
      <c r="BP33" s="176"/>
    </row>
    <row r="34" spans="1:69" s="36" customFormat="1" ht="11.25" customHeight="1" x14ac:dyDescent="0.2">
      <c r="A34" s="992"/>
      <c r="B34" s="993"/>
      <c r="C34" s="993"/>
      <c r="D34" s="993"/>
      <c r="E34" s="2395"/>
      <c r="F34" s="2396"/>
      <c r="G34" s="988"/>
      <c r="H34" s="2352">
        <f t="shared" si="0"/>
        <v>0</v>
      </c>
      <c r="I34" s="2353"/>
      <c r="J34" s="989">
        <f t="shared" si="1"/>
        <v>0</v>
      </c>
      <c r="K34" s="990"/>
      <c r="L34" s="2359"/>
      <c r="M34" s="2360"/>
      <c r="N34" s="991">
        <f t="shared" si="2"/>
        <v>0</v>
      </c>
      <c r="O34" s="489"/>
      <c r="P34" s="513"/>
      <c r="Q34" s="514"/>
      <c r="R34" s="515"/>
      <c r="S34" s="516"/>
      <c r="T34" s="129"/>
      <c r="U34" s="129"/>
      <c r="V34" s="129"/>
      <c r="W34" s="129"/>
      <c r="X34" s="129"/>
      <c r="Y34" s="129"/>
      <c r="Z34" s="129"/>
      <c r="AA34" s="133"/>
      <c r="AB34" s="133"/>
      <c r="AC34" s="133"/>
      <c r="AD34" s="133"/>
      <c r="AE34" s="133"/>
      <c r="AF34" s="133"/>
      <c r="AG34" s="222"/>
      <c r="AH34" s="222"/>
      <c r="AI34" s="222"/>
      <c r="AJ34" s="176"/>
      <c r="AK34" s="176"/>
      <c r="AL34" s="176"/>
      <c r="AM34" s="176"/>
      <c r="AN34" s="176"/>
      <c r="AO34" s="176"/>
      <c r="AP34" s="176"/>
      <c r="AQ34" s="176"/>
      <c r="AR34" s="176"/>
      <c r="AS34" s="176"/>
      <c r="AT34" s="176"/>
      <c r="AU34" s="176"/>
      <c r="AV34" s="176"/>
      <c r="AW34" s="176"/>
      <c r="AX34" s="176"/>
      <c r="AY34" s="176"/>
      <c r="AZ34" s="176"/>
      <c r="BA34" s="176"/>
      <c r="BB34" s="176"/>
      <c r="BC34" s="176"/>
      <c r="BD34" s="176"/>
      <c r="BE34" s="176"/>
      <c r="BF34" s="176"/>
      <c r="BG34" s="176"/>
      <c r="BH34" s="176"/>
      <c r="BI34" s="176"/>
      <c r="BJ34" s="176"/>
      <c r="BK34" s="176"/>
      <c r="BL34" s="176"/>
      <c r="BM34" s="176"/>
      <c r="BN34" s="176"/>
      <c r="BO34" s="176"/>
      <c r="BP34" s="176"/>
    </row>
    <row r="35" spans="1:69" s="36" customFormat="1" ht="11.25" customHeight="1" x14ac:dyDescent="0.2">
      <c r="A35" s="992"/>
      <c r="B35" s="993"/>
      <c r="C35" s="993"/>
      <c r="D35" s="993"/>
      <c r="E35" s="2395"/>
      <c r="F35" s="2396"/>
      <c r="G35" s="988"/>
      <c r="H35" s="2352">
        <f t="shared" si="0"/>
        <v>0</v>
      </c>
      <c r="I35" s="2353"/>
      <c r="J35" s="989">
        <f t="shared" si="1"/>
        <v>0</v>
      </c>
      <c r="K35" s="990"/>
      <c r="L35" s="2359"/>
      <c r="M35" s="2360"/>
      <c r="N35" s="991">
        <f t="shared" si="2"/>
        <v>0</v>
      </c>
      <c r="O35" s="489"/>
      <c r="P35" s="513"/>
      <c r="Q35" s="514"/>
      <c r="R35" s="515"/>
      <c r="S35" s="516"/>
      <c r="T35" s="129"/>
      <c r="U35" s="129"/>
      <c r="V35" s="129"/>
      <c r="W35" s="129"/>
      <c r="X35" s="129"/>
      <c r="Y35" s="129"/>
      <c r="Z35" s="129"/>
      <c r="AA35" s="133"/>
      <c r="AB35" s="133"/>
      <c r="AC35" s="133"/>
      <c r="AD35" s="133"/>
      <c r="AE35" s="133"/>
      <c r="AF35" s="133"/>
      <c r="AG35" s="222"/>
      <c r="AH35" s="222"/>
      <c r="AI35" s="222"/>
      <c r="AJ35" s="176"/>
      <c r="AK35" s="176"/>
      <c r="AL35" s="176"/>
      <c r="AM35" s="176"/>
      <c r="AN35" s="176"/>
      <c r="AO35" s="176"/>
      <c r="AP35" s="176"/>
      <c r="AQ35" s="176"/>
      <c r="AR35" s="176"/>
      <c r="AS35" s="176"/>
      <c r="AT35" s="176"/>
      <c r="AU35" s="176"/>
      <c r="AV35" s="176"/>
      <c r="AW35" s="176"/>
      <c r="AX35" s="176"/>
      <c r="AY35" s="176"/>
      <c r="AZ35" s="176"/>
      <c r="BA35" s="176"/>
      <c r="BB35" s="176"/>
      <c r="BC35" s="176"/>
      <c r="BD35" s="176"/>
      <c r="BE35" s="176"/>
      <c r="BF35" s="176"/>
      <c r="BG35" s="176"/>
      <c r="BH35" s="176"/>
      <c r="BI35" s="176"/>
      <c r="BJ35" s="176"/>
      <c r="BK35" s="176"/>
      <c r="BL35" s="176"/>
      <c r="BM35" s="176"/>
      <c r="BN35" s="176"/>
      <c r="BO35" s="176"/>
      <c r="BP35" s="176"/>
    </row>
    <row r="36" spans="1:69" s="36" customFormat="1" ht="11.25" customHeight="1" x14ac:dyDescent="0.2">
      <c r="A36" s="992"/>
      <c r="B36" s="993"/>
      <c r="C36" s="993"/>
      <c r="D36" s="993"/>
      <c r="E36" s="2395"/>
      <c r="F36" s="2396"/>
      <c r="G36" s="988"/>
      <c r="H36" s="2352">
        <f t="shared" si="0"/>
        <v>0</v>
      </c>
      <c r="I36" s="2353"/>
      <c r="J36" s="989">
        <f t="shared" si="1"/>
        <v>0</v>
      </c>
      <c r="K36" s="990"/>
      <c r="L36" s="2359"/>
      <c r="M36" s="2360"/>
      <c r="N36" s="991">
        <f t="shared" si="2"/>
        <v>0</v>
      </c>
      <c r="O36" s="489"/>
      <c r="P36" s="513"/>
      <c r="Q36" s="514"/>
      <c r="R36" s="515"/>
      <c r="S36" s="516"/>
      <c r="T36" s="129"/>
      <c r="U36" s="129"/>
      <c r="V36" s="129"/>
      <c r="W36" s="129"/>
      <c r="X36" s="129"/>
      <c r="Y36" s="129"/>
      <c r="Z36" s="129"/>
      <c r="AA36" s="133"/>
      <c r="AB36" s="133"/>
      <c r="AC36" s="133"/>
      <c r="AD36" s="133"/>
      <c r="AE36" s="133"/>
      <c r="AF36" s="133"/>
      <c r="AG36" s="222"/>
      <c r="AH36" s="222"/>
      <c r="AI36" s="222"/>
      <c r="AJ36" s="176"/>
      <c r="AK36" s="176"/>
      <c r="AL36" s="176"/>
      <c r="AM36" s="176"/>
      <c r="AN36" s="176"/>
      <c r="AO36" s="176"/>
      <c r="AP36" s="176"/>
      <c r="AQ36" s="176"/>
      <c r="AR36" s="176"/>
      <c r="AS36" s="176"/>
      <c r="AT36" s="176"/>
      <c r="AU36" s="176"/>
      <c r="AV36" s="176"/>
      <c r="AW36" s="176"/>
      <c r="AX36" s="176"/>
      <c r="AY36" s="176"/>
      <c r="AZ36" s="176"/>
      <c r="BA36" s="176"/>
      <c r="BB36" s="176"/>
      <c r="BC36" s="176"/>
      <c r="BD36" s="176"/>
      <c r="BE36" s="176"/>
      <c r="BF36" s="176"/>
      <c r="BG36" s="176"/>
      <c r="BH36" s="176"/>
      <c r="BI36" s="176"/>
      <c r="BJ36" s="176"/>
      <c r="BK36" s="176"/>
      <c r="BL36" s="176"/>
      <c r="BM36" s="176"/>
      <c r="BN36" s="176"/>
      <c r="BO36" s="176"/>
      <c r="BP36" s="176"/>
    </row>
    <row r="37" spans="1:69" s="36" customFormat="1" ht="11.25" customHeight="1" x14ac:dyDescent="0.2">
      <c r="A37" s="992"/>
      <c r="B37" s="993"/>
      <c r="C37" s="993"/>
      <c r="D37" s="993"/>
      <c r="E37" s="2395"/>
      <c r="F37" s="2396"/>
      <c r="G37" s="988"/>
      <c r="H37" s="2352">
        <f t="shared" si="0"/>
        <v>0</v>
      </c>
      <c r="I37" s="2353"/>
      <c r="J37" s="989">
        <f t="shared" si="1"/>
        <v>0</v>
      </c>
      <c r="K37" s="990"/>
      <c r="L37" s="2359"/>
      <c r="M37" s="2360"/>
      <c r="N37" s="991">
        <f t="shared" si="2"/>
        <v>0</v>
      </c>
      <c r="O37" s="489"/>
      <c r="P37" s="513"/>
      <c r="Q37" s="514"/>
      <c r="R37" s="515"/>
      <c r="S37" s="516"/>
      <c r="T37" s="129"/>
      <c r="U37" s="129"/>
      <c r="V37" s="129"/>
      <c r="W37" s="129"/>
      <c r="X37" s="129"/>
      <c r="Y37" s="129"/>
      <c r="Z37" s="129"/>
      <c r="AA37" s="133"/>
      <c r="AB37" s="133"/>
      <c r="AC37" s="133"/>
      <c r="AD37" s="133"/>
      <c r="AE37" s="133"/>
      <c r="AF37" s="133"/>
      <c r="AG37" s="222"/>
      <c r="AH37" s="222"/>
      <c r="AI37" s="222"/>
      <c r="AJ37" s="176"/>
      <c r="AK37" s="176"/>
      <c r="AL37" s="176"/>
      <c r="AM37" s="176"/>
      <c r="AN37" s="176"/>
      <c r="AO37" s="176"/>
      <c r="AP37" s="176"/>
      <c r="AQ37" s="176"/>
      <c r="AR37" s="176"/>
      <c r="AS37" s="176"/>
      <c r="AT37" s="176"/>
      <c r="AU37" s="176"/>
      <c r="AV37" s="176"/>
      <c r="AW37" s="176"/>
      <c r="AX37" s="176"/>
      <c r="AY37" s="176"/>
      <c r="AZ37" s="176"/>
      <c r="BA37" s="176"/>
      <c r="BB37" s="176"/>
      <c r="BC37" s="176"/>
      <c r="BD37" s="176"/>
      <c r="BE37" s="176"/>
      <c r="BF37" s="176"/>
      <c r="BG37" s="176"/>
      <c r="BH37" s="176"/>
      <c r="BI37" s="176"/>
      <c r="BJ37" s="176"/>
      <c r="BK37" s="176"/>
      <c r="BL37" s="176"/>
      <c r="BM37" s="176"/>
      <c r="BN37" s="176"/>
      <c r="BO37" s="176"/>
      <c r="BP37" s="176"/>
    </row>
    <row r="38" spans="1:69" s="36" customFormat="1" ht="11.25" customHeight="1" x14ac:dyDescent="0.2">
      <c r="A38" s="994"/>
      <c r="B38" s="995"/>
      <c r="C38" s="995"/>
      <c r="D38" s="995"/>
      <c r="E38" s="2549"/>
      <c r="F38" s="2550"/>
      <c r="G38" s="996"/>
      <c r="H38" s="2354">
        <f t="shared" si="0"/>
        <v>0</v>
      </c>
      <c r="I38" s="2355"/>
      <c r="J38" s="997">
        <f t="shared" si="1"/>
        <v>0</v>
      </c>
      <c r="K38" s="998"/>
      <c r="L38" s="2365"/>
      <c r="M38" s="2366"/>
      <c r="N38" s="999">
        <f t="shared" si="2"/>
        <v>0</v>
      </c>
      <c r="O38" s="489"/>
      <c r="P38" s="513"/>
      <c r="Q38" s="514"/>
      <c r="R38" s="515"/>
      <c r="S38" s="516"/>
      <c r="T38" s="129"/>
      <c r="U38" s="129"/>
      <c r="V38" s="129"/>
      <c r="W38" s="129"/>
      <c r="X38" s="129"/>
      <c r="Y38" s="129"/>
      <c r="Z38" s="129"/>
      <c r="AA38" s="133"/>
      <c r="AB38" s="133"/>
      <c r="AC38" s="133"/>
      <c r="AD38" s="133"/>
      <c r="AE38" s="133"/>
      <c r="AF38" s="133"/>
      <c r="AG38" s="222"/>
      <c r="AH38" s="222"/>
      <c r="AI38" s="222"/>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row>
    <row r="39" spans="1:69" s="36" customFormat="1" ht="14.1" customHeight="1" x14ac:dyDescent="0.2">
      <c r="A39" s="1051" t="s">
        <v>13</v>
      </c>
      <c r="B39" s="1201"/>
      <c r="C39" s="1202"/>
      <c r="D39" s="1202"/>
      <c r="E39" s="2539">
        <f>IF($X$11,E14,ROUND(SUM(E15:E38),-2))</f>
        <v>0</v>
      </c>
      <c r="F39" s="2540"/>
      <c r="G39" s="1203">
        <f>IF($X$11,G14,IF($E$39&gt;0,SUMPRODUCT($E$15:$E$38,$G$15:$G$38)/$E$39,0))</f>
        <v>0</v>
      </c>
      <c r="H39" s="2357">
        <f>IF(E39=0,0,J39/E39)</f>
        <v>0</v>
      </c>
      <c r="I39" s="2358"/>
      <c r="J39" s="1052">
        <f>IF($X$11,J14,ROUND(SUM(J15:J38),0))</f>
        <v>0</v>
      </c>
      <c r="K39" s="1204">
        <f>IF(E39=0,0,N39/E39*100)</f>
        <v>0</v>
      </c>
      <c r="L39" s="2537"/>
      <c r="M39" s="2537"/>
      <c r="N39" s="1205">
        <f>IF($X$11,N14,ROUND(SUM(N15:N38),-1))</f>
        <v>0</v>
      </c>
      <c r="O39" s="489"/>
      <c r="P39" s="150"/>
      <c r="Q39" s="137"/>
      <c r="R39" s="129"/>
      <c r="S39" s="136"/>
      <c r="T39" s="138"/>
      <c r="U39" s="124"/>
      <c r="V39" s="124"/>
      <c r="W39" s="124"/>
      <c r="X39" s="124"/>
      <c r="Y39" s="124"/>
      <c r="Z39" s="124"/>
      <c r="AA39" s="123"/>
      <c r="AB39" s="123"/>
      <c r="AC39" s="123"/>
      <c r="AD39" s="123"/>
      <c r="AE39" s="123"/>
      <c r="AF39" s="123"/>
      <c r="AG39" s="174"/>
      <c r="AH39" s="174"/>
      <c r="AI39" s="174"/>
      <c r="AJ39" s="175"/>
      <c r="AK39" s="175"/>
      <c r="AL39" s="176"/>
      <c r="AM39" s="176"/>
      <c r="AN39" s="176"/>
      <c r="AO39" s="176"/>
      <c r="AP39" s="176"/>
      <c r="AQ39" s="176"/>
      <c r="AR39" s="176"/>
      <c r="AS39" s="176"/>
      <c r="AT39" s="176"/>
      <c r="AU39" s="176"/>
      <c r="AV39" s="176"/>
      <c r="AW39" s="176"/>
      <c r="AX39" s="176"/>
      <c r="AY39" s="176"/>
      <c r="AZ39" s="176"/>
      <c r="BA39" s="176"/>
      <c r="BB39" s="176"/>
      <c r="BC39" s="176"/>
      <c r="BD39" s="176"/>
      <c r="BE39" s="176"/>
      <c r="BF39" s="176"/>
      <c r="BG39" s="176"/>
      <c r="BH39" s="176"/>
      <c r="BI39" s="176"/>
      <c r="BJ39" s="176"/>
      <c r="BK39" s="176"/>
      <c r="BL39" s="176"/>
      <c r="BM39" s="176"/>
      <c r="BN39" s="176"/>
      <c r="BO39" s="176"/>
      <c r="BP39" s="176"/>
    </row>
    <row r="40" spans="1:69" ht="6" customHeight="1" x14ac:dyDescent="0.2">
      <c r="A40" s="34" t="s">
        <v>11</v>
      </c>
      <c r="C40" s="43"/>
      <c r="D40" s="43"/>
      <c r="E40" s="43"/>
      <c r="F40" s="43"/>
      <c r="G40" s="43"/>
      <c r="P40" s="123"/>
      <c r="Q40" s="301"/>
      <c r="R40" s="301"/>
      <c r="S40" s="125"/>
      <c r="T40" s="124"/>
      <c r="U40" s="124"/>
      <c r="V40" s="124"/>
      <c r="W40" s="124"/>
      <c r="X40" s="124"/>
      <c r="Y40" s="124"/>
      <c r="Z40" s="124"/>
      <c r="AG40" s="174"/>
      <c r="AJ40" s="175"/>
      <c r="BQ40" s="32"/>
    </row>
    <row r="41" spans="1:69" ht="17.25" customHeight="1" x14ac:dyDescent="0.25">
      <c r="A41" s="49" t="s">
        <v>91</v>
      </c>
      <c r="B41" s="49"/>
      <c r="F41" s="44"/>
      <c r="G41" s="44"/>
      <c r="H41" s="489"/>
      <c r="I41" s="489"/>
      <c r="J41" s="489"/>
      <c r="K41" s="489"/>
      <c r="L41" s="489"/>
      <c r="M41" s="43"/>
      <c r="N41" s="43"/>
      <c r="O41" s="43"/>
      <c r="P41" s="489"/>
      <c r="Q41" s="489"/>
      <c r="R41" s="300"/>
      <c r="S41" s="300"/>
      <c r="T41" s="300"/>
      <c r="V41" s="124"/>
      <c r="W41" s="124"/>
      <c r="AD41" s="174"/>
      <c r="AE41" s="174"/>
      <c r="AF41" s="174"/>
      <c r="AG41" s="175"/>
      <c r="AH41" s="175"/>
      <c r="AI41" s="175"/>
      <c r="AJ41" s="175"/>
      <c r="BQ41" s="32"/>
    </row>
    <row r="42" spans="1:69" ht="2.25" customHeight="1" x14ac:dyDescent="0.2">
      <c r="C42" s="43"/>
      <c r="D42" s="43"/>
      <c r="E42" s="43"/>
      <c r="F42" s="43"/>
      <c r="G42" s="43"/>
      <c r="H42" s="489"/>
      <c r="I42" s="489"/>
      <c r="J42" s="489"/>
      <c r="K42" s="489"/>
      <c r="L42" s="489"/>
      <c r="P42" s="489"/>
      <c r="Q42" s="489"/>
      <c r="R42" s="301"/>
      <c r="S42" s="124"/>
      <c r="T42" s="124"/>
      <c r="U42" s="124"/>
      <c r="V42" s="124"/>
      <c r="W42" s="124"/>
      <c r="AD42" s="174"/>
      <c r="AE42" s="174"/>
      <c r="AF42" s="174"/>
      <c r="AG42" s="175"/>
      <c r="AH42" s="175"/>
      <c r="AI42" s="175"/>
      <c r="AJ42" s="175"/>
      <c r="BQ42" s="32"/>
    </row>
    <row r="43" spans="1:69" s="176" customFormat="1" ht="12" customHeight="1" x14ac:dyDescent="0.2">
      <c r="A43" s="1051" t="s">
        <v>471</v>
      </c>
      <c r="B43" s="2566" t="s">
        <v>472</v>
      </c>
      <c r="C43" s="2567"/>
      <c r="D43" s="2568"/>
      <c r="E43" s="2564" t="s">
        <v>568</v>
      </c>
      <c r="F43" s="2565"/>
      <c r="G43" s="1206" t="s">
        <v>259</v>
      </c>
      <c r="H43" s="1207"/>
      <c r="I43" s="1207"/>
      <c r="J43" s="1207"/>
      <c r="K43" s="1207"/>
      <c r="L43" s="1207"/>
      <c r="M43" s="1207"/>
      <c r="N43" s="1208"/>
      <c r="O43" s="489"/>
      <c r="P43" s="489"/>
      <c r="Q43" s="489"/>
      <c r="R43" s="134"/>
      <c r="S43" s="134"/>
      <c r="T43" s="129"/>
      <c r="U43" s="124"/>
      <c r="V43" s="124"/>
      <c r="W43" s="124"/>
      <c r="X43" s="124"/>
      <c r="Y43" s="124"/>
      <c r="Z43" s="124"/>
      <c r="AA43" s="123"/>
      <c r="AB43" s="123"/>
      <c r="AC43" s="123"/>
      <c r="AD43" s="123"/>
      <c r="AE43" s="123"/>
      <c r="AF43" s="123"/>
      <c r="AG43" s="174"/>
      <c r="AH43" s="174"/>
      <c r="AI43" s="174"/>
      <c r="AJ43" s="175"/>
      <c r="AK43" s="175"/>
    </row>
    <row r="44" spans="1:69" s="176" customFormat="1" ht="11.25" customHeight="1" x14ac:dyDescent="0.2">
      <c r="A44" s="1000" t="s">
        <v>718</v>
      </c>
      <c r="B44" s="2577"/>
      <c r="C44" s="2578"/>
      <c r="D44" s="2579"/>
      <c r="E44" s="2586"/>
      <c r="F44" s="2587"/>
      <c r="G44" s="2569"/>
      <c r="H44" s="2569"/>
      <c r="I44" s="2569"/>
      <c r="J44" s="2569"/>
      <c r="K44" s="2569"/>
      <c r="L44" s="2569"/>
      <c r="M44" s="2569"/>
      <c r="N44" s="2570"/>
      <c r="O44" s="489"/>
      <c r="P44" s="489"/>
      <c r="Q44" s="489"/>
      <c r="T44" s="129"/>
      <c r="U44" s="124"/>
      <c r="V44" s="124"/>
      <c r="W44" s="124"/>
      <c r="X44" s="124"/>
      <c r="Y44" s="124"/>
      <c r="Z44" s="124"/>
      <c r="AA44" s="123"/>
      <c r="AB44" s="123"/>
      <c r="AC44" s="123"/>
      <c r="AD44" s="123"/>
      <c r="AE44" s="123"/>
      <c r="AF44" s="123"/>
      <c r="AG44" s="174"/>
      <c r="AH44" s="174"/>
      <c r="AI44" s="174"/>
      <c r="AJ44" s="175"/>
      <c r="AK44" s="175"/>
    </row>
    <row r="45" spans="1:69" s="176" customFormat="1" ht="11.25" customHeight="1" x14ac:dyDescent="0.2">
      <c r="A45" s="1001" t="s">
        <v>473</v>
      </c>
      <c r="B45" s="2580"/>
      <c r="C45" s="2581"/>
      <c r="D45" s="2582"/>
      <c r="E45" s="2558"/>
      <c r="F45" s="2559"/>
      <c r="G45" s="2571"/>
      <c r="H45" s="2571"/>
      <c r="I45" s="2571"/>
      <c r="J45" s="2571"/>
      <c r="K45" s="2571"/>
      <c r="L45" s="2571"/>
      <c r="M45" s="2571"/>
      <c r="N45" s="2572"/>
      <c r="O45" s="489"/>
      <c r="T45" s="129"/>
      <c r="U45" s="124"/>
      <c r="V45" s="124"/>
      <c r="W45" s="124"/>
      <c r="X45" s="124"/>
      <c r="Y45" s="124"/>
      <c r="Z45" s="124"/>
      <c r="AA45" s="123"/>
      <c r="AB45" s="123"/>
      <c r="AC45" s="123"/>
      <c r="AD45" s="123"/>
      <c r="AE45" s="123"/>
      <c r="AF45" s="123"/>
      <c r="AG45" s="174"/>
      <c r="AH45" s="174"/>
      <c r="AI45" s="174"/>
      <c r="AJ45" s="175"/>
      <c r="AK45" s="175"/>
    </row>
    <row r="46" spans="1:69" s="176" customFormat="1" ht="11.25" customHeight="1" x14ac:dyDescent="0.2">
      <c r="A46" s="1002" t="s">
        <v>474</v>
      </c>
      <c r="B46" s="2583"/>
      <c r="C46" s="2584"/>
      <c r="D46" s="2585"/>
      <c r="E46" s="2560"/>
      <c r="F46" s="2561"/>
      <c r="G46" s="2573"/>
      <c r="H46" s="2573"/>
      <c r="I46" s="2573"/>
      <c r="J46" s="2573"/>
      <c r="K46" s="2573"/>
      <c r="L46" s="2573"/>
      <c r="M46" s="2573"/>
      <c r="N46" s="2574"/>
      <c r="O46" s="489"/>
      <c r="T46" s="129"/>
      <c r="U46" s="124"/>
      <c r="V46" s="124"/>
      <c r="W46" s="124"/>
      <c r="X46" s="124"/>
      <c r="Y46" s="124"/>
      <c r="Z46" s="124"/>
      <c r="AA46" s="123"/>
      <c r="AB46" s="123"/>
      <c r="AC46" s="123"/>
      <c r="AD46" s="123"/>
      <c r="AE46" s="123"/>
      <c r="AF46" s="123"/>
      <c r="AG46" s="174"/>
      <c r="AH46" s="174"/>
      <c r="AI46" s="174"/>
      <c r="AJ46" s="175"/>
      <c r="AK46" s="175"/>
    </row>
    <row r="47" spans="1:69" s="176" customFormat="1" ht="13.5" customHeight="1" x14ac:dyDescent="0.2">
      <c r="A47" s="1053" t="s">
        <v>13</v>
      </c>
      <c r="B47" s="1054"/>
      <c r="C47" s="1054"/>
      <c r="D47" s="1054"/>
      <c r="E47" s="2562">
        <f>SUM(E44:F46)</f>
        <v>0</v>
      </c>
      <c r="F47" s="2563"/>
      <c r="G47" s="1209"/>
      <c r="H47" s="1209"/>
      <c r="I47" s="1209"/>
      <c r="J47" s="1209"/>
      <c r="K47" s="1209"/>
      <c r="L47" s="1209"/>
      <c r="M47" s="1209"/>
      <c r="N47" s="1210"/>
      <c r="O47" s="489"/>
      <c r="R47" s="134"/>
      <c r="S47" s="134"/>
      <c r="T47" s="129"/>
      <c r="U47" s="124"/>
      <c r="V47" s="124"/>
      <c r="W47" s="124"/>
      <c r="X47" s="124"/>
      <c r="Y47" s="124"/>
      <c r="Z47" s="124"/>
      <c r="AA47" s="123"/>
      <c r="AB47" s="123"/>
      <c r="AC47" s="123"/>
      <c r="AD47" s="123"/>
      <c r="AE47" s="123"/>
      <c r="AF47" s="123"/>
      <c r="AG47" s="174"/>
      <c r="AH47" s="174"/>
      <c r="AI47" s="174"/>
      <c r="AJ47" s="175"/>
      <c r="AK47" s="175"/>
    </row>
    <row r="48" spans="1:69" ht="6" customHeight="1" x14ac:dyDescent="0.2">
      <c r="A48" s="34" t="s">
        <v>11</v>
      </c>
      <c r="C48" s="43"/>
      <c r="D48" s="43"/>
      <c r="E48" s="43"/>
      <c r="F48" s="43"/>
      <c r="G48" s="43"/>
      <c r="P48" s="489"/>
      <c r="Q48" s="489"/>
      <c r="R48" s="301"/>
      <c r="S48" s="125"/>
      <c r="T48" s="124"/>
      <c r="U48" s="124"/>
      <c r="V48" s="124"/>
      <c r="W48" s="124"/>
      <c r="X48" s="124"/>
      <c r="Y48" s="124"/>
      <c r="Z48" s="124"/>
      <c r="AG48" s="174"/>
      <c r="AJ48" s="175"/>
      <c r="BQ48" s="32"/>
    </row>
    <row r="49" spans="1:69" ht="17.25" customHeight="1" x14ac:dyDescent="0.25">
      <c r="A49" s="504" t="s">
        <v>632</v>
      </c>
      <c r="B49" s="504"/>
      <c r="F49" s="44"/>
      <c r="G49" s="44"/>
      <c r="H49" s="145"/>
      <c r="I49" s="145"/>
      <c r="J49" s="145"/>
      <c r="K49" s="145"/>
      <c r="L49" s="145"/>
      <c r="M49" s="43"/>
      <c r="N49" s="43"/>
      <c r="O49" s="43"/>
      <c r="P49" s="489"/>
      <c r="Q49" s="489"/>
      <c r="R49" s="489"/>
      <c r="S49" s="489"/>
      <c r="T49" s="300"/>
      <c r="V49" s="124"/>
      <c r="W49" s="124"/>
      <c r="AD49" s="174"/>
      <c r="AE49" s="174"/>
      <c r="AF49" s="174"/>
      <c r="AG49" s="175"/>
      <c r="AH49" s="175"/>
      <c r="AI49" s="175"/>
      <c r="AJ49" s="175"/>
      <c r="BQ49" s="32"/>
    </row>
    <row r="50" spans="1:69" ht="2.25" customHeight="1" x14ac:dyDescent="0.2">
      <c r="C50" s="43"/>
      <c r="D50" s="43"/>
      <c r="E50" s="43"/>
      <c r="F50" s="43"/>
      <c r="G50" s="43"/>
      <c r="H50" s="145"/>
      <c r="I50" s="145"/>
      <c r="J50" s="145"/>
      <c r="K50" s="145"/>
      <c r="L50" s="145"/>
      <c r="P50" s="489"/>
      <c r="Q50" s="489"/>
      <c r="R50" s="489"/>
      <c r="S50" s="489"/>
      <c r="T50" s="124"/>
      <c r="U50" s="124"/>
      <c r="V50" s="124"/>
      <c r="W50" s="124"/>
      <c r="AD50" s="174"/>
      <c r="AE50" s="174"/>
      <c r="AF50" s="174"/>
      <c r="AG50" s="175"/>
      <c r="AH50" s="175"/>
      <c r="AI50" s="175"/>
      <c r="AJ50" s="175"/>
      <c r="BQ50" s="32"/>
    </row>
    <row r="51" spans="1:69" s="176" customFormat="1" ht="11.25" customHeight="1" x14ac:dyDescent="0.2">
      <c r="A51" s="1049" t="s">
        <v>258</v>
      </c>
      <c r="B51" s="1211"/>
      <c r="C51" s="1100"/>
      <c r="D51" s="1100"/>
      <c r="E51" s="2378" t="s">
        <v>563</v>
      </c>
      <c r="F51" s="2379"/>
      <c r="G51" s="2376" t="s">
        <v>565</v>
      </c>
      <c r="H51" s="2378" t="s">
        <v>578</v>
      </c>
      <c r="I51" s="2379"/>
      <c r="J51" s="2376" t="s">
        <v>630</v>
      </c>
      <c r="K51" s="2405" t="s">
        <v>631</v>
      </c>
      <c r="L51" s="2405"/>
      <c r="M51" s="2405"/>
      <c r="N51" s="2379"/>
      <c r="O51" s="489"/>
      <c r="P51" s="489"/>
      <c r="Q51" s="489"/>
      <c r="R51" s="489"/>
      <c r="S51" s="489"/>
      <c r="T51" s="129"/>
      <c r="U51" s="124"/>
      <c r="V51" s="124"/>
      <c r="W51" s="124"/>
      <c r="X51" s="124"/>
      <c r="Y51" s="124"/>
      <c r="Z51" s="124"/>
      <c r="AA51" s="123"/>
      <c r="AB51" s="123"/>
      <c r="AC51" s="123"/>
      <c r="AD51" s="123"/>
      <c r="AE51" s="123"/>
      <c r="AF51" s="123"/>
      <c r="AG51" s="174"/>
      <c r="AH51" s="174"/>
      <c r="AI51" s="174"/>
      <c r="AJ51" s="175"/>
      <c r="AK51" s="175"/>
    </row>
    <row r="52" spans="1:69" s="176" customFormat="1" ht="11.25" customHeight="1" x14ac:dyDescent="0.2">
      <c r="A52" s="1050"/>
      <c r="B52" s="1196"/>
      <c r="C52" s="1101"/>
      <c r="D52" s="1101"/>
      <c r="E52" s="2380"/>
      <c r="F52" s="2381"/>
      <c r="G52" s="2377"/>
      <c r="H52" s="2380"/>
      <c r="I52" s="2381"/>
      <c r="J52" s="2377"/>
      <c r="K52" s="2406"/>
      <c r="L52" s="2406"/>
      <c r="M52" s="2406"/>
      <c r="N52" s="2381"/>
      <c r="O52" s="489"/>
      <c r="P52" s="489"/>
      <c r="Q52" s="489"/>
      <c r="R52" s="489"/>
      <c r="S52" s="489"/>
      <c r="T52" s="129"/>
      <c r="U52" s="124"/>
      <c r="V52" s="124"/>
      <c r="W52" s="124"/>
      <c r="X52" s="124"/>
      <c r="Y52" s="124"/>
      <c r="Z52" s="124"/>
      <c r="AA52" s="123"/>
      <c r="AB52" s="123"/>
      <c r="AC52" s="123"/>
      <c r="AD52" s="123"/>
      <c r="AE52" s="123"/>
      <c r="AF52" s="123"/>
      <c r="AG52" s="174"/>
      <c r="AH52" s="174"/>
      <c r="AI52" s="174"/>
      <c r="AJ52" s="175"/>
      <c r="AK52" s="175"/>
    </row>
    <row r="53" spans="1:69" s="176" customFormat="1" ht="11.25" customHeight="1" x14ac:dyDescent="0.2">
      <c r="A53" s="1050"/>
      <c r="B53" s="1196"/>
      <c r="C53" s="1212"/>
      <c r="D53" s="1212"/>
      <c r="E53" s="2382" t="s">
        <v>564</v>
      </c>
      <c r="F53" s="2383"/>
      <c r="G53" s="1198" t="s">
        <v>20</v>
      </c>
      <c r="H53" s="2512" t="s">
        <v>555</v>
      </c>
      <c r="I53" s="2430"/>
      <c r="J53" s="1198" t="s">
        <v>567</v>
      </c>
      <c r="K53" s="1261" t="s">
        <v>580</v>
      </c>
      <c r="L53" s="2554" t="s">
        <v>579</v>
      </c>
      <c r="M53" s="2554"/>
      <c r="N53" s="1262" t="s">
        <v>567</v>
      </c>
      <c r="O53" s="489"/>
      <c r="P53" s="489"/>
      <c r="Q53" s="489"/>
      <c r="R53" s="489"/>
      <c r="S53" s="489"/>
      <c r="T53" s="129"/>
      <c r="U53" s="124"/>
      <c r="V53" s="124"/>
      <c r="W53" s="124"/>
      <c r="X53" s="124"/>
      <c r="Y53" s="124"/>
      <c r="Z53" s="124"/>
      <c r="AA53" s="123"/>
      <c r="AB53" s="123"/>
      <c r="AC53" s="123"/>
      <c r="AD53" s="123"/>
      <c r="AE53" s="123"/>
      <c r="AF53" s="123"/>
      <c r="AG53" s="174"/>
      <c r="AH53" s="174"/>
      <c r="AI53" s="174"/>
      <c r="AJ53" s="175"/>
      <c r="AK53" s="175"/>
    </row>
    <row r="54" spans="1:69" s="36" customFormat="1" ht="14.1" customHeight="1" x14ac:dyDescent="0.2">
      <c r="A54" s="1051" t="s">
        <v>13</v>
      </c>
      <c r="B54" s="1201"/>
      <c r="C54" s="1202"/>
      <c r="D54" s="1202"/>
      <c r="E54" s="2539">
        <f>E39-E47</f>
        <v>0</v>
      </c>
      <c r="F54" s="2540"/>
      <c r="G54" s="1203">
        <f>G39</f>
        <v>0</v>
      </c>
      <c r="H54" s="2357">
        <f>H39</f>
        <v>0</v>
      </c>
      <c r="I54" s="2358"/>
      <c r="J54" s="1052">
        <f>ROUND(E54*H54,-1)</f>
        <v>0</v>
      </c>
      <c r="K54" s="1263">
        <f>IF(E54=0,0,N54/E54*100)</f>
        <v>0</v>
      </c>
      <c r="L54" s="2555"/>
      <c r="M54" s="2555"/>
      <c r="N54" s="1107">
        <f>N39</f>
        <v>0</v>
      </c>
      <c r="O54" s="489"/>
      <c r="P54" s="150"/>
      <c r="Q54" s="137"/>
      <c r="R54" s="129"/>
      <c r="S54" s="136"/>
      <c r="T54" s="138"/>
      <c r="U54" s="124"/>
      <c r="V54" s="124"/>
      <c r="W54" s="124"/>
      <c r="X54" s="124"/>
      <c r="Y54" s="124"/>
      <c r="Z54" s="124"/>
      <c r="AA54" s="123"/>
      <c r="AB54" s="123"/>
      <c r="AC54" s="123"/>
      <c r="AD54" s="123"/>
      <c r="AE54" s="123"/>
      <c r="AF54" s="123"/>
      <c r="AG54" s="174"/>
      <c r="AH54" s="174"/>
      <c r="AI54" s="174"/>
      <c r="AJ54" s="175"/>
      <c r="AK54" s="175"/>
      <c r="AL54" s="176"/>
      <c r="AM54" s="176"/>
      <c r="AN54" s="176"/>
      <c r="AO54" s="176"/>
      <c r="AP54" s="176"/>
      <c r="AQ54" s="176"/>
      <c r="AR54" s="176"/>
      <c r="AS54" s="176"/>
      <c r="AT54" s="176"/>
      <c r="AU54" s="176"/>
      <c r="AV54" s="176"/>
      <c r="AW54" s="176"/>
      <c r="AX54" s="176"/>
      <c r="AY54" s="176"/>
      <c r="AZ54" s="176"/>
      <c r="BA54" s="176"/>
      <c r="BB54" s="176"/>
      <c r="BC54" s="176"/>
      <c r="BD54" s="176"/>
      <c r="BE54" s="176"/>
      <c r="BF54" s="176"/>
      <c r="BG54" s="176"/>
      <c r="BH54" s="176"/>
      <c r="BI54" s="176"/>
      <c r="BJ54" s="176"/>
      <c r="BK54" s="176"/>
      <c r="BL54" s="176"/>
      <c r="BM54" s="176"/>
      <c r="BN54" s="176"/>
      <c r="BO54" s="176"/>
      <c r="BP54" s="176"/>
    </row>
    <row r="55" spans="1:69" s="390" customFormat="1" ht="6" customHeight="1" x14ac:dyDescent="0.2">
      <c r="A55" s="519"/>
      <c r="B55" s="519"/>
      <c r="C55" s="2557"/>
      <c r="D55" s="2557"/>
      <c r="E55" s="2557"/>
      <c r="F55" s="2556"/>
      <c r="G55" s="2556"/>
      <c r="H55" s="531"/>
      <c r="I55" s="531"/>
      <c r="J55" s="531"/>
      <c r="K55" s="531"/>
      <c r="L55" s="531"/>
      <c r="M55" s="531"/>
      <c r="N55" s="531"/>
      <c r="O55" s="418"/>
      <c r="P55" s="391">
        <f>IF(ISBLANK(I55),H55,I55)</f>
        <v>0</v>
      </c>
      <c r="Q55" s="392"/>
      <c r="R55" s="135"/>
      <c r="S55" s="393"/>
      <c r="T55" s="140"/>
      <c r="U55" s="140"/>
      <c r="V55" s="140"/>
      <c r="W55" s="140"/>
      <c r="X55" s="140"/>
      <c r="Y55" s="140"/>
      <c r="Z55" s="140"/>
      <c r="AA55" s="394"/>
      <c r="AB55" s="394"/>
      <c r="AC55" s="394"/>
      <c r="AD55" s="394"/>
      <c r="AE55" s="394"/>
      <c r="AF55" s="394"/>
      <c r="AG55" s="395"/>
      <c r="AH55" s="395"/>
      <c r="AI55" s="395"/>
      <c r="AJ55" s="298"/>
      <c r="AK55" s="298"/>
      <c r="AL55" s="298"/>
      <c r="AM55" s="298"/>
      <c r="AN55" s="298"/>
      <c r="AO55" s="298"/>
      <c r="AP55" s="298"/>
      <c r="AQ55" s="298"/>
      <c r="AR55" s="298"/>
      <c r="AS55" s="298"/>
      <c r="AT55" s="298"/>
      <c r="AU55" s="298"/>
      <c r="AV55" s="298"/>
      <c r="AW55" s="298"/>
      <c r="AX55" s="298"/>
      <c r="AY55" s="298"/>
      <c r="AZ55" s="298"/>
      <c r="BA55" s="298"/>
      <c r="BB55" s="298"/>
      <c r="BC55" s="298"/>
      <c r="BD55" s="298"/>
      <c r="BE55" s="298"/>
      <c r="BF55" s="298"/>
      <c r="BG55" s="298"/>
      <c r="BH55" s="298"/>
      <c r="BI55" s="298"/>
      <c r="BJ55" s="298"/>
      <c r="BK55" s="298"/>
      <c r="BL55" s="298"/>
      <c r="BM55" s="298"/>
      <c r="BN55" s="298"/>
      <c r="BO55" s="298"/>
      <c r="BP55" s="298"/>
    </row>
    <row r="56" spans="1:69" ht="17.25" customHeight="1" x14ac:dyDescent="0.25">
      <c r="A56" s="504" t="s">
        <v>21</v>
      </c>
      <c r="B56" s="504"/>
      <c r="C56" s="2538" t="str">
        <f>IF(R109=TRUE,"(inkl. externe Kosten)","(ohne externe Kosten)")</f>
        <v>(ohne externe Kosten)</v>
      </c>
      <c r="D56" s="2538"/>
      <c r="F56" s="44"/>
      <c r="G56" s="44"/>
      <c r="K56" s="43"/>
      <c r="L56" s="43"/>
      <c r="M56" s="43"/>
      <c r="N56" s="43"/>
      <c r="O56" s="43"/>
      <c r="P56" s="123"/>
      <c r="Q56" s="302"/>
      <c r="R56" s="300"/>
      <c r="S56" s="300"/>
      <c r="T56" s="300"/>
      <c r="V56" s="124"/>
      <c r="W56" s="124"/>
      <c r="AD56" s="174"/>
      <c r="AE56" s="174"/>
      <c r="AF56" s="174"/>
      <c r="AG56" s="175"/>
      <c r="AH56" s="175"/>
      <c r="AI56" s="175"/>
      <c r="AJ56" s="175"/>
      <c r="BQ56" s="32"/>
    </row>
    <row r="57" spans="1:69" ht="2.25" customHeight="1" x14ac:dyDescent="0.2">
      <c r="C57" s="43"/>
      <c r="D57" s="43"/>
      <c r="E57" s="43"/>
      <c r="F57" s="43"/>
      <c r="G57" s="43"/>
      <c r="H57" s="34"/>
      <c r="I57" s="34"/>
      <c r="J57" s="34"/>
      <c r="P57" s="125"/>
      <c r="Q57" s="301"/>
      <c r="R57" s="301"/>
      <c r="S57" s="124"/>
      <c r="T57" s="124"/>
      <c r="U57" s="124"/>
      <c r="V57" s="124"/>
      <c r="W57" s="124"/>
      <c r="AD57" s="174"/>
      <c r="AE57" s="174"/>
      <c r="AF57" s="174"/>
      <c r="AG57" s="175"/>
      <c r="AH57" s="175"/>
      <c r="AI57" s="175"/>
      <c r="AJ57" s="175"/>
      <c r="BQ57" s="32"/>
    </row>
    <row r="58" spans="1:69" s="36" customFormat="1" ht="11.25" customHeight="1" x14ac:dyDescent="0.2">
      <c r="A58" s="1049" t="s">
        <v>12</v>
      </c>
      <c r="B58" s="1211"/>
      <c r="C58" s="1211"/>
      <c r="D58" s="1213"/>
      <c r="E58" s="2378" t="s">
        <v>547</v>
      </c>
      <c r="F58" s="2379"/>
      <c r="G58" s="2378" t="s">
        <v>22</v>
      </c>
      <c r="H58" s="2405"/>
      <c r="I58" s="2379"/>
      <c r="J58" s="2378" t="s">
        <v>238</v>
      </c>
      <c r="K58" s="2379"/>
      <c r="L58" s="2378" t="s">
        <v>570</v>
      </c>
      <c r="M58" s="2405"/>
      <c r="N58" s="2379"/>
      <c r="S58" s="215" t="s">
        <v>409</v>
      </c>
      <c r="T58" s="134"/>
      <c r="U58" s="129"/>
      <c r="V58" s="124"/>
      <c r="W58" s="124"/>
      <c r="X58" s="124"/>
      <c r="Y58" s="124"/>
      <c r="Z58" s="124"/>
      <c r="AA58" s="123"/>
      <c r="AB58" s="123"/>
      <c r="AC58" s="123"/>
      <c r="AD58" s="123"/>
      <c r="AE58" s="123"/>
      <c r="AF58" s="123"/>
      <c r="AG58" s="174"/>
      <c r="AH58" s="174"/>
      <c r="AI58" s="174"/>
      <c r="AJ58" s="175"/>
      <c r="AK58" s="175"/>
      <c r="AL58" s="176"/>
      <c r="AM58" s="176"/>
      <c r="AN58" s="176"/>
      <c r="AO58" s="176"/>
      <c r="AP58" s="176"/>
      <c r="AQ58" s="176"/>
      <c r="AR58" s="176"/>
      <c r="AS58" s="176"/>
      <c r="AT58" s="176"/>
      <c r="AU58" s="176"/>
      <c r="AV58" s="176"/>
      <c r="AW58" s="176"/>
      <c r="AX58" s="176"/>
      <c r="AY58" s="176"/>
      <c r="AZ58" s="176"/>
      <c r="BA58" s="176"/>
      <c r="BB58" s="176"/>
      <c r="BC58" s="176"/>
      <c r="BD58" s="176"/>
      <c r="BE58" s="176"/>
      <c r="BF58" s="176"/>
      <c r="BG58" s="176"/>
      <c r="BH58" s="176"/>
      <c r="BI58" s="176"/>
      <c r="BJ58" s="176"/>
      <c r="BK58" s="176"/>
      <c r="BL58" s="176"/>
      <c r="BM58" s="176"/>
      <c r="BN58" s="176"/>
      <c r="BO58" s="176"/>
      <c r="BP58" s="176"/>
      <c r="BQ58" s="176"/>
    </row>
    <row r="59" spans="1:69" s="36" customFormat="1" ht="11.25" customHeight="1" x14ac:dyDescent="0.2">
      <c r="A59" s="1050"/>
      <c r="B59" s="1196"/>
      <c r="C59" s="1196"/>
      <c r="D59" s="1214"/>
      <c r="E59" s="2380"/>
      <c r="F59" s="2381"/>
      <c r="G59" s="2380"/>
      <c r="H59" s="2406"/>
      <c r="I59" s="2381"/>
      <c r="J59" s="2380"/>
      <c r="K59" s="2381"/>
      <c r="L59" s="2380"/>
      <c r="M59" s="2406"/>
      <c r="N59" s="2381"/>
      <c r="S59" s="210">
        <f ca="1">Grunddaten!$AS$16</f>
        <v>2024</v>
      </c>
      <c r="T59" s="200">
        <f ca="1">S59+1</f>
        <v>2025</v>
      </c>
      <c r="U59" s="200">
        <f t="shared" ref="U59:BP59" ca="1" si="3">T59+1</f>
        <v>2026</v>
      </c>
      <c r="V59" s="200">
        <f t="shared" ca="1" si="3"/>
        <v>2027</v>
      </c>
      <c r="W59" s="200">
        <f t="shared" ca="1" si="3"/>
        <v>2028</v>
      </c>
      <c r="X59" s="200">
        <f t="shared" ca="1" si="3"/>
        <v>2029</v>
      </c>
      <c r="Y59" s="200">
        <f t="shared" ca="1" si="3"/>
        <v>2030</v>
      </c>
      <c r="Z59" s="200">
        <f t="shared" ca="1" si="3"/>
        <v>2031</v>
      </c>
      <c r="AA59" s="200">
        <f t="shared" ca="1" si="3"/>
        <v>2032</v>
      </c>
      <c r="AB59" s="200">
        <f t="shared" ca="1" si="3"/>
        <v>2033</v>
      </c>
      <c r="AC59" s="200">
        <f t="shared" ca="1" si="3"/>
        <v>2034</v>
      </c>
      <c r="AD59" s="200">
        <f t="shared" ca="1" si="3"/>
        <v>2035</v>
      </c>
      <c r="AE59" s="200">
        <f t="shared" ca="1" si="3"/>
        <v>2036</v>
      </c>
      <c r="AF59" s="200">
        <f t="shared" ca="1" si="3"/>
        <v>2037</v>
      </c>
      <c r="AG59" s="200">
        <f t="shared" ca="1" si="3"/>
        <v>2038</v>
      </c>
      <c r="AH59" s="200">
        <f t="shared" ca="1" si="3"/>
        <v>2039</v>
      </c>
      <c r="AI59" s="200">
        <f t="shared" ca="1" si="3"/>
        <v>2040</v>
      </c>
      <c r="AJ59" s="200">
        <f t="shared" ca="1" si="3"/>
        <v>2041</v>
      </c>
      <c r="AK59" s="200">
        <f t="shared" ca="1" si="3"/>
        <v>2042</v>
      </c>
      <c r="AL59" s="200">
        <f t="shared" ca="1" si="3"/>
        <v>2043</v>
      </c>
      <c r="AM59" s="200">
        <f t="shared" ca="1" si="3"/>
        <v>2044</v>
      </c>
      <c r="AN59" s="200">
        <f t="shared" ca="1" si="3"/>
        <v>2045</v>
      </c>
      <c r="AO59" s="200">
        <f t="shared" ca="1" si="3"/>
        <v>2046</v>
      </c>
      <c r="AP59" s="200">
        <f t="shared" ca="1" si="3"/>
        <v>2047</v>
      </c>
      <c r="AQ59" s="200">
        <f t="shared" ca="1" si="3"/>
        <v>2048</v>
      </c>
      <c r="AR59" s="200">
        <f t="shared" ca="1" si="3"/>
        <v>2049</v>
      </c>
      <c r="AS59" s="200">
        <f t="shared" ca="1" si="3"/>
        <v>2050</v>
      </c>
      <c r="AT59" s="200">
        <f t="shared" ca="1" si="3"/>
        <v>2051</v>
      </c>
      <c r="AU59" s="200">
        <f t="shared" ca="1" si="3"/>
        <v>2052</v>
      </c>
      <c r="AV59" s="200">
        <f t="shared" ca="1" si="3"/>
        <v>2053</v>
      </c>
      <c r="AW59" s="200">
        <f t="shared" ca="1" si="3"/>
        <v>2054</v>
      </c>
      <c r="AX59" s="200">
        <f t="shared" ca="1" si="3"/>
        <v>2055</v>
      </c>
      <c r="AY59" s="200">
        <f t="shared" ca="1" si="3"/>
        <v>2056</v>
      </c>
      <c r="AZ59" s="200">
        <f t="shared" ca="1" si="3"/>
        <v>2057</v>
      </c>
      <c r="BA59" s="200">
        <f t="shared" ca="1" si="3"/>
        <v>2058</v>
      </c>
      <c r="BB59" s="200">
        <f t="shared" ca="1" si="3"/>
        <v>2059</v>
      </c>
      <c r="BC59" s="200">
        <f t="shared" ca="1" si="3"/>
        <v>2060</v>
      </c>
      <c r="BD59" s="200">
        <f t="shared" ca="1" si="3"/>
        <v>2061</v>
      </c>
      <c r="BE59" s="200">
        <f t="shared" ca="1" si="3"/>
        <v>2062</v>
      </c>
      <c r="BF59" s="200">
        <f t="shared" ca="1" si="3"/>
        <v>2063</v>
      </c>
      <c r="BG59" s="200">
        <f t="shared" ca="1" si="3"/>
        <v>2064</v>
      </c>
      <c r="BH59" s="200">
        <f t="shared" ca="1" si="3"/>
        <v>2065</v>
      </c>
      <c r="BI59" s="200">
        <f t="shared" ca="1" si="3"/>
        <v>2066</v>
      </c>
      <c r="BJ59" s="200">
        <f t="shared" ca="1" si="3"/>
        <v>2067</v>
      </c>
      <c r="BK59" s="200">
        <f t="shared" ca="1" si="3"/>
        <v>2068</v>
      </c>
      <c r="BL59" s="200">
        <f t="shared" ca="1" si="3"/>
        <v>2069</v>
      </c>
      <c r="BM59" s="200">
        <f t="shared" ca="1" si="3"/>
        <v>2070</v>
      </c>
      <c r="BN59" s="200">
        <f t="shared" ca="1" si="3"/>
        <v>2071</v>
      </c>
      <c r="BO59" s="200">
        <f t="shared" ca="1" si="3"/>
        <v>2072</v>
      </c>
      <c r="BP59" s="200">
        <f t="shared" ca="1" si="3"/>
        <v>2073</v>
      </c>
      <c r="BQ59" s="205">
        <f ca="1">BP59+1</f>
        <v>2074</v>
      </c>
    </row>
    <row r="60" spans="1:69" s="36" customFormat="1" ht="11.25" customHeight="1" x14ac:dyDescent="0.2">
      <c r="A60" s="1053"/>
      <c r="B60" s="1215"/>
      <c r="C60" s="1215"/>
      <c r="D60" s="1216"/>
      <c r="E60" s="2551" t="s">
        <v>567</v>
      </c>
      <c r="F60" s="2552"/>
      <c r="G60" s="2551" t="s">
        <v>23</v>
      </c>
      <c r="H60" s="2553"/>
      <c r="I60" s="2552"/>
      <c r="J60" s="2551" t="s">
        <v>569</v>
      </c>
      <c r="K60" s="2552"/>
      <c r="L60" s="2551" t="s">
        <v>567</v>
      </c>
      <c r="M60" s="2553"/>
      <c r="N60" s="2552"/>
      <c r="S60" s="640"/>
      <c r="T60" s="300"/>
      <c r="U60" s="300"/>
      <c r="V60" s="300"/>
      <c r="W60" s="300"/>
      <c r="X60" s="300"/>
      <c r="Y60" s="300"/>
      <c r="Z60" s="300"/>
      <c r="AA60" s="300"/>
      <c r="AB60" s="300"/>
      <c r="AC60" s="300"/>
      <c r="AD60" s="300"/>
      <c r="AE60" s="300"/>
      <c r="AF60" s="300"/>
      <c r="AG60" s="300"/>
      <c r="AH60" s="300"/>
      <c r="AI60" s="300"/>
      <c r="AJ60" s="300"/>
      <c r="AK60" s="300"/>
      <c r="AL60" s="300"/>
      <c r="AM60" s="300"/>
      <c r="AN60" s="300"/>
      <c r="AO60" s="300"/>
      <c r="AP60" s="300"/>
      <c r="AQ60" s="300"/>
      <c r="AR60" s="300"/>
      <c r="AS60" s="300"/>
      <c r="AT60" s="300"/>
      <c r="AU60" s="300"/>
      <c r="AV60" s="300"/>
      <c r="AW60" s="300"/>
      <c r="AX60" s="300"/>
      <c r="AY60" s="300"/>
      <c r="AZ60" s="300"/>
      <c r="BA60" s="300"/>
      <c r="BB60" s="300"/>
      <c r="BC60" s="300"/>
      <c r="BD60" s="300"/>
      <c r="BE60" s="300"/>
      <c r="BF60" s="300"/>
      <c r="BG60" s="300"/>
      <c r="BH60" s="300"/>
      <c r="BI60" s="300"/>
      <c r="BJ60" s="300"/>
      <c r="BK60" s="300"/>
      <c r="BL60" s="300"/>
      <c r="BM60" s="300"/>
      <c r="BN60" s="300"/>
      <c r="BO60" s="300"/>
      <c r="BP60" s="300"/>
      <c r="BQ60" s="641"/>
    </row>
    <row r="61" spans="1:69" s="36" customFormat="1" ht="11.25" customHeight="1" x14ac:dyDescent="0.2">
      <c r="A61" s="1005" t="s">
        <v>24</v>
      </c>
      <c r="B61" s="1006" t="str">
        <f>Projektdaten!H20</f>
        <v>Stadt Zürich - Verwaltungsmix</v>
      </c>
      <c r="C61" s="1006"/>
      <c r="D61" s="1006"/>
      <c r="E61" s="2397">
        <f xml:space="preserve"> VLOOKUP(Projektdaten!H20,Grunddaten!C17:AI44,33,FALSE) * EV_Var1!I68</f>
        <v>0</v>
      </c>
      <c r="F61" s="2398"/>
      <c r="G61" s="2402" t="s">
        <v>25</v>
      </c>
      <c r="H61" s="2403"/>
      <c r="I61" s="2404"/>
      <c r="J61" s="2402" t="s">
        <v>26</v>
      </c>
      <c r="K61" s="2404"/>
      <c r="L61" s="2402" t="s">
        <v>26</v>
      </c>
      <c r="M61" s="2403"/>
      <c r="N61" s="2404"/>
      <c r="S61" s="201"/>
      <c r="T61" s="202"/>
      <c r="U61" s="202"/>
      <c r="V61" s="202"/>
      <c r="W61" s="202"/>
      <c r="X61" s="202"/>
      <c r="Y61" s="202"/>
      <c r="Z61" s="202"/>
      <c r="AA61" s="202"/>
      <c r="AB61" s="202"/>
      <c r="AC61" s="202"/>
      <c r="AD61" s="202"/>
      <c r="AE61" s="202"/>
      <c r="AF61" s="202"/>
      <c r="AG61" s="202"/>
      <c r="AH61" s="202"/>
      <c r="AI61" s="202"/>
      <c r="AJ61" s="202"/>
      <c r="AK61" s="202"/>
      <c r="AL61" s="202"/>
      <c r="AM61" s="202"/>
      <c r="AN61" s="202"/>
      <c r="AO61" s="202"/>
      <c r="AP61" s="202"/>
      <c r="AQ61" s="202"/>
      <c r="AR61" s="202"/>
      <c r="AS61" s="202"/>
      <c r="AT61" s="202"/>
      <c r="AU61" s="202"/>
      <c r="AV61" s="202"/>
      <c r="AW61" s="202"/>
      <c r="AX61" s="202"/>
      <c r="AY61" s="202"/>
      <c r="AZ61" s="202"/>
      <c r="BA61" s="202"/>
      <c r="BB61" s="202"/>
      <c r="BC61" s="202"/>
      <c r="BD61" s="202"/>
      <c r="BE61" s="202"/>
      <c r="BF61" s="202"/>
      <c r="BG61" s="202"/>
      <c r="BH61" s="202"/>
      <c r="BI61" s="202"/>
      <c r="BJ61" s="202"/>
      <c r="BK61" s="202"/>
      <c r="BL61" s="202"/>
      <c r="BM61" s="202"/>
      <c r="BN61" s="202"/>
      <c r="BO61" s="202"/>
      <c r="BP61" s="202"/>
      <c r="BQ61" s="203"/>
    </row>
    <row r="62" spans="1:69" s="36" customFormat="1" ht="11.25" customHeight="1" x14ac:dyDescent="0.2">
      <c r="A62" s="1007" t="s">
        <v>41</v>
      </c>
      <c r="B62" s="1004"/>
      <c r="C62" s="2423">
        <v>0.7</v>
      </c>
      <c r="D62" s="2423"/>
      <c r="E62" s="2400">
        <f>IF(G62,E$61*G62/SUM(G$62:G$65),0)</f>
        <v>0</v>
      </c>
      <c r="F62" s="2401"/>
      <c r="G62" s="2544">
        <f>IF(EV_Var1!$E$68&gt;0,IF(EV_Var1!$E$68&gt;=(EV_Var1!$E$34 + EV_Var1!$E$38),EV_Var1!$E$68-(EV_Var1!$E$34 + EV_Var1!$E$38),0),EV_Var1!$E$68)*C62</f>
        <v>0</v>
      </c>
      <c r="H62" s="2545"/>
      <c r="I62" s="2546"/>
      <c r="J62" s="2388">
        <f ca="1">OFFSET(Grunddaten!$AJ$17,El_Produkt,0)-(1-$R$109)*OFFSET(Grunddaten!$Q$17,El_Produkt,0)</f>
        <v>26.638089320000002</v>
      </c>
      <c r="K62" s="2389"/>
      <c r="L62" s="2319">
        <f ca="1">ROUND(E62+G62*J62/100,-1)</f>
        <v>0</v>
      </c>
      <c r="M62" s="2320"/>
      <c r="N62" s="2321"/>
      <c r="S62" s="206">
        <f ca="1">IF($G62=0,0,ROUND(OFFSET(Grunddaten!AS17,El_Produkt,0)*((OFFSET(Grunddaten!$AJ$17,El_Produkt,0)-OFFSET(Grunddaten!$Q$17,El_Produkt,0))/100*$G62+$E62),-1))</f>
        <v>0</v>
      </c>
      <c r="T62" s="207">
        <f ca="1">IF($G62=0,0,ROUND(OFFSET(Grunddaten!AT17,El_Produkt,0)*((OFFSET(Grunddaten!$AJ$17,El_Produkt,0)-OFFSET(Grunddaten!$Q$17,El_Produkt,0))/100*$G62+$E62),-1))</f>
        <v>0</v>
      </c>
      <c r="U62" s="207">
        <f ca="1">IF($G62=0,0,ROUND(OFFSET(Grunddaten!AU17,El_Produkt,0)*((OFFSET(Grunddaten!$AJ$17,El_Produkt,0)-OFFSET(Grunddaten!$Q$17,El_Produkt,0))/100*$G62+$E62),-1))</f>
        <v>0</v>
      </c>
      <c r="V62" s="207">
        <f ca="1">IF($G62=0,0,ROUND(OFFSET(Grunddaten!AV17,El_Produkt,0)*((OFFSET(Grunddaten!$AJ$17,El_Produkt,0)-OFFSET(Grunddaten!$Q$17,El_Produkt,0))/100*$G62+$E62),-1))</f>
        <v>0</v>
      </c>
      <c r="W62" s="207">
        <f ca="1">IF($G62=0,0,ROUND(OFFSET(Grunddaten!AW17,El_Produkt,0)*((OFFSET(Grunddaten!$AJ$17,El_Produkt,0)-OFFSET(Grunddaten!$Q$17,El_Produkt,0))/100*$G62+$E62),-1))</f>
        <v>0</v>
      </c>
      <c r="X62" s="207">
        <f ca="1">IF($G62=0,0,ROUND(OFFSET(Grunddaten!AX17,El_Produkt,0)*((OFFSET(Grunddaten!$AJ$17,El_Produkt,0)-OFFSET(Grunddaten!$Q$17,El_Produkt,0))/100*$G62+$E62),-1))</f>
        <v>0</v>
      </c>
      <c r="Y62" s="207">
        <f ca="1">IF($G62=0,0,ROUND(OFFSET(Grunddaten!AY17,El_Produkt,0)*((OFFSET(Grunddaten!$AJ$17,El_Produkt,0)-OFFSET(Grunddaten!$Q$17,El_Produkt,0))/100*$G62+$E62),-1))</f>
        <v>0</v>
      </c>
      <c r="Z62" s="207">
        <f ca="1">IF($G62=0,0,ROUND(OFFSET(Grunddaten!AZ17,El_Produkt,0)*((OFFSET(Grunddaten!$AJ$17,El_Produkt,0)-OFFSET(Grunddaten!$Q$17,El_Produkt,0))/100*$G62+$E62),-1))</f>
        <v>0</v>
      </c>
      <c r="AA62" s="207">
        <f ca="1">IF($G62=0,0,ROUND(OFFSET(Grunddaten!BA17,El_Produkt,0)*((OFFSET(Grunddaten!$AJ$17,El_Produkt,0)-OFFSET(Grunddaten!$Q$17,El_Produkt,0))/100*$G62+$E62),-1))</f>
        <v>0</v>
      </c>
      <c r="AB62" s="246">
        <f ca="1">IF($G62=0,0,ROUND(OFFSET(Grunddaten!BB17,El_Produkt,0)*((OFFSET(Grunddaten!$AJ$17,El_Produkt,0)-OFFSET(Grunddaten!$Q$17,El_Produkt,0))/100*$G62+$E62),-1))</f>
        <v>0</v>
      </c>
      <c r="AC62" s="246">
        <f ca="1">IF($G62=0,0,ROUND(OFFSET(Grunddaten!BC17,El_Produkt,0)*((OFFSET(Grunddaten!$AJ$17,El_Produkt,0)-OFFSET(Grunddaten!$Q$17,El_Produkt,0))/100*$G62+$E62),-1))</f>
        <v>0</v>
      </c>
      <c r="AD62" s="246">
        <f ca="1">IF($G62=0,0,ROUND(OFFSET(Grunddaten!BD17,El_Produkt,0)*((OFFSET(Grunddaten!$AJ$17,El_Produkt,0)-OFFSET(Grunddaten!$Q$17,El_Produkt,0))/100*$G62+$E62),-1))</f>
        <v>0</v>
      </c>
      <c r="AE62" s="246">
        <f ca="1">IF($G62=0,0,ROUND(OFFSET(Grunddaten!BE17,El_Produkt,0)*((OFFSET(Grunddaten!$AJ$17,El_Produkt,0)-OFFSET(Grunddaten!$Q$17,El_Produkt,0))/100*$G62+$E62),-1))</f>
        <v>0</v>
      </c>
      <c r="AF62" s="246">
        <f ca="1">IF($G62=0,0,ROUND(OFFSET(Grunddaten!BF17,El_Produkt,0)*((OFFSET(Grunddaten!$AJ$17,El_Produkt,0)-OFFSET(Grunddaten!$Q$17,El_Produkt,0))/100*$G62+$E62),-1))</f>
        <v>0</v>
      </c>
      <c r="AG62" s="246">
        <f ca="1">IF($G62=0,0,ROUND(OFFSET(Grunddaten!BG17,El_Produkt,0)*((OFFSET(Grunddaten!$AJ$17,El_Produkt,0)-OFFSET(Grunddaten!$Q$17,El_Produkt,0))/100*$G62+$E62),-1))</f>
        <v>0</v>
      </c>
      <c r="AH62" s="247">
        <f ca="1">IF($G62=0,0,ROUND(OFFSET(Grunddaten!BH17,El_Produkt,0)*((OFFSET(Grunddaten!$AJ$17,El_Produkt,0)-OFFSET(Grunddaten!$Q$17,El_Produkt,0))/100*$G62+$E62),-1))</f>
        <v>0</v>
      </c>
      <c r="AI62" s="247">
        <f ca="1">IF($G62=0,0,ROUND(OFFSET(Grunddaten!BI17,El_Produkt,0)*((OFFSET(Grunddaten!$AJ$17,El_Produkt,0)-OFFSET(Grunddaten!$Q$17,El_Produkt,0))/100*$G62+$E62),-1))</f>
        <v>0</v>
      </c>
      <c r="AJ62" s="247">
        <f ca="1">IF($G62=0,0,ROUND(OFFSET(Grunddaten!BJ17,El_Produkt,0)*((OFFSET(Grunddaten!$AJ$17,El_Produkt,0)-OFFSET(Grunddaten!$Q$17,El_Produkt,0))/100*$G62+$E62),-1))</f>
        <v>0</v>
      </c>
      <c r="AK62" s="247">
        <f ca="1">IF($G62=0,0,ROUND(OFFSET(Grunddaten!BK17,El_Produkt,0)*((OFFSET(Grunddaten!$AJ$17,El_Produkt,0)-OFFSET(Grunddaten!$Q$17,El_Produkt,0))/100*$G62+$E62),-1))</f>
        <v>0</v>
      </c>
      <c r="AL62" s="247">
        <f ca="1">IF($G62=0,0,ROUND(OFFSET(Grunddaten!BL17,El_Produkt,0)*((OFFSET(Grunddaten!$AJ$17,El_Produkt,0)-OFFSET(Grunddaten!$Q$17,El_Produkt,0))/100*$G62+$E62),-1))</f>
        <v>0</v>
      </c>
      <c r="AM62" s="247">
        <f ca="1">IF($G62=0,0,ROUND(OFFSET(Grunddaten!BM17,El_Produkt,0)*((OFFSET(Grunddaten!$AJ$17,El_Produkt,0)-OFFSET(Grunddaten!$Q$17,El_Produkt,0))/100*$G62+$E62),-1))</f>
        <v>0</v>
      </c>
      <c r="AN62" s="247">
        <f ca="1">IF($G62=0,0,ROUND(OFFSET(Grunddaten!BN17,El_Produkt,0)*((OFFSET(Grunddaten!$AJ$17,El_Produkt,0)-OFFSET(Grunddaten!$Q$17,El_Produkt,0))/100*$G62+$E62),-1))</f>
        <v>0</v>
      </c>
      <c r="AO62" s="247">
        <f ca="1">IF($G62=0,0,ROUND(OFFSET(Grunddaten!BO17,El_Produkt,0)*((OFFSET(Grunddaten!$AJ$17,El_Produkt,0)-OFFSET(Grunddaten!$Q$17,El_Produkt,0))/100*$G62+$E62),-1))</f>
        <v>0</v>
      </c>
      <c r="AP62" s="247">
        <f ca="1">IF($G62=0,0,ROUND(OFFSET(Grunddaten!BP17,El_Produkt,0)*((OFFSET(Grunddaten!$AJ$17,El_Produkt,0)-OFFSET(Grunddaten!$Q$17,El_Produkt,0))/100*$G62+$E62),-1))</f>
        <v>0</v>
      </c>
      <c r="AQ62" s="247">
        <f ca="1">IF($G62=0,0,ROUND(OFFSET(Grunddaten!BQ17,El_Produkt,0)*((OFFSET(Grunddaten!$AJ$17,El_Produkt,0)-OFFSET(Grunddaten!$Q$17,El_Produkt,0))/100*$G62+$E62),-1))</f>
        <v>0</v>
      </c>
      <c r="AR62" s="247">
        <f ca="1">IF($G62=0,0,ROUND(OFFSET(Grunddaten!BR17,El_Produkt,0)*((OFFSET(Grunddaten!$AJ$17,El_Produkt,0)-OFFSET(Grunddaten!$Q$17,El_Produkt,0))/100*$G62+$E62),-1))</f>
        <v>0</v>
      </c>
      <c r="AS62" s="247">
        <f ca="1">IF($G62=0,0,ROUND(OFFSET(Grunddaten!BS17,El_Produkt,0)*((OFFSET(Grunddaten!$AJ$17,El_Produkt,0)-OFFSET(Grunddaten!$Q$17,El_Produkt,0))/100*$G62+$E62),-1))</f>
        <v>0</v>
      </c>
      <c r="AT62" s="247">
        <f ca="1">IF($G62=0,0,ROUND(OFFSET(Grunddaten!BT17,El_Produkt,0)*((OFFSET(Grunddaten!$AJ$17,El_Produkt,0)-OFFSET(Grunddaten!$Q$17,El_Produkt,0))/100*$G62+$E62),-1))</f>
        <v>0</v>
      </c>
      <c r="AU62" s="247">
        <f ca="1">IF($G62=0,0,ROUND(OFFSET(Grunddaten!BU17,El_Produkt,0)*((OFFSET(Grunddaten!$AJ$17,El_Produkt,0)-OFFSET(Grunddaten!$Q$17,El_Produkt,0))/100*$G62+$E62),-1))</f>
        <v>0</v>
      </c>
      <c r="AV62" s="247">
        <f ca="1">IF($G62=0,0,ROUND(OFFSET(Grunddaten!BV17,El_Produkt,0)*((OFFSET(Grunddaten!$AJ$17,El_Produkt,0)-OFFSET(Grunddaten!$Q$17,El_Produkt,0))/100*$G62+$E62),-1))</f>
        <v>0</v>
      </c>
      <c r="AW62" s="247">
        <f ca="1">IF($G62=0,0,ROUND(OFFSET(Grunddaten!BW17,El_Produkt,0)*((OFFSET(Grunddaten!$AJ$17,El_Produkt,0)-OFFSET(Grunddaten!$Q$17,El_Produkt,0))/100*$G62+$E62),-1))</f>
        <v>0</v>
      </c>
      <c r="AX62" s="247">
        <f ca="1">IF($G62=0,0,ROUND(OFFSET(Grunddaten!BX17,El_Produkt,0)*((OFFSET(Grunddaten!$AJ$17,El_Produkt,0)-OFFSET(Grunddaten!$Q$17,El_Produkt,0))/100*$G62+$E62),-1))</f>
        <v>0</v>
      </c>
      <c r="AY62" s="247">
        <f ca="1">IF($G62=0,0,ROUND(OFFSET(Grunddaten!BY17,El_Produkt,0)*((OFFSET(Grunddaten!$AJ$17,El_Produkt,0)-OFFSET(Grunddaten!$Q$17,El_Produkt,0))/100*$G62+$E62),-1))</f>
        <v>0</v>
      </c>
      <c r="AZ62" s="247">
        <f ca="1">IF($G62=0,0,ROUND(OFFSET(Grunddaten!BZ17,El_Produkt,0)*((OFFSET(Grunddaten!$AJ$17,El_Produkt,0)-OFFSET(Grunddaten!$Q$17,El_Produkt,0))/100*$G62+$E62),-1))</f>
        <v>0</v>
      </c>
      <c r="BA62" s="247">
        <f ca="1">IF($G62=0,0,ROUND(OFFSET(Grunddaten!CA17,El_Produkt,0)*((OFFSET(Grunddaten!$AJ$17,El_Produkt,0)-OFFSET(Grunddaten!$Q$17,El_Produkt,0))/100*$G62+$E62),-1))</f>
        <v>0</v>
      </c>
      <c r="BB62" s="247">
        <f ca="1">IF($G62=0,0,ROUND(OFFSET(Grunddaten!CB17,El_Produkt,0)*((OFFSET(Grunddaten!$AJ$17,El_Produkt,0)-OFFSET(Grunddaten!$Q$17,El_Produkt,0))/100*$G62+$E62),-1))</f>
        <v>0</v>
      </c>
      <c r="BC62" s="247">
        <f ca="1">IF($G62=0,0,ROUND(OFFSET(Grunddaten!CC17,El_Produkt,0)*((OFFSET(Grunddaten!$AJ$17,El_Produkt,0)-OFFSET(Grunddaten!$Q$17,El_Produkt,0))/100*$G62+$E62),-1))</f>
        <v>0</v>
      </c>
      <c r="BD62" s="247">
        <f ca="1">IF($G62=0,0,ROUND(OFFSET(Grunddaten!CD17,El_Produkt,0)*((OFFSET(Grunddaten!$AJ$17,El_Produkt,0)-OFFSET(Grunddaten!$Q$17,El_Produkt,0))/100*$G62+$E62),-1))</f>
        <v>0</v>
      </c>
      <c r="BE62" s="247">
        <f ca="1">IF($G62=0,0,ROUND(OFFSET(Grunddaten!CE17,El_Produkt,0)*((OFFSET(Grunddaten!$AJ$17,El_Produkt,0)-OFFSET(Grunddaten!$Q$17,El_Produkt,0))/100*$G62+$E62),-1))</f>
        <v>0</v>
      </c>
      <c r="BF62" s="247">
        <f ca="1">IF($G62=0,0,ROUND(OFFSET(Grunddaten!CF17,El_Produkt,0)*((OFFSET(Grunddaten!$AJ$17,El_Produkt,0)-OFFSET(Grunddaten!$Q$17,El_Produkt,0))/100*$G62+$E62),-1))</f>
        <v>0</v>
      </c>
      <c r="BG62" s="247">
        <f ca="1">IF($G62=0,0,ROUND(OFFSET(Grunddaten!CG17,El_Produkt,0)*((OFFSET(Grunddaten!$AJ$17,El_Produkt,0)-OFFSET(Grunddaten!$Q$17,El_Produkt,0))/100*$G62+$E62),-1))</f>
        <v>0</v>
      </c>
      <c r="BH62" s="247">
        <f ca="1">IF($G62=0,0,ROUND(OFFSET(Grunddaten!CH17,El_Produkt,0)*((OFFSET(Grunddaten!$AJ$17,El_Produkt,0)-OFFSET(Grunddaten!$Q$17,El_Produkt,0))/100*$G62+$E62),-1))</f>
        <v>0</v>
      </c>
      <c r="BI62" s="247">
        <f ca="1">IF($G62=0,0,ROUND(OFFSET(Grunddaten!CI17,El_Produkt,0)*((OFFSET(Grunddaten!$AJ$17,El_Produkt,0)-OFFSET(Grunddaten!$Q$17,El_Produkt,0))/100*$G62+$E62),-1))</f>
        <v>0</v>
      </c>
      <c r="BJ62" s="247">
        <f ca="1">IF($G62=0,0,ROUND(OFFSET(Grunddaten!CJ17,El_Produkt,0)*((OFFSET(Grunddaten!$AJ$17,El_Produkt,0)-OFFSET(Grunddaten!$Q$17,El_Produkt,0))/100*$G62+$E62),-1))</f>
        <v>0</v>
      </c>
      <c r="BK62" s="247">
        <f ca="1">IF($G62=0,0,ROUND(OFFSET(Grunddaten!CK17,El_Produkt,0)*((OFFSET(Grunddaten!$AJ$17,El_Produkt,0)-OFFSET(Grunddaten!$Q$17,El_Produkt,0))/100*$G62+$E62),-1))</f>
        <v>0</v>
      </c>
      <c r="BL62" s="247">
        <f ca="1">IF($G62=0,0,ROUND(OFFSET(Grunddaten!CL17,El_Produkt,0)*((OFFSET(Grunddaten!$AJ$17,El_Produkt,0)-OFFSET(Grunddaten!$Q$17,El_Produkt,0))/100*$G62+$E62),-1))</f>
        <v>0</v>
      </c>
      <c r="BM62" s="247">
        <f ca="1">IF($G62=0,0,ROUND(OFFSET(Grunddaten!CM17,El_Produkt,0)*((OFFSET(Grunddaten!$AJ$17,El_Produkt,0)-OFFSET(Grunddaten!$Q$17,El_Produkt,0))/100*$G62+$E62),-1))</f>
        <v>0</v>
      </c>
      <c r="BN62" s="247">
        <f ca="1">IF($G62=0,0,ROUND(OFFSET(Grunddaten!CN17,El_Produkt,0)*((OFFSET(Grunddaten!$AJ$17,El_Produkt,0)-OFFSET(Grunddaten!$Q$17,El_Produkt,0))/100*$G62+$E62),-1))</f>
        <v>0</v>
      </c>
      <c r="BO62" s="247">
        <f ca="1">IF($G62=0,0,ROUND(OFFSET(Grunddaten!CO17,El_Produkt,0)*((OFFSET(Grunddaten!$AJ$17,El_Produkt,0)-OFFSET(Grunddaten!$Q$17,El_Produkt,0))/100*$G62+$E62),-1))</f>
        <v>0</v>
      </c>
      <c r="BP62" s="247">
        <f ca="1">IF($G62=0,0,ROUND(OFFSET(Grunddaten!CP17,El_Produkt,0)*((OFFSET(Grunddaten!$AJ$17,El_Produkt,0)-OFFSET(Grunddaten!$Q$17,El_Produkt,0))/100*$G62+$E62),-1))</f>
        <v>0</v>
      </c>
      <c r="BQ62" s="248">
        <f ca="1">IF($G62=0,0,ROUND(OFFSET(Grunddaten!CQ17,El_Produkt,0)*((OFFSET(Grunddaten!$AJ$17,El_Produkt,0)-OFFSET(Grunddaten!$Q$17,El_Produkt,0))/100*$G62+$E62),-1))</f>
        <v>0</v>
      </c>
    </row>
    <row r="63" spans="1:69" s="36" customFormat="1" ht="11.25" customHeight="1" x14ac:dyDescent="0.2">
      <c r="A63" s="1008" t="s">
        <v>42</v>
      </c>
      <c r="B63" s="1009"/>
      <c r="C63" s="2524">
        <f>1-C62</f>
        <v>0.30000000000000004</v>
      </c>
      <c r="D63" s="2524"/>
      <c r="E63" s="2397">
        <f>IF(G63,E$61*G63/SUM(G$62:G$65),0)</f>
        <v>0</v>
      </c>
      <c r="F63" s="2398"/>
      <c r="G63" s="2392">
        <f>IF(EV_Var1!$E$68&gt;0,IF(EV_Var1!$E$68&gt;=(EV_Var1!$E$34 + EV_Var1!$E$38),EV_Var1!$E$68-(EV_Var1!$E$34 + EV_Var1!$E$38),0),EV_Var1!$E$68)*C63</f>
        <v>0</v>
      </c>
      <c r="H63" s="2393"/>
      <c r="I63" s="2394"/>
      <c r="J63" s="2390">
        <f ca="1">OFFSET(Grunddaten!$AK17,El_Produkt,0)-(1-$R$109)*OFFSET(Grunddaten!$Q$17,El_Produkt,0)</f>
        <v>17.706284570000001</v>
      </c>
      <c r="K63" s="2391"/>
      <c r="L63" s="2424">
        <f ca="1">ROUND(E63+G63*J63/100,-1)</f>
        <v>0</v>
      </c>
      <c r="M63" s="2425"/>
      <c r="N63" s="2426"/>
      <c r="S63" s="208">
        <f ca="1">IF($G63=0,0,ROUND(OFFSET(Grunddaten!AS17,El_Produkt,0)*((OFFSET(Grunddaten!$AK$17,El_Produkt,0)-OFFSET(Grunddaten!$Q$17,El_Produkt,0))/100*$G63+$E63),-1))</f>
        <v>0</v>
      </c>
      <c r="T63" s="209">
        <f ca="1">IF($G63=0,0,ROUND(OFFSET(Grunddaten!AT17,El_Produkt,0)*((OFFSET(Grunddaten!$AK$17,El_Produkt,0)-OFFSET(Grunddaten!$Q$17,El_Produkt,0))/100*$G63+$E63),-1))</f>
        <v>0</v>
      </c>
      <c r="U63" s="209">
        <f ca="1">IF($G63=0,0,ROUND(OFFSET(Grunddaten!AU17,El_Produkt,0)*((OFFSET(Grunddaten!$AK$17,El_Produkt,0)-OFFSET(Grunddaten!$Q$17,El_Produkt,0))/100*$G63+$E63),-1))</f>
        <v>0</v>
      </c>
      <c r="V63" s="209">
        <f ca="1">IF($G63=0,0,ROUND(OFFSET(Grunddaten!AV17,El_Produkt,0)*((OFFSET(Grunddaten!$AK$17,El_Produkt,0)-OFFSET(Grunddaten!$Q$17,El_Produkt,0))/100*$G63+$E63),-1))</f>
        <v>0</v>
      </c>
      <c r="W63" s="209">
        <f ca="1">IF($G63=0,0,ROUND(OFFSET(Grunddaten!AW17,El_Produkt,0)*((OFFSET(Grunddaten!$AK$17,El_Produkt,0)-OFFSET(Grunddaten!$Q$17,El_Produkt,0))/100*$G63+$E63),-1))</f>
        <v>0</v>
      </c>
      <c r="X63" s="209">
        <f ca="1">IF($G63=0,0,ROUND(OFFSET(Grunddaten!AX17,El_Produkt,0)*((OFFSET(Grunddaten!$AK$17,El_Produkt,0)-OFFSET(Grunddaten!$Q$17,El_Produkt,0))/100*$G63+$E63),-1))</f>
        <v>0</v>
      </c>
      <c r="Y63" s="209">
        <f ca="1">IF($G63=0,0,ROUND(OFFSET(Grunddaten!AY17,El_Produkt,0)*((OFFSET(Grunddaten!$AK$17,El_Produkt,0)-OFFSET(Grunddaten!$Q$17,El_Produkt,0))/100*$G63+$E63),-1))</f>
        <v>0</v>
      </c>
      <c r="Z63" s="209">
        <f ca="1">IF($G63=0,0,ROUND(OFFSET(Grunddaten!AZ17,El_Produkt,0)*((OFFSET(Grunddaten!$AK$17,El_Produkt,0)-OFFSET(Grunddaten!$Q$17,El_Produkt,0))/100*$G63+$E63),-1))</f>
        <v>0</v>
      </c>
      <c r="AA63" s="209">
        <f ca="1">IF($G63=0,0,ROUND(OFFSET(Grunddaten!BA17,El_Produkt,0)*((OFFSET(Grunddaten!$AK$17,El_Produkt,0)-OFFSET(Grunddaten!$Q$17,El_Produkt,0))/100*$G63+$E63),-1))</f>
        <v>0</v>
      </c>
      <c r="AB63" s="249">
        <f ca="1">IF($G63=0,0,ROUND(OFFSET(Grunddaten!BB17,El_Produkt,0)*((OFFSET(Grunddaten!$AK$17,El_Produkt,0)-OFFSET(Grunddaten!$Q$17,El_Produkt,0))/100*$G63+$E63),-1))</f>
        <v>0</v>
      </c>
      <c r="AC63" s="249">
        <f ca="1">IF($G63=0,0,ROUND(OFFSET(Grunddaten!BC17,El_Produkt,0)*((OFFSET(Grunddaten!$AK$17,El_Produkt,0)-OFFSET(Grunddaten!$Q$17,El_Produkt,0))/100*$G63+$E63),-1))</f>
        <v>0</v>
      </c>
      <c r="AD63" s="249">
        <f ca="1">IF($G63=0,0,ROUND(OFFSET(Grunddaten!BD17,El_Produkt,0)*((OFFSET(Grunddaten!$AK$17,El_Produkt,0)-OFFSET(Grunddaten!$Q$17,El_Produkt,0))/100*$G63+$E63),-1))</f>
        <v>0</v>
      </c>
      <c r="AE63" s="249">
        <f ca="1">IF($G63=0,0,ROUND(OFFSET(Grunddaten!BE17,El_Produkt,0)*((OFFSET(Grunddaten!$AK$17,El_Produkt,0)-OFFSET(Grunddaten!$Q$17,El_Produkt,0))/100*$G63+$E63),-1))</f>
        <v>0</v>
      </c>
      <c r="AF63" s="249">
        <f ca="1">IF($G63=0,0,ROUND(OFFSET(Grunddaten!BF17,El_Produkt,0)*((OFFSET(Grunddaten!$AK$17,El_Produkt,0)-OFFSET(Grunddaten!$Q$17,El_Produkt,0))/100*$G63+$E63),-1))</f>
        <v>0</v>
      </c>
      <c r="AG63" s="249">
        <f ca="1">IF($G63=0,0,ROUND(OFFSET(Grunddaten!BG17,El_Produkt,0)*((OFFSET(Grunddaten!$AK$17,El_Produkt,0)-OFFSET(Grunddaten!$Q$17,El_Produkt,0))/100*$G63+$E63),-1))</f>
        <v>0</v>
      </c>
      <c r="AH63" s="250">
        <f ca="1">IF($G63=0,0,ROUND(OFFSET(Grunddaten!BH17,El_Produkt,0)*((OFFSET(Grunddaten!$AK$17,El_Produkt,0)-OFFSET(Grunddaten!$Q$17,El_Produkt,0))/100*$G63+$E63),-1))</f>
        <v>0</v>
      </c>
      <c r="AI63" s="250">
        <f ca="1">IF($G63=0,0,ROUND(OFFSET(Grunddaten!BI17,El_Produkt,0)*((OFFSET(Grunddaten!$AK$17,El_Produkt,0)-OFFSET(Grunddaten!$Q$17,El_Produkt,0))/100*$G63+$E63),-1))</f>
        <v>0</v>
      </c>
      <c r="AJ63" s="250">
        <f ca="1">IF($G63=0,0,ROUND(OFFSET(Grunddaten!BJ17,El_Produkt,0)*((OFFSET(Grunddaten!$AK$17,El_Produkt,0)-OFFSET(Grunddaten!$Q$17,El_Produkt,0))/100*$G63+$E63),-1))</f>
        <v>0</v>
      </c>
      <c r="AK63" s="250">
        <f ca="1">IF($G63=0,0,ROUND(OFFSET(Grunddaten!BK17,El_Produkt,0)*((OFFSET(Grunddaten!$AK$17,El_Produkt,0)-OFFSET(Grunddaten!$Q$17,El_Produkt,0))/100*$G63+$E63),-1))</f>
        <v>0</v>
      </c>
      <c r="AL63" s="250">
        <f ca="1">IF($G63=0,0,ROUND(OFFSET(Grunddaten!BL17,El_Produkt,0)*((OFFSET(Grunddaten!$AK$17,El_Produkt,0)-OFFSET(Grunddaten!$Q$17,El_Produkt,0))/100*$G63+$E63),-1))</f>
        <v>0</v>
      </c>
      <c r="AM63" s="250">
        <f ca="1">IF($G63=0,0,ROUND(OFFSET(Grunddaten!BM17,El_Produkt,0)*((OFFSET(Grunddaten!$AK$17,El_Produkt,0)-OFFSET(Grunddaten!$Q$17,El_Produkt,0))/100*$G63+$E63),-1))</f>
        <v>0</v>
      </c>
      <c r="AN63" s="250">
        <f ca="1">IF($G63=0,0,ROUND(OFFSET(Grunddaten!BN17,El_Produkt,0)*((OFFSET(Grunddaten!$AK$17,El_Produkt,0)-OFFSET(Grunddaten!$Q$17,El_Produkt,0))/100*$G63+$E63),-1))</f>
        <v>0</v>
      </c>
      <c r="AO63" s="250">
        <f ca="1">IF($G63=0,0,ROUND(OFFSET(Grunddaten!BO17,El_Produkt,0)*((OFFSET(Grunddaten!$AK$17,El_Produkt,0)-OFFSET(Grunddaten!$Q$17,El_Produkt,0))/100*$G63+$E63),-1))</f>
        <v>0</v>
      </c>
      <c r="AP63" s="250">
        <f ca="1">IF($G63=0,0,ROUND(OFFSET(Grunddaten!BP17,El_Produkt,0)*((OFFSET(Grunddaten!$AK$17,El_Produkt,0)-OFFSET(Grunddaten!$Q$17,El_Produkt,0))/100*$G63+$E63),-1))</f>
        <v>0</v>
      </c>
      <c r="AQ63" s="250">
        <f ca="1">IF($G63=0,0,ROUND(OFFSET(Grunddaten!BQ17,El_Produkt,0)*((OFFSET(Grunddaten!$AK$17,El_Produkt,0)-OFFSET(Grunddaten!$Q$17,El_Produkt,0))/100*$G63+$E63),-1))</f>
        <v>0</v>
      </c>
      <c r="AR63" s="250">
        <f ca="1">IF($G63=0,0,ROUND(OFFSET(Grunddaten!BR17,El_Produkt,0)*((OFFSET(Grunddaten!$AK$17,El_Produkt,0)-OFFSET(Grunddaten!$Q$17,El_Produkt,0))/100*$G63+$E63),-1))</f>
        <v>0</v>
      </c>
      <c r="AS63" s="250">
        <f ca="1">IF($G63=0,0,ROUND(OFFSET(Grunddaten!BS17,El_Produkt,0)*((OFFSET(Grunddaten!$AK$17,El_Produkt,0)-OFFSET(Grunddaten!$Q$17,El_Produkt,0))/100*$G63+$E63),-1))</f>
        <v>0</v>
      </c>
      <c r="AT63" s="250">
        <f ca="1">IF($G63=0,0,ROUND(OFFSET(Grunddaten!BT17,El_Produkt,0)*((OFFSET(Grunddaten!$AK$17,El_Produkt,0)-OFFSET(Grunddaten!$Q$17,El_Produkt,0))/100*$G63+$E63),-1))</f>
        <v>0</v>
      </c>
      <c r="AU63" s="250">
        <f ca="1">IF($G63=0,0,ROUND(OFFSET(Grunddaten!BU17,El_Produkt,0)*((OFFSET(Grunddaten!$AK$17,El_Produkt,0)-OFFSET(Grunddaten!$Q$17,El_Produkt,0))/100*$G63+$E63),-1))</f>
        <v>0</v>
      </c>
      <c r="AV63" s="250">
        <f ca="1">IF($G63=0,0,ROUND(OFFSET(Grunddaten!BV17,El_Produkt,0)*((OFFSET(Grunddaten!$AK$17,El_Produkt,0)-OFFSET(Grunddaten!$Q$17,El_Produkt,0))/100*$G63+$E63),-1))</f>
        <v>0</v>
      </c>
      <c r="AW63" s="250">
        <f ca="1">IF($G63=0,0,ROUND(OFFSET(Grunddaten!BW17,El_Produkt,0)*((OFFSET(Grunddaten!$AK$17,El_Produkt,0)-OFFSET(Grunddaten!$Q$17,El_Produkt,0))/100*$G63+$E63),-1))</f>
        <v>0</v>
      </c>
      <c r="AX63" s="250">
        <f ca="1">IF($G63=0,0,ROUND(OFFSET(Grunddaten!BX17,El_Produkt,0)*((OFFSET(Grunddaten!$AK$17,El_Produkt,0)-OFFSET(Grunddaten!$Q$17,El_Produkt,0))/100*$G63+$E63),-1))</f>
        <v>0</v>
      </c>
      <c r="AY63" s="250">
        <f ca="1">IF($G63=0,0,ROUND(OFFSET(Grunddaten!BY17,El_Produkt,0)*((OFFSET(Grunddaten!$AK$17,El_Produkt,0)-OFFSET(Grunddaten!$Q$17,El_Produkt,0))/100*$G63+$E63),-1))</f>
        <v>0</v>
      </c>
      <c r="AZ63" s="250">
        <f ca="1">IF($G63=0,0,ROUND(OFFSET(Grunddaten!BZ17,El_Produkt,0)*((OFFSET(Grunddaten!$AK$17,El_Produkt,0)-OFFSET(Grunddaten!$Q$17,El_Produkt,0))/100*$G63+$E63),-1))</f>
        <v>0</v>
      </c>
      <c r="BA63" s="250">
        <f ca="1">IF($G63=0,0,ROUND(OFFSET(Grunddaten!CA17,El_Produkt,0)*((OFFSET(Grunddaten!$AK$17,El_Produkt,0)-OFFSET(Grunddaten!$Q$17,El_Produkt,0))/100*$G63+$E63),-1))</f>
        <v>0</v>
      </c>
      <c r="BB63" s="250">
        <f ca="1">IF($G63=0,0,ROUND(OFFSET(Grunddaten!CB17,El_Produkt,0)*((OFFSET(Grunddaten!$AK$17,El_Produkt,0)-OFFSET(Grunddaten!$Q$17,El_Produkt,0))/100*$G63+$E63),-1))</f>
        <v>0</v>
      </c>
      <c r="BC63" s="250">
        <f ca="1">IF($G63=0,0,ROUND(OFFSET(Grunddaten!CC17,El_Produkt,0)*((OFFSET(Grunddaten!$AK$17,El_Produkt,0)-OFFSET(Grunddaten!$Q$17,El_Produkt,0))/100*$G63+$E63),-1))</f>
        <v>0</v>
      </c>
      <c r="BD63" s="250">
        <f ca="1">IF($G63=0,0,ROUND(OFFSET(Grunddaten!CD17,El_Produkt,0)*((OFFSET(Grunddaten!$AK$17,El_Produkt,0)-OFFSET(Grunddaten!$Q$17,El_Produkt,0))/100*$G63+$E63),-1))</f>
        <v>0</v>
      </c>
      <c r="BE63" s="250">
        <f ca="1">IF($G63=0,0,ROUND(OFFSET(Grunddaten!CE17,El_Produkt,0)*((OFFSET(Grunddaten!$AK$17,El_Produkt,0)-OFFSET(Grunddaten!$Q$17,El_Produkt,0))/100*$G63+$E63),-1))</f>
        <v>0</v>
      </c>
      <c r="BF63" s="250">
        <f ca="1">IF($G63=0,0,ROUND(OFFSET(Grunddaten!CF17,El_Produkt,0)*((OFFSET(Grunddaten!$AK$17,El_Produkt,0)-OFFSET(Grunddaten!$Q$17,El_Produkt,0))/100*$G63+$E63),-1))</f>
        <v>0</v>
      </c>
      <c r="BG63" s="250">
        <f ca="1">IF($G63=0,0,ROUND(OFFSET(Grunddaten!CG17,El_Produkt,0)*((OFFSET(Grunddaten!$AK$17,El_Produkt,0)-OFFSET(Grunddaten!$Q$17,El_Produkt,0))/100*$G63+$E63),-1))</f>
        <v>0</v>
      </c>
      <c r="BH63" s="250">
        <f ca="1">IF($G63=0,0,ROUND(OFFSET(Grunddaten!CH17,El_Produkt,0)*((OFFSET(Grunddaten!$AK$17,El_Produkt,0)-OFFSET(Grunddaten!$Q$17,El_Produkt,0))/100*$G63+$E63),-1))</f>
        <v>0</v>
      </c>
      <c r="BI63" s="250">
        <f ca="1">IF($G63=0,0,ROUND(OFFSET(Grunddaten!CI17,El_Produkt,0)*((OFFSET(Grunddaten!$AK$17,El_Produkt,0)-OFFSET(Grunddaten!$Q$17,El_Produkt,0))/100*$G63+$E63),-1))</f>
        <v>0</v>
      </c>
      <c r="BJ63" s="250">
        <f ca="1">IF($G63=0,0,ROUND(OFFSET(Grunddaten!CJ17,El_Produkt,0)*((OFFSET(Grunddaten!$AK$17,El_Produkt,0)-OFFSET(Grunddaten!$Q$17,El_Produkt,0))/100*$G63+$E63),-1))</f>
        <v>0</v>
      </c>
      <c r="BK63" s="250">
        <f ca="1">IF($G63=0,0,ROUND(OFFSET(Grunddaten!CK17,El_Produkt,0)*((OFFSET(Grunddaten!$AK$17,El_Produkt,0)-OFFSET(Grunddaten!$Q$17,El_Produkt,0))/100*$G63+$E63),-1))</f>
        <v>0</v>
      </c>
      <c r="BL63" s="250">
        <f ca="1">IF($G63=0,0,ROUND(OFFSET(Grunddaten!CL17,El_Produkt,0)*((OFFSET(Grunddaten!$AK$17,El_Produkt,0)-OFFSET(Grunddaten!$Q$17,El_Produkt,0))/100*$G63+$E63),-1))</f>
        <v>0</v>
      </c>
      <c r="BM63" s="250">
        <f ca="1">IF($G63=0,0,ROUND(OFFSET(Grunddaten!CM17,El_Produkt,0)*((OFFSET(Grunddaten!$AK$17,El_Produkt,0)-OFFSET(Grunddaten!$Q$17,El_Produkt,0))/100*$G63+$E63),-1))</f>
        <v>0</v>
      </c>
      <c r="BN63" s="250">
        <f ca="1">IF($G63=0,0,ROUND(OFFSET(Grunddaten!CN17,El_Produkt,0)*((OFFSET(Grunddaten!$AK$17,El_Produkt,0)-OFFSET(Grunddaten!$Q$17,El_Produkt,0))/100*$G63+$E63),-1))</f>
        <v>0</v>
      </c>
      <c r="BO63" s="250">
        <f ca="1">IF($G63=0,0,ROUND(OFFSET(Grunddaten!CO17,El_Produkt,0)*((OFFSET(Grunddaten!$AK$17,El_Produkt,0)-OFFSET(Grunddaten!$Q$17,El_Produkt,0))/100*$G63+$E63),-1))</f>
        <v>0</v>
      </c>
      <c r="BP63" s="250">
        <f ca="1">IF($G63=0,0,ROUND(OFFSET(Grunddaten!CP17,El_Produkt,0)*((OFFSET(Grunddaten!$AK$17,El_Produkt,0)-OFFSET(Grunddaten!$Q$17,El_Produkt,0))/100*$G63+$E63),-1))</f>
        <v>0</v>
      </c>
      <c r="BQ63" s="251">
        <f ca="1">IF($G63=0,0,ROUND(OFFSET(Grunddaten!CQ17,El_Produkt,0)*((OFFSET(Grunddaten!$AK$17,El_Produkt,0)-OFFSET(Grunddaten!$Q$17,El_Produkt,0))/100*$G63+$E63),-1))</f>
        <v>0</v>
      </c>
    </row>
    <row r="64" spans="1:69" s="36" customFormat="1" ht="11.25" customHeight="1" x14ac:dyDescent="0.2">
      <c r="A64" s="1010" t="s">
        <v>392</v>
      </c>
      <c r="B64" s="1003"/>
      <c r="C64" s="2423">
        <v>0.7</v>
      </c>
      <c r="D64" s="2423"/>
      <c r="E64" s="2400">
        <f>IF(G64,E$61*G64/SUM(G$62:G$65),0)</f>
        <v>0</v>
      </c>
      <c r="F64" s="2401"/>
      <c r="G64" s="2544">
        <f>IF(EV_Var1!$E$68&gt;=0,IF(EV_Var1!$E$68&gt;=(EV_Var1!$E$34 + EV_Var1!$E$38),(EV_Var1!$E$34 + EV_Var1!$E$38),EV_Var1!$E$68),0)*C64</f>
        <v>0</v>
      </c>
      <c r="H64" s="2545"/>
      <c r="I64" s="2546"/>
      <c r="J64" s="2388">
        <f ca="1">OFFSET(Grunddaten!$AL$17,El_Produkt,0)-(1-$R$109)*OFFSET(Grunddaten!$Q$17,El_Produkt,0)</f>
        <v>26.638089320000002</v>
      </c>
      <c r="K64" s="2389"/>
      <c r="L64" s="2319">
        <f ca="1">ROUND(E64+G64*J64/100,-1)</f>
        <v>0</v>
      </c>
      <c r="M64" s="2320"/>
      <c r="N64" s="2321"/>
      <c r="S64" s="206">
        <f ca="1">IF($G64=0,0,ROUND(OFFSET(Grunddaten!AS17,El_Produkt,0)*((OFFSET(Grunddaten!$AL$17,El_Produkt,0)-OFFSET(Grunddaten!$Q$17,El_Produkt,0))/100*$G64+$E64),-1))</f>
        <v>0</v>
      </c>
      <c r="T64" s="207">
        <f ca="1">IF($G64=0,0,ROUND(OFFSET(Grunddaten!AT17,El_Produkt,0)*((OFFSET(Grunddaten!$AL$17,El_Produkt,0)-OFFSET(Grunddaten!$Q$17,El_Produkt,0))/100*$G64+$E64),-1))</f>
        <v>0</v>
      </c>
      <c r="U64" s="207">
        <f ca="1">IF($G64=0,0,ROUND(OFFSET(Grunddaten!AU17,El_Produkt,0)*((OFFSET(Grunddaten!$AL$17,El_Produkt,0)-OFFSET(Grunddaten!$Q$17,El_Produkt,0))/100*$G64+$E64),-1))</f>
        <v>0</v>
      </c>
      <c r="V64" s="207">
        <f ca="1">IF($G64=0,0,ROUND(OFFSET(Grunddaten!AV17,El_Produkt,0)*((OFFSET(Grunddaten!$AL$17,El_Produkt,0)-OFFSET(Grunddaten!$Q$17,El_Produkt,0))/100*$G64+$E64),-1))</f>
        <v>0</v>
      </c>
      <c r="W64" s="207">
        <f ca="1">IF($G64=0,0,ROUND(OFFSET(Grunddaten!AW17,El_Produkt,0)*((OFFSET(Grunddaten!$AL$17,El_Produkt,0)-OFFSET(Grunddaten!$Q$17,El_Produkt,0))/100*$G64+$E64),-1))</f>
        <v>0</v>
      </c>
      <c r="X64" s="207">
        <f ca="1">IF($G64=0,0,ROUND(OFFSET(Grunddaten!AX17,El_Produkt,0)*((OFFSET(Grunddaten!$AL$17,El_Produkt,0)-OFFSET(Grunddaten!$Q$17,El_Produkt,0))/100*$G64+$E64),-1))</f>
        <v>0</v>
      </c>
      <c r="Y64" s="207">
        <f ca="1">IF($G64=0,0,ROUND(OFFSET(Grunddaten!AY17,El_Produkt,0)*((OFFSET(Grunddaten!$AL$17,El_Produkt,0)-OFFSET(Grunddaten!$Q$17,El_Produkt,0))/100*$G64+$E64),-1))</f>
        <v>0</v>
      </c>
      <c r="Z64" s="207">
        <f ca="1">IF($G64=0,0,ROUND(OFFSET(Grunddaten!AZ17,El_Produkt,0)*((OFFSET(Grunddaten!$AL$17,El_Produkt,0)-OFFSET(Grunddaten!$Q$17,El_Produkt,0))/100*$G64+$E64),-1))</f>
        <v>0</v>
      </c>
      <c r="AA64" s="207">
        <f ca="1">IF($G64=0,0,ROUND(OFFSET(Grunddaten!BA17,El_Produkt,0)*((OFFSET(Grunddaten!$AL$17,El_Produkt,0)-OFFSET(Grunddaten!$Q$17,El_Produkt,0))/100*$G64+$E64),-1))</f>
        <v>0</v>
      </c>
      <c r="AB64" s="246">
        <f ca="1">IF($G64=0,0,ROUND(OFFSET(Grunddaten!BB17,El_Produkt,0)*((OFFSET(Grunddaten!$AL$17,El_Produkt,0)-OFFSET(Grunddaten!$Q$17,El_Produkt,0))/100*$G64+$E64),-1))</f>
        <v>0</v>
      </c>
      <c r="AC64" s="246">
        <f ca="1">IF($G64=0,0,ROUND(OFFSET(Grunddaten!BC17,El_Produkt,0)*((OFFSET(Grunddaten!$AL$17,El_Produkt,0)-OFFSET(Grunddaten!$Q$17,El_Produkt,0))/100*$G64+$E64),-1))</f>
        <v>0</v>
      </c>
      <c r="AD64" s="246">
        <f ca="1">IF($G64=0,0,ROUND(OFFSET(Grunddaten!BD17,El_Produkt,0)*((OFFSET(Grunddaten!$AL$17,El_Produkt,0)-OFFSET(Grunddaten!$Q$17,El_Produkt,0))/100*$G64+$E64),-1))</f>
        <v>0</v>
      </c>
      <c r="AE64" s="246">
        <f ca="1">IF($G64=0,0,ROUND(OFFSET(Grunddaten!BE17,El_Produkt,0)*((OFFSET(Grunddaten!$AL$17,El_Produkt,0)-OFFSET(Grunddaten!$Q$17,El_Produkt,0))/100*$G64+$E64),-1))</f>
        <v>0</v>
      </c>
      <c r="AF64" s="246">
        <f ca="1">IF($G64=0,0,ROUND(OFFSET(Grunddaten!BF17,El_Produkt,0)*((OFFSET(Grunddaten!$AL$17,El_Produkt,0)-OFFSET(Grunddaten!$Q$17,El_Produkt,0))/100*$G64+$E64),-1))</f>
        <v>0</v>
      </c>
      <c r="AG64" s="246">
        <f ca="1">IF($G64=0,0,ROUND(OFFSET(Grunddaten!BG17,El_Produkt,0)*((OFFSET(Grunddaten!$AL$17,El_Produkt,0)-OFFSET(Grunddaten!$Q$17,El_Produkt,0))/100*$G64+$E64),-1))</f>
        <v>0</v>
      </c>
      <c r="AH64" s="247">
        <f ca="1">IF($G64=0,0,ROUND(OFFSET(Grunddaten!BH17,El_Produkt,0)*((OFFSET(Grunddaten!$AL$17,El_Produkt,0)-OFFSET(Grunddaten!$Q$17,El_Produkt,0))/100*$G64+$E64),-1))</f>
        <v>0</v>
      </c>
      <c r="AI64" s="247">
        <f ca="1">IF($G64=0,0,ROUND(OFFSET(Grunddaten!BI17,El_Produkt,0)*((OFFSET(Grunddaten!$AL$17,El_Produkt,0)-OFFSET(Grunddaten!$Q$17,El_Produkt,0))/100*$G64+$E64),-1))</f>
        <v>0</v>
      </c>
      <c r="AJ64" s="247">
        <f ca="1">IF($G64=0,0,ROUND(OFFSET(Grunddaten!BJ17,El_Produkt,0)*((OFFSET(Grunddaten!$AL$17,El_Produkt,0)-OFFSET(Grunddaten!$Q$17,El_Produkt,0))/100*$G64+$E64),-1))</f>
        <v>0</v>
      </c>
      <c r="AK64" s="247">
        <f ca="1">IF($G64=0,0,ROUND(OFFSET(Grunddaten!BK17,El_Produkt,0)*((OFFSET(Grunddaten!$AL$17,El_Produkt,0)-OFFSET(Grunddaten!$Q$17,El_Produkt,0))/100*$G64+$E64),-1))</f>
        <v>0</v>
      </c>
      <c r="AL64" s="247">
        <f ca="1">IF($G64=0,0,ROUND(OFFSET(Grunddaten!BL17,El_Produkt,0)*((OFFSET(Grunddaten!$AL$17,El_Produkt,0)-OFFSET(Grunddaten!$Q$17,El_Produkt,0))/100*$G64+$E64),-1))</f>
        <v>0</v>
      </c>
      <c r="AM64" s="247">
        <f ca="1">IF($G64=0,0,ROUND(OFFSET(Grunddaten!BM17,El_Produkt,0)*((OFFSET(Grunddaten!$AL$17,El_Produkt,0)-OFFSET(Grunddaten!$Q$17,El_Produkt,0))/100*$G64+$E64),-1))</f>
        <v>0</v>
      </c>
      <c r="AN64" s="247">
        <f ca="1">IF($G64=0,0,ROUND(OFFSET(Grunddaten!BN17,El_Produkt,0)*((OFFSET(Grunddaten!$AL$17,El_Produkt,0)-OFFSET(Grunddaten!$Q$17,El_Produkt,0))/100*$G64+$E64),-1))</f>
        <v>0</v>
      </c>
      <c r="AO64" s="247">
        <f ca="1">IF($G64=0,0,ROUND(OFFSET(Grunddaten!BO17,El_Produkt,0)*((OFFSET(Grunddaten!$AL$17,El_Produkt,0)-OFFSET(Grunddaten!$Q$17,El_Produkt,0))/100*$G64+$E64),-1))</f>
        <v>0</v>
      </c>
      <c r="AP64" s="247">
        <f ca="1">IF($G64=0,0,ROUND(OFFSET(Grunddaten!BP17,El_Produkt,0)*((OFFSET(Grunddaten!$AL$17,El_Produkt,0)-OFFSET(Grunddaten!$Q$17,El_Produkt,0))/100*$G64+$E64),-1))</f>
        <v>0</v>
      </c>
      <c r="AQ64" s="247">
        <f ca="1">IF($G64=0,0,ROUND(OFFSET(Grunddaten!BQ17,El_Produkt,0)*((OFFSET(Grunddaten!$AL$17,El_Produkt,0)-OFFSET(Grunddaten!$Q$17,El_Produkt,0))/100*$G64+$E64),-1))</f>
        <v>0</v>
      </c>
      <c r="AR64" s="247">
        <f ca="1">IF($G64=0,0,ROUND(OFFSET(Grunddaten!BR17,El_Produkt,0)*((OFFSET(Grunddaten!$AL$17,El_Produkt,0)-OFFSET(Grunddaten!$Q$17,El_Produkt,0))/100*$G64+$E64),-1))</f>
        <v>0</v>
      </c>
      <c r="AS64" s="247">
        <f ca="1">IF($G64=0,0,ROUND(OFFSET(Grunddaten!BS17,El_Produkt,0)*((OFFSET(Grunddaten!$AL$17,El_Produkt,0)-OFFSET(Grunddaten!$Q$17,El_Produkt,0))/100*$G64+$E64),-1))</f>
        <v>0</v>
      </c>
      <c r="AT64" s="247">
        <f ca="1">IF($G64=0,0,ROUND(OFFSET(Grunddaten!BT17,El_Produkt,0)*((OFFSET(Grunddaten!$AL$17,El_Produkt,0)-OFFSET(Grunddaten!$Q$17,El_Produkt,0))/100*$G64+$E64),-1))</f>
        <v>0</v>
      </c>
      <c r="AU64" s="247">
        <f ca="1">IF($G64=0,0,ROUND(OFFSET(Grunddaten!BU17,El_Produkt,0)*((OFFSET(Grunddaten!$AL$17,El_Produkt,0)-OFFSET(Grunddaten!$Q$17,El_Produkt,0))/100*$G64+$E64),-1))</f>
        <v>0</v>
      </c>
      <c r="AV64" s="247">
        <f ca="1">IF($G64=0,0,ROUND(OFFSET(Grunddaten!BV17,El_Produkt,0)*((OFFSET(Grunddaten!$AL$17,El_Produkt,0)-OFFSET(Grunddaten!$Q$17,El_Produkt,0))/100*$G64+$E64),-1))</f>
        <v>0</v>
      </c>
      <c r="AW64" s="247">
        <f ca="1">IF($G64=0,0,ROUND(OFFSET(Grunddaten!BW17,El_Produkt,0)*((OFFSET(Grunddaten!$AL$17,El_Produkt,0)-OFFSET(Grunddaten!$Q$17,El_Produkt,0))/100*$G64+$E64),-1))</f>
        <v>0</v>
      </c>
      <c r="AX64" s="247">
        <f ca="1">IF($G64=0,0,ROUND(OFFSET(Grunddaten!BX17,El_Produkt,0)*((OFFSET(Grunddaten!$AL$17,El_Produkt,0)-OFFSET(Grunddaten!$Q$17,El_Produkt,0))/100*$G64+$E64),-1))</f>
        <v>0</v>
      </c>
      <c r="AY64" s="247">
        <f ca="1">IF($G64=0,0,ROUND(OFFSET(Grunddaten!BY17,El_Produkt,0)*((OFFSET(Grunddaten!$AL$17,El_Produkt,0)-OFFSET(Grunddaten!$Q$17,El_Produkt,0))/100*$G64+$E64),-1))</f>
        <v>0</v>
      </c>
      <c r="AZ64" s="247">
        <f ca="1">IF($G64=0,0,ROUND(OFFSET(Grunddaten!BZ17,El_Produkt,0)*((OFFSET(Grunddaten!$AL$17,El_Produkt,0)-OFFSET(Grunddaten!$Q$17,El_Produkt,0))/100*$G64+$E64),-1))</f>
        <v>0</v>
      </c>
      <c r="BA64" s="247">
        <f ca="1">IF($G64=0,0,ROUND(OFFSET(Grunddaten!CA17,El_Produkt,0)*((OFFSET(Grunddaten!$AL$17,El_Produkt,0)-OFFSET(Grunddaten!$Q$17,El_Produkt,0))/100*$G64+$E64),-1))</f>
        <v>0</v>
      </c>
      <c r="BB64" s="247">
        <f ca="1">IF($G64=0,0,ROUND(OFFSET(Grunddaten!CB17,El_Produkt,0)*((OFFSET(Grunddaten!$AL$17,El_Produkt,0)-OFFSET(Grunddaten!$Q$17,El_Produkt,0))/100*$G64+$E64),-1))</f>
        <v>0</v>
      </c>
      <c r="BC64" s="247">
        <f ca="1">IF($G64=0,0,ROUND(OFFSET(Grunddaten!CC17,El_Produkt,0)*((OFFSET(Grunddaten!$AL$17,El_Produkt,0)-OFFSET(Grunddaten!$Q$17,El_Produkt,0))/100*$G64+$E64),-1))</f>
        <v>0</v>
      </c>
      <c r="BD64" s="247">
        <f ca="1">IF($G64=0,0,ROUND(OFFSET(Grunddaten!CD17,El_Produkt,0)*((OFFSET(Grunddaten!$AL$17,El_Produkt,0)-OFFSET(Grunddaten!$Q$17,El_Produkt,0))/100*$G64+$E64),-1))</f>
        <v>0</v>
      </c>
      <c r="BE64" s="247">
        <f ca="1">IF($G64=0,0,ROUND(OFFSET(Grunddaten!CE17,El_Produkt,0)*((OFFSET(Grunddaten!$AL$17,El_Produkt,0)-OFFSET(Grunddaten!$Q$17,El_Produkt,0))/100*$G64+$E64),-1))</f>
        <v>0</v>
      </c>
      <c r="BF64" s="247">
        <f ca="1">IF($G64=0,0,ROUND(OFFSET(Grunddaten!CF17,El_Produkt,0)*((OFFSET(Grunddaten!$AL$17,El_Produkt,0)-OFFSET(Grunddaten!$Q$17,El_Produkt,0))/100*$G64+$E64),-1))</f>
        <v>0</v>
      </c>
      <c r="BG64" s="247">
        <f ca="1">IF($G64=0,0,ROUND(OFFSET(Grunddaten!CG17,El_Produkt,0)*((OFFSET(Grunddaten!$AL$17,El_Produkt,0)-OFFSET(Grunddaten!$Q$17,El_Produkt,0))/100*$G64+$E64),-1))</f>
        <v>0</v>
      </c>
      <c r="BH64" s="247">
        <f ca="1">IF($G64=0,0,ROUND(OFFSET(Grunddaten!CH17,El_Produkt,0)*((OFFSET(Grunddaten!$AL$17,El_Produkt,0)-OFFSET(Grunddaten!$Q$17,El_Produkt,0))/100*$G64+$E64),-1))</f>
        <v>0</v>
      </c>
      <c r="BI64" s="247">
        <f ca="1">IF($G64=0,0,ROUND(OFFSET(Grunddaten!CI17,El_Produkt,0)*((OFFSET(Grunddaten!$AL$17,El_Produkt,0)-OFFSET(Grunddaten!$Q$17,El_Produkt,0))/100*$G64+$E64),-1))</f>
        <v>0</v>
      </c>
      <c r="BJ64" s="247">
        <f ca="1">IF($G64=0,0,ROUND(OFFSET(Grunddaten!CJ17,El_Produkt,0)*((OFFSET(Grunddaten!$AL$17,El_Produkt,0)-OFFSET(Grunddaten!$Q$17,El_Produkt,0))/100*$G64+$E64),-1))</f>
        <v>0</v>
      </c>
      <c r="BK64" s="247">
        <f ca="1">IF($G64=0,0,ROUND(OFFSET(Grunddaten!CK17,El_Produkt,0)*((OFFSET(Grunddaten!$AL$17,El_Produkt,0)-OFFSET(Grunddaten!$Q$17,El_Produkt,0))/100*$G64+$E64),-1))</f>
        <v>0</v>
      </c>
      <c r="BL64" s="247">
        <f ca="1">IF($G64=0,0,ROUND(OFFSET(Grunddaten!CL17,El_Produkt,0)*((OFFSET(Grunddaten!$AL$17,El_Produkt,0)-OFFSET(Grunddaten!$Q$17,El_Produkt,0))/100*$G64+$E64),-1))</f>
        <v>0</v>
      </c>
      <c r="BM64" s="247">
        <f ca="1">IF($G64=0,0,ROUND(OFFSET(Grunddaten!CM17,El_Produkt,0)*((OFFSET(Grunddaten!$AL$17,El_Produkt,0)-OFFSET(Grunddaten!$Q$17,El_Produkt,0))/100*$G64+$E64),-1))</f>
        <v>0</v>
      </c>
      <c r="BN64" s="247">
        <f ca="1">IF($G64=0,0,ROUND(OFFSET(Grunddaten!CN17,El_Produkt,0)*((OFFSET(Grunddaten!$AL$17,El_Produkt,0)-OFFSET(Grunddaten!$Q$17,El_Produkt,0))/100*$G64+$E64),-1))</f>
        <v>0</v>
      </c>
      <c r="BO64" s="247">
        <f ca="1">IF($G64=0,0,ROUND(OFFSET(Grunddaten!CO17,El_Produkt,0)*((OFFSET(Grunddaten!$AL$17,El_Produkt,0)-OFFSET(Grunddaten!$Q$17,El_Produkt,0))/100*$G64+$E64),-1))</f>
        <v>0</v>
      </c>
      <c r="BP64" s="247">
        <f ca="1">IF($G64=0,0,ROUND(OFFSET(Grunddaten!CP17,El_Produkt,0)*((OFFSET(Grunddaten!$AL$17,El_Produkt,0)-OFFSET(Grunddaten!$Q$17,El_Produkt,0))/100*$G64+$E64),-1))</f>
        <v>0</v>
      </c>
      <c r="BQ64" s="248">
        <f ca="1">IF($G64=0,0,ROUND(OFFSET(Grunddaten!CQ17,El_Produkt,0)*((OFFSET(Grunddaten!$AL$17,El_Produkt,0)-OFFSET(Grunddaten!$Q$17,El_Produkt,0))/100*$G64+$E64),-1))</f>
        <v>0</v>
      </c>
    </row>
    <row r="65" spans="1:69" s="36" customFormat="1" ht="11.25" customHeight="1" x14ac:dyDescent="0.2">
      <c r="A65" s="1005" t="s">
        <v>393</v>
      </c>
      <c r="B65" s="1006"/>
      <c r="C65" s="2524">
        <f>1-C64</f>
        <v>0.30000000000000004</v>
      </c>
      <c r="D65" s="2524"/>
      <c r="E65" s="2397">
        <f>IF(G65,E$61*G65/SUM(G$62:G$65),0)</f>
        <v>0</v>
      </c>
      <c r="F65" s="2398"/>
      <c r="G65" s="2392">
        <f>IF(EV_Var1!$E$68&gt;=0,IF(EV_Var1!$E$68&gt;=(EV_Var1!$E$34 + EV_Var1!$E$38),(EV_Var1!$E$34 + EV_Var1!$E$38),EV_Var1!$E$68),0)*C65</f>
        <v>0</v>
      </c>
      <c r="H65" s="2393"/>
      <c r="I65" s="2394"/>
      <c r="J65" s="2390">
        <f ca="1">OFFSET(Grunddaten!$AM$17,El_Produkt,0)-(1-$R$109)*OFFSET(Grunddaten!$Q$17,El_Produkt,0)</f>
        <v>17.706284570000001</v>
      </c>
      <c r="K65" s="2391"/>
      <c r="L65" s="2424">
        <f ca="1">ROUND(E65+G65*J65/100,-1)</f>
        <v>0</v>
      </c>
      <c r="M65" s="2425"/>
      <c r="N65" s="2426"/>
      <c r="S65" s="208">
        <f ca="1">IF($G65=0,0,ROUND(OFFSET(Grunddaten!AS17,El_Produkt,0)*((OFFSET(Grunddaten!$AM$17,El_Produkt,0)-OFFSET(Grunddaten!$Q$17,El_Produkt,0))/100*$G65+$E65),-1))</f>
        <v>0</v>
      </c>
      <c r="T65" s="209">
        <f ca="1">IF($G65=0,0,ROUND(OFFSET(Grunddaten!AT17,El_Produkt,0)*((OFFSET(Grunddaten!$AM$17,El_Produkt,0)-OFFSET(Grunddaten!$Q$17,El_Produkt,0))/100*$G65+$E65),-1))</f>
        <v>0</v>
      </c>
      <c r="U65" s="209">
        <f ca="1">IF($G65=0,0,ROUND(OFFSET(Grunddaten!AU17,El_Produkt,0)*((OFFSET(Grunddaten!$AM$17,El_Produkt,0)-OFFSET(Grunddaten!$Q$17,El_Produkt,0))/100*$G65+$E65),-1))</f>
        <v>0</v>
      </c>
      <c r="V65" s="209">
        <f ca="1">IF($G65=0,0,ROUND(OFFSET(Grunddaten!AV17,El_Produkt,0)*((OFFSET(Grunddaten!$AM$17,El_Produkt,0)-OFFSET(Grunddaten!$Q$17,El_Produkt,0))/100*$G65+$E65),-1))</f>
        <v>0</v>
      </c>
      <c r="W65" s="209">
        <f ca="1">IF($G65=0,0,ROUND(OFFSET(Grunddaten!AW17,El_Produkt,0)*((OFFSET(Grunddaten!$AM$17,El_Produkt,0)-OFFSET(Grunddaten!$Q$17,El_Produkt,0))/100*$G65+$E65),-1))</f>
        <v>0</v>
      </c>
      <c r="X65" s="209">
        <f ca="1">IF($G65=0,0,ROUND(OFFSET(Grunddaten!AX17,El_Produkt,0)*((OFFSET(Grunddaten!$AM$17,El_Produkt,0)-OFFSET(Grunddaten!$Q$17,El_Produkt,0))/100*$G65+$E65),-1))</f>
        <v>0</v>
      </c>
      <c r="Y65" s="209">
        <f ca="1">IF($G65=0,0,ROUND(OFFSET(Grunddaten!AY17,El_Produkt,0)*((OFFSET(Grunddaten!$AM$17,El_Produkt,0)-OFFSET(Grunddaten!$Q$17,El_Produkt,0))/100*$G65+$E65),-1))</f>
        <v>0</v>
      </c>
      <c r="Z65" s="209">
        <f ca="1">IF($G65=0,0,ROUND(OFFSET(Grunddaten!AZ17,El_Produkt,0)*((OFFSET(Grunddaten!$AM$17,El_Produkt,0)-OFFSET(Grunddaten!$Q$17,El_Produkt,0))/100*$G65+$E65),-1))</f>
        <v>0</v>
      </c>
      <c r="AA65" s="209">
        <f ca="1">IF($G65=0,0,ROUND(OFFSET(Grunddaten!BA17,El_Produkt,0)*((OFFSET(Grunddaten!$AM$17,El_Produkt,0)-OFFSET(Grunddaten!$Q$17,El_Produkt,0))/100*$G65+$E65),-1))</f>
        <v>0</v>
      </c>
      <c r="AB65" s="249">
        <f ca="1">IF($G65=0,0,ROUND(OFFSET(Grunddaten!BB17,El_Produkt,0)*((OFFSET(Grunddaten!$AM$17,El_Produkt,0)-OFFSET(Grunddaten!$Q$17,El_Produkt,0))/100*$G65+$E65),-1))</f>
        <v>0</v>
      </c>
      <c r="AC65" s="249">
        <f ca="1">IF($G65=0,0,ROUND(OFFSET(Grunddaten!BC17,El_Produkt,0)*((OFFSET(Grunddaten!$AM$17,El_Produkt,0)-OFFSET(Grunddaten!$Q$17,El_Produkt,0))/100*$G65+$E65),-1))</f>
        <v>0</v>
      </c>
      <c r="AD65" s="249">
        <f ca="1">IF($G65=0,0,ROUND(OFFSET(Grunddaten!BD17,El_Produkt,0)*((OFFSET(Grunddaten!$AM$17,El_Produkt,0)-OFFSET(Grunddaten!$Q$17,El_Produkt,0))/100*$G65+$E65),-1))</f>
        <v>0</v>
      </c>
      <c r="AE65" s="249">
        <f ca="1">IF($G65=0,0,ROUND(OFFSET(Grunddaten!BE17,El_Produkt,0)*((OFFSET(Grunddaten!$AM$17,El_Produkt,0)-OFFSET(Grunddaten!$Q$17,El_Produkt,0))/100*$G65+$E65),-1))</f>
        <v>0</v>
      </c>
      <c r="AF65" s="249">
        <f ca="1">IF($G65=0,0,ROUND(OFFSET(Grunddaten!BF17,El_Produkt,0)*((OFFSET(Grunddaten!$AM$17,El_Produkt,0)-OFFSET(Grunddaten!$Q$17,El_Produkt,0))/100*$G65+$E65),-1))</f>
        <v>0</v>
      </c>
      <c r="AG65" s="249">
        <f ca="1">IF($G65=0,0,ROUND(OFFSET(Grunddaten!BG17,El_Produkt,0)*((OFFSET(Grunddaten!$AM$17,El_Produkt,0)-OFFSET(Grunddaten!$Q$17,El_Produkt,0))/100*$G65+$E65),-1))</f>
        <v>0</v>
      </c>
      <c r="AH65" s="250">
        <f ca="1">IF($G65=0,0,ROUND(OFFSET(Grunddaten!BH17,El_Produkt,0)*((OFFSET(Grunddaten!$AM$17,El_Produkt,0)-OFFSET(Grunddaten!$Q$17,El_Produkt,0))/100*$G65+$E65),-1))</f>
        <v>0</v>
      </c>
      <c r="AI65" s="250">
        <f ca="1">IF($G65=0,0,ROUND(OFFSET(Grunddaten!BI17,El_Produkt,0)*((OFFSET(Grunddaten!$AM$17,El_Produkt,0)-OFFSET(Grunddaten!$Q$17,El_Produkt,0))/100*$G65+$E65),-1))</f>
        <v>0</v>
      </c>
      <c r="AJ65" s="250">
        <f ca="1">IF($G65=0,0,ROUND(OFFSET(Grunddaten!BJ17,El_Produkt,0)*((OFFSET(Grunddaten!$AM$17,El_Produkt,0)-OFFSET(Grunddaten!$Q$17,El_Produkt,0))/100*$G65+$E65),-1))</f>
        <v>0</v>
      </c>
      <c r="AK65" s="250">
        <f ca="1">IF($G65=0,0,ROUND(OFFSET(Grunddaten!BK17,El_Produkt,0)*((OFFSET(Grunddaten!$AM$17,El_Produkt,0)-OFFSET(Grunddaten!$Q$17,El_Produkt,0))/100*$G65+$E65),-1))</f>
        <v>0</v>
      </c>
      <c r="AL65" s="250">
        <f ca="1">IF($G65=0,0,ROUND(OFFSET(Grunddaten!BL17,El_Produkt,0)*((OFFSET(Grunddaten!$AM$17,El_Produkt,0)-OFFSET(Grunddaten!$Q$17,El_Produkt,0))/100*$G65+$E65),-1))</f>
        <v>0</v>
      </c>
      <c r="AM65" s="250">
        <f ca="1">IF($G65=0,0,ROUND(OFFSET(Grunddaten!BM17,El_Produkt,0)*((OFFSET(Grunddaten!$AM$17,El_Produkt,0)-OFFSET(Grunddaten!$Q$17,El_Produkt,0))/100*$G65+$E65),-1))</f>
        <v>0</v>
      </c>
      <c r="AN65" s="250">
        <f ca="1">IF($G65=0,0,ROUND(OFFSET(Grunddaten!BN17,El_Produkt,0)*((OFFSET(Grunddaten!$AM$17,El_Produkt,0)-OFFSET(Grunddaten!$Q$17,El_Produkt,0))/100*$G65+$E65),-1))</f>
        <v>0</v>
      </c>
      <c r="AO65" s="250">
        <f ca="1">IF($G65=0,0,ROUND(OFFSET(Grunddaten!BO17,El_Produkt,0)*((OFFSET(Grunddaten!$AM$17,El_Produkt,0)-OFFSET(Grunddaten!$Q$17,El_Produkt,0))/100*$G65+$E65),-1))</f>
        <v>0</v>
      </c>
      <c r="AP65" s="250">
        <f ca="1">IF($G65=0,0,ROUND(OFFSET(Grunddaten!BP17,El_Produkt,0)*((OFFSET(Grunddaten!$AM$17,El_Produkt,0)-OFFSET(Grunddaten!$Q$17,El_Produkt,0))/100*$G65+$E65),-1))</f>
        <v>0</v>
      </c>
      <c r="AQ65" s="250">
        <f ca="1">IF($G65=0,0,ROUND(OFFSET(Grunddaten!BQ17,El_Produkt,0)*((OFFSET(Grunddaten!$AM$17,El_Produkt,0)-OFFSET(Grunddaten!$Q$17,El_Produkt,0))/100*$G65+$E65),-1))</f>
        <v>0</v>
      </c>
      <c r="AR65" s="250">
        <f ca="1">IF($G65=0,0,ROUND(OFFSET(Grunddaten!BR17,El_Produkt,0)*((OFFSET(Grunddaten!$AM$17,El_Produkt,0)-OFFSET(Grunddaten!$Q$17,El_Produkt,0))/100*$G65+$E65),-1))</f>
        <v>0</v>
      </c>
      <c r="AS65" s="250">
        <f ca="1">IF($G65=0,0,ROUND(OFFSET(Grunddaten!BS17,El_Produkt,0)*((OFFSET(Grunddaten!$AM$17,El_Produkt,0)-OFFSET(Grunddaten!$Q$17,El_Produkt,0))/100*$G65+$E65),-1))</f>
        <v>0</v>
      </c>
      <c r="AT65" s="250">
        <f ca="1">IF($G65=0,0,ROUND(OFFSET(Grunddaten!BT17,El_Produkt,0)*((OFFSET(Grunddaten!$AM$17,El_Produkt,0)-OFFSET(Grunddaten!$Q$17,El_Produkt,0))/100*$G65+$E65),-1))</f>
        <v>0</v>
      </c>
      <c r="AU65" s="250">
        <f ca="1">IF($G65=0,0,ROUND(OFFSET(Grunddaten!BU17,El_Produkt,0)*((OFFSET(Grunddaten!$AM$17,El_Produkt,0)-OFFSET(Grunddaten!$Q$17,El_Produkt,0))/100*$G65+$E65),-1))</f>
        <v>0</v>
      </c>
      <c r="AV65" s="250">
        <f ca="1">IF($G65=0,0,ROUND(OFFSET(Grunddaten!BV17,El_Produkt,0)*((OFFSET(Grunddaten!$AM$17,El_Produkt,0)-OFFSET(Grunddaten!$Q$17,El_Produkt,0))/100*$G65+$E65),-1))</f>
        <v>0</v>
      </c>
      <c r="AW65" s="250">
        <f ca="1">IF($G65=0,0,ROUND(OFFSET(Grunddaten!BW17,El_Produkt,0)*((OFFSET(Grunddaten!$AM$17,El_Produkt,0)-OFFSET(Grunddaten!$Q$17,El_Produkt,0))/100*$G65+$E65),-1))</f>
        <v>0</v>
      </c>
      <c r="AX65" s="250">
        <f ca="1">IF($G65=0,0,ROUND(OFFSET(Grunddaten!BX17,El_Produkt,0)*((OFFSET(Grunddaten!$AM$17,El_Produkt,0)-OFFSET(Grunddaten!$Q$17,El_Produkt,0))/100*$G65+$E65),-1))</f>
        <v>0</v>
      </c>
      <c r="AY65" s="250">
        <f ca="1">IF($G65=0,0,ROUND(OFFSET(Grunddaten!BY17,El_Produkt,0)*((OFFSET(Grunddaten!$AM$17,El_Produkt,0)-OFFSET(Grunddaten!$Q$17,El_Produkt,0))/100*$G65+$E65),-1))</f>
        <v>0</v>
      </c>
      <c r="AZ65" s="250">
        <f ca="1">IF($G65=0,0,ROUND(OFFSET(Grunddaten!BZ17,El_Produkt,0)*((OFFSET(Grunddaten!$AM$17,El_Produkt,0)-OFFSET(Grunddaten!$Q$17,El_Produkt,0))/100*$G65+$E65),-1))</f>
        <v>0</v>
      </c>
      <c r="BA65" s="250">
        <f ca="1">IF($G65=0,0,ROUND(OFFSET(Grunddaten!CA17,El_Produkt,0)*((OFFSET(Grunddaten!$AM$17,El_Produkt,0)-OFFSET(Grunddaten!$Q$17,El_Produkt,0))/100*$G65+$E65),-1))</f>
        <v>0</v>
      </c>
      <c r="BB65" s="250">
        <f ca="1">IF($G65=0,0,ROUND(OFFSET(Grunddaten!CB17,El_Produkt,0)*((OFFSET(Grunddaten!$AM$17,El_Produkt,0)-OFFSET(Grunddaten!$Q$17,El_Produkt,0))/100*$G65+$E65),-1))</f>
        <v>0</v>
      </c>
      <c r="BC65" s="250">
        <f ca="1">IF($G65=0,0,ROUND(OFFSET(Grunddaten!CC17,El_Produkt,0)*((OFFSET(Grunddaten!$AM$17,El_Produkt,0)-OFFSET(Grunddaten!$Q$17,El_Produkt,0))/100*$G65+$E65),-1))</f>
        <v>0</v>
      </c>
      <c r="BD65" s="250">
        <f ca="1">IF($G65=0,0,ROUND(OFFSET(Grunddaten!CD17,El_Produkt,0)*((OFFSET(Grunddaten!$AM$17,El_Produkt,0)-OFFSET(Grunddaten!$Q$17,El_Produkt,0))/100*$G65+$E65),-1))</f>
        <v>0</v>
      </c>
      <c r="BE65" s="250">
        <f ca="1">IF($G65=0,0,ROUND(OFFSET(Grunddaten!CE17,El_Produkt,0)*((OFFSET(Grunddaten!$AM$17,El_Produkt,0)-OFFSET(Grunddaten!$Q$17,El_Produkt,0))/100*$G65+$E65),-1))</f>
        <v>0</v>
      </c>
      <c r="BF65" s="250">
        <f ca="1">IF($G65=0,0,ROUND(OFFSET(Grunddaten!CF17,El_Produkt,0)*((OFFSET(Grunddaten!$AM$17,El_Produkt,0)-OFFSET(Grunddaten!$Q$17,El_Produkt,0))/100*$G65+$E65),-1))</f>
        <v>0</v>
      </c>
      <c r="BG65" s="250">
        <f ca="1">IF($G65=0,0,ROUND(OFFSET(Grunddaten!CG17,El_Produkt,0)*((OFFSET(Grunddaten!$AM$17,El_Produkt,0)-OFFSET(Grunddaten!$Q$17,El_Produkt,0))/100*$G65+$E65),-1))</f>
        <v>0</v>
      </c>
      <c r="BH65" s="250">
        <f ca="1">IF($G65=0,0,ROUND(OFFSET(Grunddaten!CH17,El_Produkt,0)*((OFFSET(Grunddaten!$AM$17,El_Produkt,0)-OFFSET(Grunddaten!$Q$17,El_Produkt,0))/100*$G65+$E65),-1))</f>
        <v>0</v>
      </c>
      <c r="BI65" s="250">
        <f ca="1">IF($G65=0,0,ROUND(OFFSET(Grunddaten!CI17,El_Produkt,0)*((OFFSET(Grunddaten!$AM$17,El_Produkt,0)-OFFSET(Grunddaten!$Q$17,El_Produkt,0))/100*$G65+$E65),-1))</f>
        <v>0</v>
      </c>
      <c r="BJ65" s="250">
        <f ca="1">IF($G65=0,0,ROUND(OFFSET(Grunddaten!CJ17,El_Produkt,0)*((OFFSET(Grunddaten!$AM$17,El_Produkt,0)-OFFSET(Grunddaten!$Q$17,El_Produkt,0))/100*$G65+$E65),-1))</f>
        <v>0</v>
      </c>
      <c r="BK65" s="250">
        <f ca="1">IF($G65=0,0,ROUND(OFFSET(Grunddaten!CK17,El_Produkt,0)*((OFFSET(Grunddaten!$AM$17,El_Produkt,0)-OFFSET(Grunddaten!$Q$17,El_Produkt,0))/100*$G65+$E65),-1))</f>
        <v>0</v>
      </c>
      <c r="BL65" s="250">
        <f ca="1">IF($G65=0,0,ROUND(OFFSET(Grunddaten!CL17,El_Produkt,0)*((OFFSET(Grunddaten!$AM$17,El_Produkt,0)-OFFSET(Grunddaten!$Q$17,El_Produkt,0))/100*$G65+$E65),-1))</f>
        <v>0</v>
      </c>
      <c r="BM65" s="250">
        <f ca="1">IF($G65=0,0,ROUND(OFFSET(Grunddaten!CM17,El_Produkt,0)*((OFFSET(Grunddaten!$AM$17,El_Produkt,0)-OFFSET(Grunddaten!$Q$17,El_Produkt,0))/100*$G65+$E65),-1))</f>
        <v>0</v>
      </c>
      <c r="BN65" s="250">
        <f ca="1">IF($G65=0,0,ROUND(OFFSET(Grunddaten!CN17,El_Produkt,0)*((OFFSET(Grunddaten!$AM$17,El_Produkt,0)-OFFSET(Grunddaten!$Q$17,El_Produkt,0))/100*$G65+$E65),-1))</f>
        <v>0</v>
      </c>
      <c r="BO65" s="250">
        <f ca="1">IF($G65=0,0,ROUND(OFFSET(Grunddaten!CO17,El_Produkt,0)*((OFFSET(Grunddaten!$AM$17,El_Produkt,0)-OFFSET(Grunddaten!$Q$17,El_Produkt,0))/100*$G65+$E65),-1))</f>
        <v>0</v>
      </c>
      <c r="BP65" s="250">
        <f ca="1">IF($G65=0,0,ROUND(OFFSET(Grunddaten!CP17,El_Produkt,0)*((OFFSET(Grunddaten!$AM$17,El_Produkt,0)-OFFSET(Grunddaten!$Q$17,El_Produkt,0))/100*$G65+$E65),-1))</f>
        <v>0</v>
      </c>
      <c r="BQ65" s="251">
        <f ca="1">IF($G65=0,0,ROUND(OFFSET(Grunddaten!CQ17,El_Produkt,0)*((OFFSET(Grunddaten!$AM$17,El_Produkt,0)-OFFSET(Grunddaten!$Q$17,El_Produkt,0))/100*$G65+$E65),-1))</f>
        <v>0</v>
      </c>
    </row>
    <row r="66" spans="1:69" s="36" customFormat="1" ht="11.25" customHeight="1" x14ac:dyDescent="0.2">
      <c r="A66" s="1010" t="s">
        <v>543</v>
      </c>
      <c r="B66" s="1003"/>
      <c r="C66" s="2423">
        <v>0.9</v>
      </c>
      <c r="D66" s="2423"/>
      <c r="E66" s="2400"/>
      <c r="F66" s="2401"/>
      <c r="G66" s="2544">
        <f>-Berechnungen!$D$48*C66</f>
        <v>0</v>
      </c>
      <c r="H66" s="2545"/>
      <c r="I66" s="2546"/>
      <c r="J66" s="2388">
        <f>Grunddaten!$S$41-(1-$R$109)*Grunddaten!$Q$41</f>
        <v>14.5985</v>
      </c>
      <c r="K66" s="2389"/>
      <c r="L66" s="2319">
        <f t="shared" ref="L66:L75" si="4">ROUND(E66+G66*J66/100,-1)</f>
        <v>0</v>
      </c>
      <c r="M66" s="2320"/>
      <c r="N66" s="2321"/>
      <c r="S66" s="206">
        <f ca="1">ROUND(Grunddaten!AS41*((Grunddaten!$S41-Grunddaten!$Q41)/100*$G66+$E66),-1)</f>
        <v>0</v>
      </c>
      <c r="T66" s="207">
        <f ca="1">ROUND(Grunddaten!AT41*((Grunddaten!$S41-Grunddaten!$Q41)/100*$G66+$E66),-1)</f>
        <v>0</v>
      </c>
      <c r="U66" s="207">
        <f ca="1">ROUND(Grunddaten!AU41*((Grunddaten!$S41-Grunddaten!$Q41)/100*$G66+$E66),-1)</f>
        <v>0</v>
      </c>
      <c r="V66" s="207">
        <f ca="1">ROUND(Grunddaten!AV41*((Grunddaten!$S41-Grunddaten!$Q41)/100*$G66+$E66),-1)</f>
        <v>0</v>
      </c>
      <c r="W66" s="207">
        <f ca="1">ROUND(Grunddaten!AW41*((Grunddaten!$S41-Grunddaten!$Q41)/100*$G66+$E66),-1)</f>
        <v>0</v>
      </c>
      <c r="X66" s="207">
        <f ca="1">ROUND(Grunddaten!AX41*((Grunddaten!$S41-Grunddaten!$Q41)/100*$G66+$E66),-1)</f>
        <v>0</v>
      </c>
      <c r="Y66" s="207">
        <f ca="1">ROUND(Grunddaten!AY41*((Grunddaten!$S41-Grunddaten!$Q41)/100*$G66+$E66),-1)</f>
        <v>0</v>
      </c>
      <c r="Z66" s="207">
        <f ca="1">ROUND(Grunddaten!AZ41*((Grunddaten!$S41-Grunddaten!$Q41)/100*$G66+$E66),-1)</f>
        <v>0</v>
      </c>
      <c r="AA66" s="207">
        <f ca="1">ROUND(Grunddaten!BA41*((Grunddaten!$S41-Grunddaten!$Q41)/100*$G66+$E66),-1)</f>
        <v>0</v>
      </c>
      <c r="AB66" s="246">
        <f ca="1">ROUND(Grunddaten!BB41*((Grunddaten!$S41-Grunddaten!$Q41)/100*$G66+$E66),-1)</f>
        <v>0</v>
      </c>
      <c r="AC66" s="246">
        <f ca="1">ROUND(Grunddaten!BC41*((Grunddaten!$S41-Grunddaten!$Q41)/100*$G66+$E66),-1)</f>
        <v>0</v>
      </c>
      <c r="AD66" s="246">
        <f ca="1">ROUND(Grunddaten!BD41*((Grunddaten!$S41-Grunddaten!$Q41)/100*$G66+$E66),-1)</f>
        <v>0</v>
      </c>
      <c r="AE66" s="246">
        <f ca="1">ROUND(Grunddaten!BE41*((Grunddaten!$S41-Grunddaten!$Q41)/100*$G66+$E66),-1)</f>
        <v>0</v>
      </c>
      <c r="AF66" s="246">
        <f ca="1">ROUND(Grunddaten!BF41*((Grunddaten!$S41-Grunddaten!$Q41)/100*$G66+$E66),-1)</f>
        <v>0</v>
      </c>
      <c r="AG66" s="246">
        <f ca="1">ROUND(Grunddaten!BG41*((Grunddaten!$S41-Grunddaten!$Q41)/100*$G66+$E66),-1)</f>
        <v>0</v>
      </c>
      <c r="AH66" s="247">
        <f ca="1">ROUND(Grunddaten!BH41*((Grunddaten!$S41-Grunddaten!$Q41)/100*$G66+$E66),-1)</f>
        <v>0</v>
      </c>
      <c r="AI66" s="247">
        <f ca="1">ROUND(Grunddaten!BI41*((Grunddaten!$S41-Grunddaten!$Q41)/100*$G66+$E66),-1)</f>
        <v>0</v>
      </c>
      <c r="AJ66" s="247">
        <f ca="1">ROUND(Grunddaten!BJ41*((Grunddaten!$S41-Grunddaten!$Q41)/100*$G66+$E66),-1)</f>
        <v>0</v>
      </c>
      <c r="AK66" s="247">
        <f ca="1">ROUND(Grunddaten!BK41*((Grunddaten!$S41-Grunddaten!$Q41)/100*$G66+$E66),-1)</f>
        <v>0</v>
      </c>
      <c r="AL66" s="247">
        <f ca="1">ROUND(Grunddaten!BL41*((Grunddaten!$S41-Grunddaten!$Q41)/100*$G66+$E66),-1)</f>
        <v>0</v>
      </c>
      <c r="AM66" s="247">
        <f ca="1">ROUND(Grunddaten!BM41*((Grunddaten!$S41-Grunddaten!$Q41)/100*$G66+$E66),-1)</f>
        <v>0</v>
      </c>
      <c r="AN66" s="247">
        <f ca="1">ROUND(Grunddaten!BN41*((Grunddaten!$S41-Grunddaten!$Q41)/100*$G66+$E66),-1)</f>
        <v>0</v>
      </c>
      <c r="AO66" s="247">
        <f ca="1">ROUND(Grunddaten!BO41*((Grunddaten!$S41-Grunddaten!$Q41)/100*$G66+$E66),-1)</f>
        <v>0</v>
      </c>
      <c r="AP66" s="247">
        <f ca="1">ROUND(Grunddaten!BP41*((Grunddaten!$S41-Grunddaten!$Q41)/100*$G66+$E66),-1)</f>
        <v>0</v>
      </c>
      <c r="AQ66" s="247">
        <f ca="1">ROUND(Grunddaten!BQ41*((Grunddaten!$S41-Grunddaten!$Q41)/100*$G66+$E66),-1)</f>
        <v>0</v>
      </c>
      <c r="AR66" s="247">
        <f ca="1">ROUND(Grunddaten!BR41*((Grunddaten!$S41-Grunddaten!$Q41)/100*$G66+$E66),-1)</f>
        <v>0</v>
      </c>
      <c r="AS66" s="247">
        <f ca="1">ROUND(Grunddaten!BS41*((Grunddaten!$S41-Grunddaten!$Q41)/100*$G66+$E66),-1)</f>
        <v>0</v>
      </c>
      <c r="AT66" s="247">
        <f ca="1">ROUND(Grunddaten!BT41*((Grunddaten!$S41-Grunddaten!$Q41)/100*$G66+$E66),-1)</f>
        <v>0</v>
      </c>
      <c r="AU66" s="247">
        <f ca="1">ROUND(Grunddaten!BU41*((Grunddaten!$S41-Grunddaten!$Q41)/100*$G66+$E66),-1)</f>
        <v>0</v>
      </c>
      <c r="AV66" s="247">
        <f ca="1">ROUND(Grunddaten!BV41*((Grunddaten!$S41-Grunddaten!$Q41)/100*$G66+$E66),-1)</f>
        <v>0</v>
      </c>
      <c r="AW66" s="247">
        <f ca="1">ROUND(Grunddaten!BW41*((Grunddaten!$S41-Grunddaten!$Q41)/100*$G66+$E66),-1)</f>
        <v>0</v>
      </c>
      <c r="AX66" s="247">
        <f ca="1">ROUND(Grunddaten!BX41*((Grunddaten!$S41-Grunddaten!$Q41)/100*$G66+$E66),-1)</f>
        <v>0</v>
      </c>
      <c r="AY66" s="247">
        <f ca="1">ROUND(Grunddaten!BY41*((Grunddaten!$S41-Grunddaten!$Q41)/100*$G66+$E66),-1)</f>
        <v>0</v>
      </c>
      <c r="AZ66" s="247">
        <f ca="1">ROUND(Grunddaten!BZ41*((Grunddaten!$S41-Grunddaten!$Q41)/100*$G66+$E66),-1)</f>
        <v>0</v>
      </c>
      <c r="BA66" s="247">
        <f ca="1">ROUND(Grunddaten!CA41*((Grunddaten!$S41-Grunddaten!$Q41)/100*$G66+$E66),-1)</f>
        <v>0</v>
      </c>
      <c r="BB66" s="247">
        <f ca="1">ROUND(Grunddaten!CB41*((Grunddaten!$S41-Grunddaten!$Q41)/100*$G66+$E66),-1)</f>
        <v>0</v>
      </c>
      <c r="BC66" s="247">
        <f ca="1">ROUND(Grunddaten!CC41*((Grunddaten!$S41-Grunddaten!$Q41)/100*$G66+$E66),-1)</f>
        <v>0</v>
      </c>
      <c r="BD66" s="247">
        <f ca="1">ROUND(Grunddaten!CD41*((Grunddaten!$S41-Grunddaten!$Q41)/100*$G66+$E66),-1)</f>
        <v>0</v>
      </c>
      <c r="BE66" s="247">
        <f ca="1">ROUND(Grunddaten!CE41*((Grunddaten!$S41-Grunddaten!$Q41)/100*$G66+$E66),-1)</f>
        <v>0</v>
      </c>
      <c r="BF66" s="247">
        <f ca="1">ROUND(Grunddaten!CF41*((Grunddaten!$S41-Grunddaten!$Q41)/100*$G66+$E66),-1)</f>
        <v>0</v>
      </c>
      <c r="BG66" s="247">
        <f ca="1">ROUND(Grunddaten!CG41*((Grunddaten!$S41-Grunddaten!$Q41)/100*$G66+$E66),-1)</f>
        <v>0</v>
      </c>
      <c r="BH66" s="247">
        <f ca="1">ROUND(Grunddaten!CH41*((Grunddaten!$S41-Grunddaten!$Q41)/100*$G66+$E66),-1)</f>
        <v>0</v>
      </c>
      <c r="BI66" s="247">
        <f ca="1">ROUND(Grunddaten!CI41*((Grunddaten!$S41-Grunddaten!$Q41)/100*$G66+$E66),-1)</f>
        <v>0</v>
      </c>
      <c r="BJ66" s="247">
        <f ca="1">ROUND(Grunddaten!CJ41*((Grunddaten!$S41-Grunddaten!$Q41)/100*$G66+$E66),-1)</f>
        <v>0</v>
      </c>
      <c r="BK66" s="247">
        <f ca="1">ROUND(Grunddaten!CK41*((Grunddaten!$S41-Grunddaten!$Q41)/100*$G66+$E66),-1)</f>
        <v>0</v>
      </c>
      <c r="BL66" s="247">
        <f ca="1">ROUND(Grunddaten!CL41*((Grunddaten!$S41-Grunddaten!$Q41)/100*$G66+$E66),-1)</f>
        <v>0</v>
      </c>
      <c r="BM66" s="247">
        <f ca="1">ROUND(Grunddaten!CM41*((Grunddaten!$S41-Grunddaten!$Q41)/100*$G66+$E66),-1)</f>
        <v>0</v>
      </c>
      <c r="BN66" s="247">
        <f ca="1">ROUND(Grunddaten!CN41*((Grunddaten!$S41-Grunddaten!$Q41)/100*$G66+$E66),-1)</f>
        <v>0</v>
      </c>
      <c r="BO66" s="247">
        <f ca="1">ROUND(Grunddaten!CO41*((Grunddaten!$S41-Grunddaten!$Q41)/100*$G66+$E66),-1)</f>
        <v>0</v>
      </c>
      <c r="BP66" s="247">
        <f ca="1">ROUND(Grunddaten!CP41*((Grunddaten!$S41-Grunddaten!$Q41)/100*$G66+$E66),-1)</f>
        <v>0</v>
      </c>
      <c r="BQ66" s="248">
        <f ca="1">ROUND(Grunddaten!CQ41*((Grunddaten!$S41-Grunddaten!$Q41)/100*$G66+$E66),-1)</f>
        <v>0</v>
      </c>
    </row>
    <row r="67" spans="1:69" s="36" customFormat="1" ht="11.25" customHeight="1" x14ac:dyDescent="0.2">
      <c r="A67" s="1005" t="s">
        <v>544</v>
      </c>
      <c r="B67" s="1006"/>
      <c r="C67" s="2524">
        <f>1-C66</f>
        <v>9.9999999999999978E-2</v>
      </c>
      <c r="D67" s="2524"/>
      <c r="E67" s="2397"/>
      <c r="F67" s="2398"/>
      <c r="G67" s="2392">
        <f>-Berechnungen!$D$48*C67</f>
        <v>0</v>
      </c>
      <c r="H67" s="2393"/>
      <c r="I67" s="2394"/>
      <c r="J67" s="2390">
        <f>Grunddaten!$S$42-(1-$R$109)*Grunddaten!$Q$41</f>
        <v>10.22045</v>
      </c>
      <c r="K67" s="2391"/>
      <c r="L67" s="2424">
        <f t="shared" si="4"/>
        <v>0</v>
      </c>
      <c r="M67" s="2425"/>
      <c r="N67" s="2426"/>
      <c r="P67" s="489"/>
      <c r="Q67" s="489"/>
      <c r="S67" s="208">
        <f ca="1">ROUND(Grunddaten!AS42*((Grunddaten!$S42-Grunddaten!$Q41)/100*$G67+$E67),-1)</f>
        <v>0</v>
      </c>
      <c r="T67" s="209">
        <f ca="1">ROUND(Grunddaten!AT42*((Grunddaten!$S42-Grunddaten!$Q41)/100*$G67+$E67),-1)</f>
        <v>0</v>
      </c>
      <c r="U67" s="209">
        <f ca="1">ROUND(Grunddaten!AU42*((Grunddaten!$S42-Grunddaten!$Q41)/100*$G67+$E67),-1)</f>
        <v>0</v>
      </c>
      <c r="V67" s="209">
        <f ca="1">ROUND(Grunddaten!AV42*((Grunddaten!$S42-Grunddaten!$Q41)/100*$G67+$E67),-1)</f>
        <v>0</v>
      </c>
      <c r="W67" s="209">
        <f ca="1">ROUND(Grunddaten!AW42*((Grunddaten!$S42-Grunddaten!$Q41)/100*$G67+$E67),-1)</f>
        <v>0</v>
      </c>
      <c r="X67" s="209">
        <f ca="1">ROUND(Grunddaten!AX42*((Grunddaten!$S42-Grunddaten!$Q41)/100*$G67+$E67),-1)</f>
        <v>0</v>
      </c>
      <c r="Y67" s="209">
        <f ca="1">ROUND(Grunddaten!AY42*((Grunddaten!$S42-Grunddaten!$Q41)/100*$G67+$E67),-1)</f>
        <v>0</v>
      </c>
      <c r="Z67" s="209">
        <f ca="1">ROUND(Grunddaten!AZ42*((Grunddaten!$S42-Grunddaten!$Q41)/100*$G67+$E67),-1)</f>
        <v>0</v>
      </c>
      <c r="AA67" s="209">
        <f ca="1">ROUND(Grunddaten!BA42*((Grunddaten!$S42-Grunddaten!$Q41)/100*$G67+$E67),-1)</f>
        <v>0</v>
      </c>
      <c r="AB67" s="249">
        <f ca="1">ROUND(Grunddaten!BB42*((Grunddaten!$S42-Grunddaten!$Q41)/100*$G67+$E67),-1)</f>
        <v>0</v>
      </c>
      <c r="AC67" s="249">
        <f ca="1">ROUND(Grunddaten!BC42*((Grunddaten!$S42-Grunddaten!$Q41)/100*$G67+$E67),-1)</f>
        <v>0</v>
      </c>
      <c r="AD67" s="249">
        <f ca="1">ROUND(Grunddaten!BD42*((Grunddaten!$S42-Grunddaten!$Q41)/100*$G67+$E67),-1)</f>
        <v>0</v>
      </c>
      <c r="AE67" s="249">
        <f ca="1">ROUND(Grunddaten!BE42*((Grunddaten!$S42-Grunddaten!$Q41)/100*$G67+$E67),-1)</f>
        <v>0</v>
      </c>
      <c r="AF67" s="249">
        <f ca="1">ROUND(Grunddaten!BF42*((Grunddaten!$S42-Grunddaten!$Q41)/100*$G67+$E67),-1)</f>
        <v>0</v>
      </c>
      <c r="AG67" s="249">
        <f ca="1">ROUND(Grunddaten!BG42*((Grunddaten!$S42-Grunddaten!$Q41)/100*$G67+$E67),-1)</f>
        <v>0</v>
      </c>
      <c r="AH67" s="250">
        <f ca="1">ROUND(Grunddaten!BH42*((Grunddaten!$S42-Grunddaten!$Q41)/100*$G67+$E67),-1)</f>
        <v>0</v>
      </c>
      <c r="AI67" s="250">
        <f ca="1">ROUND(Grunddaten!BI42*((Grunddaten!$S42-Grunddaten!$Q41)/100*$G67+$E67),-1)</f>
        <v>0</v>
      </c>
      <c r="AJ67" s="250">
        <f ca="1">ROUND(Grunddaten!BJ42*((Grunddaten!$S42-Grunddaten!$Q41)/100*$G67+$E67),-1)</f>
        <v>0</v>
      </c>
      <c r="AK67" s="250">
        <f ca="1">ROUND(Grunddaten!BK42*((Grunddaten!$S42-Grunddaten!$Q41)/100*$G67+$E67),-1)</f>
        <v>0</v>
      </c>
      <c r="AL67" s="250">
        <f ca="1">ROUND(Grunddaten!BL42*((Grunddaten!$S42-Grunddaten!$Q41)/100*$G67+$E67),-1)</f>
        <v>0</v>
      </c>
      <c r="AM67" s="250">
        <f ca="1">ROUND(Grunddaten!BM42*((Grunddaten!$S42-Grunddaten!$Q41)/100*$G67+$E67),-1)</f>
        <v>0</v>
      </c>
      <c r="AN67" s="250">
        <f ca="1">ROUND(Grunddaten!BN42*((Grunddaten!$S42-Grunddaten!$Q41)/100*$G67+$E67),-1)</f>
        <v>0</v>
      </c>
      <c r="AO67" s="250">
        <f ca="1">ROUND(Grunddaten!BO42*((Grunddaten!$S42-Grunddaten!$Q41)/100*$G67+$E67),-1)</f>
        <v>0</v>
      </c>
      <c r="AP67" s="250">
        <f ca="1">ROUND(Grunddaten!BP42*((Grunddaten!$S42-Grunddaten!$Q41)/100*$G67+$E67),-1)</f>
        <v>0</v>
      </c>
      <c r="AQ67" s="250">
        <f ca="1">ROUND(Grunddaten!BQ42*((Grunddaten!$S42-Grunddaten!$Q41)/100*$G67+$E67),-1)</f>
        <v>0</v>
      </c>
      <c r="AR67" s="250">
        <f ca="1">ROUND(Grunddaten!BR42*((Grunddaten!$S42-Grunddaten!$Q41)/100*$G67+$E67),-1)</f>
        <v>0</v>
      </c>
      <c r="AS67" s="250">
        <f ca="1">ROUND(Grunddaten!BS42*((Grunddaten!$S42-Grunddaten!$Q41)/100*$G67+$E67),-1)</f>
        <v>0</v>
      </c>
      <c r="AT67" s="250">
        <f ca="1">ROUND(Grunddaten!BT42*((Grunddaten!$S42-Grunddaten!$Q41)/100*$G67+$E67),-1)</f>
        <v>0</v>
      </c>
      <c r="AU67" s="250">
        <f ca="1">ROUND(Grunddaten!BU42*((Grunddaten!$S42-Grunddaten!$Q41)/100*$G67+$E67),-1)</f>
        <v>0</v>
      </c>
      <c r="AV67" s="250">
        <f ca="1">ROUND(Grunddaten!BV42*((Grunddaten!$S42-Grunddaten!$Q41)/100*$G67+$E67),-1)</f>
        <v>0</v>
      </c>
      <c r="AW67" s="250">
        <f ca="1">ROUND(Grunddaten!BW42*((Grunddaten!$S42-Grunddaten!$Q41)/100*$G67+$E67),-1)</f>
        <v>0</v>
      </c>
      <c r="AX67" s="250">
        <f ca="1">ROUND(Grunddaten!BX42*((Grunddaten!$S42-Grunddaten!$Q41)/100*$G67+$E67),-1)</f>
        <v>0</v>
      </c>
      <c r="AY67" s="250">
        <f ca="1">ROUND(Grunddaten!BY42*((Grunddaten!$S42-Grunddaten!$Q41)/100*$G67+$E67),-1)</f>
        <v>0</v>
      </c>
      <c r="AZ67" s="250">
        <f ca="1">ROUND(Grunddaten!BZ42*((Grunddaten!$S42-Grunddaten!$Q41)/100*$G67+$E67),-1)</f>
        <v>0</v>
      </c>
      <c r="BA67" s="250">
        <f ca="1">ROUND(Grunddaten!CA42*((Grunddaten!$S42-Grunddaten!$Q41)/100*$G67+$E67),-1)</f>
        <v>0</v>
      </c>
      <c r="BB67" s="250">
        <f ca="1">ROUND(Grunddaten!CB42*((Grunddaten!$S42-Grunddaten!$Q41)/100*$G67+$E67),-1)</f>
        <v>0</v>
      </c>
      <c r="BC67" s="250">
        <f ca="1">ROUND(Grunddaten!CC42*((Grunddaten!$S42-Grunddaten!$Q41)/100*$G67+$E67),-1)</f>
        <v>0</v>
      </c>
      <c r="BD67" s="250">
        <f ca="1">ROUND(Grunddaten!CD42*((Grunddaten!$S42-Grunddaten!$Q41)/100*$G67+$E67),-1)</f>
        <v>0</v>
      </c>
      <c r="BE67" s="250">
        <f ca="1">ROUND(Grunddaten!CE42*((Grunddaten!$S42-Grunddaten!$Q41)/100*$G67+$E67),-1)</f>
        <v>0</v>
      </c>
      <c r="BF67" s="250">
        <f ca="1">ROUND(Grunddaten!CF42*((Grunddaten!$S42-Grunddaten!$Q41)/100*$G67+$E67),-1)</f>
        <v>0</v>
      </c>
      <c r="BG67" s="250">
        <f ca="1">ROUND(Grunddaten!CG42*((Grunddaten!$S42-Grunddaten!$Q41)/100*$G67+$E67),-1)</f>
        <v>0</v>
      </c>
      <c r="BH67" s="250">
        <f ca="1">ROUND(Grunddaten!CH42*((Grunddaten!$S42-Grunddaten!$Q41)/100*$G67+$E67),-1)</f>
        <v>0</v>
      </c>
      <c r="BI67" s="250">
        <f ca="1">ROUND(Grunddaten!CI42*((Grunddaten!$S42-Grunddaten!$Q41)/100*$G67+$E67),-1)</f>
        <v>0</v>
      </c>
      <c r="BJ67" s="250">
        <f ca="1">ROUND(Grunddaten!CJ42*((Grunddaten!$S42-Grunddaten!$Q41)/100*$G67+$E67),-1)</f>
        <v>0</v>
      </c>
      <c r="BK67" s="250">
        <f ca="1">ROUND(Grunddaten!CK42*((Grunddaten!$S42-Grunddaten!$Q41)/100*$G67+$E67),-1)</f>
        <v>0</v>
      </c>
      <c r="BL67" s="250">
        <f ca="1">ROUND(Grunddaten!CL42*((Grunddaten!$S42-Grunddaten!$Q41)/100*$G67+$E67),-1)</f>
        <v>0</v>
      </c>
      <c r="BM67" s="250">
        <f ca="1">ROUND(Grunddaten!CM42*((Grunddaten!$S42-Grunddaten!$Q41)/100*$G67+$E67),-1)</f>
        <v>0</v>
      </c>
      <c r="BN67" s="250">
        <f ca="1">ROUND(Grunddaten!CN42*((Grunddaten!$S42-Grunddaten!$Q41)/100*$G67+$E67),-1)</f>
        <v>0</v>
      </c>
      <c r="BO67" s="250">
        <f ca="1">ROUND(Grunddaten!CO42*((Grunddaten!$S42-Grunddaten!$Q41)/100*$G67+$E67),-1)</f>
        <v>0</v>
      </c>
      <c r="BP67" s="250">
        <f ca="1">ROUND(Grunddaten!CP42*((Grunddaten!$S42-Grunddaten!$Q41)/100*$G67+$E67),-1)</f>
        <v>0</v>
      </c>
      <c r="BQ67" s="251">
        <f ca="1">ROUND(Grunddaten!CQ42*((Grunddaten!$S42-Grunddaten!$Q41)/100*$G67+$E67),-1)</f>
        <v>0</v>
      </c>
    </row>
    <row r="68" spans="1:69" s="36" customFormat="1" ht="11.25" customHeight="1" x14ac:dyDescent="0.2">
      <c r="A68" s="1010" t="s">
        <v>545</v>
      </c>
      <c r="B68" s="1003"/>
      <c r="C68" s="2423">
        <v>0.7</v>
      </c>
      <c r="D68" s="2423"/>
      <c r="E68" s="2400"/>
      <c r="F68" s="2401"/>
      <c r="G68" s="2544">
        <f>-Berechnungen!$D$47*C68</f>
        <v>0</v>
      </c>
      <c r="H68" s="2545"/>
      <c r="I68" s="2546"/>
      <c r="J68" s="2388">
        <f>Grunddaten!$S$43-(1-$R$109)*Grunddaten!$Q$43</f>
        <v>9.1884999999999994</v>
      </c>
      <c r="K68" s="2389"/>
      <c r="L68" s="2319">
        <f t="shared" ref="L68:L69" si="5">ROUND(E68+G68*J68/100,-1)</f>
        <v>0</v>
      </c>
      <c r="M68" s="2320"/>
      <c r="N68" s="2321"/>
      <c r="S68" s="206">
        <f ca="1">ROUND(Grunddaten!AS43*((Grunddaten!$S43-Grunddaten!$Q43)/100*$G68+$E68),-1)</f>
        <v>0</v>
      </c>
      <c r="T68" s="207">
        <f ca="1">ROUND(Grunddaten!AT43*((Grunddaten!$S43-Grunddaten!$Q43)/100*$G68+$E68),-1)</f>
        <v>0</v>
      </c>
      <c r="U68" s="207">
        <f ca="1">ROUND(Grunddaten!AU43*((Grunddaten!$S43-Grunddaten!$Q43)/100*$G68+$E68),-1)</f>
        <v>0</v>
      </c>
      <c r="V68" s="207">
        <f ca="1">ROUND(Grunddaten!AV43*((Grunddaten!$S43-Grunddaten!$Q43)/100*$G68+$E68),-1)</f>
        <v>0</v>
      </c>
      <c r="W68" s="207">
        <f ca="1">ROUND(Grunddaten!AW43*((Grunddaten!$S43-Grunddaten!$Q43)/100*$G68+$E68),-1)</f>
        <v>0</v>
      </c>
      <c r="X68" s="207">
        <f ca="1">ROUND(Grunddaten!AX43*((Grunddaten!$S43-Grunddaten!$Q43)/100*$G68+$E68),-1)</f>
        <v>0</v>
      </c>
      <c r="Y68" s="207">
        <f ca="1">ROUND(Grunddaten!AY43*((Grunddaten!$S43-Grunddaten!$Q43)/100*$G68+$E68),-1)</f>
        <v>0</v>
      </c>
      <c r="Z68" s="207">
        <f ca="1">ROUND(Grunddaten!AZ43*((Grunddaten!$S43-Grunddaten!$Q43)/100*$G68+$E68),-1)</f>
        <v>0</v>
      </c>
      <c r="AA68" s="207">
        <f ca="1">ROUND(Grunddaten!BA43*((Grunddaten!$S43-Grunddaten!$Q43)/100*$G68+$E68),-1)</f>
        <v>0</v>
      </c>
      <c r="AB68" s="246">
        <f ca="1">ROUND(Grunddaten!BB43*((Grunddaten!$S43-Grunddaten!$Q43)/100*$G68+$E68),-1)</f>
        <v>0</v>
      </c>
      <c r="AC68" s="246">
        <f ca="1">ROUND(Grunddaten!BC43*((Grunddaten!$S43-Grunddaten!$Q43)/100*$G68+$E68),-1)</f>
        <v>0</v>
      </c>
      <c r="AD68" s="246">
        <f ca="1">ROUND(Grunddaten!BD43*((Grunddaten!$S43-Grunddaten!$Q43)/100*$G68+$E68),-1)</f>
        <v>0</v>
      </c>
      <c r="AE68" s="246">
        <f ca="1">ROUND(Grunddaten!BE43*((Grunddaten!$S43-Grunddaten!$Q43)/100*$G68+$E68),-1)</f>
        <v>0</v>
      </c>
      <c r="AF68" s="246">
        <f ca="1">ROUND(Grunddaten!BF43*((Grunddaten!$S43-Grunddaten!$Q43)/100*$G68+$E68),-1)</f>
        <v>0</v>
      </c>
      <c r="AG68" s="246">
        <f ca="1">ROUND(Grunddaten!BG43*((Grunddaten!$S43-Grunddaten!$Q43)/100*$G68+$E68),-1)</f>
        <v>0</v>
      </c>
      <c r="AH68" s="247">
        <f ca="1">ROUND(Grunddaten!BH43*((Grunddaten!$S43-Grunddaten!$Q43)/100*$G68+$E68),-1)</f>
        <v>0</v>
      </c>
      <c r="AI68" s="247">
        <f ca="1">ROUND(Grunddaten!BI43*((Grunddaten!$S43-Grunddaten!$Q43)/100*$G68+$E68),-1)</f>
        <v>0</v>
      </c>
      <c r="AJ68" s="247">
        <f ca="1">ROUND(Grunddaten!BJ43*((Grunddaten!$S43-Grunddaten!$Q43)/100*$G68+$E68),-1)</f>
        <v>0</v>
      </c>
      <c r="AK68" s="247">
        <f ca="1">ROUND(Grunddaten!BK43*((Grunddaten!$S43-Grunddaten!$Q43)/100*$G68+$E68),-1)</f>
        <v>0</v>
      </c>
      <c r="AL68" s="247">
        <f ca="1">ROUND(Grunddaten!BL43*((Grunddaten!$S43-Grunddaten!$Q43)/100*$G68+$E68),-1)</f>
        <v>0</v>
      </c>
      <c r="AM68" s="247">
        <f ca="1">ROUND(Grunddaten!BM43*((Grunddaten!$S43-Grunddaten!$Q43)/100*$G68+$E68),-1)</f>
        <v>0</v>
      </c>
      <c r="AN68" s="247">
        <f ca="1">ROUND(Grunddaten!BN43*((Grunddaten!$S43-Grunddaten!$Q43)/100*$G68+$E68),-1)</f>
        <v>0</v>
      </c>
      <c r="AO68" s="247">
        <f ca="1">ROUND(Grunddaten!BO43*((Grunddaten!$S43-Grunddaten!$Q43)/100*$G68+$E68),-1)</f>
        <v>0</v>
      </c>
      <c r="AP68" s="247">
        <f ca="1">ROUND(Grunddaten!BP43*((Grunddaten!$S43-Grunddaten!$Q43)/100*$G68+$E68),-1)</f>
        <v>0</v>
      </c>
      <c r="AQ68" s="247">
        <f ca="1">ROUND(Grunddaten!BQ43*((Grunddaten!$S43-Grunddaten!$Q43)/100*$G68+$E68),-1)</f>
        <v>0</v>
      </c>
      <c r="AR68" s="247">
        <f ca="1">ROUND(Grunddaten!BR43*((Grunddaten!$S43-Grunddaten!$Q43)/100*$G68+$E68),-1)</f>
        <v>0</v>
      </c>
      <c r="AS68" s="247">
        <f ca="1">ROUND(Grunddaten!BS43*((Grunddaten!$S43-Grunddaten!$Q43)/100*$G68+$E68),-1)</f>
        <v>0</v>
      </c>
      <c r="AT68" s="247">
        <f ca="1">ROUND(Grunddaten!BT43*((Grunddaten!$S43-Grunddaten!$Q43)/100*$G68+$E68),-1)</f>
        <v>0</v>
      </c>
      <c r="AU68" s="247">
        <f ca="1">ROUND(Grunddaten!BU43*((Grunddaten!$S43-Grunddaten!$Q43)/100*$G68+$E68),-1)</f>
        <v>0</v>
      </c>
      <c r="AV68" s="247">
        <f ca="1">ROUND(Grunddaten!BV43*((Grunddaten!$S43-Grunddaten!$Q43)/100*$G68+$E68),-1)</f>
        <v>0</v>
      </c>
      <c r="AW68" s="247">
        <f ca="1">ROUND(Grunddaten!BW43*((Grunddaten!$S43-Grunddaten!$Q43)/100*$G68+$E68),-1)</f>
        <v>0</v>
      </c>
      <c r="AX68" s="247">
        <f ca="1">ROUND(Grunddaten!BX43*((Grunddaten!$S43-Grunddaten!$Q43)/100*$G68+$E68),-1)</f>
        <v>0</v>
      </c>
      <c r="AY68" s="247">
        <f ca="1">ROUND(Grunddaten!BY43*((Grunddaten!$S43-Grunddaten!$Q43)/100*$G68+$E68),-1)</f>
        <v>0</v>
      </c>
      <c r="AZ68" s="247">
        <f ca="1">ROUND(Grunddaten!BZ43*((Grunddaten!$S43-Grunddaten!$Q43)/100*$G68+$E68),-1)</f>
        <v>0</v>
      </c>
      <c r="BA68" s="247">
        <f ca="1">ROUND(Grunddaten!CA43*((Grunddaten!$S43-Grunddaten!$Q43)/100*$G68+$E68),-1)</f>
        <v>0</v>
      </c>
      <c r="BB68" s="247">
        <f ca="1">ROUND(Grunddaten!CB43*((Grunddaten!$S43-Grunddaten!$Q43)/100*$G68+$E68),-1)</f>
        <v>0</v>
      </c>
      <c r="BC68" s="247">
        <f ca="1">ROUND(Grunddaten!CC43*((Grunddaten!$S43-Grunddaten!$Q43)/100*$G68+$E68),-1)</f>
        <v>0</v>
      </c>
      <c r="BD68" s="247">
        <f ca="1">ROUND(Grunddaten!CD43*((Grunddaten!$S43-Grunddaten!$Q43)/100*$G68+$E68),-1)</f>
        <v>0</v>
      </c>
      <c r="BE68" s="247">
        <f ca="1">ROUND(Grunddaten!CE43*((Grunddaten!$S43-Grunddaten!$Q43)/100*$G68+$E68),-1)</f>
        <v>0</v>
      </c>
      <c r="BF68" s="247">
        <f ca="1">ROUND(Grunddaten!CF43*((Grunddaten!$S43-Grunddaten!$Q43)/100*$G68+$E68),-1)</f>
        <v>0</v>
      </c>
      <c r="BG68" s="247">
        <f ca="1">ROUND(Grunddaten!CG43*((Grunddaten!$S43-Grunddaten!$Q43)/100*$G68+$E68),-1)</f>
        <v>0</v>
      </c>
      <c r="BH68" s="247">
        <f ca="1">ROUND(Grunddaten!CH43*((Grunddaten!$S43-Grunddaten!$Q43)/100*$G68+$E68),-1)</f>
        <v>0</v>
      </c>
      <c r="BI68" s="247">
        <f ca="1">ROUND(Grunddaten!CI43*((Grunddaten!$S43-Grunddaten!$Q43)/100*$G68+$E68),-1)</f>
        <v>0</v>
      </c>
      <c r="BJ68" s="247">
        <f ca="1">ROUND(Grunddaten!CJ43*((Grunddaten!$S43-Grunddaten!$Q43)/100*$G68+$E68),-1)</f>
        <v>0</v>
      </c>
      <c r="BK68" s="247">
        <f ca="1">ROUND(Grunddaten!CK43*((Grunddaten!$S43-Grunddaten!$Q43)/100*$G68+$E68),-1)</f>
        <v>0</v>
      </c>
      <c r="BL68" s="247">
        <f ca="1">ROUND(Grunddaten!CL43*((Grunddaten!$S43-Grunddaten!$Q43)/100*$G68+$E68),-1)</f>
        <v>0</v>
      </c>
      <c r="BM68" s="247">
        <f ca="1">ROUND(Grunddaten!CM43*((Grunddaten!$S43-Grunddaten!$Q43)/100*$G68+$E68),-1)</f>
        <v>0</v>
      </c>
      <c r="BN68" s="247">
        <f ca="1">ROUND(Grunddaten!CN43*((Grunddaten!$S43-Grunddaten!$Q43)/100*$G68+$E68),-1)</f>
        <v>0</v>
      </c>
      <c r="BO68" s="247">
        <f ca="1">ROUND(Grunddaten!CO43*((Grunddaten!$S43-Grunddaten!$Q43)/100*$G68+$E68),-1)</f>
        <v>0</v>
      </c>
      <c r="BP68" s="247">
        <f ca="1">ROUND(Grunddaten!CP43*((Grunddaten!$S43-Grunddaten!$Q43)/100*$G68+$E68),-1)</f>
        <v>0</v>
      </c>
      <c r="BQ68" s="248">
        <f ca="1">ROUND(Grunddaten!CQ43*((Grunddaten!$S43-Grunddaten!$Q43)/100*$G68+$E68),-1)</f>
        <v>0</v>
      </c>
    </row>
    <row r="69" spans="1:69" s="36" customFormat="1" ht="11.25" customHeight="1" x14ac:dyDescent="0.2">
      <c r="A69" s="1005" t="s">
        <v>546</v>
      </c>
      <c r="B69" s="1006"/>
      <c r="C69" s="2524">
        <f>1-C68</f>
        <v>0.30000000000000004</v>
      </c>
      <c r="D69" s="2524"/>
      <c r="E69" s="2397"/>
      <c r="F69" s="2398"/>
      <c r="G69" s="2392">
        <f>-Berechnungen!$D$47*C69</f>
        <v>0</v>
      </c>
      <c r="H69" s="2393"/>
      <c r="I69" s="2394"/>
      <c r="J69" s="2390">
        <f>Grunddaten!$S$44-(1-$R$109)*Grunddaten!$Q$43</f>
        <v>4.8104500000000003</v>
      </c>
      <c r="K69" s="2391"/>
      <c r="L69" s="2424">
        <f t="shared" si="5"/>
        <v>0</v>
      </c>
      <c r="M69" s="2425"/>
      <c r="N69" s="2426"/>
      <c r="P69" s="618"/>
      <c r="Q69" s="618"/>
      <c r="S69" s="208">
        <f ca="1">ROUND(Grunddaten!AS44*((Grunddaten!$S44-Grunddaten!$Q43)/100*$G69+$E69),-1)</f>
        <v>0</v>
      </c>
      <c r="T69" s="209">
        <f ca="1">ROUND(Grunddaten!AT44*((Grunddaten!$S44-Grunddaten!$Q43)/100*$G69+$E69),-1)</f>
        <v>0</v>
      </c>
      <c r="U69" s="209">
        <f ca="1">ROUND(Grunddaten!AU44*((Grunddaten!$S44-Grunddaten!$Q43)/100*$G69+$E69),-1)</f>
        <v>0</v>
      </c>
      <c r="V69" s="209">
        <f ca="1">ROUND(Grunddaten!AV44*((Grunddaten!$S44-Grunddaten!$Q43)/100*$G69+$E69),-1)</f>
        <v>0</v>
      </c>
      <c r="W69" s="209">
        <f ca="1">ROUND(Grunddaten!AW44*((Grunddaten!$S44-Grunddaten!$Q43)/100*$G69+$E69),-1)</f>
        <v>0</v>
      </c>
      <c r="X69" s="209">
        <f ca="1">ROUND(Grunddaten!AX44*((Grunddaten!$S44-Grunddaten!$Q43)/100*$G69+$E69),-1)</f>
        <v>0</v>
      </c>
      <c r="Y69" s="209">
        <f ca="1">ROUND(Grunddaten!AY44*((Grunddaten!$S44-Grunddaten!$Q43)/100*$G69+$E69),-1)</f>
        <v>0</v>
      </c>
      <c r="Z69" s="209">
        <f ca="1">ROUND(Grunddaten!AZ44*((Grunddaten!$S44-Grunddaten!$Q43)/100*$G69+$E69),-1)</f>
        <v>0</v>
      </c>
      <c r="AA69" s="209">
        <f ca="1">ROUND(Grunddaten!BA44*((Grunddaten!$S44-Grunddaten!$Q43)/100*$G69+$E69),-1)</f>
        <v>0</v>
      </c>
      <c r="AB69" s="249">
        <f ca="1">ROUND(Grunddaten!BB44*((Grunddaten!$S44-Grunddaten!$Q43)/100*$G69+$E69),-1)</f>
        <v>0</v>
      </c>
      <c r="AC69" s="249">
        <f ca="1">ROUND(Grunddaten!BC44*((Grunddaten!$S44-Grunddaten!$Q43)/100*$G69+$E69),-1)</f>
        <v>0</v>
      </c>
      <c r="AD69" s="249">
        <f ca="1">ROUND(Grunddaten!BD44*((Grunddaten!$S44-Grunddaten!$Q43)/100*$G69+$E69),-1)</f>
        <v>0</v>
      </c>
      <c r="AE69" s="249">
        <f ca="1">ROUND(Grunddaten!BE44*((Grunddaten!$S44-Grunddaten!$Q43)/100*$G69+$E69),-1)</f>
        <v>0</v>
      </c>
      <c r="AF69" s="249">
        <f ca="1">ROUND(Grunddaten!BF44*((Grunddaten!$S44-Grunddaten!$Q43)/100*$G69+$E69),-1)</f>
        <v>0</v>
      </c>
      <c r="AG69" s="249">
        <f ca="1">ROUND(Grunddaten!BG44*((Grunddaten!$S44-Grunddaten!$Q43)/100*$G69+$E69),-1)</f>
        <v>0</v>
      </c>
      <c r="AH69" s="250">
        <f ca="1">ROUND(Grunddaten!BH44*((Grunddaten!$S44-Grunddaten!$Q43)/100*$G69+$E69),-1)</f>
        <v>0</v>
      </c>
      <c r="AI69" s="250">
        <f ca="1">ROUND(Grunddaten!BI44*((Grunddaten!$S44-Grunddaten!$Q43)/100*$G69+$E69),-1)</f>
        <v>0</v>
      </c>
      <c r="AJ69" s="250">
        <f ca="1">ROUND(Grunddaten!BJ44*((Grunddaten!$S44-Grunddaten!$Q43)/100*$G69+$E69),-1)</f>
        <v>0</v>
      </c>
      <c r="AK69" s="250">
        <f ca="1">ROUND(Grunddaten!BK44*((Grunddaten!$S44-Grunddaten!$Q43)/100*$G69+$E69),-1)</f>
        <v>0</v>
      </c>
      <c r="AL69" s="250">
        <f ca="1">ROUND(Grunddaten!BL44*((Grunddaten!$S44-Grunddaten!$Q43)/100*$G69+$E69),-1)</f>
        <v>0</v>
      </c>
      <c r="AM69" s="250">
        <f ca="1">ROUND(Grunddaten!BM44*((Grunddaten!$S44-Grunddaten!$Q43)/100*$G69+$E69),-1)</f>
        <v>0</v>
      </c>
      <c r="AN69" s="250">
        <f ca="1">ROUND(Grunddaten!BN44*((Grunddaten!$S44-Grunddaten!$Q43)/100*$G69+$E69),-1)</f>
        <v>0</v>
      </c>
      <c r="AO69" s="250">
        <f ca="1">ROUND(Grunddaten!BO44*((Grunddaten!$S44-Grunddaten!$Q43)/100*$G69+$E69),-1)</f>
        <v>0</v>
      </c>
      <c r="AP69" s="250">
        <f ca="1">ROUND(Grunddaten!BP44*((Grunddaten!$S44-Grunddaten!$Q43)/100*$G69+$E69),-1)</f>
        <v>0</v>
      </c>
      <c r="AQ69" s="250">
        <f ca="1">ROUND(Grunddaten!BQ44*((Grunddaten!$S44-Grunddaten!$Q43)/100*$G69+$E69),-1)</f>
        <v>0</v>
      </c>
      <c r="AR69" s="250">
        <f ca="1">ROUND(Grunddaten!BR44*((Grunddaten!$S44-Grunddaten!$Q43)/100*$G69+$E69),-1)</f>
        <v>0</v>
      </c>
      <c r="AS69" s="250">
        <f ca="1">ROUND(Grunddaten!BS44*((Grunddaten!$S44-Grunddaten!$Q43)/100*$G69+$E69),-1)</f>
        <v>0</v>
      </c>
      <c r="AT69" s="250">
        <f ca="1">ROUND(Grunddaten!BT44*((Grunddaten!$S44-Grunddaten!$Q43)/100*$G69+$E69),-1)</f>
        <v>0</v>
      </c>
      <c r="AU69" s="250">
        <f ca="1">ROUND(Grunddaten!BU44*((Grunddaten!$S44-Grunddaten!$Q43)/100*$G69+$E69),-1)</f>
        <v>0</v>
      </c>
      <c r="AV69" s="250">
        <f ca="1">ROUND(Grunddaten!BV44*((Grunddaten!$S44-Grunddaten!$Q43)/100*$G69+$E69),-1)</f>
        <v>0</v>
      </c>
      <c r="AW69" s="250">
        <f ca="1">ROUND(Grunddaten!BW44*((Grunddaten!$S44-Grunddaten!$Q43)/100*$G69+$E69),-1)</f>
        <v>0</v>
      </c>
      <c r="AX69" s="250">
        <f ca="1">ROUND(Grunddaten!BX44*((Grunddaten!$S44-Grunddaten!$Q43)/100*$G69+$E69),-1)</f>
        <v>0</v>
      </c>
      <c r="AY69" s="250">
        <f ca="1">ROUND(Grunddaten!BY44*((Grunddaten!$S44-Grunddaten!$Q43)/100*$G69+$E69),-1)</f>
        <v>0</v>
      </c>
      <c r="AZ69" s="250">
        <f ca="1">ROUND(Grunddaten!BZ44*((Grunddaten!$S44-Grunddaten!$Q43)/100*$G69+$E69),-1)</f>
        <v>0</v>
      </c>
      <c r="BA69" s="250">
        <f ca="1">ROUND(Grunddaten!CA44*((Grunddaten!$S44-Grunddaten!$Q43)/100*$G69+$E69),-1)</f>
        <v>0</v>
      </c>
      <c r="BB69" s="250">
        <f ca="1">ROUND(Grunddaten!CB44*((Grunddaten!$S44-Grunddaten!$Q43)/100*$G69+$E69),-1)</f>
        <v>0</v>
      </c>
      <c r="BC69" s="250">
        <f ca="1">ROUND(Grunddaten!CC44*((Grunddaten!$S44-Grunddaten!$Q43)/100*$G69+$E69),-1)</f>
        <v>0</v>
      </c>
      <c r="BD69" s="250">
        <f ca="1">ROUND(Grunddaten!CD44*((Grunddaten!$S44-Grunddaten!$Q43)/100*$G69+$E69),-1)</f>
        <v>0</v>
      </c>
      <c r="BE69" s="250">
        <f ca="1">ROUND(Grunddaten!CE44*((Grunddaten!$S44-Grunddaten!$Q43)/100*$G69+$E69),-1)</f>
        <v>0</v>
      </c>
      <c r="BF69" s="250">
        <f ca="1">ROUND(Grunddaten!CF44*((Grunddaten!$S44-Grunddaten!$Q43)/100*$G69+$E69),-1)</f>
        <v>0</v>
      </c>
      <c r="BG69" s="250">
        <f ca="1">ROUND(Grunddaten!CG44*((Grunddaten!$S44-Grunddaten!$Q43)/100*$G69+$E69),-1)</f>
        <v>0</v>
      </c>
      <c r="BH69" s="250">
        <f ca="1">ROUND(Grunddaten!CH44*((Grunddaten!$S44-Grunddaten!$Q43)/100*$G69+$E69),-1)</f>
        <v>0</v>
      </c>
      <c r="BI69" s="250">
        <f ca="1">ROUND(Grunddaten!CI44*((Grunddaten!$S44-Grunddaten!$Q43)/100*$G69+$E69),-1)</f>
        <v>0</v>
      </c>
      <c r="BJ69" s="250">
        <f ca="1">ROUND(Grunddaten!CJ44*((Grunddaten!$S44-Grunddaten!$Q43)/100*$G69+$E69),-1)</f>
        <v>0</v>
      </c>
      <c r="BK69" s="250">
        <f ca="1">ROUND(Grunddaten!CK44*((Grunddaten!$S44-Grunddaten!$Q43)/100*$G69+$E69),-1)</f>
        <v>0</v>
      </c>
      <c r="BL69" s="250">
        <f ca="1">ROUND(Grunddaten!CL44*((Grunddaten!$S44-Grunddaten!$Q43)/100*$G69+$E69),-1)</f>
        <v>0</v>
      </c>
      <c r="BM69" s="250">
        <f ca="1">ROUND(Grunddaten!CM44*((Grunddaten!$S44-Grunddaten!$Q43)/100*$G69+$E69),-1)</f>
        <v>0</v>
      </c>
      <c r="BN69" s="250">
        <f ca="1">ROUND(Grunddaten!CN44*((Grunddaten!$S44-Grunddaten!$Q43)/100*$G69+$E69),-1)</f>
        <v>0</v>
      </c>
      <c r="BO69" s="250">
        <f ca="1">ROUND(Grunddaten!CO44*((Grunddaten!$S44-Grunddaten!$Q43)/100*$G69+$E69),-1)</f>
        <v>0</v>
      </c>
      <c r="BP69" s="250">
        <f ca="1">ROUND(Grunddaten!CP44*((Grunddaten!$S44-Grunddaten!$Q43)/100*$G69+$E69),-1)</f>
        <v>0</v>
      </c>
      <c r="BQ69" s="251">
        <f ca="1">ROUND(Grunddaten!CQ44*((Grunddaten!$S44-Grunddaten!$Q43)/100*$G69+$E69),-1)</f>
        <v>0</v>
      </c>
    </row>
    <row r="70" spans="1:69" s="36" customFormat="1" ht="11.25" customHeight="1" x14ac:dyDescent="0.2">
      <c r="A70" s="1011" t="str">
        <f>Berechnungen!A36</f>
        <v>Holzpellets</v>
      </c>
      <c r="B70" s="1012"/>
      <c r="C70" s="1491"/>
      <c r="D70" s="1491"/>
      <c r="E70" s="2397"/>
      <c r="F70" s="2398"/>
      <c r="G70" s="2392">
        <f ca="1">SUMIF(EV_Var1!$A$11:$B$74,$A70,EV_Var1!$E$11:$E$74)</f>
        <v>0</v>
      </c>
      <c r="H70" s="2393"/>
      <c r="I70" s="2394"/>
      <c r="J70" s="2390">
        <f>Grunddaten!S45-(1-$R$109)*Grunddaten!Q45</f>
        <v>9.3000000000000007</v>
      </c>
      <c r="K70" s="2391"/>
      <c r="L70" s="2424">
        <f t="shared" ca="1" si="4"/>
        <v>0</v>
      </c>
      <c r="M70" s="2425"/>
      <c r="N70" s="2426"/>
      <c r="P70" s="489"/>
      <c r="Q70" s="489"/>
      <c r="S70" s="252">
        <f ca="1">ROUND(Grunddaten!AS45*((Grunddaten!$S45-Grunddaten!$Q45)/100*$G70+$E70),-1)</f>
        <v>0</v>
      </c>
      <c r="T70" s="253">
        <f ca="1">ROUND(Grunddaten!AT45*((Grunddaten!$S45-Grunddaten!$Q45)/100*$G70+$E70),-1)</f>
        <v>0</v>
      </c>
      <c r="U70" s="253">
        <f ca="1">ROUND(Grunddaten!AU45*((Grunddaten!$S45-Grunddaten!$Q45)/100*$G70+$E70),-1)</f>
        <v>0</v>
      </c>
      <c r="V70" s="253">
        <f ca="1">ROUND(Grunddaten!AV45*((Grunddaten!$S45-Grunddaten!$Q45)/100*$G70+$E70),-1)</f>
        <v>0</v>
      </c>
      <c r="W70" s="253">
        <f ca="1">ROUND(Grunddaten!AW45*((Grunddaten!$S45-Grunddaten!$Q45)/100*$G70+$E70),-1)</f>
        <v>0</v>
      </c>
      <c r="X70" s="253">
        <f ca="1">ROUND(Grunddaten!AX45*((Grunddaten!$S45-Grunddaten!$Q45)/100*$G70+$E70),-1)</f>
        <v>0</v>
      </c>
      <c r="Y70" s="253">
        <f ca="1">ROUND(Grunddaten!AY45*((Grunddaten!$S45-Grunddaten!$Q45)/100*$G70+$E70),-1)</f>
        <v>0</v>
      </c>
      <c r="Z70" s="253">
        <f ca="1">ROUND(Grunddaten!AZ45*((Grunddaten!$S45-Grunddaten!$Q45)/100*$G70+$E70),-1)</f>
        <v>0</v>
      </c>
      <c r="AA70" s="253">
        <f ca="1">ROUND(Grunddaten!BA45*((Grunddaten!$S45-Grunddaten!$Q45)/100*$G70+$E70),-1)</f>
        <v>0</v>
      </c>
      <c r="AB70" s="254">
        <f ca="1">ROUND(Grunddaten!BB45*((Grunddaten!$S45-Grunddaten!$Q45)/100*$G70+$E70),-1)</f>
        <v>0</v>
      </c>
      <c r="AC70" s="254">
        <f ca="1">ROUND(Grunddaten!BC45*((Grunddaten!$S45-Grunddaten!$Q45)/100*$G70+$E70),-1)</f>
        <v>0</v>
      </c>
      <c r="AD70" s="254">
        <f ca="1">ROUND(Grunddaten!BD45*((Grunddaten!$S45-Grunddaten!$Q45)/100*$G70+$E70),-1)</f>
        <v>0</v>
      </c>
      <c r="AE70" s="254">
        <f ca="1">ROUND(Grunddaten!BE45*((Grunddaten!$S45-Grunddaten!$Q45)/100*$G70+$E70),-1)</f>
        <v>0</v>
      </c>
      <c r="AF70" s="254">
        <f ca="1">ROUND(Grunddaten!BF45*((Grunddaten!$S45-Grunddaten!$Q45)/100*$G70+$E70),-1)</f>
        <v>0</v>
      </c>
      <c r="AG70" s="254">
        <f ca="1">ROUND(Grunddaten!BG45*((Grunddaten!$S45-Grunddaten!$Q45)/100*$G70+$E70),-1)</f>
        <v>0</v>
      </c>
      <c r="AH70" s="255">
        <f ca="1">ROUND(Grunddaten!BH45*((Grunddaten!$S45-Grunddaten!$Q45)/100*$G70+$E70),-1)</f>
        <v>0</v>
      </c>
      <c r="AI70" s="255">
        <f ca="1">ROUND(Grunddaten!BI45*((Grunddaten!$S45-Grunddaten!$Q45)/100*$G70+$E70),-1)</f>
        <v>0</v>
      </c>
      <c r="AJ70" s="255">
        <f ca="1">ROUND(Grunddaten!BJ45*((Grunddaten!$S45-Grunddaten!$Q45)/100*$G70+$E70),-1)</f>
        <v>0</v>
      </c>
      <c r="AK70" s="255">
        <f ca="1">ROUND(Grunddaten!BK45*((Grunddaten!$S45-Grunddaten!$Q45)/100*$G70+$E70),-1)</f>
        <v>0</v>
      </c>
      <c r="AL70" s="255">
        <f ca="1">ROUND(Grunddaten!BL45*((Grunddaten!$S45-Grunddaten!$Q45)/100*$G70+$E70),-1)</f>
        <v>0</v>
      </c>
      <c r="AM70" s="255">
        <f ca="1">ROUND(Grunddaten!BM45*((Grunddaten!$S45-Grunddaten!$Q45)/100*$G70+$E70),-1)</f>
        <v>0</v>
      </c>
      <c r="AN70" s="255">
        <f ca="1">ROUND(Grunddaten!BN45*((Grunddaten!$S45-Grunddaten!$Q45)/100*$G70+$E70),-1)</f>
        <v>0</v>
      </c>
      <c r="AO70" s="255">
        <f ca="1">ROUND(Grunddaten!BO45*((Grunddaten!$S45-Grunddaten!$Q45)/100*$G70+$E70),-1)</f>
        <v>0</v>
      </c>
      <c r="AP70" s="255">
        <f ca="1">ROUND(Grunddaten!BP45*((Grunddaten!$S45-Grunddaten!$Q45)/100*$G70+$E70),-1)</f>
        <v>0</v>
      </c>
      <c r="AQ70" s="255">
        <f ca="1">ROUND(Grunddaten!BQ45*((Grunddaten!$S45-Grunddaten!$Q45)/100*$G70+$E70),-1)</f>
        <v>0</v>
      </c>
      <c r="AR70" s="255">
        <f ca="1">ROUND(Grunddaten!BR45*((Grunddaten!$S45-Grunddaten!$Q45)/100*$G70+$E70),-1)</f>
        <v>0</v>
      </c>
      <c r="AS70" s="255">
        <f ca="1">ROUND(Grunddaten!BS45*((Grunddaten!$S45-Grunddaten!$Q45)/100*$G70+$E70),-1)</f>
        <v>0</v>
      </c>
      <c r="AT70" s="255">
        <f ca="1">ROUND(Grunddaten!BT45*((Grunddaten!$S45-Grunddaten!$Q45)/100*$G70+$E70),-1)</f>
        <v>0</v>
      </c>
      <c r="AU70" s="255">
        <f ca="1">ROUND(Grunddaten!BU45*((Grunddaten!$S45-Grunddaten!$Q45)/100*$G70+$E70),-1)</f>
        <v>0</v>
      </c>
      <c r="AV70" s="255">
        <f ca="1">ROUND(Grunddaten!BV45*((Grunddaten!$S45-Grunddaten!$Q45)/100*$G70+$E70),-1)</f>
        <v>0</v>
      </c>
      <c r="AW70" s="255">
        <f ca="1">ROUND(Grunddaten!BW45*((Grunddaten!$S45-Grunddaten!$Q45)/100*$G70+$E70),-1)</f>
        <v>0</v>
      </c>
      <c r="AX70" s="255">
        <f ca="1">ROUND(Grunddaten!BX45*((Grunddaten!$S45-Grunddaten!$Q45)/100*$G70+$E70),-1)</f>
        <v>0</v>
      </c>
      <c r="AY70" s="255">
        <f ca="1">ROUND(Grunddaten!BY45*((Grunddaten!$S45-Grunddaten!$Q45)/100*$G70+$E70),-1)</f>
        <v>0</v>
      </c>
      <c r="AZ70" s="255">
        <f ca="1">ROUND(Grunddaten!BZ45*((Grunddaten!$S45-Grunddaten!$Q45)/100*$G70+$E70),-1)</f>
        <v>0</v>
      </c>
      <c r="BA70" s="255">
        <f ca="1">ROUND(Grunddaten!CA45*((Grunddaten!$S45-Grunddaten!$Q45)/100*$G70+$E70),-1)</f>
        <v>0</v>
      </c>
      <c r="BB70" s="255">
        <f ca="1">ROUND(Grunddaten!CB45*((Grunddaten!$S45-Grunddaten!$Q45)/100*$G70+$E70),-1)</f>
        <v>0</v>
      </c>
      <c r="BC70" s="255">
        <f ca="1">ROUND(Grunddaten!CC45*((Grunddaten!$S45-Grunddaten!$Q45)/100*$G70+$E70),-1)</f>
        <v>0</v>
      </c>
      <c r="BD70" s="255">
        <f ca="1">ROUND(Grunddaten!CD45*((Grunddaten!$S45-Grunddaten!$Q45)/100*$G70+$E70),-1)</f>
        <v>0</v>
      </c>
      <c r="BE70" s="255">
        <f ca="1">ROUND(Grunddaten!CE45*((Grunddaten!$S45-Grunddaten!$Q45)/100*$G70+$E70),-1)</f>
        <v>0</v>
      </c>
      <c r="BF70" s="255">
        <f ca="1">ROUND(Grunddaten!CF45*((Grunddaten!$S45-Grunddaten!$Q45)/100*$G70+$E70),-1)</f>
        <v>0</v>
      </c>
      <c r="BG70" s="255">
        <f ca="1">ROUND(Grunddaten!CG45*((Grunddaten!$S45-Grunddaten!$Q45)/100*$G70+$E70),-1)</f>
        <v>0</v>
      </c>
      <c r="BH70" s="255">
        <f ca="1">ROUND(Grunddaten!CH45*((Grunddaten!$S45-Grunddaten!$Q45)/100*$G70+$E70),-1)</f>
        <v>0</v>
      </c>
      <c r="BI70" s="255">
        <f ca="1">ROUND(Grunddaten!CI45*((Grunddaten!$S45-Grunddaten!$Q45)/100*$G70+$E70),-1)</f>
        <v>0</v>
      </c>
      <c r="BJ70" s="255">
        <f ca="1">ROUND(Grunddaten!CJ45*((Grunddaten!$S45-Grunddaten!$Q45)/100*$G70+$E70),-1)</f>
        <v>0</v>
      </c>
      <c r="BK70" s="255">
        <f ca="1">ROUND(Grunddaten!CK45*((Grunddaten!$S45-Grunddaten!$Q45)/100*$G70+$E70),-1)</f>
        <v>0</v>
      </c>
      <c r="BL70" s="255">
        <f ca="1">ROUND(Grunddaten!CL45*((Grunddaten!$S45-Grunddaten!$Q45)/100*$G70+$E70),-1)</f>
        <v>0</v>
      </c>
      <c r="BM70" s="255">
        <f ca="1">ROUND(Grunddaten!CM45*((Grunddaten!$S45-Grunddaten!$Q45)/100*$G70+$E70),-1)</f>
        <v>0</v>
      </c>
      <c r="BN70" s="255">
        <f ca="1">ROUND(Grunddaten!CN45*((Grunddaten!$S45-Grunddaten!$Q45)/100*$G70+$E70),-1)</f>
        <v>0</v>
      </c>
      <c r="BO70" s="255">
        <f ca="1">ROUND(Grunddaten!CO45*((Grunddaten!$S45-Grunddaten!$Q45)/100*$G70+$E70),-1)</f>
        <v>0</v>
      </c>
      <c r="BP70" s="255">
        <f ca="1">ROUND(Grunddaten!CP45*((Grunddaten!$S45-Grunddaten!$Q45)/100*$G70+$E70),-1)</f>
        <v>0</v>
      </c>
      <c r="BQ70" s="256">
        <f ca="1">ROUND(Grunddaten!CQ45*((Grunddaten!$S45-Grunddaten!$Q45)/100*$G70+$E70),-1)</f>
        <v>0</v>
      </c>
    </row>
    <row r="71" spans="1:69" s="36" customFormat="1" ht="11.25" customHeight="1" x14ac:dyDescent="0.2">
      <c r="A71" s="1011" t="str">
        <f>Berechnungen!A35</f>
        <v>Holzschnitzel</v>
      </c>
      <c r="B71" s="1012"/>
      <c r="C71" s="1491"/>
      <c r="D71" s="1491"/>
      <c r="E71" s="2397"/>
      <c r="F71" s="2398"/>
      <c r="G71" s="2392">
        <f ca="1">SUMIF(EV_Var1!$A$11:$B$74,$A71,EV_Var1!$E$11:$E$74)</f>
        <v>0</v>
      </c>
      <c r="H71" s="2393"/>
      <c r="I71" s="2394"/>
      <c r="J71" s="2390">
        <f>Grunddaten!S46-(1-$R$109)*Grunddaten!Q46</f>
        <v>7.6</v>
      </c>
      <c r="K71" s="2391"/>
      <c r="L71" s="2424">
        <f t="shared" ca="1" si="4"/>
        <v>0</v>
      </c>
      <c r="M71" s="2425"/>
      <c r="N71" s="2426"/>
      <c r="P71" s="489"/>
      <c r="Q71" s="489"/>
      <c r="S71" s="252">
        <f ca="1">ROUND(Grunddaten!AS46*((Grunddaten!$S46-Grunddaten!$Q46)/100*$G71+$E71),-1)</f>
        <v>0</v>
      </c>
      <c r="T71" s="253">
        <f ca="1">ROUND(Grunddaten!AT46*((Grunddaten!$S46-Grunddaten!$Q46)/100*$G71+$E71),-1)</f>
        <v>0</v>
      </c>
      <c r="U71" s="253">
        <f ca="1">ROUND(Grunddaten!AU46*((Grunddaten!$S46-Grunddaten!$Q46)/100*$G71+$E71),-1)</f>
        <v>0</v>
      </c>
      <c r="V71" s="253">
        <f ca="1">ROUND(Grunddaten!AV46*((Grunddaten!$S46-Grunddaten!$Q46)/100*$G71+$E71),-1)</f>
        <v>0</v>
      </c>
      <c r="W71" s="253">
        <f ca="1">ROUND(Grunddaten!AW46*((Grunddaten!$S46-Grunddaten!$Q46)/100*$G71+$E71),-1)</f>
        <v>0</v>
      </c>
      <c r="X71" s="253">
        <f ca="1">ROUND(Grunddaten!AX46*((Grunddaten!$S46-Grunddaten!$Q46)/100*$G71+$E71),-1)</f>
        <v>0</v>
      </c>
      <c r="Y71" s="253">
        <f ca="1">ROUND(Grunddaten!AY46*((Grunddaten!$S46-Grunddaten!$Q46)/100*$G71+$E71),-1)</f>
        <v>0</v>
      </c>
      <c r="Z71" s="253">
        <f ca="1">ROUND(Grunddaten!AZ46*((Grunddaten!$S46-Grunddaten!$Q46)/100*$G71+$E71),-1)</f>
        <v>0</v>
      </c>
      <c r="AA71" s="253">
        <f ca="1">ROUND(Grunddaten!BA46*((Grunddaten!$S46-Grunddaten!$Q46)/100*$G71+$E71),-1)</f>
        <v>0</v>
      </c>
      <c r="AB71" s="254">
        <f ca="1">ROUND(Grunddaten!BB46*((Grunddaten!$S46-Grunddaten!$Q46)/100*$G71+$E71),-1)</f>
        <v>0</v>
      </c>
      <c r="AC71" s="254">
        <f ca="1">ROUND(Grunddaten!BC46*((Grunddaten!$S46-Grunddaten!$Q46)/100*$G71+$E71),-1)</f>
        <v>0</v>
      </c>
      <c r="AD71" s="254">
        <f ca="1">ROUND(Grunddaten!BD46*((Grunddaten!$S46-Grunddaten!$Q46)/100*$G71+$E71),-1)</f>
        <v>0</v>
      </c>
      <c r="AE71" s="254">
        <f ca="1">ROUND(Grunddaten!BE46*((Grunddaten!$S46-Grunddaten!$Q46)/100*$G71+$E71),-1)</f>
        <v>0</v>
      </c>
      <c r="AF71" s="254">
        <f ca="1">ROUND(Grunddaten!BF46*((Grunddaten!$S46-Grunddaten!$Q46)/100*$G71+$E71),-1)</f>
        <v>0</v>
      </c>
      <c r="AG71" s="254">
        <f ca="1">ROUND(Grunddaten!BG46*((Grunddaten!$S46-Grunddaten!$Q46)/100*$G71+$E71),-1)</f>
        <v>0</v>
      </c>
      <c r="AH71" s="255">
        <f ca="1">ROUND(Grunddaten!BH46*((Grunddaten!$S46-Grunddaten!$Q46)/100*$G71+$E71),-1)</f>
        <v>0</v>
      </c>
      <c r="AI71" s="255">
        <f ca="1">ROUND(Grunddaten!BI46*((Grunddaten!$S46-Grunddaten!$Q46)/100*$G71+$E71),-1)</f>
        <v>0</v>
      </c>
      <c r="AJ71" s="255">
        <f ca="1">ROUND(Grunddaten!BJ46*((Grunddaten!$S46-Grunddaten!$Q46)/100*$G71+$E71),-1)</f>
        <v>0</v>
      </c>
      <c r="AK71" s="255">
        <f ca="1">ROUND(Grunddaten!BK46*((Grunddaten!$S46-Grunddaten!$Q46)/100*$G71+$E71),-1)</f>
        <v>0</v>
      </c>
      <c r="AL71" s="255">
        <f ca="1">ROUND(Grunddaten!BL46*((Grunddaten!$S46-Grunddaten!$Q46)/100*$G71+$E71),-1)</f>
        <v>0</v>
      </c>
      <c r="AM71" s="255">
        <f ca="1">ROUND(Grunddaten!BM46*((Grunddaten!$S46-Grunddaten!$Q46)/100*$G71+$E71),-1)</f>
        <v>0</v>
      </c>
      <c r="AN71" s="255">
        <f ca="1">ROUND(Grunddaten!BN46*((Grunddaten!$S46-Grunddaten!$Q46)/100*$G71+$E71),-1)</f>
        <v>0</v>
      </c>
      <c r="AO71" s="255">
        <f ca="1">ROUND(Grunddaten!BO46*((Grunddaten!$S46-Grunddaten!$Q46)/100*$G71+$E71),-1)</f>
        <v>0</v>
      </c>
      <c r="AP71" s="255">
        <f ca="1">ROUND(Grunddaten!BP46*((Grunddaten!$S46-Grunddaten!$Q46)/100*$G71+$E71),-1)</f>
        <v>0</v>
      </c>
      <c r="AQ71" s="255">
        <f ca="1">ROUND(Grunddaten!BQ46*((Grunddaten!$S46-Grunddaten!$Q46)/100*$G71+$E71),-1)</f>
        <v>0</v>
      </c>
      <c r="AR71" s="255">
        <f ca="1">ROUND(Grunddaten!BR46*((Grunddaten!$S46-Grunddaten!$Q46)/100*$G71+$E71),-1)</f>
        <v>0</v>
      </c>
      <c r="AS71" s="255">
        <f ca="1">ROUND(Grunddaten!BS46*((Grunddaten!$S46-Grunddaten!$Q46)/100*$G71+$E71),-1)</f>
        <v>0</v>
      </c>
      <c r="AT71" s="255">
        <f ca="1">ROUND(Grunddaten!BT46*((Grunddaten!$S46-Grunddaten!$Q46)/100*$G71+$E71),-1)</f>
        <v>0</v>
      </c>
      <c r="AU71" s="255">
        <f ca="1">ROUND(Grunddaten!BU46*((Grunddaten!$S46-Grunddaten!$Q46)/100*$G71+$E71),-1)</f>
        <v>0</v>
      </c>
      <c r="AV71" s="255">
        <f ca="1">ROUND(Grunddaten!BV46*((Grunddaten!$S46-Grunddaten!$Q46)/100*$G71+$E71),-1)</f>
        <v>0</v>
      </c>
      <c r="AW71" s="255">
        <f ca="1">ROUND(Grunddaten!BW46*((Grunddaten!$S46-Grunddaten!$Q46)/100*$G71+$E71),-1)</f>
        <v>0</v>
      </c>
      <c r="AX71" s="255">
        <f ca="1">ROUND(Grunddaten!BX46*((Grunddaten!$S46-Grunddaten!$Q46)/100*$G71+$E71),-1)</f>
        <v>0</v>
      </c>
      <c r="AY71" s="255">
        <f ca="1">ROUND(Grunddaten!BY46*((Grunddaten!$S46-Grunddaten!$Q46)/100*$G71+$E71),-1)</f>
        <v>0</v>
      </c>
      <c r="AZ71" s="255">
        <f ca="1">ROUND(Grunddaten!BZ46*((Grunddaten!$S46-Grunddaten!$Q46)/100*$G71+$E71),-1)</f>
        <v>0</v>
      </c>
      <c r="BA71" s="255">
        <f ca="1">ROUND(Grunddaten!CA46*((Grunddaten!$S46-Grunddaten!$Q46)/100*$G71+$E71),-1)</f>
        <v>0</v>
      </c>
      <c r="BB71" s="255">
        <f ca="1">ROUND(Grunddaten!CB46*((Grunddaten!$S46-Grunddaten!$Q46)/100*$G71+$E71),-1)</f>
        <v>0</v>
      </c>
      <c r="BC71" s="255">
        <f ca="1">ROUND(Grunddaten!CC46*((Grunddaten!$S46-Grunddaten!$Q46)/100*$G71+$E71),-1)</f>
        <v>0</v>
      </c>
      <c r="BD71" s="255">
        <f ca="1">ROUND(Grunddaten!CD46*((Grunddaten!$S46-Grunddaten!$Q46)/100*$G71+$E71),-1)</f>
        <v>0</v>
      </c>
      <c r="BE71" s="255">
        <f ca="1">ROUND(Grunddaten!CE46*((Grunddaten!$S46-Grunddaten!$Q46)/100*$G71+$E71),-1)</f>
        <v>0</v>
      </c>
      <c r="BF71" s="255">
        <f ca="1">ROUND(Grunddaten!CF46*((Grunddaten!$S46-Grunddaten!$Q46)/100*$G71+$E71),-1)</f>
        <v>0</v>
      </c>
      <c r="BG71" s="255">
        <f ca="1">ROUND(Grunddaten!CG46*((Grunddaten!$S46-Grunddaten!$Q46)/100*$G71+$E71),-1)</f>
        <v>0</v>
      </c>
      <c r="BH71" s="255">
        <f ca="1">ROUND(Grunddaten!CH46*((Grunddaten!$S46-Grunddaten!$Q46)/100*$G71+$E71),-1)</f>
        <v>0</v>
      </c>
      <c r="BI71" s="255">
        <f ca="1">ROUND(Grunddaten!CI46*((Grunddaten!$S46-Grunddaten!$Q46)/100*$G71+$E71),-1)</f>
        <v>0</v>
      </c>
      <c r="BJ71" s="255">
        <f ca="1">ROUND(Grunddaten!CJ46*((Grunddaten!$S46-Grunddaten!$Q46)/100*$G71+$E71),-1)</f>
        <v>0</v>
      </c>
      <c r="BK71" s="255">
        <f ca="1">ROUND(Grunddaten!CK46*((Grunddaten!$S46-Grunddaten!$Q46)/100*$G71+$E71),-1)</f>
        <v>0</v>
      </c>
      <c r="BL71" s="255">
        <f ca="1">ROUND(Grunddaten!CL46*((Grunddaten!$S46-Grunddaten!$Q46)/100*$G71+$E71),-1)</f>
        <v>0</v>
      </c>
      <c r="BM71" s="255">
        <f ca="1">ROUND(Grunddaten!CM46*((Grunddaten!$S46-Grunddaten!$Q46)/100*$G71+$E71),-1)</f>
        <v>0</v>
      </c>
      <c r="BN71" s="255">
        <f ca="1">ROUND(Grunddaten!CN46*((Grunddaten!$S46-Grunddaten!$Q46)/100*$G71+$E71),-1)</f>
        <v>0</v>
      </c>
      <c r="BO71" s="255">
        <f ca="1">ROUND(Grunddaten!CO46*((Grunddaten!$S46-Grunddaten!$Q46)/100*$G71+$E71),-1)</f>
        <v>0</v>
      </c>
      <c r="BP71" s="255">
        <f ca="1">ROUND(Grunddaten!CP46*((Grunddaten!$S46-Grunddaten!$Q46)/100*$G71+$E71),-1)</f>
        <v>0</v>
      </c>
      <c r="BQ71" s="256">
        <f ca="1">ROUND(Grunddaten!CQ46*((Grunddaten!$S46-Grunddaten!$Q46)/100*$G71+$E71),-1)</f>
        <v>0</v>
      </c>
    </row>
    <row r="72" spans="1:69" s="36" customFormat="1" ht="11.25" customHeight="1" x14ac:dyDescent="0.2">
      <c r="A72" s="1011" t="str">
        <f>Berechnungen!A34</f>
        <v>Biogas</v>
      </c>
      <c r="B72" s="1494" t="str">
        <f>MID(Projektdaten!H24,10,50)</f>
        <v>Energie360°</v>
      </c>
      <c r="C72" s="1494"/>
      <c r="D72" s="1494"/>
      <c r="E72" s="2397">
        <f xml:space="preserve"> (IF(EV_Var1!$A$20=$A72,EV_Var1!$H$20,0) + IF(EV_Var1!$A$24=$A72,EV_Var1!$H$24,0) + IF(EV_Var1!$A$29=$A72,(EV_Var1!$H$28-EV_Var1!$AA$24),0) + IF(EV_Var1!$A$60=$A72,EV_Var1!$H$60,0)) * VLOOKUP(Projektdaten!H24,Grunddaten!C47:AI48,33,FALSE)</f>
        <v>0</v>
      </c>
      <c r="F72" s="2398"/>
      <c r="G72" s="2392">
        <f ca="1">SUMIF(EV_Var1!$A$11:$B$74,$A72,EV_Var1!$E$11:$E$74)</f>
        <v>0</v>
      </c>
      <c r="H72" s="2393"/>
      <c r="I72" s="2394"/>
      <c r="J72" s="2390">
        <f>VLOOKUP(Projektdaten!H24,Grunddaten!C47:AI48,17,FALSE) - (1-$R$109)*VLOOKUP(Projektdaten!H24,Grunddaten!C47:AI48,15,FALSE)</f>
        <v>18.7</v>
      </c>
      <c r="K72" s="2391"/>
      <c r="L72" s="2424">
        <f t="shared" ca="1" si="4"/>
        <v>0</v>
      </c>
      <c r="M72" s="2425"/>
      <c r="N72" s="2426"/>
      <c r="P72" s="489"/>
      <c r="Q72" s="489"/>
      <c r="S72" s="252">
        <f ca="1">ROUND(OFFSET(Grunddaten!AS47,Biogas_Produkt,0)*((OFFSET(Grunddaten!$S47,Biogas_Produkt,0)-OFFSET(Grunddaten!$Q47,Biogas_Produkt,0))/100*$G72+$E72),-1)</f>
        <v>0</v>
      </c>
      <c r="T72" s="253">
        <f ca="1">ROUND(OFFSET(Grunddaten!AT47,Biogas_Produkt,0)*((OFFSET(Grunddaten!$S47,Biogas_Produkt,0)-OFFSET(Grunddaten!$Q47,Biogas_Produkt,0))/100*$G72+$E72),-1)</f>
        <v>0</v>
      </c>
      <c r="U72" s="253">
        <f ca="1">ROUND(OFFSET(Grunddaten!AU47,Biogas_Produkt,0)*((OFFSET(Grunddaten!$S47,Biogas_Produkt,0)-OFFSET(Grunddaten!$Q47,Biogas_Produkt,0))/100*$G72+$E72),-1)</f>
        <v>0</v>
      </c>
      <c r="V72" s="253">
        <f ca="1">ROUND(OFFSET(Grunddaten!AV47,Biogas_Produkt,0)*((OFFSET(Grunddaten!$S47,Biogas_Produkt,0)-OFFSET(Grunddaten!$Q47,Biogas_Produkt,0))/100*$G72+$E72),-1)</f>
        <v>0</v>
      </c>
      <c r="W72" s="253">
        <f ca="1">ROUND(OFFSET(Grunddaten!AW47,Biogas_Produkt,0)*((OFFSET(Grunddaten!$S47,Biogas_Produkt,0)-OFFSET(Grunddaten!$Q47,Biogas_Produkt,0))/100*$G72+$E72),-1)</f>
        <v>0</v>
      </c>
      <c r="X72" s="253">
        <f ca="1">ROUND(OFFSET(Grunddaten!AX47,Biogas_Produkt,0)*((OFFSET(Grunddaten!$S47,Biogas_Produkt,0)-OFFSET(Grunddaten!$Q47,Biogas_Produkt,0))/100*$G72+$E72),-1)</f>
        <v>0</v>
      </c>
      <c r="Y72" s="253">
        <f ca="1">ROUND(OFFSET(Grunddaten!AY47,Biogas_Produkt,0)*((OFFSET(Grunddaten!$S47,Biogas_Produkt,0)-OFFSET(Grunddaten!$Q47,Biogas_Produkt,0))/100*$G72+$E72),-1)</f>
        <v>0</v>
      </c>
      <c r="Z72" s="253">
        <f ca="1">ROUND(OFFSET(Grunddaten!AZ47,Biogas_Produkt,0)*((OFFSET(Grunddaten!$S47,Biogas_Produkt,0)-OFFSET(Grunddaten!$Q47,Biogas_Produkt,0))/100*$G72+$E72),-1)</f>
        <v>0</v>
      </c>
      <c r="AA72" s="253">
        <f ca="1">ROUND(OFFSET(Grunddaten!BA47,Biogas_Produkt,0)*((OFFSET(Grunddaten!$S47,Biogas_Produkt,0)-OFFSET(Grunddaten!$Q47,Biogas_Produkt,0))/100*$G72+$E72),-1)</f>
        <v>0</v>
      </c>
      <c r="AB72" s="253">
        <f ca="1">ROUND(OFFSET(Grunddaten!BB47,Biogas_Produkt,0)*((OFFSET(Grunddaten!$S47,Biogas_Produkt,0)-OFFSET(Grunddaten!$Q47,Biogas_Produkt,0))/100*$G72+$E72),-1)</f>
        <v>0</v>
      </c>
      <c r="AC72" s="253">
        <f ca="1">ROUND(OFFSET(Grunddaten!BC47,Biogas_Produkt,0)*((OFFSET(Grunddaten!$S47,Biogas_Produkt,0)-OFFSET(Grunddaten!$Q47,Biogas_Produkt,0))/100*$G72+$E72),-1)</f>
        <v>0</v>
      </c>
      <c r="AD72" s="253">
        <f ca="1">ROUND(OFFSET(Grunddaten!BD47,Biogas_Produkt,0)*((OFFSET(Grunddaten!$S47,Biogas_Produkt,0)-OFFSET(Grunddaten!$Q47,Biogas_Produkt,0))/100*$G72+$E72),-1)</f>
        <v>0</v>
      </c>
      <c r="AE72" s="253">
        <f ca="1">ROUND(OFFSET(Grunddaten!BE47,Biogas_Produkt,0)*((OFFSET(Grunddaten!$S47,Biogas_Produkt,0)-OFFSET(Grunddaten!$Q47,Biogas_Produkt,0))/100*$G72+$E72),-1)</f>
        <v>0</v>
      </c>
      <c r="AF72" s="253">
        <f ca="1">ROUND(OFFSET(Grunddaten!BF47,Biogas_Produkt,0)*((OFFSET(Grunddaten!$S47,Biogas_Produkt,0)-OFFSET(Grunddaten!$Q47,Biogas_Produkt,0))/100*$G72+$E72),-1)</f>
        <v>0</v>
      </c>
      <c r="AG72" s="253">
        <f ca="1">ROUND(OFFSET(Grunddaten!BG47,Biogas_Produkt,0)*((OFFSET(Grunddaten!$S47,Biogas_Produkt,0)-OFFSET(Grunddaten!$Q47,Biogas_Produkt,0))/100*$G72+$E72),-1)</f>
        <v>0</v>
      </c>
      <c r="AH72" s="253">
        <f ca="1">ROUND(OFFSET(Grunddaten!BH47,Biogas_Produkt,0)*((OFFSET(Grunddaten!$S47,Biogas_Produkt,0)-OFFSET(Grunddaten!$Q47,Biogas_Produkt,0))/100*$G72+$E72),-1)</f>
        <v>0</v>
      </c>
      <c r="AI72" s="253">
        <f ca="1">ROUND(OFFSET(Grunddaten!BI47,Biogas_Produkt,0)*((OFFSET(Grunddaten!$S47,Biogas_Produkt,0)-OFFSET(Grunddaten!$Q47,Biogas_Produkt,0))/100*$G72+$E72),-1)</f>
        <v>0</v>
      </c>
      <c r="AJ72" s="253">
        <f ca="1">ROUND(OFFSET(Grunddaten!BJ47,Biogas_Produkt,0)*((OFFSET(Grunddaten!$S47,Biogas_Produkt,0)-OFFSET(Grunddaten!$Q47,Biogas_Produkt,0))/100*$G72+$E72),-1)</f>
        <v>0</v>
      </c>
      <c r="AK72" s="253">
        <f ca="1">ROUND(OFFSET(Grunddaten!BK47,Biogas_Produkt,0)*((OFFSET(Grunddaten!$S47,Biogas_Produkt,0)-OFFSET(Grunddaten!$Q47,Biogas_Produkt,0))/100*$G72+$E72),-1)</f>
        <v>0</v>
      </c>
      <c r="AL72" s="253">
        <f ca="1">ROUND(OFFSET(Grunddaten!BL47,Biogas_Produkt,0)*((OFFSET(Grunddaten!$S47,Biogas_Produkt,0)-OFFSET(Grunddaten!$Q47,Biogas_Produkt,0))/100*$G72+$E72),-1)</f>
        <v>0</v>
      </c>
      <c r="AM72" s="253">
        <f ca="1">ROUND(OFFSET(Grunddaten!BM47,Biogas_Produkt,0)*((OFFSET(Grunddaten!$S47,Biogas_Produkt,0)-OFFSET(Grunddaten!$Q47,Biogas_Produkt,0))/100*$G72+$E72),-1)</f>
        <v>0</v>
      </c>
      <c r="AN72" s="253">
        <f ca="1">ROUND(OFFSET(Grunddaten!BN47,Biogas_Produkt,0)*((OFFSET(Grunddaten!$S47,Biogas_Produkt,0)-OFFSET(Grunddaten!$Q47,Biogas_Produkt,0))/100*$G72+$E72),-1)</f>
        <v>0</v>
      </c>
      <c r="AO72" s="253">
        <f ca="1">ROUND(OFFSET(Grunddaten!BO47,Biogas_Produkt,0)*((OFFSET(Grunddaten!$S47,Biogas_Produkt,0)-OFFSET(Grunddaten!$Q47,Biogas_Produkt,0))/100*$G72+$E72),-1)</f>
        <v>0</v>
      </c>
      <c r="AP72" s="253">
        <f ca="1">ROUND(OFFSET(Grunddaten!BP47,Biogas_Produkt,0)*((OFFSET(Grunddaten!$S47,Biogas_Produkt,0)-OFFSET(Grunddaten!$Q47,Biogas_Produkt,0))/100*$G72+$E72),-1)</f>
        <v>0</v>
      </c>
      <c r="AQ72" s="253">
        <f ca="1">ROUND(OFFSET(Grunddaten!BQ47,Biogas_Produkt,0)*((OFFSET(Grunddaten!$S47,Biogas_Produkt,0)-OFFSET(Grunddaten!$Q47,Biogas_Produkt,0))/100*$G72+$E72),-1)</f>
        <v>0</v>
      </c>
      <c r="AR72" s="253">
        <f ca="1">ROUND(OFFSET(Grunddaten!BR47,Biogas_Produkt,0)*((OFFSET(Grunddaten!$S47,Biogas_Produkt,0)-OFFSET(Grunddaten!$Q47,Biogas_Produkt,0))/100*$G72+$E72),-1)</f>
        <v>0</v>
      </c>
      <c r="AS72" s="253">
        <f ca="1">ROUND(OFFSET(Grunddaten!BS47,Biogas_Produkt,0)*((OFFSET(Grunddaten!$S47,Biogas_Produkt,0)-OFFSET(Grunddaten!$Q47,Biogas_Produkt,0))/100*$G72+$E72),-1)</f>
        <v>0</v>
      </c>
      <c r="AT72" s="253">
        <f ca="1">ROUND(OFFSET(Grunddaten!BT47,Biogas_Produkt,0)*((OFFSET(Grunddaten!$S47,Biogas_Produkt,0)-OFFSET(Grunddaten!$Q47,Biogas_Produkt,0))/100*$G72+$E72),-1)</f>
        <v>0</v>
      </c>
      <c r="AU72" s="253">
        <f ca="1">ROUND(OFFSET(Grunddaten!BU47,Biogas_Produkt,0)*((OFFSET(Grunddaten!$S47,Biogas_Produkt,0)-OFFSET(Grunddaten!$Q47,Biogas_Produkt,0))/100*$G72+$E72),-1)</f>
        <v>0</v>
      </c>
      <c r="AV72" s="253">
        <f ca="1">ROUND(OFFSET(Grunddaten!BV47,Biogas_Produkt,0)*((OFFSET(Grunddaten!$S47,Biogas_Produkt,0)-OFFSET(Grunddaten!$Q47,Biogas_Produkt,0))/100*$G72+$E72),-1)</f>
        <v>0</v>
      </c>
      <c r="AW72" s="253">
        <f ca="1">ROUND(OFFSET(Grunddaten!BW47,Biogas_Produkt,0)*((OFFSET(Grunddaten!$S47,Biogas_Produkt,0)-OFFSET(Grunddaten!$Q47,Biogas_Produkt,0))/100*$G72+$E72),-1)</f>
        <v>0</v>
      </c>
      <c r="AX72" s="253">
        <f ca="1">ROUND(OFFSET(Grunddaten!BX47,Biogas_Produkt,0)*((OFFSET(Grunddaten!$S47,Biogas_Produkt,0)-OFFSET(Grunddaten!$Q47,Biogas_Produkt,0))/100*$G72+$E72),-1)</f>
        <v>0</v>
      </c>
      <c r="AY72" s="253">
        <f ca="1">ROUND(OFFSET(Grunddaten!BY47,Biogas_Produkt,0)*((OFFSET(Grunddaten!$S47,Biogas_Produkt,0)-OFFSET(Grunddaten!$Q47,Biogas_Produkt,0))/100*$G72+$E72),-1)</f>
        <v>0</v>
      </c>
      <c r="AZ72" s="253">
        <f ca="1">ROUND(OFFSET(Grunddaten!BZ47,Biogas_Produkt,0)*((OFFSET(Grunddaten!$S47,Biogas_Produkt,0)-OFFSET(Grunddaten!$Q47,Biogas_Produkt,0))/100*$G72+$E72),-1)</f>
        <v>0</v>
      </c>
      <c r="BA72" s="253">
        <f ca="1">ROUND(OFFSET(Grunddaten!CA47,Biogas_Produkt,0)*((OFFSET(Grunddaten!$S47,Biogas_Produkt,0)-OFFSET(Grunddaten!$Q47,Biogas_Produkt,0))/100*$G72+$E72),-1)</f>
        <v>0</v>
      </c>
      <c r="BB72" s="253">
        <f ca="1">ROUND(OFFSET(Grunddaten!CB47,Biogas_Produkt,0)*((OFFSET(Grunddaten!$S47,Biogas_Produkt,0)-OFFSET(Grunddaten!$Q47,Biogas_Produkt,0))/100*$G72+$E72),-1)</f>
        <v>0</v>
      </c>
      <c r="BC72" s="253">
        <f ca="1">ROUND(OFFSET(Grunddaten!CC47,Biogas_Produkt,0)*((OFFSET(Grunddaten!$S47,Biogas_Produkt,0)-OFFSET(Grunddaten!$Q47,Biogas_Produkt,0))/100*$G72+$E72),-1)</f>
        <v>0</v>
      </c>
      <c r="BD72" s="253">
        <f ca="1">ROUND(OFFSET(Grunddaten!CD47,Biogas_Produkt,0)*((OFFSET(Grunddaten!$S47,Biogas_Produkt,0)-OFFSET(Grunddaten!$Q47,Biogas_Produkt,0))/100*$G72+$E72),-1)</f>
        <v>0</v>
      </c>
      <c r="BE72" s="253">
        <f ca="1">ROUND(OFFSET(Grunddaten!CE47,Biogas_Produkt,0)*((OFFSET(Grunddaten!$S47,Biogas_Produkt,0)-OFFSET(Grunddaten!$Q47,Biogas_Produkt,0))/100*$G72+$E72),-1)</f>
        <v>0</v>
      </c>
      <c r="BF72" s="253">
        <f ca="1">ROUND(OFFSET(Grunddaten!CF47,Biogas_Produkt,0)*((OFFSET(Grunddaten!$S47,Biogas_Produkt,0)-OFFSET(Grunddaten!$Q47,Biogas_Produkt,0))/100*$G72+$E72),-1)</f>
        <v>0</v>
      </c>
      <c r="BG72" s="253">
        <f ca="1">ROUND(OFFSET(Grunddaten!CG47,Biogas_Produkt,0)*((OFFSET(Grunddaten!$S47,Biogas_Produkt,0)-OFFSET(Grunddaten!$Q47,Biogas_Produkt,0))/100*$G72+$E72),-1)</f>
        <v>0</v>
      </c>
      <c r="BH72" s="253">
        <f ca="1">ROUND(OFFSET(Grunddaten!CH47,Biogas_Produkt,0)*((OFFSET(Grunddaten!$S47,Biogas_Produkt,0)-OFFSET(Grunddaten!$Q47,Biogas_Produkt,0))/100*$G72+$E72),-1)</f>
        <v>0</v>
      </c>
      <c r="BI72" s="253">
        <f ca="1">ROUND(OFFSET(Grunddaten!CI47,Biogas_Produkt,0)*((OFFSET(Grunddaten!$S47,Biogas_Produkt,0)-OFFSET(Grunddaten!$Q47,Biogas_Produkt,0))/100*$G72+$E72),-1)</f>
        <v>0</v>
      </c>
      <c r="BJ72" s="253">
        <f ca="1">ROUND(OFFSET(Grunddaten!CJ47,Biogas_Produkt,0)*((OFFSET(Grunddaten!$S47,Biogas_Produkt,0)-OFFSET(Grunddaten!$Q47,Biogas_Produkt,0))/100*$G72+$E72),-1)</f>
        <v>0</v>
      </c>
      <c r="BK72" s="253">
        <f ca="1">ROUND(OFFSET(Grunddaten!CK47,Biogas_Produkt,0)*((OFFSET(Grunddaten!$S47,Biogas_Produkt,0)-OFFSET(Grunddaten!$Q47,Biogas_Produkt,0))/100*$G72+$E72),-1)</f>
        <v>0</v>
      </c>
      <c r="BL72" s="253">
        <f ca="1">ROUND(OFFSET(Grunddaten!CL47,Biogas_Produkt,0)*((OFFSET(Grunddaten!$S47,Biogas_Produkt,0)-OFFSET(Grunddaten!$Q47,Biogas_Produkt,0))/100*$G72+$E72),-1)</f>
        <v>0</v>
      </c>
      <c r="BM72" s="253">
        <f ca="1">ROUND(OFFSET(Grunddaten!CM47,Biogas_Produkt,0)*((OFFSET(Grunddaten!$S47,Biogas_Produkt,0)-OFFSET(Grunddaten!$Q47,Biogas_Produkt,0))/100*$G72+$E72),-1)</f>
        <v>0</v>
      </c>
      <c r="BN72" s="253">
        <f ca="1">ROUND(OFFSET(Grunddaten!CN47,Biogas_Produkt,0)*((OFFSET(Grunddaten!$S47,Biogas_Produkt,0)-OFFSET(Grunddaten!$Q47,Biogas_Produkt,0))/100*$G72+$E72),-1)</f>
        <v>0</v>
      </c>
      <c r="BO72" s="253">
        <f ca="1">ROUND(OFFSET(Grunddaten!CO47,Biogas_Produkt,0)*((OFFSET(Grunddaten!$S47,Biogas_Produkt,0)-OFFSET(Grunddaten!$Q47,Biogas_Produkt,0))/100*$G72+$E72),-1)</f>
        <v>0</v>
      </c>
      <c r="BP72" s="253">
        <f ca="1">ROUND(OFFSET(Grunddaten!CP47,Biogas_Produkt,0)*((OFFSET(Grunddaten!$S47,Biogas_Produkt,0)-OFFSET(Grunddaten!$Q47,Biogas_Produkt,0))/100*$G72+$E72),-1)</f>
        <v>0</v>
      </c>
      <c r="BQ72" s="257">
        <f ca="1">ROUND(OFFSET(Grunddaten!CQ47,Biogas_Produkt,0)*((OFFSET(Grunddaten!$S47,Biogas_Produkt,0)-OFFSET(Grunddaten!$Q47,Biogas_Produkt,0))/100*$G72+$E72),-1)</f>
        <v>0</v>
      </c>
    </row>
    <row r="73" spans="1:69" s="36" customFormat="1" ht="11.25" customHeight="1" x14ac:dyDescent="0.2">
      <c r="A73" s="1011" t="str">
        <f>Berechnungen!A33</f>
        <v>Erdgas</v>
      </c>
      <c r="B73" s="1014"/>
      <c r="C73" s="1491"/>
      <c r="D73" s="1491"/>
      <c r="E73" s="2397">
        <f xml:space="preserve"> (IF(EV_Var1!$A$20=$A73,EV_Var1!$H$20,0) + IF(EV_Var1!$A$24=$A73,EV_Var1!$H$24,0) + IF(EV_Var1!$A$29=$A73,(EV_Var1!$H$28-EV_Var1!$AA$24),0) + IF(EV_Var1!$A$60=$A73,EV_Var1!$H$60,0)) * Grunddaten!$AI49</f>
        <v>0</v>
      </c>
      <c r="F73" s="2398"/>
      <c r="G73" s="2392">
        <f ca="1">SUMIF(EV_Var1!$A$11:$B$74,$A73,EV_Var1!$E$11:$E$74)</f>
        <v>0</v>
      </c>
      <c r="H73" s="2393"/>
      <c r="I73" s="2394"/>
      <c r="J73" s="2390">
        <f>Grunddaten!S49-(1-$R$109)*Grunddaten!Q49</f>
        <v>12.3</v>
      </c>
      <c r="K73" s="2391"/>
      <c r="L73" s="2424">
        <f t="shared" ca="1" si="4"/>
        <v>0</v>
      </c>
      <c r="M73" s="2425"/>
      <c r="N73" s="2426"/>
      <c r="P73" s="489"/>
      <c r="Q73" s="489"/>
      <c r="S73" s="252">
        <f ca="1">ROUND(Grunddaten!AS49*((Grunddaten!$S49-Grunddaten!$Q49)/100*$G73+$E73),-1)</f>
        <v>0</v>
      </c>
      <c r="T73" s="253">
        <f ca="1">ROUND(Grunddaten!AT49*((Grunddaten!$S49-Grunddaten!$Q49)/100*$G73+$E73),-1)</f>
        <v>0</v>
      </c>
      <c r="U73" s="253">
        <f ca="1">ROUND(Grunddaten!AU49*((Grunddaten!$S49-Grunddaten!$Q49)/100*$G73+$E73),-1)</f>
        <v>0</v>
      </c>
      <c r="V73" s="253">
        <f ca="1">ROUND(Grunddaten!AV49*((Grunddaten!$S49-Grunddaten!$Q49)/100*$G73+$E73),-1)</f>
        <v>0</v>
      </c>
      <c r="W73" s="253">
        <f ca="1">ROUND(Grunddaten!AW49*((Grunddaten!$S49-Grunddaten!$Q49)/100*$G73+$E73),-1)</f>
        <v>0</v>
      </c>
      <c r="X73" s="253">
        <f ca="1">ROUND(Grunddaten!AX49*((Grunddaten!$S49-Grunddaten!$Q49)/100*$G73+$E73),-1)</f>
        <v>0</v>
      </c>
      <c r="Y73" s="253">
        <f ca="1">ROUND(Grunddaten!AY49*((Grunddaten!$S49-Grunddaten!$Q49)/100*$G73+$E73),-1)</f>
        <v>0</v>
      </c>
      <c r="Z73" s="253">
        <f ca="1">ROUND(Grunddaten!AZ49*((Grunddaten!$S49-Grunddaten!$Q49)/100*$G73+$E73),-1)</f>
        <v>0</v>
      </c>
      <c r="AA73" s="253">
        <f ca="1">ROUND(Grunddaten!BA49*((Grunddaten!$S49-Grunddaten!$Q49)/100*$G73+$E73),-1)</f>
        <v>0</v>
      </c>
      <c r="AB73" s="254">
        <f ca="1">ROUND(Grunddaten!BB49*((Grunddaten!$S49-Grunddaten!$Q49)/100*$G73+$E73),-1)</f>
        <v>0</v>
      </c>
      <c r="AC73" s="254">
        <f ca="1">ROUND(Grunddaten!BC49*((Grunddaten!$S49-Grunddaten!$Q49)/100*$G73+$E73),-1)</f>
        <v>0</v>
      </c>
      <c r="AD73" s="254">
        <f ca="1">ROUND(Grunddaten!BD49*((Grunddaten!$S49-Grunddaten!$Q49)/100*$G73+$E73),-1)</f>
        <v>0</v>
      </c>
      <c r="AE73" s="254">
        <f ca="1">ROUND(Grunddaten!BE49*((Grunddaten!$S49-Grunddaten!$Q49)/100*$G73+$E73),-1)</f>
        <v>0</v>
      </c>
      <c r="AF73" s="254">
        <f ca="1">ROUND(Grunddaten!BF49*((Grunddaten!$S49-Grunddaten!$Q49)/100*$G73+$E73),-1)</f>
        <v>0</v>
      </c>
      <c r="AG73" s="254">
        <f ca="1">ROUND(Grunddaten!BG49*((Grunddaten!$S49-Grunddaten!$Q49)/100*$G73+$E73),-1)</f>
        <v>0</v>
      </c>
      <c r="AH73" s="255">
        <f ca="1">ROUND(Grunddaten!BH49*((Grunddaten!$S49-Grunddaten!$Q49)/100*$G73+$E73),-1)</f>
        <v>0</v>
      </c>
      <c r="AI73" s="255">
        <f ca="1">ROUND(Grunddaten!BI49*((Grunddaten!$S49-Grunddaten!$Q49)/100*$G73+$E73),-1)</f>
        <v>0</v>
      </c>
      <c r="AJ73" s="255">
        <f ca="1">ROUND(Grunddaten!BJ49*((Grunddaten!$S49-Grunddaten!$Q49)/100*$G73+$E73),-1)</f>
        <v>0</v>
      </c>
      <c r="AK73" s="255">
        <f ca="1">ROUND(Grunddaten!BK49*((Grunddaten!$S49-Grunddaten!$Q49)/100*$G73+$E73),-1)</f>
        <v>0</v>
      </c>
      <c r="AL73" s="255">
        <f ca="1">ROUND(Grunddaten!BL49*((Grunddaten!$S49-Grunddaten!$Q49)/100*$G73+$E73),-1)</f>
        <v>0</v>
      </c>
      <c r="AM73" s="255">
        <f ca="1">ROUND(Grunddaten!BM49*((Grunddaten!$S49-Grunddaten!$Q49)/100*$G73+$E73),-1)</f>
        <v>0</v>
      </c>
      <c r="AN73" s="255">
        <f ca="1">ROUND(Grunddaten!BN49*((Grunddaten!$S49-Grunddaten!$Q49)/100*$G73+$E73),-1)</f>
        <v>0</v>
      </c>
      <c r="AO73" s="255">
        <f ca="1">ROUND(Grunddaten!BO49*((Grunddaten!$S49-Grunddaten!$Q49)/100*$G73+$E73),-1)</f>
        <v>0</v>
      </c>
      <c r="AP73" s="255">
        <f ca="1">ROUND(Grunddaten!BP49*((Grunddaten!$S49-Grunddaten!$Q49)/100*$G73+$E73),-1)</f>
        <v>0</v>
      </c>
      <c r="AQ73" s="255">
        <f ca="1">ROUND(Grunddaten!BQ49*((Grunddaten!$S49-Grunddaten!$Q49)/100*$G73+$E73),-1)</f>
        <v>0</v>
      </c>
      <c r="AR73" s="255">
        <f ca="1">ROUND(Grunddaten!BR49*((Grunddaten!$S49-Grunddaten!$Q49)/100*$G73+$E73),-1)</f>
        <v>0</v>
      </c>
      <c r="AS73" s="255">
        <f ca="1">ROUND(Grunddaten!BS49*((Grunddaten!$S49-Grunddaten!$Q49)/100*$G73+$E73),-1)</f>
        <v>0</v>
      </c>
      <c r="AT73" s="255">
        <f ca="1">ROUND(Grunddaten!BT49*((Grunddaten!$S49-Grunddaten!$Q49)/100*$G73+$E73),-1)</f>
        <v>0</v>
      </c>
      <c r="AU73" s="255">
        <f ca="1">ROUND(Grunddaten!BU49*((Grunddaten!$S49-Grunddaten!$Q49)/100*$G73+$E73),-1)</f>
        <v>0</v>
      </c>
      <c r="AV73" s="255">
        <f ca="1">ROUND(Grunddaten!BV49*((Grunddaten!$S49-Grunddaten!$Q49)/100*$G73+$E73),-1)</f>
        <v>0</v>
      </c>
      <c r="AW73" s="255">
        <f ca="1">ROUND(Grunddaten!BW49*((Grunddaten!$S49-Grunddaten!$Q49)/100*$G73+$E73),-1)</f>
        <v>0</v>
      </c>
      <c r="AX73" s="255">
        <f ca="1">ROUND(Grunddaten!BX49*((Grunddaten!$S49-Grunddaten!$Q49)/100*$G73+$E73),-1)</f>
        <v>0</v>
      </c>
      <c r="AY73" s="255">
        <f ca="1">ROUND(Grunddaten!BY49*((Grunddaten!$S49-Grunddaten!$Q49)/100*$G73+$E73),-1)</f>
        <v>0</v>
      </c>
      <c r="AZ73" s="255">
        <f ca="1">ROUND(Grunddaten!BZ49*((Grunddaten!$S49-Grunddaten!$Q49)/100*$G73+$E73),-1)</f>
        <v>0</v>
      </c>
      <c r="BA73" s="255">
        <f ca="1">ROUND(Grunddaten!CA49*((Grunddaten!$S49-Grunddaten!$Q49)/100*$G73+$E73),-1)</f>
        <v>0</v>
      </c>
      <c r="BB73" s="255">
        <f ca="1">ROUND(Grunddaten!CB49*((Grunddaten!$S49-Grunddaten!$Q49)/100*$G73+$E73),-1)</f>
        <v>0</v>
      </c>
      <c r="BC73" s="255">
        <f ca="1">ROUND(Grunddaten!CC49*((Grunddaten!$S49-Grunddaten!$Q49)/100*$G73+$E73),-1)</f>
        <v>0</v>
      </c>
      <c r="BD73" s="255">
        <f ca="1">ROUND(Grunddaten!CD49*((Grunddaten!$S49-Grunddaten!$Q49)/100*$G73+$E73),-1)</f>
        <v>0</v>
      </c>
      <c r="BE73" s="255">
        <f ca="1">ROUND(Grunddaten!CE49*((Grunddaten!$S49-Grunddaten!$Q49)/100*$G73+$E73),-1)</f>
        <v>0</v>
      </c>
      <c r="BF73" s="255">
        <f ca="1">ROUND(Grunddaten!CF49*((Grunddaten!$S49-Grunddaten!$Q49)/100*$G73+$E73),-1)</f>
        <v>0</v>
      </c>
      <c r="BG73" s="255">
        <f ca="1">ROUND(Grunddaten!CG49*((Grunddaten!$S49-Grunddaten!$Q49)/100*$G73+$E73),-1)</f>
        <v>0</v>
      </c>
      <c r="BH73" s="255">
        <f ca="1">ROUND(Grunddaten!CH49*((Grunddaten!$S49-Grunddaten!$Q49)/100*$G73+$E73),-1)</f>
        <v>0</v>
      </c>
      <c r="BI73" s="255">
        <f ca="1">ROUND(Grunddaten!CI49*((Grunddaten!$S49-Grunddaten!$Q49)/100*$G73+$E73),-1)</f>
        <v>0</v>
      </c>
      <c r="BJ73" s="255">
        <f ca="1">ROUND(Grunddaten!CJ49*((Grunddaten!$S49-Grunddaten!$Q49)/100*$G73+$E73),-1)</f>
        <v>0</v>
      </c>
      <c r="BK73" s="255">
        <f ca="1">ROUND(Grunddaten!CK49*((Grunddaten!$S49-Grunddaten!$Q49)/100*$G73+$E73),-1)</f>
        <v>0</v>
      </c>
      <c r="BL73" s="255">
        <f ca="1">ROUND(Grunddaten!CL49*((Grunddaten!$S49-Grunddaten!$Q49)/100*$G73+$E73),-1)</f>
        <v>0</v>
      </c>
      <c r="BM73" s="255">
        <f ca="1">ROUND(Grunddaten!CM49*((Grunddaten!$S49-Grunddaten!$Q49)/100*$G73+$E73),-1)</f>
        <v>0</v>
      </c>
      <c r="BN73" s="255">
        <f ca="1">ROUND(Grunddaten!CN49*((Grunddaten!$S49-Grunddaten!$Q49)/100*$G73+$E73),-1)</f>
        <v>0</v>
      </c>
      <c r="BO73" s="255">
        <f ca="1">ROUND(Grunddaten!CO49*((Grunddaten!$S49-Grunddaten!$Q49)/100*$G73+$E73),-1)</f>
        <v>0</v>
      </c>
      <c r="BP73" s="255">
        <f ca="1">ROUND(Grunddaten!CP49*((Grunddaten!$S49-Grunddaten!$Q49)/100*$G73+$E73),-1)</f>
        <v>0</v>
      </c>
      <c r="BQ73" s="256">
        <f ca="1">ROUND(Grunddaten!CQ49*((Grunddaten!$S49-Grunddaten!$Q49)/100*$G73+$E73),-1)</f>
        <v>0</v>
      </c>
    </row>
    <row r="74" spans="1:69" s="36" customFormat="1" ht="11.25" customHeight="1" x14ac:dyDescent="0.2">
      <c r="A74" s="1011" t="str">
        <f>Berechnungen!A32</f>
        <v>Heizöl EL</v>
      </c>
      <c r="B74" s="1012"/>
      <c r="C74" s="1491"/>
      <c r="D74" s="1491"/>
      <c r="E74" s="2397"/>
      <c r="F74" s="2398"/>
      <c r="G74" s="2392">
        <f ca="1">SUMIF(EV_Var1!$A$11:$B$74,$A74,EV_Var1!$E$11:$E$74)</f>
        <v>0</v>
      </c>
      <c r="H74" s="2393"/>
      <c r="I74" s="2394"/>
      <c r="J74" s="2390">
        <f>Grunddaten!S50-(1-$R$109)*Grunddaten!Q50</f>
        <v>9.8000000000000007</v>
      </c>
      <c r="K74" s="2391"/>
      <c r="L74" s="2424">
        <f t="shared" ca="1" si="4"/>
        <v>0</v>
      </c>
      <c r="M74" s="2425"/>
      <c r="N74" s="2426"/>
      <c r="P74" s="489"/>
      <c r="Q74" s="489"/>
      <c r="S74" s="252">
        <f ca="1">ROUND(Grunddaten!AS50*((Grunddaten!$S50-Grunddaten!$Q50)/100*$G74+$E74),-1)</f>
        <v>0</v>
      </c>
      <c r="T74" s="253">
        <f ca="1">ROUND(Grunddaten!AT50*((Grunddaten!$S50-Grunddaten!$Q50)/100*$G74+$E74),-1)</f>
        <v>0</v>
      </c>
      <c r="U74" s="253">
        <f ca="1">ROUND(Grunddaten!AU50*((Grunddaten!$S50-Grunddaten!$Q50)/100*$G74+$E74),-1)</f>
        <v>0</v>
      </c>
      <c r="V74" s="253">
        <f ca="1">ROUND(Grunddaten!AV50*((Grunddaten!$S50-Grunddaten!$Q50)/100*$G74+$E74),-1)</f>
        <v>0</v>
      </c>
      <c r="W74" s="253">
        <f ca="1">ROUND(Grunddaten!AW50*((Grunddaten!$S50-Grunddaten!$Q50)/100*$G74+$E74),-1)</f>
        <v>0</v>
      </c>
      <c r="X74" s="253">
        <f ca="1">ROUND(Grunddaten!AX50*((Grunddaten!$S50-Grunddaten!$Q50)/100*$G74+$E74),-1)</f>
        <v>0</v>
      </c>
      <c r="Y74" s="253">
        <f ca="1">ROUND(Grunddaten!AY50*((Grunddaten!$S50-Grunddaten!$Q50)/100*$G74+$E74),-1)</f>
        <v>0</v>
      </c>
      <c r="Z74" s="253">
        <f ca="1">ROUND(Grunddaten!AZ50*((Grunddaten!$S50-Grunddaten!$Q50)/100*$G74+$E74),-1)</f>
        <v>0</v>
      </c>
      <c r="AA74" s="253">
        <f ca="1">ROUND(Grunddaten!BA50*((Grunddaten!$S50-Grunddaten!$Q50)/100*$G74+$E74),-1)</f>
        <v>0</v>
      </c>
      <c r="AB74" s="254">
        <f ca="1">ROUND(Grunddaten!BB50*((Grunddaten!$S50-Grunddaten!$Q50)/100*$G74+$E74),-1)</f>
        <v>0</v>
      </c>
      <c r="AC74" s="254">
        <f ca="1">ROUND(Grunddaten!BC50*((Grunddaten!$S50-Grunddaten!$Q50)/100*$G74+$E74),-1)</f>
        <v>0</v>
      </c>
      <c r="AD74" s="254">
        <f ca="1">ROUND(Grunddaten!BD50*((Grunddaten!$S50-Grunddaten!$Q50)/100*$G74+$E74),-1)</f>
        <v>0</v>
      </c>
      <c r="AE74" s="254">
        <f ca="1">ROUND(Grunddaten!BE50*((Grunddaten!$S50-Grunddaten!$Q50)/100*$G74+$E74),-1)</f>
        <v>0</v>
      </c>
      <c r="AF74" s="254">
        <f ca="1">ROUND(Grunddaten!BF50*((Grunddaten!$S50-Grunddaten!$Q50)/100*$G74+$E74),-1)</f>
        <v>0</v>
      </c>
      <c r="AG74" s="254">
        <f ca="1">ROUND(Grunddaten!BG50*((Grunddaten!$S50-Grunddaten!$Q50)/100*$G74+$E74),-1)</f>
        <v>0</v>
      </c>
      <c r="AH74" s="255">
        <f ca="1">ROUND(Grunddaten!BH50*((Grunddaten!$S50-Grunddaten!$Q50)/100*$G74+$E74),-1)</f>
        <v>0</v>
      </c>
      <c r="AI74" s="255">
        <f ca="1">ROUND(Grunddaten!BI50*((Grunddaten!$S50-Grunddaten!$Q50)/100*$G74+$E74),-1)</f>
        <v>0</v>
      </c>
      <c r="AJ74" s="255">
        <f ca="1">ROUND(Grunddaten!BJ50*((Grunddaten!$S50-Grunddaten!$Q50)/100*$G74+$E74),-1)</f>
        <v>0</v>
      </c>
      <c r="AK74" s="255">
        <f ca="1">ROUND(Grunddaten!BK50*((Grunddaten!$S50-Grunddaten!$Q50)/100*$G74+$E74),-1)</f>
        <v>0</v>
      </c>
      <c r="AL74" s="255">
        <f ca="1">ROUND(Grunddaten!BL50*((Grunddaten!$S50-Grunddaten!$Q50)/100*$G74+$E74),-1)</f>
        <v>0</v>
      </c>
      <c r="AM74" s="255">
        <f ca="1">ROUND(Grunddaten!BM50*((Grunddaten!$S50-Grunddaten!$Q50)/100*$G74+$E74),-1)</f>
        <v>0</v>
      </c>
      <c r="AN74" s="255">
        <f ca="1">ROUND(Grunddaten!BN50*((Grunddaten!$S50-Grunddaten!$Q50)/100*$G74+$E74),-1)</f>
        <v>0</v>
      </c>
      <c r="AO74" s="255">
        <f ca="1">ROUND(Grunddaten!BO50*((Grunddaten!$S50-Grunddaten!$Q50)/100*$G74+$E74),-1)</f>
        <v>0</v>
      </c>
      <c r="AP74" s="255">
        <f ca="1">ROUND(Grunddaten!BP50*((Grunddaten!$S50-Grunddaten!$Q50)/100*$G74+$E74),-1)</f>
        <v>0</v>
      </c>
      <c r="AQ74" s="255">
        <f ca="1">ROUND(Grunddaten!BQ50*((Grunddaten!$S50-Grunddaten!$Q50)/100*$G74+$E74),-1)</f>
        <v>0</v>
      </c>
      <c r="AR74" s="255">
        <f ca="1">ROUND(Grunddaten!BR50*((Grunddaten!$S50-Grunddaten!$Q50)/100*$G74+$E74),-1)</f>
        <v>0</v>
      </c>
      <c r="AS74" s="255">
        <f ca="1">ROUND(Grunddaten!BS50*((Grunddaten!$S50-Grunddaten!$Q50)/100*$G74+$E74),-1)</f>
        <v>0</v>
      </c>
      <c r="AT74" s="255">
        <f ca="1">ROUND(Grunddaten!BT50*((Grunddaten!$S50-Grunddaten!$Q50)/100*$G74+$E74),-1)</f>
        <v>0</v>
      </c>
      <c r="AU74" s="255">
        <f ca="1">ROUND(Grunddaten!BU50*((Grunddaten!$S50-Grunddaten!$Q50)/100*$G74+$E74),-1)</f>
        <v>0</v>
      </c>
      <c r="AV74" s="255">
        <f ca="1">ROUND(Grunddaten!BV50*((Grunddaten!$S50-Grunddaten!$Q50)/100*$G74+$E74),-1)</f>
        <v>0</v>
      </c>
      <c r="AW74" s="255">
        <f ca="1">ROUND(Grunddaten!BW50*((Grunddaten!$S50-Grunddaten!$Q50)/100*$G74+$E74),-1)</f>
        <v>0</v>
      </c>
      <c r="AX74" s="255">
        <f ca="1">ROUND(Grunddaten!BX50*((Grunddaten!$S50-Grunddaten!$Q50)/100*$G74+$E74),-1)</f>
        <v>0</v>
      </c>
      <c r="AY74" s="255">
        <f ca="1">ROUND(Grunddaten!BY50*((Grunddaten!$S50-Grunddaten!$Q50)/100*$G74+$E74),-1)</f>
        <v>0</v>
      </c>
      <c r="AZ74" s="255">
        <f ca="1">ROUND(Grunddaten!BZ50*((Grunddaten!$S50-Grunddaten!$Q50)/100*$G74+$E74),-1)</f>
        <v>0</v>
      </c>
      <c r="BA74" s="255">
        <f ca="1">ROUND(Grunddaten!CA50*((Grunddaten!$S50-Grunddaten!$Q50)/100*$G74+$E74),-1)</f>
        <v>0</v>
      </c>
      <c r="BB74" s="255">
        <f ca="1">ROUND(Grunddaten!CB50*((Grunddaten!$S50-Grunddaten!$Q50)/100*$G74+$E74),-1)</f>
        <v>0</v>
      </c>
      <c r="BC74" s="255">
        <f ca="1">ROUND(Grunddaten!CC50*((Grunddaten!$S50-Grunddaten!$Q50)/100*$G74+$E74),-1)</f>
        <v>0</v>
      </c>
      <c r="BD74" s="255">
        <f ca="1">ROUND(Grunddaten!CD50*((Grunddaten!$S50-Grunddaten!$Q50)/100*$G74+$E74),-1)</f>
        <v>0</v>
      </c>
      <c r="BE74" s="255">
        <f ca="1">ROUND(Grunddaten!CE50*((Grunddaten!$S50-Grunddaten!$Q50)/100*$G74+$E74),-1)</f>
        <v>0</v>
      </c>
      <c r="BF74" s="255">
        <f ca="1">ROUND(Grunddaten!CF50*((Grunddaten!$S50-Grunddaten!$Q50)/100*$G74+$E74),-1)</f>
        <v>0</v>
      </c>
      <c r="BG74" s="255">
        <f ca="1">ROUND(Grunddaten!CG50*((Grunddaten!$S50-Grunddaten!$Q50)/100*$G74+$E74),-1)</f>
        <v>0</v>
      </c>
      <c r="BH74" s="255">
        <f ca="1">ROUND(Grunddaten!CH50*((Grunddaten!$S50-Grunddaten!$Q50)/100*$G74+$E74),-1)</f>
        <v>0</v>
      </c>
      <c r="BI74" s="255">
        <f ca="1">ROUND(Grunddaten!CI50*((Grunddaten!$S50-Grunddaten!$Q50)/100*$G74+$E74),-1)</f>
        <v>0</v>
      </c>
      <c r="BJ74" s="255">
        <f ca="1">ROUND(Grunddaten!CJ50*((Grunddaten!$S50-Grunddaten!$Q50)/100*$G74+$E74),-1)</f>
        <v>0</v>
      </c>
      <c r="BK74" s="255">
        <f ca="1">ROUND(Grunddaten!CK50*((Grunddaten!$S50-Grunddaten!$Q50)/100*$G74+$E74),-1)</f>
        <v>0</v>
      </c>
      <c r="BL74" s="255">
        <f ca="1">ROUND(Grunddaten!CL50*((Grunddaten!$S50-Grunddaten!$Q50)/100*$G74+$E74),-1)</f>
        <v>0</v>
      </c>
      <c r="BM74" s="255">
        <f ca="1">ROUND(Grunddaten!CM50*((Grunddaten!$S50-Grunddaten!$Q50)/100*$G74+$E74),-1)</f>
        <v>0</v>
      </c>
      <c r="BN74" s="255">
        <f ca="1">ROUND(Grunddaten!CN50*((Grunddaten!$S50-Grunddaten!$Q50)/100*$G74+$E74),-1)</f>
        <v>0</v>
      </c>
      <c r="BO74" s="255">
        <f ca="1">ROUND(Grunddaten!CO50*((Grunddaten!$S50-Grunddaten!$Q50)/100*$G74+$E74),-1)</f>
        <v>0</v>
      </c>
      <c r="BP74" s="255">
        <f ca="1">ROUND(Grunddaten!CP50*((Grunddaten!$S50-Grunddaten!$Q50)/100*$G74+$E74),-1)</f>
        <v>0</v>
      </c>
      <c r="BQ74" s="256">
        <f ca="1">ROUND(Grunddaten!CQ50*((Grunddaten!$S50-Grunddaten!$Q50)/100*$G74+$E74),-1)</f>
        <v>0</v>
      </c>
    </row>
    <row r="75" spans="1:69" s="36" customFormat="1" ht="11.25" customHeight="1" x14ac:dyDescent="0.2">
      <c r="A75" s="1013" t="str">
        <f>Grunddaten!$C$51</f>
        <v>Brennstoff XY</v>
      </c>
      <c r="B75" s="1014"/>
      <c r="C75" s="1491"/>
      <c r="D75" s="1491"/>
      <c r="E75" s="2397">
        <f xml:space="preserve"> (IF(EV_Var1!$A$20=$A75,EV_Var1!$H$20,0) + IF(EV_Var1!$A$24=$A75,EV_Var1!$H$24,0) + IF(EV_Var1!$A$29=$A75,(EV_Var1!$H$28-EV_Var1!$AA$24),0) + IF(EV_Var1!$A$60=$A75,EV_Var1!$H$60,0)) * Grunddaten!$AI51</f>
        <v>0</v>
      </c>
      <c r="F75" s="2398"/>
      <c r="G75" s="2392">
        <f ca="1">SUMIF(EV_Var1!$A$11:$B$74,$A75,EV_Var1!$E$11:$E$74)</f>
        <v>0</v>
      </c>
      <c r="H75" s="2393"/>
      <c r="I75" s="2394"/>
      <c r="J75" s="2390">
        <f>Grunddaten!S51-(1-$R$109)*Grunddaten!Q51</f>
        <v>0</v>
      </c>
      <c r="K75" s="2391"/>
      <c r="L75" s="2424">
        <f t="shared" ca="1" si="4"/>
        <v>0</v>
      </c>
      <c r="M75" s="2425"/>
      <c r="N75" s="2426"/>
      <c r="P75" s="489"/>
      <c r="Q75" s="489"/>
      <c r="S75" s="252">
        <f ca="1">ROUND(Grunddaten!AS51*((Grunddaten!$S51-Grunddaten!$Q51)/100*$G75+$E75),-1)</f>
        <v>0</v>
      </c>
      <c r="T75" s="253">
        <f ca="1">ROUND(Grunddaten!AT51*((Grunddaten!$S51-Grunddaten!$Q51)/100*$G75+$E75),-1)</f>
        <v>0</v>
      </c>
      <c r="U75" s="253">
        <f ca="1">ROUND(Grunddaten!AU51*((Grunddaten!$S51-Grunddaten!$Q51)/100*$G75+$E75),-1)</f>
        <v>0</v>
      </c>
      <c r="V75" s="253">
        <f ca="1">ROUND(Grunddaten!AV51*((Grunddaten!$S51-Grunddaten!$Q51)/100*$G75+$E75),-1)</f>
        <v>0</v>
      </c>
      <c r="W75" s="253">
        <f ca="1">ROUND(Grunddaten!AW51*((Grunddaten!$S51-Grunddaten!$Q51)/100*$G75+$E75),-1)</f>
        <v>0</v>
      </c>
      <c r="X75" s="253">
        <f ca="1">ROUND(Grunddaten!AX51*((Grunddaten!$S51-Grunddaten!$Q51)/100*$G75+$E75),-1)</f>
        <v>0</v>
      </c>
      <c r="Y75" s="253">
        <f ca="1">ROUND(Grunddaten!AY51*((Grunddaten!$S51-Grunddaten!$Q51)/100*$G75+$E75),-1)</f>
        <v>0</v>
      </c>
      <c r="Z75" s="253">
        <f ca="1">ROUND(Grunddaten!AZ51*((Grunddaten!$S51-Grunddaten!$Q51)/100*$G75+$E75),-1)</f>
        <v>0</v>
      </c>
      <c r="AA75" s="253">
        <f ca="1">ROUND(Grunddaten!BA51*((Grunddaten!$S51-Grunddaten!$Q51)/100*$G75+$E75),-1)</f>
        <v>0</v>
      </c>
      <c r="AB75" s="254">
        <f ca="1">ROUND(Grunddaten!BB51*((Grunddaten!$S51-Grunddaten!$Q51)/100*$G75+$E75),-1)</f>
        <v>0</v>
      </c>
      <c r="AC75" s="254">
        <f ca="1">ROUND(Grunddaten!BC51*((Grunddaten!$S51-Grunddaten!$Q51)/100*$G75+$E75),-1)</f>
        <v>0</v>
      </c>
      <c r="AD75" s="254">
        <f ca="1">ROUND(Grunddaten!BD51*((Grunddaten!$S51-Grunddaten!$Q51)/100*$G75+$E75),-1)</f>
        <v>0</v>
      </c>
      <c r="AE75" s="254">
        <f ca="1">ROUND(Grunddaten!BE51*((Grunddaten!$S51-Grunddaten!$Q51)/100*$G75+$E75),-1)</f>
        <v>0</v>
      </c>
      <c r="AF75" s="254">
        <f ca="1">ROUND(Grunddaten!BF51*((Grunddaten!$S51-Grunddaten!$Q51)/100*$G75+$E75),-1)</f>
        <v>0</v>
      </c>
      <c r="AG75" s="254">
        <f ca="1">ROUND(Grunddaten!BG51*((Grunddaten!$S51-Grunddaten!$Q51)/100*$G75+$E75),-1)</f>
        <v>0</v>
      </c>
      <c r="AH75" s="255">
        <f ca="1">ROUND(Grunddaten!BH51*((Grunddaten!$S51-Grunddaten!$Q51)/100*$G75+$E75),-1)</f>
        <v>0</v>
      </c>
      <c r="AI75" s="255">
        <f ca="1">ROUND(Grunddaten!BI51*((Grunddaten!$S51-Grunddaten!$Q51)/100*$G75+$E75),-1)</f>
        <v>0</v>
      </c>
      <c r="AJ75" s="255">
        <f ca="1">ROUND(Grunddaten!BJ51*((Grunddaten!$S51-Grunddaten!$Q51)/100*$G75+$E75),-1)</f>
        <v>0</v>
      </c>
      <c r="AK75" s="255">
        <f ca="1">ROUND(Grunddaten!BK51*((Grunddaten!$S51-Grunddaten!$Q51)/100*$G75+$E75),-1)</f>
        <v>0</v>
      </c>
      <c r="AL75" s="255">
        <f ca="1">ROUND(Grunddaten!BL51*((Grunddaten!$S51-Grunddaten!$Q51)/100*$G75+$E75),-1)</f>
        <v>0</v>
      </c>
      <c r="AM75" s="255">
        <f ca="1">ROUND(Grunddaten!BM51*((Grunddaten!$S51-Grunddaten!$Q51)/100*$G75+$E75),-1)</f>
        <v>0</v>
      </c>
      <c r="AN75" s="255">
        <f ca="1">ROUND(Grunddaten!BN51*((Grunddaten!$S51-Grunddaten!$Q51)/100*$G75+$E75),-1)</f>
        <v>0</v>
      </c>
      <c r="AO75" s="255">
        <f ca="1">ROUND(Grunddaten!BO51*((Grunddaten!$S51-Grunddaten!$Q51)/100*$G75+$E75),-1)</f>
        <v>0</v>
      </c>
      <c r="AP75" s="255">
        <f ca="1">ROUND(Grunddaten!BP51*((Grunddaten!$S51-Grunddaten!$Q51)/100*$G75+$E75),-1)</f>
        <v>0</v>
      </c>
      <c r="AQ75" s="255">
        <f ca="1">ROUND(Grunddaten!BQ51*((Grunddaten!$S51-Grunddaten!$Q51)/100*$G75+$E75),-1)</f>
        <v>0</v>
      </c>
      <c r="AR75" s="255">
        <f ca="1">ROUND(Grunddaten!BR51*((Grunddaten!$S51-Grunddaten!$Q51)/100*$G75+$E75),-1)</f>
        <v>0</v>
      </c>
      <c r="AS75" s="255">
        <f ca="1">ROUND(Grunddaten!BS51*((Grunddaten!$S51-Grunddaten!$Q51)/100*$G75+$E75),-1)</f>
        <v>0</v>
      </c>
      <c r="AT75" s="255">
        <f ca="1">ROUND(Grunddaten!BT51*((Grunddaten!$S51-Grunddaten!$Q51)/100*$G75+$E75),-1)</f>
        <v>0</v>
      </c>
      <c r="AU75" s="255">
        <f ca="1">ROUND(Grunddaten!BU51*((Grunddaten!$S51-Grunddaten!$Q51)/100*$G75+$E75),-1)</f>
        <v>0</v>
      </c>
      <c r="AV75" s="255">
        <f ca="1">ROUND(Grunddaten!BV51*((Grunddaten!$S51-Grunddaten!$Q51)/100*$G75+$E75),-1)</f>
        <v>0</v>
      </c>
      <c r="AW75" s="255">
        <f ca="1">ROUND(Grunddaten!BW51*((Grunddaten!$S51-Grunddaten!$Q51)/100*$G75+$E75),-1)</f>
        <v>0</v>
      </c>
      <c r="AX75" s="255">
        <f ca="1">ROUND(Grunddaten!BX51*((Grunddaten!$S51-Grunddaten!$Q51)/100*$G75+$E75),-1)</f>
        <v>0</v>
      </c>
      <c r="AY75" s="255">
        <f ca="1">ROUND(Grunddaten!BY51*((Grunddaten!$S51-Grunddaten!$Q51)/100*$G75+$E75),-1)</f>
        <v>0</v>
      </c>
      <c r="AZ75" s="255">
        <f ca="1">ROUND(Grunddaten!BZ51*((Grunddaten!$S51-Grunddaten!$Q51)/100*$G75+$E75),-1)</f>
        <v>0</v>
      </c>
      <c r="BA75" s="255">
        <f ca="1">ROUND(Grunddaten!CA51*((Grunddaten!$S51-Grunddaten!$Q51)/100*$G75+$E75),-1)</f>
        <v>0</v>
      </c>
      <c r="BB75" s="255">
        <f ca="1">ROUND(Grunddaten!CB51*((Grunddaten!$S51-Grunddaten!$Q51)/100*$G75+$E75),-1)</f>
        <v>0</v>
      </c>
      <c r="BC75" s="255">
        <f ca="1">ROUND(Grunddaten!CC51*((Grunddaten!$S51-Grunddaten!$Q51)/100*$G75+$E75),-1)</f>
        <v>0</v>
      </c>
      <c r="BD75" s="255">
        <f ca="1">ROUND(Grunddaten!CD51*((Grunddaten!$S51-Grunddaten!$Q51)/100*$G75+$E75),-1)</f>
        <v>0</v>
      </c>
      <c r="BE75" s="255">
        <f ca="1">ROUND(Grunddaten!CE51*((Grunddaten!$S51-Grunddaten!$Q51)/100*$G75+$E75),-1)</f>
        <v>0</v>
      </c>
      <c r="BF75" s="255">
        <f ca="1">ROUND(Grunddaten!CF51*((Grunddaten!$S51-Grunddaten!$Q51)/100*$G75+$E75),-1)</f>
        <v>0</v>
      </c>
      <c r="BG75" s="255">
        <f ca="1">ROUND(Grunddaten!CG51*((Grunddaten!$S51-Grunddaten!$Q51)/100*$G75+$E75),-1)</f>
        <v>0</v>
      </c>
      <c r="BH75" s="255">
        <f ca="1">ROUND(Grunddaten!CH51*((Grunddaten!$S51-Grunddaten!$Q51)/100*$G75+$E75),-1)</f>
        <v>0</v>
      </c>
      <c r="BI75" s="255">
        <f ca="1">ROUND(Grunddaten!CI51*((Grunddaten!$S51-Grunddaten!$Q51)/100*$G75+$E75),-1)</f>
        <v>0</v>
      </c>
      <c r="BJ75" s="255">
        <f ca="1">ROUND(Grunddaten!CJ51*((Grunddaten!$S51-Grunddaten!$Q51)/100*$G75+$E75),-1)</f>
        <v>0</v>
      </c>
      <c r="BK75" s="255">
        <f ca="1">ROUND(Grunddaten!CK51*((Grunddaten!$S51-Grunddaten!$Q51)/100*$G75+$E75),-1)</f>
        <v>0</v>
      </c>
      <c r="BL75" s="255">
        <f ca="1">ROUND(Grunddaten!CL51*((Grunddaten!$S51-Grunddaten!$Q51)/100*$G75+$E75),-1)</f>
        <v>0</v>
      </c>
      <c r="BM75" s="255">
        <f ca="1">ROUND(Grunddaten!CM51*((Grunddaten!$S51-Grunddaten!$Q51)/100*$G75+$E75),-1)</f>
        <v>0</v>
      </c>
      <c r="BN75" s="255">
        <f ca="1">ROUND(Grunddaten!CN51*((Grunddaten!$S51-Grunddaten!$Q51)/100*$G75+$E75),-1)</f>
        <v>0</v>
      </c>
      <c r="BO75" s="255">
        <f ca="1">ROUND(Grunddaten!CO51*((Grunddaten!$S51-Grunddaten!$Q51)/100*$G75+$E75),-1)</f>
        <v>0</v>
      </c>
      <c r="BP75" s="255">
        <f ca="1">ROUND(Grunddaten!CP51*((Grunddaten!$S51-Grunddaten!$Q51)/100*$G75+$E75),-1)</f>
        <v>0</v>
      </c>
      <c r="BQ75" s="256">
        <f ca="1">ROUND(Grunddaten!CQ51*((Grunddaten!$S51-Grunddaten!$Q51)/100*$G75+$E75),-1)</f>
        <v>0</v>
      </c>
    </row>
    <row r="76" spans="1:69" s="36" customFormat="1" ht="11.25" customHeight="1" x14ac:dyDescent="0.2">
      <c r="A76" s="1011" t="str">
        <f>Grunddaten!A52</f>
        <v>Fernwärme</v>
      </c>
      <c r="B76" s="1012" t="str">
        <f>Projektdaten!H22</f>
        <v>Stadt Zürich erz</v>
      </c>
      <c r="C76" s="1491"/>
      <c r="D76" s="1491"/>
      <c r="E76" s="2397">
        <f xml:space="preserve"> VLOOKUP(Projektdaten!$H$22,Grunddaten!$C$52:$AI$54,33,FALSE) * IF(Grunddaten!$AL$55=Grunddaten!$AK$54,SQRT(EV_Var1!$AA$31/1000)*1000,EV_Var1!$AA$31)</f>
        <v>0</v>
      </c>
      <c r="F76" s="2398"/>
      <c r="G76" s="2392">
        <f ca="1">SUMIF(EV_Var1!$A$11:$B$74,$A76,EV_Var1!$E$11:$E$74)</f>
        <v>0</v>
      </c>
      <c r="H76" s="2393"/>
      <c r="I76" s="2394"/>
      <c r="J76" s="2390">
        <f ca="1">OFFSET(Grunddaten!$S$52,FW_Produkt,0)-(1-R109)*OFFSET(Grunddaten!$Q$52,FW_Produkt,0)</f>
        <v>8.6</v>
      </c>
      <c r="K76" s="2391"/>
      <c r="L76" s="2424">
        <f ca="1">ROUND(E76+G76*J76/100,-1)</f>
        <v>0</v>
      </c>
      <c r="M76" s="2425"/>
      <c r="N76" s="2426"/>
      <c r="P76" s="489"/>
      <c r="Q76" s="489"/>
      <c r="S76" s="252">
        <f ca="1">ROUND(OFFSET(Grunddaten!AS52,FW_Produkt,0)*((OFFSET(Grunddaten!$S52,FW_Produkt,0)-OFFSET(Grunddaten!$Q52,FW_Produkt,0))/100*$G76+$E76),-1)</f>
        <v>0</v>
      </c>
      <c r="T76" s="253">
        <f ca="1">ROUND(OFFSET(Grunddaten!AT52,FW_Produkt,0)*((OFFSET(Grunddaten!$S52,FW_Produkt,0)-OFFSET(Grunddaten!$Q52,FW_Produkt,0))/100*$G76+$E76),-1)</f>
        <v>0</v>
      </c>
      <c r="U76" s="253">
        <f ca="1">ROUND(OFFSET(Grunddaten!AU52,FW_Produkt,0)*((OFFSET(Grunddaten!$S52,FW_Produkt,0)-OFFSET(Grunddaten!$Q52,FW_Produkt,0))/100*$G76+$E76),-1)</f>
        <v>0</v>
      </c>
      <c r="V76" s="253">
        <f ca="1">ROUND(OFFSET(Grunddaten!AV52,FW_Produkt,0)*((OFFSET(Grunddaten!$S52,FW_Produkt,0)-OFFSET(Grunddaten!$Q52,FW_Produkt,0))/100*$G76+$E76),-1)</f>
        <v>0</v>
      </c>
      <c r="W76" s="253">
        <f ca="1">ROUND(OFFSET(Grunddaten!AW52,FW_Produkt,0)*((OFFSET(Grunddaten!$S52,FW_Produkt,0)-OFFSET(Grunddaten!$Q52,FW_Produkt,0))/100*$G76+$E76),-1)</f>
        <v>0</v>
      </c>
      <c r="X76" s="253">
        <f ca="1">ROUND(OFFSET(Grunddaten!AX52,FW_Produkt,0)*((OFFSET(Grunddaten!$S52,FW_Produkt,0)-OFFSET(Grunddaten!$Q52,FW_Produkt,0))/100*$G76+$E76),-1)</f>
        <v>0</v>
      </c>
      <c r="Y76" s="253">
        <f ca="1">ROUND(OFFSET(Grunddaten!AY52,FW_Produkt,0)*((OFFSET(Grunddaten!$S52,FW_Produkt,0)-OFFSET(Grunddaten!$Q52,FW_Produkt,0))/100*$G76+$E76),-1)</f>
        <v>0</v>
      </c>
      <c r="Z76" s="253">
        <f ca="1">ROUND(OFFSET(Grunddaten!AZ52,FW_Produkt,0)*((OFFSET(Grunddaten!$S52,FW_Produkt,0)-OFFSET(Grunddaten!$Q52,FW_Produkt,0))/100*$G76+$E76),-1)</f>
        <v>0</v>
      </c>
      <c r="AA76" s="253">
        <f ca="1">ROUND(OFFSET(Grunddaten!BA52,FW_Produkt,0)*((OFFSET(Grunddaten!$S52,FW_Produkt,0)-OFFSET(Grunddaten!$Q52,FW_Produkt,0))/100*$G76+$E76),-1)</f>
        <v>0</v>
      </c>
      <c r="AB76" s="253">
        <f ca="1">ROUND(OFFSET(Grunddaten!BB52,FW_Produkt,0)*((OFFSET(Grunddaten!$S52,FW_Produkt,0)-OFFSET(Grunddaten!$Q52,FW_Produkt,0))/100*$G76+$E76),-1)</f>
        <v>0</v>
      </c>
      <c r="AC76" s="253">
        <f ca="1">ROUND(OFFSET(Grunddaten!BC52,FW_Produkt,0)*((OFFSET(Grunddaten!$S52,FW_Produkt,0)-OFFSET(Grunddaten!$Q52,FW_Produkt,0))/100*$G76+$E76),-1)</f>
        <v>0</v>
      </c>
      <c r="AD76" s="253">
        <f ca="1">ROUND(OFFSET(Grunddaten!BD52,FW_Produkt,0)*((OFFSET(Grunddaten!$S52,FW_Produkt,0)-OFFSET(Grunddaten!$Q52,FW_Produkt,0))/100*$G76+$E76),-1)</f>
        <v>0</v>
      </c>
      <c r="AE76" s="253">
        <f ca="1">ROUND(OFFSET(Grunddaten!BE52,FW_Produkt,0)*((OFFSET(Grunddaten!$S52,FW_Produkt,0)-OFFSET(Grunddaten!$Q52,FW_Produkt,0))/100*$G76+$E76),-1)</f>
        <v>0</v>
      </c>
      <c r="AF76" s="253">
        <f ca="1">ROUND(OFFSET(Grunddaten!BF52,FW_Produkt,0)*((OFFSET(Grunddaten!$S52,FW_Produkt,0)-OFFSET(Grunddaten!$Q52,FW_Produkt,0))/100*$G76+$E76),-1)</f>
        <v>0</v>
      </c>
      <c r="AG76" s="253">
        <f ca="1">ROUND(OFFSET(Grunddaten!BG52,FW_Produkt,0)*((OFFSET(Grunddaten!$S52,FW_Produkt,0)-OFFSET(Grunddaten!$Q52,FW_Produkt,0))/100*$G76+$E76),-1)</f>
        <v>0</v>
      </c>
      <c r="AH76" s="253">
        <f ca="1">ROUND(OFFSET(Grunddaten!BH52,FW_Produkt,0)*((OFFSET(Grunddaten!$S52,FW_Produkt,0)-OFFSET(Grunddaten!$Q52,FW_Produkt,0))/100*$G76+$E76),-1)</f>
        <v>0</v>
      </c>
      <c r="AI76" s="253">
        <f ca="1">ROUND(OFFSET(Grunddaten!BI52,FW_Produkt,0)*((OFFSET(Grunddaten!$S52,FW_Produkt,0)-OFFSET(Grunddaten!$Q52,FW_Produkt,0))/100*$G76+$E76),-1)</f>
        <v>0</v>
      </c>
      <c r="AJ76" s="253">
        <f ca="1">ROUND(OFFSET(Grunddaten!BJ52,FW_Produkt,0)*((OFFSET(Grunddaten!$S52,FW_Produkt,0)-OFFSET(Grunddaten!$Q52,FW_Produkt,0))/100*$G76+$E76),-1)</f>
        <v>0</v>
      </c>
      <c r="AK76" s="253">
        <f ca="1">ROUND(OFFSET(Grunddaten!BK52,FW_Produkt,0)*((OFFSET(Grunddaten!$S52,FW_Produkt,0)-OFFSET(Grunddaten!$Q52,FW_Produkt,0))/100*$G76+$E76),-1)</f>
        <v>0</v>
      </c>
      <c r="AL76" s="253">
        <f ca="1">ROUND(OFFSET(Grunddaten!BL52,FW_Produkt,0)*((OFFSET(Grunddaten!$S52,FW_Produkt,0)-OFFSET(Grunddaten!$Q52,FW_Produkt,0))/100*$G76+$E76),-1)</f>
        <v>0</v>
      </c>
      <c r="AM76" s="253">
        <f ca="1">ROUND(OFFSET(Grunddaten!BM52,FW_Produkt,0)*((OFFSET(Grunddaten!$S52,FW_Produkt,0)-OFFSET(Grunddaten!$Q52,FW_Produkt,0))/100*$G76+$E76),-1)</f>
        <v>0</v>
      </c>
      <c r="AN76" s="253">
        <f ca="1">ROUND(OFFSET(Grunddaten!BN52,FW_Produkt,0)*((OFFSET(Grunddaten!$S52,FW_Produkt,0)-OFFSET(Grunddaten!$Q52,FW_Produkt,0))/100*$G76+$E76),-1)</f>
        <v>0</v>
      </c>
      <c r="AO76" s="253">
        <f ca="1">ROUND(OFFSET(Grunddaten!BO52,FW_Produkt,0)*((OFFSET(Grunddaten!$S52,FW_Produkt,0)-OFFSET(Grunddaten!$Q52,FW_Produkt,0))/100*$G76+$E76),-1)</f>
        <v>0</v>
      </c>
      <c r="AP76" s="253">
        <f ca="1">ROUND(OFFSET(Grunddaten!BP52,FW_Produkt,0)*((OFFSET(Grunddaten!$S52,FW_Produkt,0)-OFFSET(Grunddaten!$Q52,FW_Produkt,0))/100*$G76+$E76),-1)</f>
        <v>0</v>
      </c>
      <c r="AQ76" s="253">
        <f ca="1">ROUND(OFFSET(Grunddaten!BQ52,FW_Produkt,0)*((OFFSET(Grunddaten!$S52,FW_Produkt,0)-OFFSET(Grunddaten!$Q52,FW_Produkt,0))/100*$G76+$E76),-1)</f>
        <v>0</v>
      </c>
      <c r="AR76" s="253">
        <f ca="1">ROUND(OFFSET(Grunddaten!BR52,FW_Produkt,0)*((OFFSET(Grunddaten!$S52,FW_Produkt,0)-OFFSET(Grunddaten!$Q52,FW_Produkt,0))/100*$G76+$E76),-1)</f>
        <v>0</v>
      </c>
      <c r="AS76" s="253">
        <f ca="1">ROUND(OFFSET(Grunddaten!BS52,FW_Produkt,0)*((OFFSET(Grunddaten!$S52,FW_Produkt,0)-OFFSET(Grunddaten!$Q52,FW_Produkt,0))/100*$G76+$E76),-1)</f>
        <v>0</v>
      </c>
      <c r="AT76" s="253">
        <f ca="1">ROUND(OFFSET(Grunddaten!BT52,FW_Produkt,0)*((OFFSET(Grunddaten!$S52,FW_Produkt,0)-OFFSET(Grunddaten!$Q52,FW_Produkt,0))/100*$G76+$E76),-1)</f>
        <v>0</v>
      </c>
      <c r="AU76" s="253">
        <f ca="1">ROUND(OFFSET(Grunddaten!BU52,FW_Produkt,0)*((OFFSET(Grunddaten!$S52,FW_Produkt,0)-OFFSET(Grunddaten!$Q52,FW_Produkt,0))/100*$G76+$E76),-1)</f>
        <v>0</v>
      </c>
      <c r="AV76" s="253">
        <f ca="1">ROUND(OFFSET(Grunddaten!BV52,FW_Produkt,0)*((OFFSET(Grunddaten!$S52,FW_Produkt,0)-OFFSET(Grunddaten!$Q52,FW_Produkt,0))/100*$G76+$E76),-1)</f>
        <v>0</v>
      </c>
      <c r="AW76" s="253">
        <f ca="1">ROUND(OFFSET(Grunddaten!BW52,FW_Produkt,0)*((OFFSET(Grunddaten!$S52,FW_Produkt,0)-OFFSET(Grunddaten!$Q52,FW_Produkt,0))/100*$G76+$E76),-1)</f>
        <v>0</v>
      </c>
      <c r="AX76" s="253">
        <f ca="1">ROUND(OFFSET(Grunddaten!BX52,FW_Produkt,0)*((OFFSET(Grunddaten!$S52,FW_Produkt,0)-OFFSET(Grunddaten!$Q52,FW_Produkt,0))/100*$G76+$E76),-1)</f>
        <v>0</v>
      </c>
      <c r="AY76" s="253">
        <f ca="1">ROUND(OFFSET(Grunddaten!BY52,FW_Produkt,0)*((OFFSET(Grunddaten!$S52,FW_Produkt,0)-OFFSET(Grunddaten!$Q52,FW_Produkt,0))/100*$G76+$E76),-1)</f>
        <v>0</v>
      </c>
      <c r="AZ76" s="253">
        <f ca="1">ROUND(OFFSET(Grunddaten!BZ52,FW_Produkt,0)*((OFFSET(Grunddaten!$S52,FW_Produkt,0)-OFFSET(Grunddaten!$Q52,FW_Produkt,0))/100*$G76+$E76),-1)</f>
        <v>0</v>
      </c>
      <c r="BA76" s="253">
        <f ca="1">ROUND(OFFSET(Grunddaten!CA52,FW_Produkt,0)*((OFFSET(Grunddaten!$S52,FW_Produkt,0)-OFFSET(Grunddaten!$Q52,FW_Produkt,0))/100*$G76+$E76),-1)</f>
        <v>0</v>
      </c>
      <c r="BB76" s="253">
        <f ca="1">ROUND(OFFSET(Grunddaten!CB52,FW_Produkt,0)*((OFFSET(Grunddaten!$S52,FW_Produkt,0)-OFFSET(Grunddaten!$Q52,FW_Produkt,0))/100*$G76+$E76),-1)</f>
        <v>0</v>
      </c>
      <c r="BC76" s="253">
        <f ca="1">ROUND(OFFSET(Grunddaten!CC52,FW_Produkt,0)*((OFFSET(Grunddaten!$S52,FW_Produkt,0)-OFFSET(Grunddaten!$Q52,FW_Produkt,0))/100*$G76+$E76),-1)</f>
        <v>0</v>
      </c>
      <c r="BD76" s="253">
        <f ca="1">ROUND(OFFSET(Grunddaten!CD52,FW_Produkt,0)*((OFFSET(Grunddaten!$S52,FW_Produkt,0)-OFFSET(Grunddaten!$Q52,FW_Produkt,0))/100*$G76+$E76),-1)</f>
        <v>0</v>
      </c>
      <c r="BE76" s="253">
        <f ca="1">ROUND(OFFSET(Grunddaten!CE52,FW_Produkt,0)*((OFFSET(Grunddaten!$S52,FW_Produkt,0)-OFFSET(Grunddaten!$Q52,FW_Produkt,0))/100*$G76+$E76),-1)</f>
        <v>0</v>
      </c>
      <c r="BF76" s="253">
        <f ca="1">ROUND(OFFSET(Grunddaten!CF52,FW_Produkt,0)*((OFFSET(Grunddaten!$S52,FW_Produkt,0)-OFFSET(Grunddaten!$Q52,FW_Produkt,0))/100*$G76+$E76),-1)</f>
        <v>0</v>
      </c>
      <c r="BG76" s="253">
        <f ca="1">ROUND(OFFSET(Grunddaten!CG52,FW_Produkt,0)*((OFFSET(Grunddaten!$S52,FW_Produkt,0)-OFFSET(Grunddaten!$Q52,FW_Produkt,0))/100*$G76+$E76),-1)</f>
        <v>0</v>
      </c>
      <c r="BH76" s="253">
        <f ca="1">ROUND(OFFSET(Grunddaten!CH52,FW_Produkt,0)*((OFFSET(Grunddaten!$S52,FW_Produkt,0)-OFFSET(Grunddaten!$Q52,FW_Produkt,0))/100*$G76+$E76),-1)</f>
        <v>0</v>
      </c>
      <c r="BI76" s="253">
        <f ca="1">ROUND(OFFSET(Grunddaten!CI52,FW_Produkt,0)*((OFFSET(Grunddaten!$S52,FW_Produkt,0)-OFFSET(Grunddaten!$Q52,FW_Produkt,0))/100*$G76+$E76),-1)</f>
        <v>0</v>
      </c>
      <c r="BJ76" s="253">
        <f ca="1">ROUND(OFFSET(Grunddaten!CJ52,FW_Produkt,0)*((OFFSET(Grunddaten!$S52,FW_Produkt,0)-OFFSET(Grunddaten!$Q52,FW_Produkt,0))/100*$G76+$E76),-1)</f>
        <v>0</v>
      </c>
      <c r="BK76" s="253">
        <f ca="1">ROUND(OFFSET(Grunddaten!CK52,FW_Produkt,0)*((OFFSET(Grunddaten!$S52,FW_Produkt,0)-OFFSET(Grunddaten!$Q52,FW_Produkt,0))/100*$G76+$E76),-1)</f>
        <v>0</v>
      </c>
      <c r="BL76" s="253">
        <f ca="1">ROUND(OFFSET(Grunddaten!CL52,FW_Produkt,0)*((OFFSET(Grunddaten!$S52,FW_Produkt,0)-OFFSET(Grunddaten!$Q52,FW_Produkt,0))/100*$G76+$E76),-1)</f>
        <v>0</v>
      </c>
      <c r="BM76" s="253">
        <f ca="1">ROUND(OFFSET(Grunddaten!CM52,FW_Produkt,0)*((OFFSET(Grunddaten!$S52,FW_Produkt,0)-OFFSET(Grunddaten!$Q52,FW_Produkt,0))/100*$G76+$E76),-1)</f>
        <v>0</v>
      </c>
      <c r="BN76" s="253">
        <f ca="1">ROUND(OFFSET(Grunddaten!CN52,FW_Produkt,0)*((OFFSET(Grunddaten!$S52,FW_Produkt,0)-OFFSET(Grunddaten!$Q52,FW_Produkt,0))/100*$G76+$E76),-1)</f>
        <v>0</v>
      </c>
      <c r="BO76" s="253">
        <f ca="1">ROUND(OFFSET(Grunddaten!CO52,FW_Produkt,0)*((OFFSET(Grunddaten!$S52,FW_Produkt,0)-OFFSET(Grunddaten!$Q52,FW_Produkt,0))/100*$G76+$E76),-1)</f>
        <v>0</v>
      </c>
      <c r="BP76" s="253">
        <f ca="1">ROUND(OFFSET(Grunddaten!CP52,FW_Produkt,0)*((OFFSET(Grunddaten!$S52,FW_Produkt,0)-OFFSET(Grunddaten!$Q52,FW_Produkt,0))/100*$G76+$E76),-1)</f>
        <v>0</v>
      </c>
      <c r="BQ76" s="257">
        <f ca="1">ROUND(OFFSET(Grunddaten!CQ52,FW_Produkt,0)*((OFFSET(Grunddaten!$S52,FW_Produkt,0)-OFFSET(Grunddaten!$Q52,FW_Produkt,0))/100*$G76+$E76),-1)</f>
        <v>0</v>
      </c>
    </row>
    <row r="77" spans="1:69" s="36" customFormat="1" ht="11.25" customHeight="1" x14ac:dyDescent="0.2">
      <c r="A77" s="1011" t="str">
        <f>Grunddaten!$C$55</f>
        <v>Wärmeverbund XY</v>
      </c>
      <c r="B77" s="1012"/>
      <c r="C77" s="1491"/>
      <c r="D77" s="1491"/>
      <c r="E77" s="2397">
        <f xml:space="preserve"> ( EV_Var1!I13 + IF(EV_Var1!$A$27=$A77,EV_Var1!$AA$24,0) + IF(EV_Var1!$A$32=$A77,EV_Var1!$AA$25,0) + IF(EV_Var1!$A$36=$A77,EV_Var1!$AA$26) ) * Grunddaten!$AI$55</f>
        <v>0</v>
      </c>
      <c r="F77" s="2398"/>
      <c r="G77" s="2392">
        <f ca="1">SUMIF(EV_Var1!$A$11:$B$74,$A77,EV_Var1!$E$11:$E$74)</f>
        <v>0</v>
      </c>
      <c r="H77" s="2393"/>
      <c r="I77" s="2394"/>
      <c r="J77" s="2390">
        <f>Grunddaten!S55-(1-$R$109)*Grunddaten!Q55</f>
        <v>0</v>
      </c>
      <c r="K77" s="2391"/>
      <c r="L77" s="2424">
        <f t="shared" ref="L77" ca="1" si="6">ROUND(E77+G77*J77/100,-1)</f>
        <v>0</v>
      </c>
      <c r="M77" s="2425"/>
      <c r="N77" s="2426"/>
      <c r="P77" s="679"/>
      <c r="Q77" s="679"/>
      <c r="S77" s="206">
        <f ca="1">ROUND(Grunddaten!AS55*((Grunddaten!$S55-Grunddaten!$Q55)/100*$G77+$E77),-1)</f>
        <v>0</v>
      </c>
      <c r="T77" s="207">
        <f ca="1">ROUND(Grunddaten!AT55*((Grunddaten!$S55-Grunddaten!$Q55)/100*$G77+$E77),-1)</f>
        <v>0</v>
      </c>
      <c r="U77" s="207">
        <f ca="1">ROUND(Grunddaten!AU55*((Grunddaten!$S55-Grunddaten!$Q55)/100*$G77+$E77),-1)</f>
        <v>0</v>
      </c>
      <c r="V77" s="207">
        <f ca="1">ROUND(Grunddaten!AV55*((Grunddaten!$S55-Grunddaten!$Q55)/100*$G77+$E77),-1)</f>
        <v>0</v>
      </c>
      <c r="W77" s="207">
        <f ca="1">ROUND(Grunddaten!AW55*((Grunddaten!$S55-Grunddaten!$Q55)/100*$G77+$E77),-1)</f>
        <v>0</v>
      </c>
      <c r="X77" s="207">
        <f ca="1">ROUND(Grunddaten!AX55*((Grunddaten!$S55-Grunddaten!$Q55)/100*$G77+$E77),-1)</f>
        <v>0</v>
      </c>
      <c r="Y77" s="207">
        <f ca="1">ROUND(Grunddaten!AY55*((Grunddaten!$S55-Grunddaten!$Q55)/100*$G77+$E77),-1)</f>
        <v>0</v>
      </c>
      <c r="Z77" s="207">
        <f ca="1">ROUND(Grunddaten!AZ55*((Grunddaten!$S55-Grunddaten!$Q55)/100*$G77+$E77),-1)</f>
        <v>0</v>
      </c>
      <c r="AA77" s="207">
        <f ca="1">ROUND(Grunddaten!BA55*((Grunddaten!$S55-Grunddaten!$Q55)/100*$G77+$E77),-1)</f>
        <v>0</v>
      </c>
      <c r="AB77" s="207">
        <f ca="1">ROUND(Grunddaten!BB55*((Grunddaten!$S55-Grunddaten!$Q55)/100*$G77+$E77),-1)</f>
        <v>0</v>
      </c>
      <c r="AC77" s="207">
        <f ca="1">ROUND(Grunddaten!BC55*((Grunddaten!$S55-Grunddaten!$Q55)/100*$G77+$E77),-1)</f>
        <v>0</v>
      </c>
      <c r="AD77" s="207">
        <f ca="1">ROUND(Grunddaten!BD55*((Grunddaten!$S55-Grunddaten!$Q55)/100*$G77+$E77),-1)</f>
        <v>0</v>
      </c>
      <c r="AE77" s="207">
        <f ca="1">ROUND(Grunddaten!BE55*((Grunddaten!$S55-Grunddaten!$Q55)/100*$G77+$E77),-1)</f>
        <v>0</v>
      </c>
      <c r="AF77" s="207">
        <f ca="1">ROUND(Grunddaten!BF55*((Grunddaten!$S55-Grunddaten!$Q55)/100*$G77+$E77),-1)</f>
        <v>0</v>
      </c>
      <c r="AG77" s="207">
        <f ca="1">ROUND(Grunddaten!BG55*((Grunddaten!$S55-Grunddaten!$Q55)/100*$G77+$E77),-1)</f>
        <v>0</v>
      </c>
      <c r="AH77" s="207">
        <f ca="1">ROUND(Grunddaten!BH55*((Grunddaten!$S55-Grunddaten!$Q55)/100*$G77+$E77),-1)</f>
        <v>0</v>
      </c>
      <c r="AI77" s="207">
        <f ca="1">ROUND(Grunddaten!BI55*((Grunddaten!$S55-Grunddaten!$Q55)/100*$G77+$E77),-1)</f>
        <v>0</v>
      </c>
      <c r="AJ77" s="207">
        <f ca="1">ROUND(Grunddaten!BJ55*((Grunddaten!$S55-Grunddaten!$Q55)/100*$G77+$E77),-1)</f>
        <v>0</v>
      </c>
      <c r="AK77" s="207">
        <f ca="1">ROUND(Grunddaten!BK55*((Grunddaten!$S55-Grunddaten!$Q55)/100*$G77+$E77),-1)</f>
        <v>0</v>
      </c>
      <c r="AL77" s="207">
        <f ca="1">ROUND(Grunddaten!BL55*((Grunddaten!$S55-Grunddaten!$Q55)/100*$G77+$E77),-1)</f>
        <v>0</v>
      </c>
      <c r="AM77" s="207">
        <f ca="1">ROUND(Grunddaten!BM55*((Grunddaten!$S55-Grunddaten!$Q55)/100*$G77+$E77),-1)</f>
        <v>0</v>
      </c>
      <c r="AN77" s="207">
        <f ca="1">ROUND(Grunddaten!BN55*((Grunddaten!$S55-Grunddaten!$Q55)/100*$G77+$E77),-1)</f>
        <v>0</v>
      </c>
      <c r="AO77" s="207">
        <f ca="1">ROUND(Grunddaten!BO55*((Grunddaten!$S55-Grunddaten!$Q55)/100*$G77+$E77),-1)</f>
        <v>0</v>
      </c>
      <c r="AP77" s="207">
        <f ca="1">ROUND(Grunddaten!BP55*((Grunddaten!$S55-Grunddaten!$Q55)/100*$G77+$E77),-1)</f>
        <v>0</v>
      </c>
      <c r="AQ77" s="207">
        <f ca="1">ROUND(Grunddaten!BQ55*((Grunddaten!$S55-Grunddaten!$Q55)/100*$G77+$E77),-1)</f>
        <v>0</v>
      </c>
      <c r="AR77" s="207">
        <f ca="1">ROUND(Grunddaten!BR55*((Grunddaten!$S55-Grunddaten!$Q55)/100*$G77+$E77),-1)</f>
        <v>0</v>
      </c>
      <c r="AS77" s="207">
        <f ca="1">ROUND(Grunddaten!BS55*((Grunddaten!$S55-Grunddaten!$Q55)/100*$G77+$E77),-1)</f>
        <v>0</v>
      </c>
      <c r="AT77" s="207">
        <f ca="1">ROUND(Grunddaten!BT55*((Grunddaten!$S55-Grunddaten!$Q55)/100*$G77+$E77),-1)</f>
        <v>0</v>
      </c>
      <c r="AU77" s="207">
        <f ca="1">ROUND(Grunddaten!BU55*((Grunddaten!$S55-Grunddaten!$Q55)/100*$G77+$E77),-1)</f>
        <v>0</v>
      </c>
      <c r="AV77" s="207">
        <f ca="1">ROUND(Grunddaten!BV55*((Grunddaten!$S55-Grunddaten!$Q55)/100*$G77+$E77),-1)</f>
        <v>0</v>
      </c>
      <c r="AW77" s="207">
        <f ca="1">ROUND(Grunddaten!BW55*((Grunddaten!$S55-Grunddaten!$Q55)/100*$G77+$E77),-1)</f>
        <v>0</v>
      </c>
      <c r="AX77" s="207">
        <f ca="1">ROUND(Grunddaten!BX55*((Grunddaten!$S55-Grunddaten!$Q55)/100*$G77+$E77),-1)</f>
        <v>0</v>
      </c>
      <c r="AY77" s="207">
        <f ca="1">ROUND(Grunddaten!BY55*((Grunddaten!$S55-Grunddaten!$Q55)/100*$G77+$E77),-1)</f>
        <v>0</v>
      </c>
      <c r="AZ77" s="207">
        <f ca="1">ROUND(Grunddaten!BZ55*((Grunddaten!$S55-Grunddaten!$Q55)/100*$G77+$E77),-1)</f>
        <v>0</v>
      </c>
      <c r="BA77" s="207">
        <f ca="1">ROUND(Grunddaten!CA55*((Grunddaten!$S55-Grunddaten!$Q55)/100*$G77+$E77),-1)</f>
        <v>0</v>
      </c>
      <c r="BB77" s="207">
        <f ca="1">ROUND(Grunddaten!CB55*((Grunddaten!$S55-Grunddaten!$Q55)/100*$G77+$E77),-1)</f>
        <v>0</v>
      </c>
      <c r="BC77" s="207">
        <f ca="1">ROUND(Grunddaten!CC55*((Grunddaten!$S55-Grunddaten!$Q55)/100*$G77+$E77),-1)</f>
        <v>0</v>
      </c>
      <c r="BD77" s="207">
        <f ca="1">ROUND(Grunddaten!CD55*((Grunddaten!$S55-Grunddaten!$Q55)/100*$G77+$E77),-1)</f>
        <v>0</v>
      </c>
      <c r="BE77" s="207">
        <f ca="1">ROUND(Grunddaten!CE55*((Grunddaten!$S55-Grunddaten!$Q55)/100*$G77+$E77),-1)</f>
        <v>0</v>
      </c>
      <c r="BF77" s="207">
        <f ca="1">ROUND(Grunddaten!CF55*((Grunddaten!$S55-Grunddaten!$Q55)/100*$G77+$E77),-1)</f>
        <v>0</v>
      </c>
      <c r="BG77" s="207">
        <f ca="1">ROUND(Grunddaten!CG55*((Grunddaten!$S55-Grunddaten!$Q55)/100*$G77+$E77),-1)</f>
        <v>0</v>
      </c>
      <c r="BH77" s="207">
        <f ca="1">ROUND(Grunddaten!CH55*((Grunddaten!$S55-Grunddaten!$Q55)/100*$G77+$E77),-1)</f>
        <v>0</v>
      </c>
      <c r="BI77" s="207">
        <f ca="1">ROUND(Grunddaten!CI55*((Grunddaten!$S55-Grunddaten!$Q55)/100*$G77+$E77),-1)</f>
        <v>0</v>
      </c>
      <c r="BJ77" s="207">
        <f ca="1">ROUND(Grunddaten!CJ55*((Grunddaten!$S55-Grunddaten!$Q55)/100*$G77+$E77),-1)</f>
        <v>0</v>
      </c>
      <c r="BK77" s="207">
        <f ca="1">ROUND(Grunddaten!CK55*((Grunddaten!$S55-Grunddaten!$Q55)/100*$G77+$E77),-1)</f>
        <v>0</v>
      </c>
      <c r="BL77" s="207">
        <f ca="1">ROUND(Grunddaten!CL55*((Grunddaten!$S55-Grunddaten!$Q55)/100*$G77+$E77),-1)</f>
        <v>0</v>
      </c>
      <c r="BM77" s="207">
        <f ca="1">ROUND(Grunddaten!CM55*((Grunddaten!$S55-Grunddaten!$Q55)/100*$G77+$E77),-1)</f>
        <v>0</v>
      </c>
      <c r="BN77" s="207">
        <f ca="1">ROUND(Grunddaten!CN55*((Grunddaten!$S55-Grunddaten!$Q55)/100*$G77+$E77),-1)</f>
        <v>0</v>
      </c>
      <c r="BO77" s="207">
        <f ca="1">ROUND(Grunddaten!CO55*((Grunddaten!$S55-Grunddaten!$Q55)/100*$G77+$E77),-1)</f>
        <v>0</v>
      </c>
      <c r="BP77" s="207">
        <f ca="1">ROUND(Grunddaten!CP55*((Grunddaten!$S55-Grunddaten!$Q55)/100*$G77+$E77),-1)</f>
        <v>0</v>
      </c>
      <c r="BQ77" s="682">
        <f ca="1">ROUND(Grunddaten!CQ55*((Grunddaten!$S55-Grunddaten!$Q55)/100*$G77+$E77),-1)</f>
        <v>0</v>
      </c>
    </row>
    <row r="78" spans="1:69" s="36" customFormat="1" ht="11.25" customHeight="1" x14ac:dyDescent="0.2">
      <c r="A78" s="1031" t="str">
        <f>Grunddaten!$C$56</f>
        <v>Kälteverbund XY</v>
      </c>
      <c r="B78" s="1032"/>
      <c r="C78" s="1492"/>
      <c r="D78" s="1493"/>
      <c r="E78" s="2342">
        <f xml:space="preserve"> EV_Var1!I56 * Grunddaten!$AI$56</f>
        <v>0</v>
      </c>
      <c r="F78" s="2343"/>
      <c r="G78" s="2442">
        <f ca="1">SUMIF(EV_Var1!$A$11:$B$74,$A78,EV_Var1!$E$11:$E$74)</f>
        <v>0</v>
      </c>
      <c r="H78" s="2443"/>
      <c r="I78" s="2444"/>
      <c r="J78" s="2363">
        <f>Grunddaten!S56-(1-$R$109)*Grunddaten!Q56</f>
        <v>0</v>
      </c>
      <c r="K78" s="2364"/>
      <c r="L78" s="2319">
        <f t="shared" ref="L78" ca="1" si="7">ROUND(E78+G78*J78/100,-1)</f>
        <v>0</v>
      </c>
      <c r="M78" s="2320"/>
      <c r="N78" s="2321"/>
      <c r="P78" s="579"/>
      <c r="Q78" s="579"/>
      <c r="S78" s="211">
        <f ca="1">ROUND(Grunddaten!AS56*((Grunddaten!$S56-Grunddaten!$Q56)/100*$G78+$E78),-1)</f>
        <v>0</v>
      </c>
      <c r="T78" s="212">
        <f ca="1">ROUND(Grunddaten!AT56*((Grunddaten!$S56-Grunddaten!$Q56)/100*$G78+$E78),-1)</f>
        <v>0</v>
      </c>
      <c r="U78" s="212">
        <f ca="1">ROUND(Grunddaten!AU56*((Grunddaten!$S56-Grunddaten!$Q56)/100*$G78+$E78),-1)</f>
        <v>0</v>
      </c>
      <c r="V78" s="212">
        <f ca="1">ROUND(Grunddaten!AV56*((Grunddaten!$S56-Grunddaten!$Q56)/100*$G78+$E78),-1)</f>
        <v>0</v>
      </c>
      <c r="W78" s="212">
        <f ca="1">ROUND(Grunddaten!AW56*((Grunddaten!$S56-Grunddaten!$Q56)/100*$G78+$E78),-1)</f>
        <v>0</v>
      </c>
      <c r="X78" s="212">
        <f ca="1">ROUND(Grunddaten!AX56*((Grunddaten!$S56-Grunddaten!$Q56)/100*$G78+$E78),-1)</f>
        <v>0</v>
      </c>
      <c r="Y78" s="212">
        <f ca="1">ROUND(Grunddaten!AY56*((Grunddaten!$S56-Grunddaten!$Q56)/100*$G78+$E78),-1)</f>
        <v>0</v>
      </c>
      <c r="Z78" s="212">
        <f ca="1">ROUND(Grunddaten!AZ56*((Grunddaten!$S56-Grunddaten!$Q56)/100*$G78+$E78),-1)</f>
        <v>0</v>
      </c>
      <c r="AA78" s="212">
        <f ca="1">ROUND(Grunddaten!BA56*((Grunddaten!$S56-Grunddaten!$Q56)/100*$G78+$E78),-1)</f>
        <v>0</v>
      </c>
      <c r="AB78" s="212">
        <f ca="1">ROUND(Grunddaten!BB56*((Grunddaten!$S56-Grunddaten!$Q56)/100*$G78+$E78),-1)</f>
        <v>0</v>
      </c>
      <c r="AC78" s="212">
        <f ca="1">ROUND(Grunddaten!BC56*((Grunddaten!$S56-Grunddaten!$Q56)/100*$G78+$E78),-1)</f>
        <v>0</v>
      </c>
      <c r="AD78" s="212">
        <f ca="1">ROUND(Grunddaten!BD56*((Grunddaten!$S56-Grunddaten!$Q56)/100*$G78+$E78),-1)</f>
        <v>0</v>
      </c>
      <c r="AE78" s="212">
        <f ca="1">ROUND(Grunddaten!BE56*((Grunddaten!$S56-Grunddaten!$Q56)/100*$G78+$E78),-1)</f>
        <v>0</v>
      </c>
      <c r="AF78" s="212">
        <f ca="1">ROUND(Grunddaten!BF56*((Grunddaten!$S56-Grunddaten!$Q56)/100*$G78+$E78),-1)</f>
        <v>0</v>
      </c>
      <c r="AG78" s="212">
        <f ca="1">ROUND(Grunddaten!BG56*((Grunddaten!$S56-Grunddaten!$Q56)/100*$G78+$E78),-1)</f>
        <v>0</v>
      </c>
      <c r="AH78" s="212">
        <f ca="1">ROUND(Grunddaten!BH56*((Grunddaten!$S56-Grunddaten!$Q56)/100*$G78+$E78),-1)</f>
        <v>0</v>
      </c>
      <c r="AI78" s="212">
        <f ca="1">ROUND(Grunddaten!BI56*((Grunddaten!$S56-Grunddaten!$Q56)/100*$G78+$E78),-1)</f>
        <v>0</v>
      </c>
      <c r="AJ78" s="212">
        <f ca="1">ROUND(Grunddaten!BJ56*((Grunddaten!$S56-Grunddaten!$Q56)/100*$G78+$E78),-1)</f>
        <v>0</v>
      </c>
      <c r="AK78" s="212">
        <f ca="1">ROUND(Grunddaten!BK56*((Grunddaten!$S56-Grunddaten!$Q56)/100*$G78+$E78),-1)</f>
        <v>0</v>
      </c>
      <c r="AL78" s="212">
        <f ca="1">ROUND(Grunddaten!BL56*((Grunddaten!$S56-Grunddaten!$Q56)/100*$G78+$E78),-1)</f>
        <v>0</v>
      </c>
      <c r="AM78" s="212">
        <f ca="1">ROUND(Grunddaten!BM56*((Grunddaten!$S56-Grunddaten!$Q56)/100*$G78+$E78),-1)</f>
        <v>0</v>
      </c>
      <c r="AN78" s="212">
        <f ca="1">ROUND(Grunddaten!BN56*((Grunddaten!$S56-Grunddaten!$Q56)/100*$G78+$E78),-1)</f>
        <v>0</v>
      </c>
      <c r="AO78" s="212">
        <f ca="1">ROUND(Grunddaten!BO56*((Grunddaten!$S56-Grunddaten!$Q56)/100*$G78+$E78),-1)</f>
        <v>0</v>
      </c>
      <c r="AP78" s="212">
        <f ca="1">ROUND(Grunddaten!BP56*((Grunddaten!$S56-Grunddaten!$Q56)/100*$G78+$E78),-1)</f>
        <v>0</v>
      </c>
      <c r="AQ78" s="212">
        <f ca="1">ROUND(Grunddaten!BQ56*((Grunddaten!$S56-Grunddaten!$Q56)/100*$G78+$E78),-1)</f>
        <v>0</v>
      </c>
      <c r="AR78" s="212">
        <f ca="1">ROUND(Grunddaten!BR56*((Grunddaten!$S56-Grunddaten!$Q56)/100*$G78+$E78),-1)</f>
        <v>0</v>
      </c>
      <c r="AS78" s="212">
        <f ca="1">ROUND(Grunddaten!BS56*((Grunddaten!$S56-Grunddaten!$Q56)/100*$G78+$E78),-1)</f>
        <v>0</v>
      </c>
      <c r="AT78" s="212">
        <f ca="1">ROUND(Grunddaten!BT56*((Grunddaten!$S56-Grunddaten!$Q56)/100*$G78+$E78),-1)</f>
        <v>0</v>
      </c>
      <c r="AU78" s="212">
        <f ca="1">ROUND(Grunddaten!BU56*((Grunddaten!$S56-Grunddaten!$Q56)/100*$G78+$E78),-1)</f>
        <v>0</v>
      </c>
      <c r="AV78" s="212">
        <f ca="1">ROUND(Grunddaten!BV56*((Grunddaten!$S56-Grunddaten!$Q56)/100*$G78+$E78),-1)</f>
        <v>0</v>
      </c>
      <c r="AW78" s="212">
        <f ca="1">ROUND(Grunddaten!BW56*((Grunddaten!$S56-Grunddaten!$Q56)/100*$G78+$E78),-1)</f>
        <v>0</v>
      </c>
      <c r="AX78" s="212">
        <f ca="1">ROUND(Grunddaten!BX56*((Grunddaten!$S56-Grunddaten!$Q56)/100*$G78+$E78),-1)</f>
        <v>0</v>
      </c>
      <c r="AY78" s="212">
        <f ca="1">ROUND(Grunddaten!BY56*((Grunddaten!$S56-Grunddaten!$Q56)/100*$G78+$E78),-1)</f>
        <v>0</v>
      </c>
      <c r="AZ78" s="212">
        <f ca="1">ROUND(Grunddaten!BZ56*((Grunddaten!$S56-Grunddaten!$Q56)/100*$G78+$E78),-1)</f>
        <v>0</v>
      </c>
      <c r="BA78" s="212">
        <f ca="1">ROUND(Grunddaten!CA56*((Grunddaten!$S56-Grunddaten!$Q56)/100*$G78+$E78),-1)</f>
        <v>0</v>
      </c>
      <c r="BB78" s="212">
        <f ca="1">ROUND(Grunddaten!CB56*((Grunddaten!$S56-Grunddaten!$Q56)/100*$G78+$E78),-1)</f>
        <v>0</v>
      </c>
      <c r="BC78" s="212">
        <f ca="1">ROUND(Grunddaten!CC56*((Grunddaten!$S56-Grunddaten!$Q56)/100*$G78+$E78),-1)</f>
        <v>0</v>
      </c>
      <c r="BD78" s="212">
        <f ca="1">ROUND(Grunddaten!CD56*((Grunddaten!$S56-Grunddaten!$Q56)/100*$G78+$E78),-1)</f>
        <v>0</v>
      </c>
      <c r="BE78" s="212">
        <f ca="1">ROUND(Grunddaten!CE56*((Grunddaten!$S56-Grunddaten!$Q56)/100*$G78+$E78),-1)</f>
        <v>0</v>
      </c>
      <c r="BF78" s="212">
        <f ca="1">ROUND(Grunddaten!CF56*((Grunddaten!$S56-Grunddaten!$Q56)/100*$G78+$E78),-1)</f>
        <v>0</v>
      </c>
      <c r="BG78" s="212">
        <f ca="1">ROUND(Grunddaten!CG56*((Grunddaten!$S56-Grunddaten!$Q56)/100*$G78+$E78),-1)</f>
        <v>0</v>
      </c>
      <c r="BH78" s="212">
        <f ca="1">ROUND(Grunddaten!CH56*((Grunddaten!$S56-Grunddaten!$Q56)/100*$G78+$E78),-1)</f>
        <v>0</v>
      </c>
      <c r="BI78" s="212">
        <f ca="1">ROUND(Grunddaten!CI56*((Grunddaten!$S56-Grunddaten!$Q56)/100*$G78+$E78),-1)</f>
        <v>0</v>
      </c>
      <c r="BJ78" s="212">
        <f ca="1">ROUND(Grunddaten!CJ56*((Grunddaten!$S56-Grunddaten!$Q56)/100*$G78+$E78),-1)</f>
        <v>0</v>
      </c>
      <c r="BK78" s="212">
        <f ca="1">ROUND(Grunddaten!CK56*((Grunddaten!$S56-Grunddaten!$Q56)/100*$G78+$E78),-1)</f>
        <v>0</v>
      </c>
      <c r="BL78" s="212">
        <f ca="1">ROUND(Grunddaten!CL56*((Grunddaten!$S56-Grunddaten!$Q56)/100*$G78+$E78),-1)</f>
        <v>0</v>
      </c>
      <c r="BM78" s="212">
        <f ca="1">ROUND(Grunddaten!CM56*((Grunddaten!$S56-Grunddaten!$Q56)/100*$G78+$E78),-1)</f>
        <v>0</v>
      </c>
      <c r="BN78" s="212">
        <f ca="1">ROUND(Grunddaten!CN56*((Grunddaten!$S56-Grunddaten!$Q56)/100*$G78+$E78),-1)</f>
        <v>0</v>
      </c>
      <c r="BO78" s="212">
        <f ca="1">ROUND(Grunddaten!CO56*((Grunddaten!$S56-Grunddaten!$Q56)/100*$G78+$E78),-1)</f>
        <v>0</v>
      </c>
      <c r="BP78" s="212">
        <f ca="1">ROUND(Grunddaten!CP56*((Grunddaten!$S56-Grunddaten!$Q56)/100*$G78+$E78),-1)</f>
        <v>0</v>
      </c>
      <c r="BQ78" s="213">
        <f ca="1">ROUND(Grunddaten!CQ56*((Grunddaten!$S56-Grunddaten!$Q56)/100*$G78+$E78),-1)</f>
        <v>0</v>
      </c>
    </row>
    <row r="79" spans="1:69" s="36" customFormat="1" ht="14.1" customHeight="1" thickBot="1" x14ac:dyDescent="0.25">
      <c r="A79" s="1053" t="s">
        <v>13</v>
      </c>
      <c r="B79" s="1215"/>
      <c r="C79" s="1215"/>
      <c r="D79" s="2408"/>
      <c r="E79" s="2408"/>
      <c r="F79" s="2408"/>
      <c r="G79" s="1217"/>
      <c r="H79" s="2408"/>
      <c r="I79" s="2408"/>
      <c r="J79" s="2411"/>
      <c r="K79" s="2411"/>
      <c r="L79" s="2337">
        <f ca="1">SUM(L61:L78)</f>
        <v>0</v>
      </c>
      <c r="M79" s="2338"/>
      <c r="N79" s="2339"/>
      <c r="S79" s="258">
        <f ca="1">SUM(S62:S78)</f>
        <v>0</v>
      </c>
      <c r="T79" s="259">
        <f t="shared" ref="T79:BQ79" ca="1" si="8">SUM(T62:T78)</f>
        <v>0</v>
      </c>
      <c r="U79" s="259">
        <f t="shared" ca="1" si="8"/>
        <v>0</v>
      </c>
      <c r="V79" s="259">
        <f t="shared" ca="1" si="8"/>
        <v>0</v>
      </c>
      <c r="W79" s="259">
        <f t="shared" ca="1" si="8"/>
        <v>0</v>
      </c>
      <c r="X79" s="259">
        <f t="shared" ca="1" si="8"/>
        <v>0</v>
      </c>
      <c r="Y79" s="259">
        <f t="shared" ca="1" si="8"/>
        <v>0</v>
      </c>
      <c r="Z79" s="259">
        <f t="shared" ca="1" si="8"/>
        <v>0</v>
      </c>
      <c r="AA79" s="259">
        <f t="shared" ca="1" si="8"/>
        <v>0</v>
      </c>
      <c r="AB79" s="259">
        <f t="shared" ca="1" si="8"/>
        <v>0</v>
      </c>
      <c r="AC79" s="259">
        <f t="shared" ca="1" si="8"/>
        <v>0</v>
      </c>
      <c r="AD79" s="259">
        <f t="shared" ca="1" si="8"/>
        <v>0</v>
      </c>
      <c r="AE79" s="259">
        <f t="shared" ca="1" si="8"/>
        <v>0</v>
      </c>
      <c r="AF79" s="259">
        <f t="shared" ca="1" si="8"/>
        <v>0</v>
      </c>
      <c r="AG79" s="259">
        <f t="shared" ca="1" si="8"/>
        <v>0</v>
      </c>
      <c r="AH79" s="259">
        <f t="shared" ca="1" si="8"/>
        <v>0</v>
      </c>
      <c r="AI79" s="259">
        <f t="shared" ca="1" si="8"/>
        <v>0</v>
      </c>
      <c r="AJ79" s="259">
        <f t="shared" ca="1" si="8"/>
        <v>0</v>
      </c>
      <c r="AK79" s="259">
        <f t="shared" ca="1" si="8"/>
        <v>0</v>
      </c>
      <c r="AL79" s="259">
        <f t="shared" ca="1" si="8"/>
        <v>0</v>
      </c>
      <c r="AM79" s="259">
        <f t="shared" ca="1" si="8"/>
        <v>0</v>
      </c>
      <c r="AN79" s="259">
        <f t="shared" ca="1" si="8"/>
        <v>0</v>
      </c>
      <c r="AO79" s="259">
        <f t="shared" ca="1" si="8"/>
        <v>0</v>
      </c>
      <c r="AP79" s="259">
        <f t="shared" ca="1" si="8"/>
        <v>0</v>
      </c>
      <c r="AQ79" s="259">
        <f t="shared" ca="1" si="8"/>
        <v>0</v>
      </c>
      <c r="AR79" s="259">
        <f t="shared" ca="1" si="8"/>
        <v>0</v>
      </c>
      <c r="AS79" s="259">
        <f t="shared" ca="1" si="8"/>
        <v>0</v>
      </c>
      <c r="AT79" s="259">
        <f t="shared" ca="1" si="8"/>
        <v>0</v>
      </c>
      <c r="AU79" s="259">
        <f t="shared" ca="1" si="8"/>
        <v>0</v>
      </c>
      <c r="AV79" s="259">
        <f t="shared" ca="1" si="8"/>
        <v>0</v>
      </c>
      <c r="AW79" s="259">
        <f t="shared" ca="1" si="8"/>
        <v>0</v>
      </c>
      <c r="AX79" s="259">
        <f t="shared" ca="1" si="8"/>
        <v>0</v>
      </c>
      <c r="AY79" s="259">
        <f t="shared" ca="1" si="8"/>
        <v>0</v>
      </c>
      <c r="AZ79" s="259">
        <f t="shared" ca="1" si="8"/>
        <v>0</v>
      </c>
      <c r="BA79" s="259">
        <f t="shared" ca="1" si="8"/>
        <v>0</v>
      </c>
      <c r="BB79" s="259">
        <f t="shared" ca="1" si="8"/>
        <v>0</v>
      </c>
      <c r="BC79" s="259">
        <f t="shared" ca="1" si="8"/>
        <v>0</v>
      </c>
      <c r="BD79" s="259">
        <f t="shared" ca="1" si="8"/>
        <v>0</v>
      </c>
      <c r="BE79" s="259">
        <f t="shared" ca="1" si="8"/>
        <v>0</v>
      </c>
      <c r="BF79" s="259">
        <f t="shared" ca="1" si="8"/>
        <v>0</v>
      </c>
      <c r="BG79" s="259">
        <f t="shared" ca="1" si="8"/>
        <v>0</v>
      </c>
      <c r="BH79" s="259">
        <f t="shared" ca="1" si="8"/>
        <v>0</v>
      </c>
      <c r="BI79" s="259">
        <f t="shared" ca="1" si="8"/>
        <v>0</v>
      </c>
      <c r="BJ79" s="259">
        <f t="shared" ca="1" si="8"/>
        <v>0</v>
      </c>
      <c r="BK79" s="259">
        <f t="shared" ca="1" si="8"/>
        <v>0</v>
      </c>
      <c r="BL79" s="259">
        <f t="shared" ca="1" si="8"/>
        <v>0</v>
      </c>
      <c r="BM79" s="259">
        <f t="shared" ca="1" si="8"/>
        <v>0</v>
      </c>
      <c r="BN79" s="259">
        <f t="shared" ca="1" si="8"/>
        <v>0</v>
      </c>
      <c r="BO79" s="259">
        <f t="shared" ca="1" si="8"/>
        <v>0</v>
      </c>
      <c r="BP79" s="259">
        <f t="shared" ca="1" si="8"/>
        <v>0</v>
      </c>
      <c r="BQ79" s="260">
        <f t="shared" ca="1" si="8"/>
        <v>0</v>
      </c>
    </row>
    <row r="80" spans="1:69" ht="6" customHeight="1" x14ac:dyDescent="0.2">
      <c r="P80" s="32"/>
      <c r="Q80" s="32"/>
      <c r="R80" s="124"/>
      <c r="S80" s="195"/>
      <c r="T80" s="196"/>
      <c r="U80" s="195"/>
      <c r="V80" s="195"/>
      <c r="W80" s="195"/>
      <c r="X80" s="195"/>
      <c r="Y80" s="195"/>
      <c r="Z80" s="195"/>
      <c r="AA80" s="195"/>
      <c r="AB80" s="197"/>
      <c r="AC80" s="197"/>
      <c r="AD80" s="197"/>
      <c r="AE80" s="197"/>
      <c r="AF80" s="197"/>
      <c r="AG80" s="197"/>
      <c r="AH80" s="223"/>
      <c r="AI80" s="223"/>
      <c r="AJ80" s="223"/>
      <c r="AK80" s="224"/>
      <c r="AL80" s="224"/>
      <c r="AM80" s="224"/>
      <c r="AN80" s="224"/>
      <c r="AO80" s="224"/>
      <c r="AP80" s="224"/>
      <c r="AQ80" s="224"/>
      <c r="AR80" s="224"/>
      <c r="AS80" s="224"/>
      <c r="AT80" s="224"/>
      <c r="AU80" s="224"/>
      <c r="AV80" s="224"/>
      <c r="AW80" s="224"/>
      <c r="AX80" s="224"/>
      <c r="AY80" s="224"/>
      <c r="AZ80" s="224"/>
      <c r="BA80" s="224"/>
      <c r="BB80" s="224"/>
      <c r="BC80" s="224"/>
      <c r="BD80" s="224"/>
      <c r="BE80" s="224"/>
      <c r="BF80" s="224"/>
      <c r="BG80" s="224"/>
      <c r="BH80" s="224"/>
      <c r="BI80" s="224"/>
      <c r="BJ80" s="224"/>
      <c r="BK80" s="224"/>
      <c r="BL80" s="224"/>
      <c r="BM80" s="224"/>
      <c r="BN80" s="224"/>
      <c r="BO80" s="224"/>
      <c r="BP80" s="224"/>
      <c r="BQ80" s="224"/>
    </row>
    <row r="81" spans="1:69" ht="17.25" customHeight="1" x14ac:dyDescent="0.25">
      <c r="A81" s="49" t="s">
        <v>27</v>
      </c>
      <c r="B81" s="49"/>
      <c r="G81" s="32"/>
      <c r="H81" s="42"/>
      <c r="I81" s="283"/>
      <c r="J81" s="284"/>
      <c r="K81" s="491"/>
      <c r="L81" s="379" t="s">
        <v>457</v>
      </c>
      <c r="M81" s="2410">
        <f>ROUND(MAX(G39,WR_Var2!G39,WR_Var3!G39,WR_Var4!G39),0)</f>
        <v>0</v>
      </c>
      <c r="N81" s="2410"/>
      <c r="O81" s="409"/>
      <c r="P81" s="32"/>
      <c r="Q81" s="32"/>
      <c r="R81" s="197"/>
      <c r="S81" s="198"/>
      <c r="T81" s="197"/>
      <c r="U81" s="197"/>
      <c r="V81" s="197"/>
      <c r="W81" s="197"/>
      <c r="X81" s="197"/>
      <c r="Y81" s="197"/>
      <c r="Z81" s="197"/>
      <c r="AA81" s="197"/>
      <c r="AB81" s="197"/>
      <c r="AC81" s="197"/>
      <c r="AD81" s="197"/>
      <c r="AE81" s="197"/>
      <c r="AF81" s="197"/>
      <c r="AG81" s="223"/>
      <c r="AH81" s="223"/>
      <c r="AI81" s="223"/>
      <c r="AJ81" s="400"/>
      <c r="AK81" s="224"/>
      <c r="AL81" s="224"/>
      <c r="AM81" s="224"/>
      <c r="AN81" s="224"/>
      <c r="AO81" s="224"/>
      <c r="AP81" s="225"/>
      <c r="AQ81" s="224"/>
      <c r="AR81" s="224"/>
      <c r="AS81" s="224"/>
      <c r="AT81" s="224"/>
      <c r="AU81" s="224"/>
      <c r="AV81" s="224"/>
      <c r="AW81" s="224"/>
      <c r="AX81" s="224"/>
      <c r="AY81" s="224"/>
      <c r="AZ81" s="224"/>
      <c r="BA81" s="224"/>
      <c r="BB81" s="224"/>
      <c r="BC81" s="224"/>
      <c r="BD81" s="224"/>
      <c r="BE81" s="224"/>
      <c r="BF81" s="224"/>
      <c r="BG81" s="224"/>
      <c r="BH81" s="224"/>
      <c r="BI81" s="224"/>
      <c r="BJ81" s="224"/>
      <c r="BK81" s="224"/>
      <c r="BL81" s="224"/>
      <c r="BM81" s="224"/>
      <c r="BN81" s="224"/>
      <c r="BO81" s="224"/>
      <c r="BP81" s="224"/>
      <c r="BQ81" s="32"/>
    </row>
    <row r="82" spans="1:69" ht="2.1" customHeight="1" x14ac:dyDescent="0.2">
      <c r="H82" s="33"/>
      <c r="I82" s="287"/>
      <c r="J82" s="284"/>
      <c r="K82" s="284"/>
      <c r="L82" s="284"/>
      <c r="P82" s="32"/>
      <c r="Q82" s="32"/>
      <c r="R82" s="197"/>
      <c r="S82" s="198"/>
      <c r="T82" s="197"/>
      <c r="U82" s="197"/>
      <c r="V82" s="197"/>
      <c r="W82" s="197"/>
      <c r="X82" s="197"/>
      <c r="Y82" s="197"/>
      <c r="Z82" s="197"/>
      <c r="AA82" s="197"/>
      <c r="AB82" s="197"/>
      <c r="AC82" s="197"/>
      <c r="AD82" s="197"/>
      <c r="AE82" s="197"/>
      <c r="AF82" s="197"/>
      <c r="AG82" s="223"/>
      <c r="AH82" s="223"/>
      <c r="AI82" s="223"/>
      <c r="AJ82" s="224"/>
      <c r="AK82" s="224"/>
      <c r="AL82" s="224"/>
      <c r="AM82" s="224"/>
      <c r="AN82" s="224"/>
      <c r="AO82" s="224"/>
      <c r="AP82" s="224"/>
      <c r="AQ82" s="224"/>
      <c r="AR82" s="224"/>
      <c r="AS82" s="224"/>
      <c r="AT82" s="224"/>
      <c r="AU82" s="224"/>
      <c r="AV82" s="224"/>
      <c r="AW82" s="224"/>
      <c r="AX82" s="224"/>
      <c r="AY82" s="224"/>
      <c r="AZ82" s="224"/>
      <c r="BA82" s="224"/>
      <c r="BB82" s="224"/>
      <c r="BC82" s="224"/>
      <c r="BD82" s="224"/>
      <c r="BE82" s="224"/>
      <c r="BF82" s="224"/>
      <c r="BG82" s="224"/>
      <c r="BH82" s="224"/>
      <c r="BI82" s="224"/>
      <c r="BJ82" s="224"/>
      <c r="BK82" s="224"/>
      <c r="BL82" s="224"/>
      <c r="BM82" s="224"/>
      <c r="BN82" s="224"/>
      <c r="BO82" s="224"/>
      <c r="BP82" s="224"/>
      <c r="BQ82" s="32"/>
    </row>
    <row r="83" spans="1:69" ht="12" customHeight="1" x14ac:dyDescent="0.2">
      <c r="A83" s="32"/>
      <c r="B83" s="32"/>
      <c r="C83" s="32"/>
      <c r="D83" s="689" t="s">
        <v>40</v>
      </c>
      <c r="E83" s="2547">
        <f>IF(ISBLANK($M$83),$M$81,$M$83)</f>
        <v>0</v>
      </c>
      <c r="F83" s="2547"/>
      <c r="G83" s="32"/>
      <c r="I83" s="287"/>
      <c r="J83" s="284"/>
      <c r="K83" s="486"/>
      <c r="L83" s="286" t="s">
        <v>28</v>
      </c>
      <c r="M83" s="2409"/>
      <c r="N83" s="2409"/>
      <c r="O83" s="147"/>
      <c r="Q83" s="34"/>
      <c r="R83" s="226"/>
      <c r="S83" s="198"/>
      <c r="T83" s="197"/>
      <c r="U83" s="197"/>
      <c r="V83" s="197"/>
      <c r="W83" s="197"/>
      <c r="X83" s="197"/>
      <c r="Y83" s="197"/>
      <c r="Z83" s="197"/>
      <c r="AA83" s="197"/>
      <c r="AB83" s="197"/>
      <c r="AC83" s="197"/>
      <c r="AD83" s="197"/>
      <c r="AE83" s="197"/>
      <c r="AF83" s="197"/>
      <c r="AG83" s="223"/>
      <c r="AH83" s="223"/>
      <c r="AI83" s="223"/>
      <c r="AJ83" s="224"/>
      <c r="AK83" s="224"/>
      <c r="AL83" s="224"/>
      <c r="AM83" s="224"/>
      <c r="AN83" s="224"/>
      <c r="AO83" s="224"/>
      <c r="AP83" s="224"/>
      <c r="AQ83" s="224"/>
      <c r="AR83" s="224"/>
      <c r="AS83" s="224"/>
      <c r="AT83" s="224"/>
      <c r="AU83" s="224"/>
      <c r="AV83" s="224"/>
      <c r="AW83" s="224"/>
      <c r="AX83" s="224"/>
      <c r="AY83" s="224"/>
      <c r="AZ83" s="224"/>
      <c r="BA83" s="224"/>
      <c r="BB83" s="224"/>
      <c r="BC83" s="224"/>
      <c r="BD83" s="224"/>
      <c r="BE83" s="224"/>
      <c r="BF83" s="224"/>
      <c r="BG83" s="224"/>
      <c r="BH83" s="224"/>
      <c r="BI83" s="224"/>
      <c r="BJ83" s="224"/>
      <c r="BK83" s="224"/>
      <c r="BL83" s="224"/>
      <c r="BM83" s="224"/>
      <c r="BN83" s="224"/>
      <c r="BO83" s="224"/>
      <c r="BP83" s="224"/>
      <c r="BQ83" s="32"/>
    </row>
    <row r="84" spans="1:69" ht="3.95" customHeight="1" x14ac:dyDescent="0.2">
      <c r="A84" s="33"/>
      <c r="B84" s="33"/>
      <c r="C84" s="34"/>
      <c r="D84" s="34"/>
      <c r="E84" s="34"/>
      <c r="F84" s="34"/>
      <c r="G84" s="34"/>
      <c r="H84" s="34"/>
      <c r="I84" s="34"/>
      <c r="J84" s="34"/>
      <c r="Q84" s="34"/>
      <c r="R84" s="226"/>
      <c r="S84" s="198"/>
      <c r="T84" s="197"/>
      <c r="U84" s="197"/>
      <c r="V84" s="197"/>
      <c r="W84" s="197"/>
      <c r="X84" s="197"/>
      <c r="Y84" s="197"/>
      <c r="Z84" s="197"/>
      <c r="AA84" s="197"/>
      <c r="AB84" s="197"/>
      <c r="AC84" s="197"/>
      <c r="AD84" s="197"/>
      <c r="AE84" s="197"/>
      <c r="AF84" s="197"/>
      <c r="AG84" s="223"/>
      <c r="AH84" s="223"/>
      <c r="AI84" s="223"/>
      <c r="AJ84" s="224"/>
      <c r="AK84" s="224"/>
      <c r="AL84" s="224"/>
      <c r="AM84" s="224"/>
      <c r="AN84" s="224"/>
      <c r="AO84" s="224"/>
      <c r="AP84" s="224"/>
      <c r="AQ84" s="224"/>
      <c r="AR84" s="224"/>
      <c r="AS84" s="224"/>
      <c r="AT84" s="224"/>
      <c r="AU84" s="224"/>
      <c r="AV84" s="224"/>
      <c r="AW84" s="224"/>
      <c r="AX84" s="224"/>
      <c r="AY84" s="224"/>
      <c r="AZ84" s="224"/>
      <c r="BA84" s="224"/>
      <c r="BB84" s="224"/>
      <c r="BC84" s="224"/>
      <c r="BD84" s="224"/>
      <c r="BE84" s="224"/>
      <c r="BF84" s="224"/>
      <c r="BG84" s="224"/>
      <c r="BH84" s="224"/>
      <c r="BI84" s="224"/>
      <c r="BJ84" s="224"/>
      <c r="BK84" s="224"/>
      <c r="BL84" s="224"/>
      <c r="BM84" s="224"/>
      <c r="BN84" s="224"/>
      <c r="BO84" s="224"/>
      <c r="BP84" s="224"/>
      <c r="BQ84" s="32"/>
    </row>
    <row r="85" spans="1:69" s="39" customFormat="1" ht="11.25" customHeight="1" x14ac:dyDescent="0.2">
      <c r="A85" s="1218"/>
      <c r="B85" s="1219"/>
      <c r="C85" s="1219"/>
      <c r="D85" s="1100"/>
      <c r="E85" s="2322" t="s">
        <v>29</v>
      </c>
      <c r="F85" s="2324"/>
      <c r="G85" s="2323" t="s">
        <v>39</v>
      </c>
      <c r="H85" s="2323"/>
      <c r="I85" s="2323"/>
      <c r="J85" s="2323"/>
      <c r="K85" s="2323"/>
      <c r="L85" s="2322" t="s">
        <v>636</v>
      </c>
      <c r="M85" s="2323"/>
      <c r="N85" s="2324"/>
      <c r="O85" s="490"/>
      <c r="P85" s="396"/>
      <c r="Q85" s="397"/>
      <c r="R85" s="38"/>
      <c r="S85" s="199"/>
      <c r="T85" s="199"/>
      <c r="U85" s="199"/>
      <c r="V85" s="199"/>
      <c r="W85" s="199"/>
      <c r="X85" s="199"/>
      <c r="Y85" s="199"/>
      <c r="Z85" s="199"/>
      <c r="AA85" s="194"/>
      <c r="AB85" s="197"/>
      <c r="AC85" s="197"/>
      <c r="AD85" s="197"/>
      <c r="AE85" s="197"/>
      <c r="AF85" s="197"/>
      <c r="AG85" s="223"/>
      <c r="AH85" s="223"/>
      <c r="AI85" s="223"/>
      <c r="AJ85" s="224"/>
      <c r="AK85" s="224"/>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K85" s="199"/>
      <c r="BL85" s="199"/>
      <c r="BM85" s="199"/>
      <c r="BN85" s="199"/>
      <c r="BO85" s="199"/>
      <c r="BP85" s="199"/>
    </row>
    <row r="86" spans="1:69" s="39" customFormat="1" ht="11.25" customHeight="1" x14ac:dyDescent="0.2">
      <c r="A86" s="1220" t="s">
        <v>11</v>
      </c>
      <c r="B86" s="1221"/>
      <c r="C86" s="1221"/>
      <c r="D86" s="1212"/>
      <c r="E86" s="2325" t="s">
        <v>31</v>
      </c>
      <c r="F86" s="2327"/>
      <c r="G86" s="2362" t="s">
        <v>633</v>
      </c>
      <c r="H86" s="2362"/>
      <c r="I86" s="2523"/>
      <c r="J86" s="2361" t="s">
        <v>634</v>
      </c>
      <c r="K86" s="2362"/>
      <c r="L86" s="2325" t="s">
        <v>571</v>
      </c>
      <c r="M86" s="2326"/>
      <c r="N86" s="2327"/>
      <c r="O86" s="490"/>
      <c r="P86" s="2471" t="s">
        <v>402</v>
      </c>
      <c r="Q86" s="2472"/>
      <c r="R86" s="298"/>
      <c r="U86" s="226"/>
      <c r="V86" s="199"/>
      <c r="W86" s="199"/>
      <c r="X86" s="199"/>
      <c r="Y86" s="199"/>
      <c r="Z86" s="199"/>
      <c r="AA86" s="199"/>
      <c r="AB86" s="199"/>
      <c r="AC86" s="199"/>
      <c r="AD86" s="193"/>
      <c r="AE86" s="197"/>
      <c r="AF86" s="197"/>
      <c r="AG86" s="197"/>
      <c r="AH86" s="197"/>
      <c r="AI86" s="197"/>
      <c r="AJ86" s="223"/>
      <c r="AK86" s="223"/>
      <c r="AL86" s="223"/>
      <c r="AM86" s="224"/>
      <c r="AN86" s="224"/>
      <c r="AO86" s="199"/>
      <c r="AP86" s="199"/>
      <c r="AQ86" s="199"/>
      <c r="AR86" s="199"/>
      <c r="AS86" s="199"/>
      <c r="AT86" s="199"/>
      <c r="AU86" s="199"/>
      <c r="AV86" s="199"/>
      <c r="AW86" s="199"/>
      <c r="AX86" s="199"/>
      <c r="AY86" s="199"/>
      <c r="AZ86" s="199"/>
      <c r="BA86" s="199"/>
      <c r="BB86" s="199"/>
      <c r="BC86" s="199"/>
      <c r="BD86" s="199"/>
      <c r="BE86" s="199"/>
      <c r="BF86" s="199"/>
      <c r="BG86" s="199"/>
      <c r="BH86" s="199"/>
      <c r="BI86" s="199"/>
      <c r="BJ86" s="199"/>
      <c r="BK86" s="199"/>
      <c r="BL86" s="199"/>
      <c r="BM86" s="199"/>
      <c r="BN86" s="199"/>
      <c r="BO86" s="199"/>
      <c r="BP86" s="199"/>
      <c r="BQ86" s="199"/>
    </row>
    <row r="87" spans="1:69" s="39" customFormat="1" ht="11.25" customHeight="1" x14ac:dyDescent="0.2">
      <c r="A87" s="1222"/>
      <c r="B87" s="1223"/>
      <c r="C87" s="1223"/>
      <c r="D87" s="1054"/>
      <c r="E87" s="2483" t="s">
        <v>555</v>
      </c>
      <c r="F87" s="2484"/>
      <c r="G87" s="2349" t="s">
        <v>567</v>
      </c>
      <c r="H87" s="2349"/>
      <c r="I87" s="2399"/>
      <c r="J87" s="2348" t="s">
        <v>567</v>
      </c>
      <c r="K87" s="2349"/>
      <c r="L87" s="2483" t="s">
        <v>567</v>
      </c>
      <c r="M87" s="2349"/>
      <c r="N87" s="2484"/>
      <c r="O87" s="507"/>
      <c r="P87" s="2481" t="s">
        <v>403</v>
      </c>
      <c r="Q87" s="2482"/>
      <c r="R87" s="298"/>
      <c r="S87" s="215" t="s">
        <v>582</v>
      </c>
      <c r="U87" s="226"/>
      <c r="V87" s="199"/>
      <c r="W87" s="199"/>
      <c r="X87" s="199"/>
      <c r="Y87" s="199"/>
      <c r="Z87" s="199"/>
      <c r="AA87" s="199"/>
      <c r="AB87" s="199"/>
      <c r="AC87" s="199"/>
      <c r="AD87" s="193"/>
      <c r="AE87" s="197"/>
      <c r="AF87" s="197"/>
      <c r="AG87" s="197"/>
      <c r="AH87" s="197"/>
      <c r="AI87" s="197"/>
      <c r="AJ87" s="223"/>
      <c r="AK87" s="223"/>
      <c r="AL87" s="223"/>
      <c r="AM87" s="224"/>
      <c r="AN87" s="224"/>
      <c r="AO87" s="199"/>
      <c r="AP87" s="199"/>
      <c r="AQ87" s="199"/>
      <c r="AR87" s="199"/>
      <c r="AS87" s="199"/>
      <c r="AT87" s="199"/>
      <c r="AU87" s="199"/>
      <c r="AV87" s="199"/>
      <c r="AW87" s="199"/>
      <c r="AX87" s="199"/>
      <c r="AY87" s="199"/>
      <c r="AZ87" s="199"/>
      <c r="BA87" s="199"/>
      <c r="BB87" s="199"/>
      <c r="BC87" s="199"/>
      <c r="BD87" s="199"/>
      <c r="BE87" s="199"/>
      <c r="BF87" s="199"/>
      <c r="BG87" s="199"/>
      <c r="BH87" s="199"/>
      <c r="BI87" s="199"/>
      <c r="BJ87" s="199"/>
      <c r="BK87" s="199"/>
      <c r="BL87" s="199"/>
      <c r="BM87" s="199"/>
      <c r="BN87" s="199"/>
      <c r="BO87" s="199"/>
      <c r="BP87" s="199"/>
      <c r="BQ87" s="199"/>
    </row>
    <row r="88" spans="1:69" s="36" customFormat="1" ht="12" customHeight="1" x14ac:dyDescent="0.2">
      <c r="A88" s="1015" t="s">
        <v>635</v>
      </c>
      <c r="B88" s="1016"/>
      <c r="C88" s="1017"/>
      <c r="D88" s="1018" t="str">
        <f>"("&amp;Grunddaten!$U$10&amp;")"</f>
        <v>(Förderbeiträge berücksichtigen)</v>
      </c>
      <c r="E88" s="2414" t="s">
        <v>25</v>
      </c>
      <c r="F88" s="2415"/>
      <c r="G88" s="2329">
        <f>IF(Grunddaten!$AN$10=TRUE,$J$54,$J$39)</f>
        <v>0</v>
      </c>
      <c r="H88" s="2329"/>
      <c r="I88" s="2494"/>
      <c r="J88" s="2440" t="s">
        <v>38</v>
      </c>
      <c r="K88" s="2441"/>
      <c r="L88" s="2328">
        <f>G88</f>
        <v>0</v>
      </c>
      <c r="M88" s="2329"/>
      <c r="N88" s="2330"/>
      <c r="O88" s="141"/>
      <c r="P88" s="2473">
        <f>$E$39</f>
        <v>0</v>
      </c>
      <c r="Q88" s="2474"/>
      <c r="R88" s="38"/>
      <c r="S88" s="210">
        <f ca="1">S59</f>
        <v>2024</v>
      </c>
      <c r="T88" s="200">
        <f t="shared" ref="T88:AY88" ca="1" si="9">S88+1</f>
        <v>2025</v>
      </c>
      <c r="U88" s="200">
        <f t="shared" ca="1" si="9"/>
        <v>2026</v>
      </c>
      <c r="V88" s="200">
        <f t="shared" ca="1" si="9"/>
        <v>2027</v>
      </c>
      <c r="W88" s="200">
        <f t="shared" ca="1" si="9"/>
        <v>2028</v>
      </c>
      <c r="X88" s="200">
        <f t="shared" ca="1" si="9"/>
        <v>2029</v>
      </c>
      <c r="Y88" s="200">
        <f t="shared" ca="1" si="9"/>
        <v>2030</v>
      </c>
      <c r="Z88" s="200">
        <f t="shared" ca="1" si="9"/>
        <v>2031</v>
      </c>
      <c r="AA88" s="200">
        <f t="shared" ca="1" si="9"/>
        <v>2032</v>
      </c>
      <c r="AB88" s="200">
        <f t="shared" ca="1" si="9"/>
        <v>2033</v>
      </c>
      <c r="AC88" s="200">
        <f t="shared" ca="1" si="9"/>
        <v>2034</v>
      </c>
      <c r="AD88" s="200">
        <f t="shared" ca="1" si="9"/>
        <v>2035</v>
      </c>
      <c r="AE88" s="200">
        <f t="shared" ca="1" si="9"/>
        <v>2036</v>
      </c>
      <c r="AF88" s="200">
        <f t="shared" ca="1" si="9"/>
        <v>2037</v>
      </c>
      <c r="AG88" s="200">
        <f t="shared" ca="1" si="9"/>
        <v>2038</v>
      </c>
      <c r="AH88" s="200">
        <f t="shared" ca="1" si="9"/>
        <v>2039</v>
      </c>
      <c r="AI88" s="200">
        <f t="shared" ca="1" si="9"/>
        <v>2040</v>
      </c>
      <c r="AJ88" s="200">
        <f t="shared" ca="1" si="9"/>
        <v>2041</v>
      </c>
      <c r="AK88" s="200">
        <f t="shared" ca="1" si="9"/>
        <v>2042</v>
      </c>
      <c r="AL88" s="200">
        <f t="shared" ca="1" si="9"/>
        <v>2043</v>
      </c>
      <c r="AM88" s="200">
        <f t="shared" ca="1" si="9"/>
        <v>2044</v>
      </c>
      <c r="AN88" s="200">
        <f t="shared" ca="1" si="9"/>
        <v>2045</v>
      </c>
      <c r="AO88" s="200">
        <f t="shared" ca="1" si="9"/>
        <v>2046</v>
      </c>
      <c r="AP88" s="200">
        <f t="shared" ca="1" si="9"/>
        <v>2047</v>
      </c>
      <c r="AQ88" s="200">
        <f t="shared" ca="1" si="9"/>
        <v>2048</v>
      </c>
      <c r="AR88" s="200">
        <f t="shared" ca="1" si="9"/>
        <v>2049</v>
      </c>
      <c r="AS88" s="200">
        <f t="shared" ca="1" si="9"/>
        <v>2050</v>
      </c>
      <c r="AT88" s="200">
        <f t="shared" ca="1" si="9"/>
        <v>2051</v>
      </c>
      <c r="AU88" s="200">
        <f t="shared" ca="1" si="9"/>
        <v>2052</v>
      </c>
      <c r="AV88" s="200">
        <f t="shared" ca="1" si="9"/>
        <v>2053</v>
      </c>
      <c r="AW88" s="200">
        <f t="shared" ca="1" si="9"/>
        <v>2054</v>
      </c>
      <c r="AX88" s="200">
        <f t="shared" ca="1" si="9"/>
        <v>2055</v>
      </c>
      <c r="AY88" s="200">
        <f t="shared" ca="1" si="9"/>
        <v>2056</v>
      </c>
      <c r="AZ88" s="200">
        <f t="shared" ref="AZ88:BQ88" ca="1" si="10">AY88+1</f>
        <v>2057</v>
      </c>
      <c r="BA88" s="200">
        <f t="shared" ca="1" si="10"/>
        <v>2058</v>
      </c>
      <c r="BB88" s="200">
        <f t="shared" ca="1" si="10"/>
        <v>2059</v>
      </c>
      <c r="BC88" s="200">
        <f t="shared" ca="1" si="10"/>
        <v>2060</v>
      </c>
      <c r="BD88" s="200">
        <f t="shared" ca="1" si="10"/>
        <v>2061</v>
      </c>
      <c r="BE88" s="200">
        <f t="shared" ca="1" si="10"/>
        <v>2062</v>
      </c>
      <c r="BF88" s="200">
        <f t="shared" ca="1" si="10"/>
        <v>2063</v>
      </c>
      <c r="BG88" s="200">
        <f t="shared" ca="1" si="10"/>
        <v>2064</v>
      </c>
      <c r="BH88" s="200">
        <f t="shared" ca="1" si="10"/>
        <v>2065</v>
      </c>
      <c r="BI88" s="200">
        <f t="shared" ca="1" si="10"/>
        <v>2066</v>
      </c>
      <c r="BJ88" s="200">
        <f t="shared" ca="1" si="10"/>
        <v>2067</v>
      </c>
      <c r="BK88" s="200">
        <f t="shared" ca="1" si="10"/>
        <v>2068</v>
      </c>
      <c r="BL88" s="200">
        <f t="shared" ca="1" si="10"/>
        <v>2069</v>
      </c>
      <c r="BM88" s="200">
        <f t="shared" ca="1" si="10"/>
        <v>2070</v>
      </c>
      <c r="BN88" s="200">
        <f t="shared" ca="1" si="10"/>
        <v>2071</v>
      </c>
      <c r="BO88" s="200">
        <f t="shared" ca="1" si="10"/>
        <v>2072</v>
      </c>
      <c r="BP88" s="200">
        <f t="shared" ca="1" si="10"/>
        <v>2073</v>
      </c>
      <c r="BQ88" s="205">
        <f t="shared" ca="1" si="10"/>
        <v>2074</v>
      </c>
    </row>
    <row r="89" spans="1:69" s="36" customFormat="1" ht="12" customHeight="1" x14ac:dyDescent="0.2">
      <c r="A89" s="1019" t="s">
        <v>642</v>
      </c>
      <c r="B89" s="1020"/>
      <c r="C89" s="1020"/>
      <c r="D89" s="1021"/>
      <c r="E89" s="2340">
        <f>IF(ISBLANK(Grunddaten!$O$10),Grunddaten!$N$10,Grunddaten!$O$10)</f>
        <v>1E-8</v>
      </c>
      <c r="F89" s="2341"/>
      <c r="G89" s="2332">
        <f>$N39</f>
        <v>0</v>
      </c>
      <c r="H89" s="2332"/>
      <c r="I89" s="2495"/>
      <c r="J89" s="2502" t="s">
        <v>38</v>
      </c>
      <c r="K89" s="2503"/>
      <c r="L89" s="2331">
        <f ca="1">IF(P89=0,0,-ROUND(PMT($J$9,$E$83,$P89),-1))</f>
        <v>0</v>
      </c>
      <c r="M89" s="2332"/>
      <c r="N89" s="2333"/>
      <c r="O89" s="141"/>
      <c r="P89" s="2475">
        <f ca="1">ROUND(NPV($J$9,S89:OFFSET($S$89,0,$E$83-1)),-1)</f>
        <v>0</v>
      </c>
      <c r="Q89" s="2476"/>
      <c r="R89" s="38"/>
      <c r="S89" s="263">
        <f>G89</f>
        <v>0</v>
      </c>
      <c r="T89" s="264">
        <f ca="1">$S$89*(1+(T88-$S$88)*$E$89)</f>
        <v>0</v>
      </c>
      <c r="U89" s="264">
        <f t="shared" ref="U89:BQ89" ca="1" si="11">$S$89*(1+(U88-$S$88)*$E$89)</f>
        <v>0</v>
      </c>
      <c r="V89" s="264">
        <f t="shared" ca="1" si="11"/>
        <v>0</v>
      </c>
      <c r="W89" s="264">
        <f t="shared" ca="1" si="11"/>
        <v>0</v>
      </c>
      <c r="X89" s="264">
        <f t="shared" ca="1" si="11"/>
        <v>0</v>
      </c>
      <c r="Y89" s="264">
        <f t="shared" ca="1" si="11"/>
        <v>0</v>
      </c>
      <c r="Z89" s="264">
        <f t="shared" ca="1" si="11"/>
        <v>0</v>
      </c>
      <c r="AA89" s="264">
        <f t="shared" ca="1" si="11"/>
        <v>0</v>
      </c>
      <c r="AB89" s="264">
        <f t="shared" ca="1" si="11"/>
        <v>0</v>
      </c>
      <c r="AC89" s="264">
        <f t="shared" ca="1" si="11"/>
        <v>0</v>
      </c>
      <c r="AD89" s="264">
        <f t="shared" ca="1" si="11"/>
        <v>0</v>
      </c>
      <c r="AE89" s="264">
        <f t="shared" ca="1" si="11"/>
        <v>0</v>
      </c>
      <c r="AF89" s="264">
        <f t="shared" ca="1" si="11"/>
        <v>0</v>
      </c>
      <c r="AG89" s="264">
        <f t="shared" ca="1" si="11"/>
        <v>0</v>
      </c>
      <c r="AH89" s="264">
        <f t="shared" ca="1" si="11"/>
        <v>0</v>
      </c>
      <c r="AI89" s="264">
        <f t="shared" ca="1" si="11"/>
        <v>0</v>
      </c>
      <c r="AJ89" s="264">
        <f t="shared" ca="1" si="11"/>
        <v>0</v>
      </c>
      <c r="AK89" s="264">
        <f t="shared" ca="1" si="11"/>
        <v>0</v>
      </c>
      <c r="AL89" s="264">
        <f t="shared" ca="1" si="11"/>
        <v>0</v>
      </c>
      <c r="AM89" s="264">
        <f t="shared" ca="1" si="11"/>
        <v>0</v>
      </c>
      <c r="AN89" s="264">
        <f t="shared" ca="1" si="11"/>
        <v>0</v>
      </c>
      <c r="AO89" s="264">
        <f t="shared" ca="1" si="11"/>
        <v>0</v>
      </c>
      <c r="AP89" s="264">
        <f t="shared" ca="1" si="11"/>
        <v>0</v>
      </c>
      <c r="AQ89" s="264">
        <f t="shared" ca="1" si="11"/>
        <v>0</v>
      </c>
      <c r="AR89" s="264">
        <f t="shared" ca="1" si="11"/>
        <v>0</v>
      </c>
      <c r="AS89" s="264">
        <f t="shared" ca="1" si="11"/>
        <v>0</v>
      </c>
      <c r="AT89" s="264">
        <f t="shared" ca="1" si="11"/>
        <v>0</v>
      </c>
      <c r="AU89" s="264">
        <f t="shared" ca="1" si="11"/>
        <v>0</v>
      </c>
      <c r="AV89" s="264">
        <f t="shared" ca="1" si="11"/>
        <v>0</v>
      </c>
      <c r="AW89" s="264">
        <f t="shared" ca="1" si="11"/>
        <v>0</v>
      </c>
      <c r="AX89" s="264">
        <f t="shared" ca="1" si="11"/>
        <v>0</v>
      </c>
      <c r="AY89" s="264">
        <f t="shared" ca="1" si="11"/>
        <v>0</v>
      </c>
      <c r="AZ89" s="264">
        <f t="shared" ca="1" si="11"/>
        <v>0</v>
      </c>
      <c r="BA89" s="264">
        <f t="shared" ca="1" si="11"/>
        <v>0</v>
      </c>
      <c r="BB89" s="264">
        <f t="shared" ca="1" si="11"/>
        <v>0</v>
      </c>
      <c r="BC89" s="264">
        <f t="shared" ca="1" si="11"/>
        <v>0</v>
      </c>
      <c r="BD89" s="264">
        <f t="shared" ca="1" si="11"/>
        <v>0</v>
      </c>
      <c r="BE89" s="264">
        <f t="shared" ca="1" si="11"/>
        <v>0</v>
      </c>
      <c r="BF89" s="264">
        <f t="shared" ca="1" si="11"/>
        <v>0</v>
      </c>
      <c r="BG89" s="264">
        <f t="shared" ca="1" si="11"/>
        <v>0</v>
      </c>
      <c r="BH89" s="264">
        <f t="shared" ca="1" si="11"/>
        <v>0</v>
      </c>
      <c r="BI89" s="264">
        <f t="shared" ca="1" si="11"/>
        <v>0</v>
      </c>
      <c r="BJ89" s="264">
        <f t="shared" ca="1" si="11"/>
        <v>0</v>
      </c>
      <c r="BK89" s="264">
        <f t="shared" ca="1" si="11"/>
        <v>0</v>
      </c>
      <c r="BL89" s="264">
        <f t="shared" ca="1" si="11"/>
        <v>0</v>
      </c>
      <c r="BM89" s="264">
        <f t="shared" ca="1" si="11"/>
        <v>0</v>
      </c>
      <c r="BN89" s="264">
        <f t="shared" ca="1" si="11"/>
        <v>0</v>
      </c>
      <c r="BO89" s="264">
        <f t="shared" ca="1" si="11"/>
        <v>0</v>
      </c>
      <c r="BP89" s="264">
        <f t="shared" ca="1" si="11"/>
        <v>0</v>
      </c>
      <c r="BQ89" s="694">
        <f t="shared" ca="1" si="11"/>
        <v>0</v>
      </c>
    </row>
    <row r="90" spans="1:69" s="36" customFormat="1" ht="12" customHeight="1" x14ac:dyDescent="0.2">
      <c r="A90" s="1019" t="s">
        <v>30</v>
      </c>
      <c r="B90" s="1020"/>
      <c r="C90" s="1020"/>
      <c r="D90" s="1021"/>
      <c r="E90" s="2340"/>
      <c r="F90" s="2341"/>
      <c r="G90" s="2332"/>
      <c r="H90" s="2332"/>
      <c r="I90" s="2495"/>
      <c r="J90" s="2504"/>
      <c r="K90" s="2505"/>
      <c r="L90" s="2331"/>
      <c r="M90" s="2332"/>
      <c r="N90" s="2333"/>
      <c r="O90" s="141"/>
      <c r="P90" s="2477"/>
      <c r="Q90" s="2478"/>
      <c r="R90" s="299"/>
      <c r="S90" s="265"/>
      <c r="T90" s="265"/>
      <c r="U90" s="265"/>
      <c r="V90" s="265"/>
      <c r="W90" s="265"/>
      <c r="X90" s="265"/>
      <c r="Y90" s="265"/>
      <c r="Z90" s="265"/>
      <c r="AA90" s="193"/>
      <c r="AB90" s="227"/>
      <c r="AC90" s="227"/>
      <c r="AD90" s="227"/>
      <c r="AE90" s="227"/>
      <c r="AF90" s="227"/>
      <c r="AG90" s="228"/>
      <c r="AH90" s="228"/>
      <c r="AI90" s="228"/>
      <c r="AJ90" s="226"/>
      <c r="AK90" s="226"/>
      <c r="AL90" s="226"/>
      <c r="AM90" s="226"/>
      <c r="AN90" s="226"/>
      <c r="AO90" s="226"/>
      <c r="AP90" s="226"/>
      <c r="AQ90" s="226"/>
      <c r="AR90" s="226"/>
      <c r="AS90" s="226"/>
      <c r="AT90" s="226"/>
      <c r="AU90" s="226"/>
      <c r="AV90" s="226"/>
      <c r="AW90" s="226"/>
      <c r="AX90" s="226"/>
      <c r="AY90" s="226"/>
      <c r="AZ90" s="226"/>
      <c r="BA90" s="226"/>
      <c r="BB90" s="226"/>
      <c r="BC90" s="226"/>
      <c r="BD90" s="226"/>
      <c r="BE90" s="226"/>
      <c r="BF90" s="226"/>
      <c r="BG90" s="226"/>
      <c r="BH90" s="226"/>
      <c r="BI90" s="226"/>
      <c r="BJ90" s="226"/>
      <c r="BK90" s="226"/>
      <c r="BL90" s="226"/>
      <c r="BM90" s="226"/>
      <c r="BN90" s="226"/>
      <c r="BO90" s="226"/>
      <c r="BP90" s="226"/>
    </row>
    <row r="91" spans="1:69" s="36" customFormat="1" ht="11.25" customHeight="1" x14ac:dyDescent="0.2">
      <c r="A91" s="1022" t="str">
        <f t="shared" ref="A91:A105" si="12">A62</f>
        <v>Elektrizität, Hochtarif</v>
      </c>
      <c r="B91" s="1023"/>
      <c r="C91" s="1023"/>
      <c r="D91" s="1024"/>
      <c r="E91" s="2447">
        <f ca="1">IF(G91=0,0,OFFSET(Grunddaten!$AH$17,El_Produkt,0))/100</f>
        <v>0</v>
      </c>
      <c r="F91" s="2448"/>
      <c r="G91" s="2445">
        <f t="shared" ref="G91:G105" ca="1" si="13">L62-J91</f>
        <v>0</v>
      </c>
      <c r="H91" s="2445"/>
      <c r="I91" s="2446"/>
      <c r="J91" s="2500">
        <f ca="1">$R$109*OFFSET(Grunddaten!$Q$17,El_Produkt,0)/100*G62</f>
        <v>0</v>
      </c>
      <c r="K91" s="2501"/>
      <c r="L91" s="2319">
        <f t="shared" ref="L91:L107" ca="1" si="14">IF(P91=0,0,-ROUND(PMT($J$9,$E$83,$P91),-1))</f>
        <v>0</v>
      </c>
      <c r="M91" s="2320"/>
      <c r="N91" s="2321"/>
      <c r="O91" s="143"/>
      <c r="P91" s="2479">
        <f ca="1">ROUND(NPV($J$9,S62:OFFSET(S62,0,$E$83-1)),-1)</f>
        <v>0</v>
      </c>
      <c r="Q91" s="2480"/>
      <c r="R91" s="297"/>
      <c r="S91" s="489"/>
      <c r="T91" s="489"/>
      <c r="U91" s="489"/>
      <c r="V91" s="489"/>
      <c r="AE91" s="176"/>
      <c r="AF91" s="176"/>
      <c r="AG91" s="176"/>
      <c r="AH91" s="176"/>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c r="BP91" s="176"/>
    </row>
    <row r="92" spans="1:69" s="36" customFormat="1" ht="11.25" customHeight="1" x14ac:dyDescent="0.2">
      <c r="A92" s="1022" t="str">
        <f t="shared" si="12"/>
        <v>Elektrizität, Niedertarif</v>
      </c>
      <c r="B92" s="1023"/>
      <c r="C92" s="1023"/>
      <c r="D92" s="1024"/>
      <c r="E92" s="2447">
        <f ca="1">IF(G92=0,0,OFFSET(Grunddaten!$AH$17,El_Produkt,0))/100</f>
        <v>0</v>
      </c>
      <c r="F92" s="2448"/>
      <c r="G92" s="2445">
        <f t="shared" ca="1" si="13"/>
        <v>0</v>
      </c>
      <c r="H92" s="2445"/>
      <c r="I92" s="2446"/>
      <c r="J92" s="2500">
        <f ca="1">$R$109*OFFSET(Grunddaten!$Q$17,El_Produkt,0)/100*G63</f>
        <v>0</v>
      </c>
      <c r="K92" s="2501"/>
      <c r="L92" s="2319">
        <f t="shared" ca="1" si="14"/>
        <v>0</v>
      </c>
      <c r="M92" s="2320"/>
      <c r="N92" s="2321"/>
      <c r="O92" s="143"/>
      <c r="P92" s="2479">
        <f ca="1">ROUND(NPV($J$9,S63:OFFSET(S63,0,$E$83-1)),-1)</f>
        <v>0</v>
      </c>
      <c r="Q92" s="2480"/>
      <c r="R92" s="297"/>
      <c r="S92" s="489"/>
      <c r="T92" s="489"/>
      <c r="U92" s="489"/>
      <c r="V92" s="489"/>
      <c r="AE92" s="133"/>
      <c r="AF92" s="133"/>
      <c r="AG92" s="222"/>
      <c r="AH92" s="222"/>
      <c r="AI92" s="222"/>
      <c r="AJ92" s="176"/>
      <c r="AK92" s="176"/>
      <c r="AL92" s="176"/>
      <c r="AM92" s="176"/>
      <c r="AN92" s="176"/>
      <c r="AO92" s="176"/>
      <c r="AP92" s="176"/>
      <c r="AQ92" s="176"/>
      <c r="AR92" s="176"/>
      <c r="AS92" s="176"/>
      <c r="AT92" s="176"/>
      <c r="AU92" s="176"/>
      <c r="AV92" s="176"/>
      <c r="AW92" s="176"/>
      <c r="AX92" s="176"/>
      <c r="AY92" s="176"/>
      <c r="AZ92" s="176"/>
      <c r="BA92" s="176"/>
      <c r="BB92" s="176"/>
      <c r="BC92" s="176"/>
      <c r="BD92" s="176"/>
      <c r="BE92" s="176"/>
      <c r="BF92" s="176"/>
      <c r="BG92" s="176"/>
      <c r="BH92" s="176"/>
      <c r="BI92" s="176"/>
      <c r="BJ92" s="176"/>
      <c r="BK92" s="176"/>
      <c r="BL92" s="176"/>
      <c r="BM92" s="176"/>
      <c r="BN92" s="176"/>
      <c r="BO92" s="176"/>
      <c r="BP92" s="176"/>
    </row>
    <row r="93" spans="1:69" s="36" customFormat="1" ht="11.25" customHeight="1" x14ac:dyDescent="0.2">
      <c r="A93" s="1025" t="str">
        <f t="shared" si="12"/>
        <v>Elektrizität Wärmepumpen, HT</v>
      </c>
      <c r="B93" s="1026"/>
      <c r="C93" s="1026"/>
      <c r="D93" s="1027"/>
      <c r="E93" s="2346">
        <f ca="1">IF(G93=0,0,OFFSET(Grunddaten!$AH$17,El_Produkt,0))/100</f>
        <v>0</v>
      </c>
      <c r="F93" s="2347"/>
      <c r="G93" s="2419">
        <f t="shared" ca="1" si="13"/>
        <v>0</v>
      </c>
      <c r="H93" s="2419"/>
      <c r="I93" s="2420"/>
      <c r="J93" s="2438">
        <f ca="1">$R$109*OFFSET(Grunddaten!$Q$17,El_Produkt,0)/100*G64</f>
        <v>0</v>
      </c>
      <c r="K93" s="2439"/>
      <c r="L93" s="2334">
        <f t="shared" ca="1" si="14"/>
        <v>0</v>
      </c>
      <c r="M93" s="2335"/>
      <c r="N93" s="2336"/>
      <c r="O93" s="143"/>
      <c r="P93" s="2416">
        <f ca="1">ROUND(NPV($J$9,S64:OFFSET(S64,0,$E$83-1)),-1)</f>
        <v>0</v>
      </c>
      <c r="Q93" s="2417"/>
      <c r="R93" s="297"/>
      <c r="S93" s="489"/>
      <c r="T93" s="489"/>
      <c r="U93" s="489"/>
      <c r="V93" s="489"/>
      <c r="AE93" s="133"/>
      <c r="AF93" s="133"/>
      <c r="AG93" s="222"/>
      <c r="AH93" s="222"/>
      <c r="AI93" s="222"/>
      <c r="AJ93" s="176"/>
      <c r="AK93" s="176"/>
      <c r="AL93" s="176"/>
      <c r="AM93" s="176"/>
      <c r="AN93" s="176"/>
      <c r="AO93" s="176"/>
      <c r="AP93" s="176"/>
      <c r="AQ93" s="176"/>
      <c r="AR93" s="176"/>
      <c r="AS93" s="176"/>
      <c r="AT93" s="176"/>
      <c r="AU93" s="176"/>
      <c r="AV93" s="176"/>
      <c r="AW93" s="176"/>
      <c r="AX93" s="176"/>
      <c r="AY93" s="176"/>
      <c r="AZ93" s="176"/>
      <c r="BA93" s="176"/>
      <c r="BB93" s="176"/>
      <c r="BC93" s="176"/>
      <c r="BD93" s="176"/>
      <c r="BE93" s="176"/>
      <c r="BF93" s="176"/>
      <c r="BG93" s="176"/>
      <c r="BH93" s="176"/>
      <c r="BI93" s="176"/>
      <c r="BJ93" s="176"/>
      <c r="BK93" s="176"/>
      <c r="BL93" s="176"/>
      <c r="BM93" s="176"/>
      <c r="BN93" s="176"/>
      <c r="BO93" s="176"/>
      <c r="BP93" s="176"/>
    </row>
    <row r="94" spans="1:69" s="36" customFormat="1" ht="11.25" customHeight="1" x14ac:dyDescent="0.2">
      <c r="A94" s="1011" t="str">
        <f t="shared" si="12"/>
        <v>Elektrizität Wärmepumpen, NT</v>
      </c>
      <c r="B94" s="1012"/>
      <c r="C94" s="1012"/>
      <c r="D94" s="1028"/>
      <c r="E94" s="2421">
        <f ca="1">IF(G94=0,0,OFFSET(Grunddaten!$AH$17,El_Produkt,0))/100</f>
        <v>0</v>
      </c>
      <c r="F94" s="2422"/>
      <c r="G94" s="2344">
        <f t="shared" ca="1" si="13"/>
        <v>0</v>
      </c>
      <c r="H94" s="2344"/>
      <c r="I94" s="2345"/>
      <c r="J94" s="2434">
        <f ca="1">$R$109*OFFSET(Grunddaten!$Q$17,El_Produkt,0)/100*G65</f>
        <v>0</v>
      </c>
      <c r="K94" s="2435"/>
      <c r="L94" s="2424">
        <f t="shared" ca="1" si="14"/>
        <v>0</v>
      </c>
      <c r="M94" s="2425"/>
      <c r="N94" s="2426"/>
      <c r="O94" s="143"/>
      <c r="P94" s="2452">
        <f ca="1">ROUND(NPV($J$9,S65:OFFSET(S65,0,$E$83-1)),-1)</f>
        <v>0</v>
      </c>
      <c r="Q94" s="2453"/>
      <c r="R94" s="297"/>
      <c r="S94" s="489"/>
      <c r="T94" s="489"/>
      <c r="U94" s="489"/>
      <c r="V94" s="489"/>
      <c r="AE94" s="133"/>
      <c r="AF94" s="133"/>
      <c r="AG94" s="222"/>
      <c r="AH94" s="222"/>
      <c r="AI94" s="222"/>
      <c r="AJ94" s="176"/>
      <c r="AK94" s="176"/>
      <c r="AL94" s="176"/>
      <c r="AM94" s="176"/>
      <c r="AN94" s="176"/>
      <c r="AO94" s="176"/>
      <c r="AP94" s="176"/>
      <c r="AQ94" s="176"/>
      <c r="AR94" s="176"/>
      <c r="AS94" s="176"/>
      <c r="AT94" s="176"/>
      <c r="AU94" s="176"/>
      <c r="AV94" s="176"/>
      <c r="AW94" s="176"/>
      <c r="AX94" s="176"/>
      <c r="AY94" s="176"/>
      <c r="AZ94" s="176"/>
      <c r="BA94" s="176"/>
      <c r="BB94" s="176"/>
      <c r="BC94" s="176"/>
      <c r="BD94" s="176"/>
      <c r="BE94" s="176"/>
      <c r="BF94" s="176"/>
      <c r="BG94" s="176"/>
      <c r="BH94" s="176"/>
      <c r="BI94" s="176"/>
      <c r="BJ94" s="176"/>
      <c r="BK94" s="176"/>
      <c r="BL94" s="176"/>
      <c r="BM94" s="176"/>
      <c r="BN94" s="176"/>
      <c r="BO94" s="176"/>
      <c r="BP94" s="176"/>
    </row>
    <row r="95" spans="1:69" s="36" customFormat="1" ht="11.25" customHeight="1" x14ac:dyDescent="0.2">
      <c r="A95" s="1025" t="str">
        <f t="shared" si="12"/>
        <v>Netzrückspeisung erneuerbar, HT</v>
      </c>
      <c r="B95" s="1026"/>
      <c r="C95" s="1026"/>
      <c r="D95" s="1027"/>
      <c r="E95" s="2346">
        <f>IF(G95=0,0,Grunddaten!$AH41/100)</f>
        <v>0</v>
      </c>
      <c r="F95" s="2347"/>
      <c r="G95" s="2419">
        <f t="shared" si="13"/>
        <v>0</v>
      </c>
      <c r="H95" s="2419"/>
      <c r="I95" s="2420"/>
      <c r="J95" s="2438">
        <f>$R$109*Grunddaten!Q41/100*G66</f>
        <v>0</v>
      </c>
      <c r="K95" s="2439"/>
      <c r="L95" s="2334">
        <f t="shared" ca="1" si="14"/>
        <v>0</v>
      </c>
      <c r="M95" s="2335"/>
      <c r="N95" s="2336"/>
      <c r="O95" s="143"/>
      <c r="P95" s="2479">
        <f ca="1">ROUND(NPV($J$9,S66:OFFSET(S66,0,$E$83-1)),-1)</f>
        <v>0</v>
      </c>
      <c r="Q95" s="2480"/>
      <c r="R95" s="297"/>
      <c r="S95" s="489"/>
      <c r="T95" s="489"/>
      <c r="U95" s="489"/>
      <c r="V95" s="489"/>
      <c r="AE95" s="133"/>
      <c r="AF95" s="133"/>
      <c r="AG95" s="222"/>
      <c r="AH95" s="222"/>
      <c r="AI95" s="222"/>
      <c r="AJ95" s="176"/>
      <c r="AK95" s="176"/>
      <c r="AL95" s="176"/>
      <c r="AM95" s="176"/>
      <c r="AN95" s="176"/>
      <c r="AO95" s="176"/>
      <c r="AP95" s="176"/>
      <c r="AQ95" s="176"/>
      <c r="AR95" s="176"/>
      <c r="AS95" s="176"/>
      <c r="AT95" s="176"/>
      <c r="AU95" s="176"/>
      <c r="AV95" s="176"/>
      <c r="AW95" s="176"/>
      <c r="AX95" s="176"/>
      <c r="AY95" s="176"/>
      <c r="AZ95" s="176"/>
      <c r="BA95" s="176"/>
      <c r="BB95" s="176"/>
      <c r="BC95" s="176"/>
      <c r="BD95" s="176"/>
      <c r="BE95" s="176"/>
      <c r="BF95" s="176"/>
      <c r="BG95" s="176"/>
      <c r="BH95" s="176"/>
      <c r="BI95" s="176"/>
      <c r="BJ95" s="176"/>
      <c r="BK95" s="176"/>
      <c r="BL95" s="176"/>
      <c r="BM95" s="176"/>
      <c r="BN95" s="176"/>
      <c r="BO95" s="176"/>
      <c r="BP95" s="176"/>
    </row>
    <row r="96" spans="1:69" s="36" customFormat="1" ht="11.25" customHeight="1" x14ac:dyDescent="0.2">
      <c r="A96" s="1011" t="str">
        <f t="shared" si="12"/>
        <v>Netzrückspeisung erneuerbar, NT</v>
      </c>
      <c r="B96" s="1012"/>
      <c r="C96" s="1012"/>
      <c r="D96" s="1028"/>
      <c r="E96" s="2421">
        <f>IF(G96=0,0,Grunddaten!$AH42/100)</f>
        <v>0</v>
      </c>
      <c r="F96" s="2422"/>
      <c r="G96" s="2344">
        <f t="shared" si="13"/>
        <v>0</v>
      </c>
      <c r="H96" s="2344"/>
      <c r="I96" s="2345"/>
      <c r="J96" s="2434">
        <f>$R$109*Grunddaten!Q41/100*G67</f>
        <v>0</v>
      </c>
      <c r="K96" s="2435"/>
      <c r="L96" s="2424">
        <f t="shared" ca="1" si="14"/>
        <v>0</v>
      </c>
      <c r="M96" s="2425"/>
      <c r="N96" s="2426"/>
      <c r="O96" s="143"/>
      <c r="P96" s="2479">
        <f ca="1">ROUND(NPV($J$9,S67:OFFSET(S67,0,$E$83-1)),-1)</f>
        <v>0</v>
      </c>
      <c r="Q96" s="2480"/>
      <c r="R96" s="297"/>
      <c r="S96" s="489"/>
      <c r="T96" s="489"/>
      <c r="U96" s="489"/>
      <c r="V96" s="489"/>
      <c r="AE96" s="133"/>
      <c r="AF96" s="133"/>
      <c r="AG96" s="222"/>
      <c r="AH96" s="222"/>
      <c r="AI96" s="222"/>
      <c r="AJ96" s="176"/>
      <c r="AK96" s="176"/>
      <c r="AL96" s="176"/>
      <c r="AM96" s="176"/>
      <c r="AN96" s="176"/>
      <c r="AO96" s="176"/>
      <c r="AP96" s="176"/>
      <c r="AQ96" s="176"/>
      <c r="AR96" s="176"/>
      <c r="AS96" s="176"/>
      <c r="AT96" s="176"/>
      <c r="AU96" s="176"/>
      <c r="AV96" s="176"/>
      <c r="AW96" s="176"/>
      <c r="AX96" s="176"/>
      <c r="AY96" s="176"/>
      <c r="AZ96" s="176"/>
      <c r="BA96" s="176"/>
      <c r="BB96" s="176"/>
      <c r="BC96" s="176"/>
      <c r="BD96" s="176"/>
      <c r="BE96" s="176"/>
      <c r="BF96" s="176"/>
      <c r="BG96" s="176"/>
      <c r="BH96" s="176"/>
      <c r="BI96" s="176"/>
      <c r="BJ96" s="176"/>
      <c r="BK96" s="176"/>
      <c r="BL96" s="176"/>
      <c r="BM96" s="176"/>
      <c r="BN96" s="176"/>
      <c r="BO96" s="176"/>
      <c r="BP96" s="176"/>
    </row>
    <row r="97" spans="1:69" s="36" customFormat="1" ht="11.25" customHeight="1" x14ac:dyDescent="0.2">
      <c r="A97" s="1025" t="str">
        <f t="shared" si="12"/>
        <v>Netzrückspeisung nicht erneuerbar, HT</v>
      </c>
      <c r="B97" s="1026"/>
      <c r="C97" s="1026"/>
      <c r="D97" s="1027"/>
      <c r="E97" s="2346">
        <f>IF(G97=0,0,Grunddaten!$AH43/100)</f>
        <v>0</v>
      </c>
      <c r="F97" s="2347"/>
      <c r="G97" s="2419">
        <f t="shared" si="13"/>
        <v>0</v>
      </c>
      <c r="H97" s="2419"/>
      <c r="I97" s="2420"/>
      <c r="J97" s="2438">
        <f>$R$109*Grunddaten!Q43/100*G68</f>
        <v>0</v>
      </c>
      <c r="K97" s="2439"/>
      <c r="L97" s="2334">
        <f t="shared" ca="1" si="14"/>
        <v>0</v>
      </c>
      <c r="M97" s="2335"/>
      <c r="N97" s="2336"/>
      <c r="O97" s="143"/>
      <c r="P97" s="2416">
        <f ca="1">ROUND(NPV($J$9,S68:OFFSET(S68,0,$E$83-1)),-1)</f>
        <v>0</v>
      </c>
      <c r="Q97" s="2417"/>
      <c r="R97" s="297"/>
      <c r="S97" s="618"/>
      <c r="T97" s="618"/>
      <c r="U97" s="618"/>
      <c r="V97" s="618"/>
      <c r="AE97" s="133"/>
      <c r="AF97" s="133"/>
      <c r="AG97" s="222"/>
      <c r="AH97" s="222"/>
      <c r="AI97" s="222"/>
      <c r="AJ97" s="176"/>
      <c r="AK97" s="176"/>
      <c r="AL97" s="176"/>
      <c r="AM97" s="176"/>
      <c r="AN97" s="176"/>
      <c r="AO97" s="176"/>
      <c r="AP97" s="176"/>
      <c r="AQ97" s="176"/>
      <c r="AR97" s="176"/>
      <c r="AS97" s="176"/>
      <c r="AT97" s="176"/>
      <c r="AU97" s="176"/>
      <c r="AV97" s="176"/>
      <c r="AW97" s="176"/>
      <c r="AX97" s="176"/>
      <c r="AY97" s="176"/>
      <c r="AZ97" s="176"/>
      <c r="BA97" s="176"/>
      <c r="BB97" s="176"/>
      <c r="BC97" s="176"/>
      <c r="BD97" s="176"/>
      <c r="BE97" s="176"/>
      <c r="BF97" s="176"/>
      <c r="BG97" s="176"/>
      <c r="BH97" s="176"/>
      <c r="BI97" s="176"/>
      <c r="BJ97" s="176"/>
      <c r="BK97" s="176"/>
      <c r="BL97" s="176"/>
      <c r="BM97" s="176"/>
      <c r="BN97" s="176"/>
      <c r="BO97" s="176"/>
      <c r="BP97" s="176"/>
    </row>
    <row r="98" spans="1:69" s="36" customFormat="1" ht="11.25" customHeight="1" x14ac:dyDescent="0.2">
      <c r="A98" s="1011" t="str">
        <f t="shared" si="12"/>
        <v>Netzrückspeisung nicht erneuerbar, NT</v>
      </c>
      <c r="B98" s="1012"/>
      <c r="C98" s="1012"/>
      <c r="D98" s="1028"/>
      <c r="E98" s="2421">
        <f>IF(G98=0,0,Grunddaten!$AH44/100)</f>
        <v>0</v>
      </c>
      <c r="F98" s="2422"/>
      <c r="G98" s="2344">
        <f t="shared" si="13"/>
        <v>0</v>
      </c>
      <c r="H98" s="2344"/>
      <c r="I98" s="2345"/>
      <c r="J98" s="2434">
        <f>$R$109*Grunddaten!Q43/100*G69</f>
        <v>0</v>
      </c>
      <c r="K98" s="2435"/>
      <c r="L98" s="2424">
        <f t="shared" ca="1" si="14"/>
        <v>0</v>
      </c>
      <c r="M98" s="2425"/>
      <c r="N98" s="2426"/>
      <c r="O98" s="143"/>
      <c r="P98" s="2452">
        <f ca="1">ROUND(NPV($J$9,S69:OFFSET(S69,0,$E$83-1)),-1)</f>
        <v>0</v>
      </c>
      <c r="Q98" s="2453"/>
      <c r="R98" s="297"/>
      <c r="S98" s="618"/>
      <c r="T98" s="618"/>
      <c r="U98" s="618"/>
      <c r="V98" s="618"/>
      <c r="AE98" s="133"/>
      <c r="AF98" s="133"/>
      <c r="AG98" s="222"/>
      <c r="AH98" s="222"/>
      <c r="AI98" s="222"/>
      <c r="AJ98" s="176"/>
      <c r="AK98" s="176"/>
      <c r="AL98" s="176"/>
      <c r="AM98" s="176"/>
      <c r="AN98" s="176"/>
      <c r="AO98" s="176"/>
      <c r="AP98" s="176"/>
      <c r="AQ98" s="176"/>
      <c r="AR98" s="176"/>
      <c r="AS98" s="176"/>
      <c r="AT98" s="176"/>
      <c r="AU98" s="176"/>
      <c r="AV98" s="176"/>
      <c r="AW98" s="176"/>
      <c r="AX98" s="176"/>
      <c r="AY98" s="176"/>
      <c r="AZ98" s="176"/>
      <c r="BA98" s="176"/>
      <c r="BB98" s="176"/>
      <c r="BC98" s="176"/>
      <c r="BD98" s="176"/>
      <c r="BE98" s="176"/>
      <c r="BF98" s="176"/>
      <c r="BG98" s="176"/>
      <c r="BH98" s="176"/>
      <c r="BI98" s="176"/>
      <c r="BJ98" s="176"/>
      <c r="BK98" s="176"/>
      <c r="BL98" s="176"/>
      <c r="BM98" s="176"/>
      <c r="BN98" s="176"/>
      <c r="BO98" s="176"/>
      <c r="BP98" s="176"/>
    </row>
    <row r="99" spans="1:69" s="36" customFormat="1" ht="11.25" customHeight="1" x14ac:dyDescent="0.2">
      <c r="A99" s="1029" t="str">
        <f t="shared" si="12"/>
        <v>Holzpellets</v>
      </c>
      <c r="B99" s="1030"/>
      <c r="C99" s="1030"/>
      <c r="D99" s="1021"/>
      <c r="E99" s="2340">
        <f ca="1">IF(G99=0,0,Grunddaten!$AH45/100)</f>
        <v>0</v>
      </c>
      <c r="F99" s="2341"/>
      <c r="G99" s="2350">
        <f t="shared" ca="1" si="13"/>
        <v>0</v>
      </c>
      <c r="H99" s="2350"/>
      <c r="I99" s="2351"/>
      <c r="J99" s="2436">
        <f ca="1">$R$109*Grunddaten!Q45/100*G70</f>
        <v>0</v>
      </c>
      <c r="K99" s="2437"/>
      <c r="L99" s="2449">
        <f t="shared" ca="1" si="14"/>
        <v>0</v>
      </c>
      <c r="M99" s="2450"/>
      <c r="N99" s="2451"/>
      <c r="O99" s="143"/>
      <c r="P99" s="2412">
        <f ca="1">ROUND(NPV($J$9,S70:OFFSET(S70,0,$E$83-1)),-1)</f>
        <v>0</v>
      </c>
      <c r="Q99" s="2413"/>
      <c r="R99" s="297"/>
      <c r="S99" s="489"/>
      <c r="T99" s="489"/>
      <c r="U99" s="489"/>
      <c r="V99" s="489"/>
      <c r="AE99" s="133"/>
      <c r="AF99" s="133"/>
      <c r="AG99" s="222"/>
      <c r="AH99" s="222"/>
      <c r="AI99" s="222"/>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c r="BP99" s="176"/>
    </row>
    <row r="100" spans="1:69" s="36" customFormat="1" ht="11.25" customHeight="1" x14ac:dyDescent="0.2">
      <c r="A100" s="1029" t="str">
        <f t="shared" si="12"/>
        <v>Holzschnitzel</v>
      </c>
      <c r="B100" s="1030"/>
      <c r="C100" s="1030"/>
      <c r="D100" s="1021"/>
      <c r="E100" s="2340">
        <f ca="1">IF(G100=0,0,Grunddaten!$AH46/100)</f>
        <v>0</v>
      </c>
      <c r="F100" s="2341"/>
      <c r="G100" s="2350">
        <f t="shared" ca="1" si="13"/>
        <v>0</v>
      </c>
      <c r="H100" s="2350"/>
      <c r="I100" s="2351"/>
      <c r="J100" s="2436">
        <f ca="1">$R$109*Grunddaten!Q46/100*G71</f>
        <v>0</v>
      </c>
      <c r="K100" s="2437"/>
      <c r="L100" s="2449">
        <f t="shared" ca="1" si="14"/>
        <v>0</v>
      </c>
      <c r="M100" s="2450"/>
      <c r="N100" s="2451"/>
      <c r="O100" s="143"/>
      <c r="P100" s="2412">
        <f ca="1">ROUND(NPV($J$9,S71:OFFSET(S71,0,$E$83-1)),-1)</f>
        <v>0</v>
      </c>
      <c r="Q100" s="2413"/>
      <c r="R100" s="297"/>
      <c r="S100" s="489"/>
      <c r="T100" s="489"/>
      <c r="U100" s="489"/>
      <c r="V100" s="489"/>
      <c r="AE100" s="133"/>
      <c r="AF100" s="133"/>
      <c r="AG100" s="222"/>
      <c r="AH100" s="222"/>
      <c r="AI100" s="222"/>
      <c r="AJ100" s="176"/>
      <c r="AK100" s="176"/>
      <c r="AL100" s="176"/>
      <c r="AM100" s="176"/>
      <c r="AN100" s="176"/>
      <c r="AO100" s="176"/>
      <c r="AP100" s="176"/>
      <c r="AQ100" s="176"/>
      <c r="AR100" s="176"/>
      <c r="AS100" s="176"/>
      <c r="AT100" s="176"/>
      <c r="AU100" s="176"/>
      <c r="AV100" s="176"/>
      <c r="AW100" s="176"/>
      <c r="AX100" s="176"/>
      <c r="AY100" s="176"/>
      <c r="AZ100" s="176"/>
      <c r="BA100" s="176"/>
      <c r="BB100" s="176"/>
      <c r="BC100" s="176"/>
      <c r="BD100" s="176"/>
      <c r="BE100" s="176"/>
      <c r="BF100" s="176"/>
      <c r="BG100" s="176"/>
      <c r="BH100" s="176"/>
      <c r="BI100" s="176"/>
      <c r="BJ100" s="176"/>
      <c r="BK100" s="176"/>
      <c r="BL100" s="176"/>
      <c r="BM100" s="176"/>
      <c r="BN100" s="176"/>
      <c r="BO100" s="176"/>
      <c r="BP100" s="176"/>
    </row>
    <row r="101" spans="1:69" s="36" customFormat="1" ht="11.25" customHeight="1" x14ac:dyDescent="0.2">
      <c r="A101" s="1029" t="str">
        <f t="shared" si="12"/>
        <v>Biogas</v>
      </c>
      <c r="B101" s="1030" t="str">
        <f>B72</f>
        <v>Energie360°</v>
      </c>
      <c r="C101" s="1030"/>
      <c r="D101" s="1021"/>
      <c r="E101" s="2340">
        <f ca="1">IF(G101=0,0,VLOOKUP(Projektdaten!H24,Grunddaten!C47:AI48,32,FALSE)/100)</f>
        <v>0</v>
      </c>
      <c r="F101" s="2341"/>
      <c r="G101" s="2350">
        <f t="shared" ca="1" si="13"/>
        <v>0</v>
      </c>
      <c r="H101" s="2350"/>
      <c r="I101" s="2351"/>
      <c r="J101" s="2436">
        <f ca="1">$R$109*VLOOKUP(Projektdaten!H24,Grunddaten!C47:AI48,15,FALSE)/100*G72</f>
        <v>0</v>
      </c>
      <c r="K101" s="2437"/>
      <c r="L101" s="2449">
        <f t="shared" ca="1" si="14"/>
        <v>0</v>
      </c>
      <c r="M101" s="2450"/>
      <c r="N101" s="2451"/>
      <c r="O101" s="143"/>
      <c r="P101" s="2412">
        <f ca="1">ROUND(NPV($J$9,S72:OFFSET(S72,0,$E$83-1)),-1)</f>
        <v>0</v>
      </c>
      <c r="Q101" s="2413"/>
      <c r="R101" s="297"/>
      <c r="S101" s="489"/>
      <c r="T101" s="489"/>
      <c r="U101" s="489"/>
      <c r="V101" s="489"/>
      <c r="AE101" s="133"/>
      <c r="AF101" s="133"/>
      <c r="AG101" s="222"/>
      <c r="AH101" s="222"/>
      <c r="AI101" s="222"/>
      <c r="AJ101" s="176"/>
      <c r="AK101" s="176"/>
      <c r="AL101" s="176"/>
      <c r="AM101" s="176"/>
      <c r="AN101" s="176"/>
      <c r="AO101" s="176"/>
      <c r="AP101" s="176"/>
      <c r="AQ101" s="176"/>
      <c r="AR101" s="176"/>
      <c r="AS101" s="176"/>
      <c r="AT101" s="176"/>
      <c r="AU101" s="176"/>
      <c r="AV101" s="176"/>
      <c r="AW101" s="176"/>
      <c r="AX101" s="176"/>
      <c r="AY101" s="176"/>
      <c r="AZ101" s="176"/>
      <c r="BA101" s="176"/>
      <c r="BB101" s="176"/>
      <c r="BC101" s="176"/>
      <c r="BD101" s="176"/>
      <c r="BE101" s="176"/>
      <c r="BF101" s="176"/>
      <c r="BG101" s="176"/>
      <c r="BH101" s="176"/>
      <c r="BI101" s="176"/>
      <c r="BJ101" s="176"/>
      <c r="BK101" s="176"/>
      <c r="BL101" s="176"/>
      <c r="BM101" s="176"/>
      <c r="BN101" s="176"/>
      <c r="BO101" s="176"/>
      <c r="BP101" s="176"/>
    </row>
    <row r="102" spans="1:69" s="36" customFormat="1" ht="11.25" customHeight="1" x14ac:dyDescent="0.2">
      <c r="A102" s="1029" t="str">
        <f t="shared" si="12"/>
        <v>Erdgas</v>
      </c>
      <c r="B102" s="1030"/>
      <c r="C102" s="1030"/>
      <c r="D102" s="1021"/>
      <c r="E102" s="2340">
        <f ca="1">IF(G102=0,0,Grunddaten!$AH49/100)</f>
        <v>0</v>
      </c>
      <c r="F102" s="2341"/>
      <c r="G102" s="2350">
        <f t="shared" ca="1" si="13"/>
        <v>0</v>
      </c>
      <c r="H102" s="2350"/>
      <c r="I102" s="2351"/>
      <c r="J102" s="2436">
        <f ca="1">$R$109*Grunddaten!Q49/100*G73</f>
        <v>0</v>
      </c>
      <c r="K102" s="2437"/>
      <c r="L102" s="2449">
        <f t="shared" ca="1" si="14"/>
        <v>0</v>
      </c>
      <c r="M102" s="2450"/>
      <c r="N102" s="2451"/>
      <c r="O102" s="143"/>
      <c r="P102" s="2412">
        <f ca="1">ROUND(NPV($J$9,S73:OFFSET(S73,0,$E$83-1)),-1)</f>
        <v>0</v>
      </c>
      <c r="Q102" s="2413"/>
      <c r="R102" s="297"/>
      <c r="S102" s="489"/>
      <c r="T102" s="489"/>
      <c r="U102" s="489"/>
      <c r="V102" s="489"/>
      <c r="AE102" s="133"/>
      <c r="AF102" s="133"/>
      <c r="AG102" s="222"/>
      <c r="AH102" s="222"/>
      <c r="AI102" s="222"/>
      <c r="AJ102" s="176"/>
      <c r="AK102" s="176"/>
      <c r="AL102" s="176"/>
      <c r="AM102" s="176"/>
      <c r="AN102" s="176"/>
      <c r="AO102" s="176"/>
      <c r="AP102" s="176"/>
      <c r="AQ102" s="176"/>
      <c r="AR102" s="176"/>
      <c r="AS102" s="176"/>
      <c r="AT102" s="176"/>
      <c r="AU102" s="176"/>
      <c r="AV102" s="176"/>
      <c r="AW102" s="176"/>
      <c r="AX102" s="176"/>
      <c r="AY102" s="176"/>
      <c r="AZ102" s="176"/>
      <c r="BA102" s="176"/>
      <c r="BB102" s="176"/>
      <c r="BC102" s="176"/>
      <c r="BD102" s="176"/>
      <c r="BE102" s="176"/>
      <c r="BF102" s="176"/>
      <c r="BG102" s="176"/>
      <c r="BH102" s="176"/>
      <c r="BI102" s="176"/>
      <c r="BJ102" s="176"/>
      <c r="BK102" s="176"/>
      <c r="BL102" s="176"/>
      <c r="BM102" s="176"/>
      <c r="BN102" s="176"/>
      <c r="BO102" s="176"/>
      <c r="BP102" s="176"/>
    </row>
    <row r="103" spans="1:69" s="36" customFormat="1" ht="11.25" customHeight="1" x14ac:dyDescent="0.2">
      <c r="A103" s="1029" t="str">
        <f t="shared" si="12"/>
        <v>Heizöl EL</v>
      </c>
      <c r="B103" s="1030"/>
      <c r="C103" s="1030"/>
      <c r="D103" s="1021"/>
      <c r="E103" s="2340">
        <f ca="1">IF(G103=0,0,Grunddaten!$AH50/100)</f>
        <v>0</v>
      </c>
      <c r="F103" s="2341"/>
      <c r="G103" s="2350">
        <f t="shared" ca="1" si="13"/>
        <v>0</v>
      </c>
      <c r="H103" s="2350"/>
      <c r="I103" s="2351"/>
      <c r="J103" s="2436">
        <f ca="1">$R$109*Grunddaten!Q50/100*G74</f>
        <v>0</v>
      </c>
      <c r="K103" s="2437"/>
      <c r="L103" s="2449">
        <f t="shared" ca="1" si="14"/>
        <v>0</v>
      </c>
      <c r="M103" s="2450"/>
      <c r="N103" s="2451"/>
      <c r="O103" s="143"/>
      <c r="P103" s="2412">
        <f ca="1">ROUND(NPV($J$9,S74:OFFSET(S74,0,$E$83-1)),-1)</f>
        <v>0</v>
      </c>
      <c r="Q103" s="2413"/>
      <c r="R103" s="297"/>
      <c r="S103" s="489"/>
      <c r="T103" s="489"/>
      <c r="U103" s="489"/>
      <c r="V103" s="489"/>
      <c r="AE103" s="133"/>
      <c r="AF103" s="133"/>
      <c r="AG103" s="222"/>
      <c r="AH103" s="222"/>
      <c r="AI103" s="222"/>
      <c r="AJ103" s="176"/>
      <c r="AK103" s="176"/>
      <c r="AL103" s="176"/>
      <c r="AM103" s="176"/>
      <c r="AN103" s="176"/>
      <c r="AO103" s="176"/>
      <c r="AP103" s="176"/>
      <c r="AQ103" s="176"/>
      <c r="AR103" s="176"/>
      <c r="AS103" s="176"/>
      <c r="AT103" s="176"/>
      <c r="AU103" s="176"/>
      <c r="AV103" s="176"/>
      <c r="AW103" s="176"/>
      <c r="AX103" s="176"/>
      <c r="AY103" s="176"/>
      <c r="AZ103" s="176"/>
      <c r="BA103" s="176"/>
      <c r="BB103" s="176"/>
      <c r="BC103" s="176"/>
      <c r="BD103" s="176"/>
      <c r="BE103" s="176"/>
      <c r="BF103" s="176"/>
      <c r="BG103" s="176"/>
      <c r="BH103" s="176"/>
      <c r="BI103" s="176"/>
      <c r="BJ103" s="176"/>
      <c r="BK103" s="176"/>
      <c r="BL103" s="176"/>
      <c r="BM103" s="176"/>
      <c r="BN103" s="176"/>
      <c r="BO103" s="176"/>
      <c r="BP103" s="176"/>
    </row>
    <row r="104" spans="1:69" s="36" customFormat="1" ht="11.25" customHeight="1" x14ac:dyDescent="0.2">
      <c r="A104" s="1029" t="str">
        <f t="shared" si="12"/>
        <v>Brennstoff XY</v>
      </c>
      <c r="B104" s="1030"/>
      <c r="C104" s="1030"/>
      <c r="D104" s="1021"/>
      <c r="E104" s="2340">
        <f ca="1">IF(G104=0,0,Grunddaten!$AH51/100)</f>
        <v>0</v>
      </c>
      <c r="F104" s="2341"/>
      <c r="G104" s="2350">
        <f t="shared" ca="1" si="13"/>
        <v>0</v>
      </c>
      <c r="H104" s="2350"/>
      <c r="I104" s="2351"/>
      <c r="J104" s="2436">
        <f ca="1">$R$109*Grunddaten!Q51/100*G75</f>
        <v>0</v>
      </c>
      <c r="K104" s="2437"/>
      <c r="L104" s="2449">
        <f t="shared" ca="1" si="14"/>
        <v>0</v>
      </c>
      <c r="M104" s="2450"/>
      <c r="N104" s="2451"/>
      <c r="O104" s="143"/>
      <c r="P104" s="2412">
        <f ca="1">ROUND(NPV($J$9,S75:OFFSET(S75,0,$E$83-1)),-1)</f>
        <v>0</v>
      </c>
      <c r="Q104" s="2413"/>
      <c r="R104" s="297"/>
      <c r="S104" s="489"/>
      <c r="T104" s="489"/>
      <c r="U104" s="489"/>
      <c r="V104" s="489"/>
      <c r="AE104" s="133"/>
      <c r="AF104" s="133"/>
      <c r="AG104" s="222"/>
      <c r="AH104" s="222"/>
      <c r="AI104" s="222"/>
      <c r="AJ104" s="176"/>
      <c r="AK104" s="176"/>
      <c r="AL104" s="176"/>
      <c r="AM104" s="176"/>
      <c r="AN104" s="176"/>
      <c r="AO104" s="176"/>
      <c r="AP104" s="176"/>
      <c r="AQ104" s="176"/>
      <c r="AR104" s="176"/>
      <c r="AS104" s="176"/>
      <c r="AT104" s="176"/>
      <c r="AU104" s="176"/>
      <c r="AV104" s="176"/>
      <c r="AW104" s="176"/>
      <c r="AX104" s="176"/>
      <c r="AY104" s="176"/>
      <c r="AZ104" s="176"/>
      <c r="BA104" s="176"/>
      <c r="BB104" s="176"/>
      <c r="BC104" s="176"/>
      <c r="BD104" s="176"/>
      <c r="BE104" s="176"/>
      <c r="BF104" s="176"/>
      <c r="BG104" s="176"/>
      <c r="BH104" s="176"/>
      <c r="BI104" s="176"/>
      <c r="BJ104" s="176"/>
      <c r="BK104" s="176"/>
      <c r="BL104" s="176"/>
      <c r="BM104" s="176"/>
      <c r="BN104" s="176"/>
      <c r="BO104" s="176"/>
      <c r="BP104" s="176"/>
    </row>
    <row r="105" spans="1:69" s="36" customFormat="1" ht="11.25" customHeight="1" x14ac:dyDescent="0.2">
      <c r="A105" s="1029" t="str">
        <f t="shared" si="12"/>
        <v>Fernwärme</v>
      </c>
      <c r="B105" s="1030" t="str">
        <f>B76</f>
        <v>Stadt Zürich erz</v>
      </c>
      <c r="C105" s="1030"/>
      <c r="D105" s="1021"/>
      <c r="E105" s="2340">
        <f ca="1">IF(G105=0,0,OFFSET(Grunddaten!$AH$52,FW_Produkt,0))/100</f>
        <v>0</v>
      </c>
      <c r="F105" s="2341"/>
      <c r="G105" s="2350">
        <f t="shared" ca="1" si="13"/>
        <v>0</v>
      </c>
      <c r="H105" s="2350"/>
      <c r="I105" s="2351"/>
      <c r="J105" s="2436">
        <f ca="1">$R$109*OFFSET(Grunddaten!$Q$52,FW_Produkt,0)/100*G76</f>
        <v>0</v>
      </c>
      <c r="K105" s="2437"/>
      <c r="L105" s="2449">
        <f t="shared" ca="1" si="14"/>
        <v>0</v>
      </c>
      <c r="M105" s="2450"/>
      <c r="N105" s="2451"/>
      <c r="O105" s="143"/>
      <c r="P105" s="2412">
        <f ca="1">ROUND(NPV($J$9,S76:OFFSET(S76,0,$E$83-1)),-1)</f>
        <v>0</v>
      </c>
      <c r="Q105" s="2413"/>
      <c r="R105" s="297"/>
      <c r="S105" s="489"/>
      <c r="T105" s="489"/>
      <c r="U105" s="489"/>
      <c r="V105" s="489"/>
      <c r="AE105" s="133"/>
      <c r="AF105" s="133"/>
      <c r="AG105" s="222"/>
      <c r="AH105" s="222"/>
      <c r="AI105" s="222"/>
      <c r="AJ105" s="176"/>
      <c r="AK105" s="176"/>
      <c r="AL105" s="176"/>
      <c r="AM105" s="176"/>
      <c r="AN105" s="176"/>
      <c r="AO105" s="176"/>
      <c r="AP105" s="176"/>
      <c r="AQ105" s="176"/>
      <c r="AR105" s="176"/>
      <c r="AS105" s="176"/>
      <c r="AT105" s="176"/>
      <c r="AU105" s="176"/>
      <c r="AV105" s="176"/>
      <c r="AW105" s="176"/>
      <c r="AX105" s="176"/>
      <c r="AY105" s="176"/>
      <c r="AZ105" s="176"/>
      <c r="BA105" s="176"/>
      <c r="BB105" s="176"/>
      <c r="BC105" s="176"/>
      <c r="BD105" s="176"/>
      <c r="BE105" s="176"/>
      <c r="BF105" s="176"/>
      <c r="BG105" s="176"/>
      <c r="BH105" s="176"/>
      <c r="BI105" s="176"/>
      <c r="BJ105" s="176"/>
      <c r="BK105" s="176"/>
      <c r="BL105" s="176"/>
      <c r="BM105" s="176"/>
      <c r="BN105" s="176"/>
      <c r="BO105" s="176"/>
      <c r="BP105" s="176"/>
    </row>
    <row r="106" spans="1:69" s="36" customFormat="1" ht="11.25" customHeight="1" x14ac:dyDescent="0.2">
      <c r="A106" s="1029" t="str">
        <f t="shared" ref="A106:A107" si="15">A77</f>
        <v>Wärmeverbund XY</v>
      </c>
      <c r="B106" s="1030"/>
      <c r="C106" s="1030"/>
      <c r="D106" s="1021"/>
      <c r="E106" s="2340">
        <f ca="1">IF(G106=0,0,Grunddaten!$AH55/100)</f>
        <v>0</v>
      </c>
      <c r="F106" s="2341"/>
      <c r="G106" s="2350">
        <f t="shared" ref="G106" ca="1" si="16">L77-J106</f>
        <v>0</v>
      </c>
      <c r="H106" s="2350"/>
      <c r="I106" s="2351"/>
      <c r="J106" s="2436">
        <f ca="1">$R$109*Grunddaten!Q55/100*G77</f>
        <v>0</v>
      </c>
      <c r="K106" s="2437"/>
      <c r="L106" s="2449">
        <f t="shared" ca="1" si="14"/>
        <v>0</v>
      </c>
      <c r="M106" s="2450"/>
      <c r="N106" s="2451"/>
      <c r="O106" s="143"/>
      <c r="P106" s="2412">
        <f ca="1">ROUND(NPV($J$9,S77:OFFSET(S77,0,$E$83-1)),-1)</f>
        <v>0</v>
      </c>
      <c r="Q106" s="2413"/>
      <c r="R106" s="297"/>
      <c r="S106" s="679"/>
      <c r="T106" s="679"/>
      <c r="U106" s="679"/>
      <c r="V106" s="679"/>
      <c r="AE106" s="133"/>
      <c r="AF106" s="133"/>
      <c r="AG106" s="222"/>
      <c r="AH106" s="222"/>
      <c r="AI106" s="222"/>
      <c r="AJ106" s="176"/>
      <c r="AK106" s="176"/>
      <c r="AL106" s="176"/>
      <c r="AM106" s="176"/>
      <c r="AN106" s="176"/>
      <c r="AO106" s="176"/>
      <c r="AP106" s="176"/>
      <c r="AQ106" s="176"/>
      <c r="AR106" s="176"/>
      <c r="AS106" s="176"/>
      <c r="AT106" s="176"/>
      <c r="AU106" s="176"/>
      <c r="AV106" s="176"/>
      <c r="AW106" s="176"/>
      <c r="AX106" s="176"/>
      <c r="AY106" s="176"/>
      <c r="AZ106" s="176"/>
      <c r="BA106" s="176"/>
      <c r="BB106" s="176"/>
      <c r="BC106" s="176"/>
      <c r="BD106" s="176"/>
      <c r="BE106" s="176"/>
      <c r="BF106" s="176"/>
      <c r="BG106" s="176"/>
      <c r="BH106" s="176"/>
      <c r="BI106" s="176"/>
      <c r="BJ106" s="176"/>
      <c r="BK106" s="176"/>
      <c r="BL106" s="176"/>
      <c r="BM106" s="176"/>
      <c r="BN106" s="176"/>
      <c r="BO106" s="176"/>
      <c r="BP106" s="176"/>
    </row>
    <row r="107" spans="1:69" s="36" customFormat="1" ht="11.25" customHeight="1" x14ac:dyDescent="0.2">
      <c r="A107" s="1031" t="str">
        <f t="shared" si="15"/>
        <v>Kälteverbund XY</v>
      </c>
      <c r="B107" s="1032"/>
      <c r="C107" s="1032"/>
      <c r="D107" s="1033"/>
      <c r="E107" s="2506">
        <f ca="1">IF(G107=0,0,Grunddaten!$AH56/100)</f>
        <v>0</v>
      </c>
      <c r="F107" s="2507"/>
      <c r="G107" s="2508">
        <f t="shared" ref="G107" ca="1" si="17">L78-J107</f>
        <v>0</v>
      </c>
      <c r="H107" s="2508"/>
      <c r="I107" s="2509"/>
      <c r="J107" s="2510">
        <f ca="1">$R$109*Grunddaten!Q56/100*G78</f>
        <v>0</v>
      </c>
      <c r="K107" s="2511"/>
      <c r="L107" s="2431">
        <f t="shared" ca="1" si="14"/>
        <v>0</v>
      </c>
      <c r="M107" s="2432"/>
      <c r="N107" s="2433"/>
      <c r="O107" s="143"/>
      <c r="P107" s="2490">
        <f ca="1">ROUND(NPV($J$9,S78:OFFSET(S78,0,$E$83-1)),-1)</f>
        <v>0</v>
      </c>
      <c r="Q107" s="2491"/>
      <c r="R107" s="297"/>
      <c r="S107" s="582"/>
      <c r="T107" s="582"/>
      <c r="U107" s="582"/>
      <c r="V107" s="582"/>
      <c r="AE107" s="133"/>
      <c r="AF107" s="133"/>
      <c r="AG107" s="222"/>
      <c r="AH107" s="222"/>
      <c r="AI107" s="222"/>
      <c r="AJ107" s="176"/>
      <c r="AK107" s="176"/>
      <c r="AL107" s="176"/>
      <c r="AM107" s="176"/>
      <c r="AN107" s="176"/>
      <c r="AO107" s="176"/>
      <c r="AP107" s="176"/>
      <c r="AQ107" s="176"/>
      <c r="AR107" s="176"/>
      <c r="AS107" s="176"/>
      <c r="AT107" s="176"/>
      <c r="AU107" s="176"/>
      <c r="AV107" s="176"/>
      <c r="AW107" s="176"/>
      <c r="AX107" s="176"/>
      <c r="AY107" s="176"/>
      <c r="AZ107" s="176"/>
      <c r="BA107" s="176"/>
      <c r="BB107" s="176"/>
      <c r="BC107" s="176"/>
      <c r="BD107" s="176"/>
      <c r="BE107" s="176"/>
      <c r="BF107" s="176"/>
      <c r="BG107" s="176"/>
      <c r="BH107" s="176"/>
      <c r="BI107" s="176"/>
      <c r="BJ107" s="176"/>
      <c r="BK107" s="176"/>
      <c r="BL107" s="176"/>
      <c r="BM107" s="176"/>
      <c r="BN107" s="176"/>
      <c r="BO107" s="176"/>
      <c r="BP107" s="176"/>
    </row>
    <row r="108" spans="1:69" s="36" customFormat="1" ht="12" customHeight="1" x14ac:dyDescent="0.2">
      <c r="A108" s="1224" t="s">
        <v>37</v>
      </c>
      <c r="B108" s="1225"/>
      <c r="C108" s="1226"/>
      <c r="D108" s="1226"/>
      <c r="E108" s="1227"/>
      <c r="F108" s="1228"/>
      <c r="G108" s="2337">
        <f ca="1">ROUND(SUM(G91:G107),-1)</f>
        <v>0</v>
      </c>
      <c r="H108" s="2338"/>
      <c r="I108" s="2499"/>
      <c r="J108" s="2575" t="s">
        <v>38</v>
      </c>
      <c r="K108" s="2576"/>
      <c r="L108" s="2337">
        <f ca="1">ROUND(SUM(L91:N107),-1)</f>
        <v>0</v>
      </c>
      <c r="M108" s="2338"/>
      <c r="N108" s="2339"/>
      <c r="O108" s="142"/>
      <c r="S108" s="176"/>
      <c r="AE108" s="133"/>
      <c r="AF108" s="133"/>
      <c r="AG108" s="222"/>
      <c r="AH108" s="222"/>
      <c r="AI108" s="222"/>
      <c r="AJ108" s="176"/>
      <c r="AK108" s="176"/>
      <c r="AL108" s="176"/>
      <c r="AM108" s="176"/>
      <c r="AN108" s="176"/>
      <c r="AO108" s="176"/>
      <c r="AP108" s="176"/>
      <c r="AQ108" s="176"/>
      <c r="AR108" s="176"/>
      <c r="AS108" s="176"/>
      <c r="AT108" s="176"/>
      <c r="AU108" s="176"/>
      <c r="AV108" s="176"/>
      <c r="AW108" s="176"/>
      <c r="AX108" s="176"/>
      <c r="AY108" s="176"/>
      <c r="AZ108" s="176"/>
      <c r="BA108" s="176"/>
      <c r="BB108" s="176"/>
      <c r="BC108" s="176"/>
      <c r="BD108" s="176"/>
      <c r="BE108" s="176"/>
      <c r="BF108" s="176"/>
      <c r="BG108" s="176"/>
      <c r="BH108" s="176"/>
      <c r="BI108" s="176"/>
      <c r="BJ108" s="176"/>
      <c r="BK108" s="176"/>
      <c r="BL108" s="176"/>
      <c r="BM108" s="176"/>
      <c r="BN108" s="176"/>
      <c r="BO108" s="176"/>
      <c r="BP108" s="176"/>
    </row>
    <row r="109" spans="1:69" s="36" customFormat="1" ht="12" customHeight="1" x14ac:dyDescent="0.2">
      <c r="A109" s="1224" t="s">
        <v>648</v>
      </c>
      <c r="B109" s="1225"/>
      <c r="C109" s="2418" t="str">
        <f>IF($R$109=TRUE,"(berücksichtigt)","(nicht berücksichtigt)")</f>
        <v>(nicht berücksichtigt)</v>
      </c>
      <c r="D109" s="2418"/>
      <c r="E109" s="1228"/>
      <c r="F109" s="1228"/>
      <c r="G109" s="1229"/>
      <c r="H109" s="1229"/>
      <c r="I109" s="1230"/>
      <c r="J109" s="2456">
        <f ca="1">$R$109*ROUND(SUM(J91:J107),-1)</f>
        <v>0</v>
      </c>
      <c r="K109" s="2456"/>
      <c r="L109" s="2337">
        <f ca="1">J109</f>
        <v>0</v>
      </c>
      <c r="M109" s="2338"/>
      <c r="N109" s="2339"/>
      <c r="O109" s="142"/>
      <c r="P109" s="294" t="s">
        <v>649</v>
      </c>
      <c r="Q109" s="295"/>
      <c r="R109" s="296" t="b">
        <f>Grunddaten!$AH$10</f>
        <v>0</v>
      </c>
      <c r="S109" s="151" t="s">
        <v>707</v>
      </c>
      <c r="AE109" s="133"/>
      <c r="AF109" s="133"/>
      <c r="AG109" s="222"/>
      <c r="AH109" s="222"/>
      <c r="AI109" s="222"/>
      <c r="AJ109" s="176"/>
      <c r="AK109" s="176"/>
      <c r="AL109" s="176"/>
      <c r="AM109" s="176"/>
      <c r="AN109" s="176"/>
      <c r="AO109" s="176"/>
      <c r="AP109" s="176"/>
      <c r="AQ109" s="176"/>
      <c r="AR109" s="176"/>
      <c r="AS109" s="176"/>
      <c r="AT109" s="176"/>
      <c r="AU109" s="176"/>
      <c r="AV109" s="176"/>
      <c r="AW109" s="176"/>
      <c r="AX109" s="176"/>
      <c r="AY109" s="176"/>
      <c r="AZ109" s="176"/>
      <c r="BA109" s="176"/>
      <c r="BB109" s="176"/>
      <c r="BC109" s="176"/>
      <c r="BD109" s="176"/>
      <c r="BE109" s="176"/>
      <c r="BF109" s="176"/>
      <c r="BG109" s="176"/>
      <c r="BH109" s="176"/>
      <c r="BI109" s="176"/>
      <c r="BJ109" s="176"/>
      <c r="BK109" s="176"/>
      <c r="BL109" s="176"/>
      <c r="BM109" s="176"/>
      <c r="BN109" s="176"/>
      <c r="BO109" s="176"/>
      <c r="BP109" s="176"/>
    </row>
    <row r="110" spans="1:69" s="36" customFormat="1" ht="13.5" customHeight="1" x14ac:dyDescent="0.2">
      <c r="A110" s="1051" t="s">
        <v>36</v>
      </c>
      <c r="B110" s="1201"/>
      <c r="C110" s="1193"/>
      <c r="D110" s="1193"/>
      <c r="E110" s="1231"/>
      <c r="F110" s="1232"/>
      <c r="G110" s="2521">
        <f ca="1">G88+G89+G108+J109</f>
        <v>0</v>
      </c>
      <c r="H110" s="2522"/>
      <c r="I110" s="2522"/>
      <c r="J110" s="2522"/>
      <c r="K110" s="2522"/>
      <c r="L110" s="2337">
        <f ca="1">ROUND(SUM(L88+L89+L108+L109),-1)</f>
        <v>0</v>
      </c>
      <c r="M110" s="2338"/>
      <c r="N110" s="2339"/>
      <c r="O110" s="142"/>
      <c r="P110" s="139"/>
      <c r="R110" s="176"/>
      <c r="S110" s="176"/>
      <c r="AE110" s="133"/>
      <c r="AF110" s="133"/>
      <c r="AG110" s="222"/>
      <c r="AH110" s="222"/>
      <c r="AI110" s="222"/>
      <c r="AJ110" s="176"/>
      <c r="AK110" s="176"/>
      <c r="AL110" s="176"/>
      <c r="AM110" s="176"/>
      <c r="AN110" s="176"/>
      <c r="AO110" s="176"/>
      <c r="AP110" s="176"/>
      <c r="AQ110" s="176"/>
      <c r="AR110" s="176"/>
      <c r="AS110" s="176"/>
      <c r="AT110" s="176"/>
      <c r="AU110" s="176"/>
      <c r="AV110" s="176"/>
      <c r="AW110" s="176"/>
      <c r="AX110" s="176"/>
      <c r="AY110" s="176"/>
      <c r="AZ110" s="176"/>
      <c r="BA110" s="176"/>
      <c r="BB110" s="176"/>
      <c r="BC110" s="176"/>
      <c r="BD110" s="176"/>
      <c r="BE110" s="176"/>
      <c r="BF110" s="176"/>
      <c r="BG110" s="176"/>
      <c r="BH110" s="176"/>
      <c r="BI110" s="176"/>
      <c r="BJ110" s="176"/>
      <c r="BK110" s="176"/>
      <c r="BL110" s="176"/>
      <c r="BM110" s="176"/>
      <c r="BN110" s="176"/>
      <c r="BO110" s="176"/>
      <c r="BP110" s="176"/>
    </row>
    <row r="111" spans="1:69" s="80" customFormat="1" ht="6" customHeight="1" x14ac:dyDescent="0.2">
      <c r="A111" s="41" t="s">
        <v>11</v>
      </c>
      <c r="B111" s="41"/>
      <c r="C111" s="40"/>
      <c r="D111" s="40"/>
      <c r="E111" s="40"/>
      <c r="F111" s="40"/>
      <c r="G111" s="40"/>
      <c r="H111" s="79" t="s">
        <v>11</v>
      </c>
      <c r="I111" s="79"/>
      <c r="K111" s="81" t="s">
        <v>11</v>
      </c>
      <c r="L111" s="81"/>
      <c r="M111" s="81"/>
      <c r="N111" s="81"/>
      <c r="O111" s="81"/>
      <c r="P111" s="35"/>
      <c r="Q111" s="123"/>
      <c r="S111" s="229"/>
      <c r="T111" s="229"/>
      <c r="AD111" s="123"/>
      <c r="AE111" s="123"/>
      <c r="AF111" s="123"/>
      <c r="AG111" s="123"/>
      <c r="AH111" s="230"/>
      <c r="AI111" s="230"/>
      <c r="AJ111" s="230"/>
      <c r="AK111" s="229"/>
      <c r="AL111" s="229"/>
      <c r="AM111" s="229"/>
      <c r="AN111" s="229"/>
      <c r="AO111" s="229"/>
      <c r="AP111" s="229"/>
      <c r="AQ111" s="229"/>
      <c r="AR111" s="229"/>
      <c r="AS111" s="229"/>
      <c r="AT111" s="229"/>
      <c r="AU111" s="229"/>
      <c r="AV111" s="229"/>
      <c r="AW111" s="229"/>
      <c r="AX111" s="229"/>
      <c r="AY111" s="229"/>
      <c r="AZ111" s="229"/>
      <c r="BA111" s="229"/>
      <c r="BB111" s="229"/>
      <c r="BC111" s="229"/>
      <c r="BD111" s="229"/>
      <c r="BE111" s="229"/>
      <c r="BF111" s="229"/>
      <c r="BG111" s="229"/>
      <c r="BH111" s="229"/>
      <c r="BI111" s="229"/>
      <c r="BJ111" s="229"/>
      <c r="BK111" s="229"/>
      <c r="BL111" s="229"/>
      <c r="BM111" s="229"/>
      <c r="BN111" s="229"/>
      <c r="BO111" s="229"/>
      <c r="BP111" s="229"/>
      <c r="BQ111" s="229"/>
    </row>
    <row r="112" spans="1:69" s="33" customFormat="1" ht="17.25" customHeight="1" x14ac:dyDescent="0.25">
      <c r="A112" s="49" t="s">
        <v>416</v>
      </c>
      <c r="B112" s="49"/>
      <c r="E112" s="629" t="str">
        <f>$D$88</f>
        <v>(Förderbeiträge berücksichtigen)</v>
      </c>
      <c r="F112" s="629"/>
      <c r="G112" s="44"/>
      <c r="H112" s="32"/>
      <c r="I112" s="32"/>
      <c r="J112" s="32"/>
      <c r="K112" s="43"/>
      <c r="L112" s="43"/>
      <c r="M112" s="43"/>
      <c r="N112" s="43"/>
      <c r="O112" s="43"/>
      <c r="P112" s="279" t="s">
        <v>412</v>
      </c>
      <c r="S112" s="175"/>
      <c r="T112" s="175"/>
      <c r="U112" s="175"/>
      <c r="V112" s="175"/>
      <c r="W112" s="175"/>
      <c r="X112" s="175"/>
      <c r="AB112" s="179"/>
      <c r="AC112" s="123"/>
      <c r="AD112" s="123"/>
      <c r="AE112" s="123"/>
      <c r="AF112" s="123"/>
      <c r="AG112" s="123"/>
      <c r="AH112" s="174"/>
      <c r="AI112" s="174"/>
      <c r="AJ112" s="174"/>
      <c r="AK112" s="175"/>
      <c r="AL112" s="175"/>
      <c r="AM112" s="175"/>
      <c r="AN112" s="175"/>
      <c r="AO112" s="175"/>
      <c r="AP112" s="175"/>
      <c r="AQ112" s="175"/>
      <c r="AR112" s="175"/>
      <c r="AS112" s="175"/>
      <c r="AT112" s="175"/>
      <c r="AU112" s="175"/>
      <c r="AV112" s="175"/>
      <c r="AW112" s="175"/>
      <c r="AX112" s="175"/>
      <c r="AY112" s="175"/>
      <c r="AZ112" s="175"/>
      <c r="BA112" s="175"/>
      <c r="BB112" s="175"/>
      <c r="BC112" s="175"/>
      <c r="BD112" s="175"/>
      <c r="BE112" s="175"/>
      <c r="BF112" s="175"/>
      <c r="BG112" s="175"/>
      <c r="BH112" s="175"/>
      <c r="BI112" s="175"/>
      <c r="BJ112" s="175"/>
      <c r="BK112" s="175"/>
      <c r="BL112" s="175"/>
      <c r="BM112" s="175"/>
      <c r="BN112" s="175"/>
      <c r="BO112" s="175"/>
      <c r="BP112" s="175"/>
      <c r="BQ112" s="175"/>
    </row>
    <row r="113" spans="1:69" s="33" customFormat="1" ht="2.25" customHeight="1" x14ac:dyDescent="0.2">
      <c r="A113" s="34"/>
      <c r="B113" s="34"/>
      <c r="C113" s="43"/>
      <c r="D113" s="43"/>
      <c r="E113" s="43"/>
      <c r="F113" s="43"/>
      <c r="G113" s="43"/>
      <c r="H113" s="34"/>
      <c r="I113" s="34"/>
      <c r="J113" s="34"/>
      <c r="K113" s="34"/>
      <c r="L113" s="34"/>
      <c r="M113" s="34"/>
      <c r="N113" s="34"/>
      <c r="O113" s="34"/>
      <c r="Q113" s="123"/>
      <c r="S113" s="175"/>
      <c r="T113" s="175"/>
      <c r="U113" s="175"/>
      <c r="V113" s="175"/>
      <c r="W113" s="175"/>
      <c r="X113" s="175"/>
      <c r="AB113" s="123"/>
      <c r="AC113" s="123"/>
      <c r="AD113" s="123"/>
      <c r="AE113" s="123"/>
      <c r="AF113" s="123"/>
      <c r="AG113" s="123"/>
      <c r="AH113" s="174"/>
      <c r="AI113" s="174"/>
      <c r="AJ113" s="174"/>
      <c r="AK113" s="175"/>
      <c r="AL113" s="175"/>
      <c r="AM113" s="175"/>
      <c r="AN113" s="175"/>
      <c r="AO113" s="175"/>
      <c r="AP113" s="175"/>
      <c r="AQ113" s="175"/>
      <c r="AR113" s="175"/>
      <c r="AS113" s="175"/>
      <c r="AT113" s="175"/>
      <c r="AU113" s="175"/>
      <c r="AV113" s="175"/>
      <c r="AW113" s="175"/>
      <c r="AX113" s="175"/>
      <c r="AY113" s="175"/>
      <c r="AZ113" s="175"/>
      <c r="BA113" s="175"/>
      <c r="BB113" s="175"/>
      <c r="BC113" s="175"/>
      <c r="BD113" s="175"/>
      <c r="BE113" s="175"/>
      <c r="BF113" s="175"/>
      <c r="BG113" s="175"/>
      <c r="BH113" s="175"/>
      <c r="BI113" s="175"/>
      <c r="BJ113" s="175"/>
      <c r="BK113" s="175"/>
      <c r="BL113" s="175"/>
      <c r="BM113" s="175"/>
      <c r="BN113" s="175"/>
      <c r="BO113" s="175"/>
      <c r="BP113" s="175"/>
      <c r="BQ113" s="175"/>
    </row>
    <row r="114" spans="1:69" s="33" customFormat="1" ht="12.95" customHeight="1" thickBot="1" x14ac:dyDescent="0.25">
      <c r="A114" s="1049"/>
      <c r="B114" s="1233"/>
      <c r="C114" s="2378" t="s">
        <v>418</v>
      </c>
      <c r="D114" s="2405"/>
      <c r="E114" s="2405"/>
      <c r="F114" s="2379"/>
      <c r="G114" s="2378" t="s">
        <v>581</v>
      </c>
      <c r="H114" s="2405"/>
      <c r="I114" s="2405"/>
      <c r="J114" s="2405"/>
      <c r="K114" s="2405"/>
      <c r="L114" s="2405"/>
      <c r="M114" s="2405"/>
      <c r="N114" s="2379"/>
      <c r="O114" s="489"/>
      <c r="P114" s="214" t="s">
        <v>413</v>
      </c>
      <c r="Q114" s="175"/>
      <c r="R114" s="175"/>
      <c r="S114" s="175"/>
      <c r="T114" s="175"/>
      <c r="U114" s="175"/>
      <c r="V114" s="175"/>
      <c r="W114" s="175"/>
      <c r="AA114" s="123"/>
      <c r="AB114" s="123"/>
      <c r="AC114" s="123"/>
      <c r="AD114" s="123"/>
      <c r="AE114" s="123"/>
      <c r="AF114" s="174"/>
      <c r="AG114" s="174"/>
      <c r="AH114" s="174"/>
      <c r="AI114" s="175"/>
      <c r="AJ114" s="175"/>
      <c r="AK114" s="175"/>
      <c r="AL114" s="175"/>
      <c r="AM114" s="175"/>
      <c r="AN114" s="175"/>
      <c r="AO114" s="175"/>
      <c r="AP114" s="175"/>
      <c r="AQ114" s="175"/>
      <c r="AR114" s="175"/>
      <c r="AS114" s="175"/>
      <c r="AT114" s="175"/>
      <c r="AU114" s="175"/>
      <c r="AV114" s="175"/>
      <c r="AW114" s="175"/>
      <c r="AX114" s="175"/>
      <c r="AY114" s="175"/>
      <c r="AZ114" s="175"/>
      <c r="BA114" s="175"/>
      <c r="BB114" s="175"/>
      <c r="BC114" s="175"/>
      <c r="BD114" s="175"/>
      <c r="BE114" s="175"/>
      <c r="BF114" s="175"/>
      <c r="BG114" s="175"/>
      <c r="BH114" s="175"/>
      <c r="BI114" s="175"/>
      <c r="BJ114" s="175"/>
      <c r="BK114" s="175"/>
      <c r="BL114" s="175"/>
      <c r="BM114" s="175"/>
      <c r="BN114" s="175"/>
      <c r="BO114" s="175"/>
    </row>
    <row r="115" spans="1:69" s="33" customFormat="1" ht="12.95" customHeight="1" thickBot="1" x14ac:dyDescent="0.25">
      <c r="A115" s="1050"/>
      <c r="B115" s="1234"/>
      <c r="C115" s="2512" t="s">
        <v>23</v>
      </c>
      <c r="D115" s="2429"/>
      <c r="E115" s="2429"/>
      <c r="F115" s="2430"/>
      <c r="G115" s="2512" t="s">
        <v>410</v>
      </c>
      <c r="H115" s="2429"/>
      <c r="I115" s="2429"/>
      <c r="J115" s="2459" t="s">
        <v>411</v>
      </c>
      <c r="K115" s="2460"/>
      <c r="L115" s="2429" t="s">
        <v>391</v>
      </c>
      <c r="M115" s="2429"/>
      <c r="N115" s="2430"/>
      <c r="O115" s="489"/>
      <c r="P115" s="278">
        <f>SUM(P116:P118)</f>
        <v>0</v>
      </c>
      <c r="Q115" s="276">
        <v>2</v>
      </c>
      <c r="R115" s="276">
        <v>3</v>
      </c>
      <c r="S115" s="276">
        <v>4</v>
      </c>
      <c r="T115" s="276">
        <v>5</v>
      </c>
      <c r="U115" s="276">
        <v>6</v>
      </c>
      <c r="V115" s="277">
        <v>7</v>
      </c>
      <c r="W115" s="175"/>
      <c r="AA115" s="123"/>
      <c r="AB115" s="123"/>
      <c r="AC115" s="123"/>
      <c r="AD115" s="123"/>
      <c r="AE115" s="123"/>
      <c r="AF115" s="174"/>
      <c r="AG115" s="174"/>
      <c r="AH115" s="174"/>
      <c r="AI115" s="175"/>
      <c r="AJ115" s="175"/>
      <c r="AK115" s="175"/>
      <c r="AL115" s="175"/>
      <c r="AM115" s="175"/>
      <c r="AN115" s="175"/>
      <c r="AO115" s="175"/>
      <c r="AP115" s="175"/>
      <c r="AQ115" s="175"/>
      <c r="AR115" s="175"/>
      <c r="AS115" s="175"/>
      <c r="AT115" s="175"/>
      <c r="AU115" s="175"/>
      <c r="AV115" s="175"/>
      <c r="AW115" s="175"/>
      <c r="AX115" s="175"/>
      <c r="AY115" s="175"/>
      <c r="AZ115" s="175"/>
      <c r="BA115" s="175"/>
      <c r="BB115" s="175"/>
      <c r="BC115" s="175"/>
      <c r="BD115" s="175"/>
      <c r="BE115" s="175"/>
      <c r="BF115" s="175"/>
      <c r="BG115" s="175"/>
      <c r="BH115" s="175"/>
      <c r="BI115" s="175"/>
      <c r="BJ115" s="175"/>
      <c r="BK115" s="175"/>
      <c r="BL115" s="175"/>
      <c r="BM115" s="175"/>
      <c r="BN115" s="175"/>
      <c r="BO115" s="175"/>
    </row>
    <row r="116" spans="1:69" s="33" customFormat="1" ht="12.75" customHeight="1" x14ac:dyDescent="0.2">
      <c r="A116" s="1034" t="s">
        <v>407</v>
      </c>
      <c r="B116" s="1035"/>
      <c r="C116" s="2527">
        <f>SUM(EV_Var1!$M$11:$M$40,EV_Var1!$M$44,EV_Var1!$M$48,EV_Var1!$M$59,EV_Var1!$R$59)</f>
        <v>0</v>
      </c>
      <c r="D116" s="2528"/>
      <c r="E116" s="2528"/>
      <c r="F116" s="2529"/>
      <c r="G116" s="2513" t="str">
        <f>IF(C116=0,"",IF(OR($P$115=0,NOT(ISBLANK(J116))),$L$119,HLOOKUP($P$115,$Q$115:$V$118,2,FALSE)))</f>
        <v/>
      </c>
      <c r="H116" s="2514"/>
      <c r="I116" s="2514"/>
      <c r="J116" s="2461"/>
      <c r="K116" s="2462"/>
      <c r="L116" s="2467" t="str">
        <f>IF(ISBLANK(J116),G116,J116)</f>
        <v/>
      </c>
      <c r="M116" s="2467"/>
      <c r="N116" s="2468"/>
      <c r="O116" s="489"/>
      <c r="P116" s="191">
        <f>IF(ISBLANK(J116),0,2)</f>
        <v>0</v>
      </c>
      <c r="Q116" s="274">
        <f>$J116*$C116/100</f>
        <v>0</v>
      </c>
      <c r="R116" s="267" t="e">
        <f ca="1">($L$110-SUM($J$91:$N$94)*$V$124-$R$117)/($C$116+$C$118)*100</f>
        <v>#DIV/0!</v>
      </c>
      <c r="S116" s="267" t="e">
        <f ca="1">($L$110-SUM($J$91:$N$94)*$V$124-$S$118)/($C$116+$C$117)*100</f>
        <v>#DIV/0!</v>
      </c>
      <c r="T116" s="275">
        <f>$J116*$C116/100</f>
        <v>0</v>
      </c>
      <c r="U116" s="272">
        <f>$J116*$C116/100</f>
        <v>0</v>
      </c>
      <c r="V116" s="268" t="e">
        <f ca="1">($L$110-SUM($J$91:$N$94)*$V$124-SUM($V$117,$V$118))/$C$116*100</f>
        <v>#DIV/0!</v>
      </c>
      <c r="W116" s="266"/>
      <c r="AA116" s="266"/>
      <c r="AB116" s="266"/>
      <c r="AC116" s="266"/>
      <c r="AD116" s="266"/>
      <c r="AE116" s="266"/>
      <c r="AF116" s="123"/>
      <c r="AG116" s="174"/>
      <c r="AH116" s="174"/>
      <c r="AI116" s="174"/>
      <c r="AJ116" s="175"/>
      <c r="AK116" s="175"/>
      <c r="AL116" s="175"/>
      <c r="AM116" s="175"/>
      <c r="AN116" s="175"/>
      <c r="AO116" s="175"/>
      <c r="AP116" s="175"/>
      <c r="AQ116" s="175"/>
      <c r="AR116" s="175"/>
      <c r="AS116" s="175"/>
      <c r="AT116" s="175"/>
      <c r="AU116" s="175"/>
      <c r="AV116" s="175"/>
      <c r="AW116" s="175"/>
      <c r="AX116" s="175"/>
      <c r="AY116" s="175"/>
      <c r="AZ116" s="175"/>
      <c r="BA116" s="175"/>
      <c r="BB116" s="175"/>
      <c r="BC116" s="175"/>
      <c r="BD116" s="175"/>
      <c r="BE116" s="175"/>
      <c r="BF116" s="175"/>
      <c r="BG116" s="175"/>
      <c r="BH116" s="175"/>
      <c r="BI116" s="175"/>
      <c r="BJ116" s="175"/>
      <c r="BK116" s="175"/>
      <c r="BL116" s="175"/>
      <c r="BM116" s="175"/>
      <c r="BN116" s="175"/>
      <c r="BO116" s="175"/>
      <c r="BP116" s="175"/>
    </row>
    <row r="117" spans="1:69" s="33" customFormat="1" ht="12.75" customHeight="1" x14ac:dyDescent="0.2">
      <c r="A117" s="1036" t="s">
        <v>408</v>
      </c>
      <c r="B117" s="1037"/>
      <c r="C117" s="2530">
        <f>SUM(EV_Var1!$M$42,EV_Var1!$M$46,EV_Var1!$M$50,EV_Var1!$M$53,EV_Var1!$M$56)</f>
        <v>0</v>
      </c>
      <c r="D117" s="2531"/>
      <c r="E117" s="2531"/>
      <c r="F117" s="2532"/>
      <c r="G117" s="2515" t="str">
        <f>IF(C117=0,"",IF(OR($P$115=0,NOT(ISBLANK(J117))),$L$119,HLOOKUP($P$115,$Q$115:$V$118,3,FALSE)))</f>
        <v/>
      </c>
      <c r="H117" s="2516"/>
      <c r="I117" s="2516"/>
      <c r="J117" s="2463"/>
      <c r="K117" s="2464"/>
      <c r="L117" s="2469" t="str">
        <f>IF(ISBLANK(J117),G117,J117)</f>
        <v/>
      </c>
      <c r="M117" s="2469"/>
      <c r="N117" s="2470"/>
      <c r="O117" s="489"/>
      <c r="P117" s="204">
        <f>IF(ISBLANK(J117),0,3)</f>
        <v>0</v>
      </c>
      <c r="Q117" s="273" t="e">
        <f ca="1">($L$110-SUM($J$91:$N$94)*$V$124-$Q$116)/($C$117+$C$118)*100</f>
        <v>#DIV/0!</v>
      </c>
      <c r="R117" s="269">
        <f>$J117*$C117/100</f>
        <v>0</v>
      </c>
      <c r="S117" s="267" t="e">
        <f ca="1">S116</f>
        <v>#DIV/0!</v>
      </c>
      <c r="T117" s="271">
        <f>$J117*$C117/100</f>
        <v>0</v>
      </c>
      <c r="U117" s="268" t="e">
        <f ca="1">($L$110-SUM($J$91:$N$94)*$V$124-SUM($U$116,$U$118))/$C$117*100</f>
        <v>#DIV/0!</v>
      </c>
      <c r="V117" s="270">
        <f>$J117*$C117/100</f>
        <v>0</v>
      </c>
      <c r="W117" s="266"/>
      <c r="X117" s="43"/>
      <c r="Y117" s="43"/>
      <c r="Z117" s="43"/>
      <c r="AA117" s="266"/>
      <c r="AB117" s="266"/>
      <c r="AC117" s="266"/>
      <c r="AD117" s="266"/>
      <c r="AE117" s="266"/>
      <c r="AF117" s="123"/>
      <c r="AG117" s="174"/>
      <c r="AH117" s="174"/>
      <c r="AI117" s="174"/>
      <c r="AJ117" s="175"/>
      <c r="AK117" s="175"/>
      <c r="AL117" s="175"/>
      <c r="AM117" s="175"/>
      <c r="AN117" s="175"/>
      <c r="AO117" s="175"/>
      <c r="AP117" s="175"/>
      <c r="AQ117" s="175"/>
      <c r="AR117" s="175"/>
      <c r="AS117" s="175"/>
      <c r="AT117" s="175"/>
      <c r="AU117" s="175"/>
      <c r="AV117" s="175"/>
      <c r="AW117" s="175"/>
      <c r="AX117" s="175"/>
      <c r="AY117" s="175"/>
      <c r="AZ117" s="175"/>
      <c r="BA117" s="175"/>
      <c r="BB117" s="175"/>
      <c r="BC117" s="175"/>
      <c r="BD117" s="175"/>
      <c r="BE117" s="175"/>
      <c r="BF117" s="175"/>
      <c r="BG117" s="175"/>
      <c r="BH117" s="175"/>
      <c r="BI117" s="175"/>
      <c r="BJ117" s="175"/>
      <c r="BK117" s="175"/>
      <c r="BL117" s="175"/>
      <c r="BM117" s="175"/>
      <c r="BN117" s="175"/>
      <c r="BO117" s="175"/>
      <c r="BP117" s="175"/>
    </row>
    <row r="118" spans="1:69" s="33" customFormat="1" ht="12.75" customHeight="1" x14ac:dyDescent="0.2">
      <c r="A118" s="1038" t="s">
        <v>419</v>
      </c>
      <c r="B118" s="1039"/>
      <c r="C118" s="2541">
        <f>$T$129</f>
        <v>0</v>
      </c>
      <c r="D118" s="2542"/>
      <c r="E118" s="2542"/>
      <c r="F118" s="2543"/>
      <c r="G118" s="2517" t="str">
        <f>IF(C118=0,"",IF(OR($P$115=0,NOT(ISBLANK(J118))),$L$119,HLOOKUP($P$115,$Q$115:$V$118,4,FALSE)))</f>
        <v/>
      </c>
      <c r="H118" s="2518"/>
      <c r="I118" s="2518"/>
      <c r="J118" s="2465"/>
      <c r="K118" s="2466"/>
      <c r="L118" s="2427" t="str">
        <f>IF(ISBLANK(J118),G118,J118)</f>
        <v/>
      </c>
      <c r="M118" s="2427"/>
      <c r="N118" s="2428"/>
      <c r="O118" s="489"/>
      <c r="P118" s="204">
        <f>IF(ISBLANK(J118),0,4)</f>
        <v>0</v>
      </c>
      <c r="Q118" s="261" t="e">
        <f ca="1">Q117</f>
        <v>#DIV/0!</v>
      </c>
      <c r="R118" s="262" t="e">
        <f ca="1">R116</f>
        <v>#DIV/0!</v>
      </c>
      <c r="S118" s="269">
        <f>$J118*$C118/100</f>
        <v>0</v>
      </c>
      <c r="T118" s="262" t="e">
        <f ca="1">($L$110-SUM($J$91:$N$94)*$V$124-SUM($T$116,$T$117))/$C$118*100</f>
        <v>#DIV/0!</v>
      </c>
      <c r="U118" s="272">
        <f>$J118*$C118/100</f>
        <v>0</v>
      </c>
      <c r="V118" s="272">
        <f>$J118*$C118/100</f>
        <v>0</v>
      </c>
      <c r="W118" s="266"/>
      <c r="X118" s="2407"/>
      <c r="Y118" s="2407"/>
      <c r="Z118" s="2407"/>
      <c r="AA118" s="266"/>
      <c r="AB118" s="266"/>
      <c r="AC118" s="266"/>
      <c r="AD118" s="266"/>
      <c r="AE118" s="266"/>
      <c r="AF118" s="123"/>
      <c r="AG118" s="174"/>
      <c r="AH118" s="174"/>
      <c r="AI118" s="174"/>
      <c r="AJ118" s="175"/>
      <c r="AK118" s="175"/>
      <c r="AL118" s="175"/>
      <c r="AM118" s="175"/>
      <c r="AN118" s="175"/>
      <c r="AO118" s="175"/>
      <c r="AP118" s="175"/>
      <c r="AQ118" s="175"/>
      <c r="AR118" s="175"/>
      <c r="AS118" s="175"/>
      <c r="AT118" s="175"/>
      <c r="AU118" s="175"/>
      <c r="AV118" s="175"/>
      <c r="AW118" s="175"/>
      <c r="AX118" s="175"/>
      <c r="AY118" s="175"/>
      <c r="AZ118" s="175"/>
      <c r="BA118" s="175"/>
      <c r="BB118" s="175"/>
      <c r="BC118" s="175"/>
      <c r="BD118" s="175"/>
      <c r="BE118" s="175"/>
      <c r="BF118" s="175"/>
      <c r="BG118" s="175"/>
      <c r="BH118" s="175"/>
      <c r="BI118" s="175"/>
      <c r="BJ118" s="175"/>
      <c r="BK118" s="175"/>
      <c r="BL118" s="175"/>
      <c r="BM118" s="175"/>
      <c r="BN118" s="175"/>
      <c r="BO118" s="175"/>
      <c r="BP118" s="175"/>
    </row>
    <row r="119" spans="1:69" s="33" customFormat="1" ht="12.75" customHeight="1" x14ac:dyDescent="0.2">
      <c r="A119" s="1040" t="s">
        <v>427</v>
      </c>
      <c r="B119" s="1041"/>
      <c r="C119" s="2496">
        <f>SUM(C116:F118)</f>
        <v>0</v>
      </c>
      <c r="D119" s="2497"/>
      <c r="E119" s="2497"/>
      <c r="F119" s="2498"/>
      <c r="G119" s="2519">
        <f>$L119</f>
        <v>0</v>
      </c>
      <c r="H119" s="2520"/>
      <c r="I119" s="2520"/>
      <c r="J119" s="2457"/>
      <c r="K119" s="2458"/>
      <c r="L119" s="2454">
        <f>IF(C119=0,0,($L$110-SUM($J$91:$N$94)*$V$124)/$C$119*100)</f>
        <v>0</v>
      </c>
      <c r="M119" s="2454"/>
      <c r="N119" s="2455"/>
      <c r="O119" s="489"/>
      <c r="P119" s="266"/>
      <c r="Q119" s="266"/>
      <c r="R119" s="266"/>
      <c r="S119" s="266"/>
      <c r="T119" s="266"/>
      <c r="U119" s="266"/>
      <c r="V119" s="266"/>
      <c r="W119" s="266"/>
      <c r="X119" s="266"/>
      <c r="Y119" s="266"/>
      <c r="Z119" s="266"/>
      <c r="AA119" s="266"/>
      <c r="AB119" s="266"/>
      <c r="AC119" s="266"/>
      <c r="AD119" s="266"/>
      <c r="AE119" s="123"/>
      <c r="AF119" s="174"/>
      <c r="AG119" s="174"/>
      <c r="AH119" s="174"/>
      <c r="AI119" s="175"/>
      <c r="AJ119" s="175"/>
      <c r="AK119" s="175"/>
      <c r="AL119" s="175"/>
      <c r="AM119" s="175"/>
      <c r="AN119" s="175"/>
      <c r="AO119" s="175"/>
      <c r="AP119" s="175"/>
      <c r="AQ119" s="175"/>
      <c r="AR119" s="175"/>
      <c r="AS119" s="175"/>
      <c r="AT119" s="175"/>
      <c r="AU119" s="175"/>
      <c r="AV119" s="175"/>
      <c r="AW119" s="175"/>
      <c r="AX119" s="175"/>
      <c r="AY119" s="175"/>
      <c r="AZ119" s="175"/>
      <c r="BA119" s="175"/>
      <c r="BB119" s="175"/>
      <c r="BC119" s="175"/>
      <c r="BD119" s="175"/>
      <c r="BE119" s="175"/>
      <c r="BF119" s="175"/>
      <c r="BG119" s="175"/>
      <c r="BH119" s="175"/>
      <c r="BI119" s="175"/>
      <c r="BJ119" s="175"/>
      <c r="BK119" s="175"/>
      <c r="BL119" s="175"/>
      <c r="BM119" s="175"/>
      <c r="BN119" s="175"/>
      <c r="BO119" s="175"/>
    </row>
    <row r="120" spans="1:69" s="33" customFormat="1" ht="12.95" customHeight="1" x14ac:dyDescent="0.2">
      <c r="A120" s="288" t="s">
        <v>424</v>
      </c>
      <c r="B120" s="288"/>
      <c r="P120" s="123"/>
      <c r="R120" s="175"/>
      <c r="S120" s="175"/>
      <c r="T120" s="175"/>
      <c r="U120" s="175"/>
      <c r="V120" s="175"/>
      <c r="W120" s="175"/>
      <c r="X120" s="175"/>
      <c r="Y120" s="175"/>
      <c r="Z120" s="175"/>
      <c r="AA120" s="123"/>
      <c r="AB120" s="123"/>
      <c r="AC120" s="123"/>
      <c r="AD120" s="123"/>
      <c r="AE120" s="123"/>
      <c r="AF120" s="123"/>
      <c r="AG120" s="174"/>
      <c r="AH120" s="174"/>
      <c r="AI120" s="174"/>
      <c r="AJ120" s="175"/>
      <c r="AK120" s="175"/>
      <c r="AL120" s="175"/>
      <c r="AM120" s="175"/>
      <c r="AN120" s="175"/>
      <c r="AO120" s="175"/>
      <c r="AP120" s="175"/>
      <c r="AQ120" s="175"/>
      <c r="AR120" s="175"/>
      <c r="AS120" s="175"/>
      <c r="AT120" s="175"/>
      <c r="AU120" s="175"/>
      <c r="AV120" s="175"/>
      <c r="AW120" s="175"/>
      <c r="AX120" s="175"/>
      <c r="AY120" s="175"/>
      <c r="AZ120" s="175"/>
      <c r="BA120" s="175"/>
      <c r="BB120" s="175"/>
      <c r="BC120" s="175"/>
      <c r="BD120" s="175"/>
      <c r="BE120" s="175"/>
      <c r="BF120" s="175"/>
      <c r="BG120" s="175"/>
      <c r="BH120" s="175"/>
      <c r="BI120" s="175"/>
      <c r="BJ120" s="175"/>
      <c r="BK120" s="175"/>
      <c r="BL120" s="175"/>
      <c r="BM120" s="175"/>
      <c r="BN120" s="175"/>
      <c r="BO120" s="175"/>
      <c r="BP120" s="175"/>
    </row>
    <row r="121" spans="1:69" s="175" customFormat="1" ht="12" customHeight="1" x14ac:dyDescent="0.2">
      <c r="N121" s="364"/>
      <c r="P121" s="292" t="s">
        <v>421</v>
      </c>
      <c r="Q121" s="293"/>
      <c r="R121" s="293"/>
      <c r="S121" s="293"/>
      <c r="T121" s="293"/>
      <c r="U121" s="293"/>
      <c r="V121" s="293"/>
      <c r="AA121" s="123"/>
      <c r="AB121" s="123"/>
      <c r="AC121" s="123"/>
      <c r="AD121" s="123"/>
      <c r="AE121" s="123"/>
      <c r="AF121" s="123"/>
      <c r="AG121" s="174"/>
      <c r="AH121" s="174"/>
      <c r="AI121" s="174"/>
    </row>
    <row r="122" spans="1:69" s="175" customFormat="1" ht="12" customHeight="1" x14ac:dyDescent="0.2">
      <c r="N122" s="364"/>
      <c r="AA122" s="123"/>
      <c r="AB122" s="123"/>
      <c r="AC122" s="123"/>
      <c r="AD122" s="123"/>
      <c r="AE122" s="123"/>
      <c r="AF122" s="123"/>
      <c r="AG122" s="174"/>
      <c r="AH122" s="174"/>
      <c r="AI122" s="174"/>
    </row>
    <row r="123" spans="1:69" s="175" customFormat="1" ht="12" customHeight="1" x14ac:dyDescent="0.2">
      <c r="N123" s="364"/>
      <c r="P123" s="381" t="s">
        <v>458</v>
      </c>
      <c r="Q123" s="382"/>
      <c r="R123" s="382"/>
      <c r="S123" s="382"/>
      <c r="AA123" s="123"/>
      <c r="AB123" s="123"/>
      <c r="AC123" s="123"/>
      <c r="AD123" s="123"/>
      <c r="AE123" s="123"/>
      <c r="AF123" s="123"/>
      <c r="AG123" s="174"/>
      <c r="AH123" s="174"/>
      <c r="AI123" s="174"/>
    </row>
    <row r="124" spans="1:69" s="175" customFormat="1" ht="12" customHeight="1" x14ac:dyDescent="0.2">
      <c r="P124" s="290" t="s">
        <v>459</v>
      </c>
      <c r="T124" s="2486">
        <f>MAX(T126-T140,0)</f>
        <v>0</v>
      </c>
      <c r="U124" s="2486"/>
      <c r="V124" s="361">
        <f>IF(T126=0,0,T124/T126)</f>
        <v>0</v>
      </c>
      <c r="AA124" s="123"/>
      <c r="AB124" s="123"/>
      <c r="AC124" s="123"/>
      <c r="AD124" s="123"/>
      <c r="AE124" s="123"/>
      <c r="AF124" s="123"/>
      <c r="AG124" s="174"/>
      <c r="AH124" s="174"/>
      <c r="AI124" s="174"/>
    </row>
    <row r="125" spans="1:69" s="175" customFormat="1" ht="12" customHeight="1" x14ac:dyDescent="0.2">
      <c r="P125" s="290" t="s">
        <v>460</v>
      </c>
      <c r="T125" s="2489">
        <f>MAX(T126-T124,0)</f>
        <v>0</v>
      </c>
      <c r="U125" s="2489"/>
      <c r="V125" s="385">
        <f>IF(T126=0,0,T125/T126)</f>
        <v>0</v>
      </c>
      <c r="AA125" s="123"/>
      <c r="AB125" s="123"/>
      <c r="AC125" s="123"/>
      <c r="AD125" s="123"/>
      <c r="AE125" s="123"/>
      <c r="AF125" s="123"/>
      <c r="AG125" s="174"/>
      <c r="AH125" s="174"/>
      <c r="AI125" s="174"/>
    </row>
    <row r="126" spans="1:69" s="175" customFormat="1" ht="12" customHeight="1" x14ac:dyDescent="0.2">
      <c r="P126" s="383" t="s">
        <v>468</v>
      </c>
      <c r="Q126" s="384"/>
      <c r="R126" s="384"/>
      <c r="S126" s="384"/>
      <c r="T126" s="2487">
        <f>EV_Var1!$E$68</f>
        <v>0</v>
      </c>
      <c r="U126" s="2487"/>
      <c r="V126" s="386">
        <f>IF(T126=0,0,T126/T126)</f>
        <v>0</v>
      </c>
      <c r="AA126" s="123"/>
      <c r="AB126" s="123"/>
      <c r="AC126" s="123"/>
      <c r="AD126" s="123"/>
      <c r="AE126" s="123"/>
      <c r="AF126" s="123"/>
      <c r="AG126" s="174"/>
      <c r="AH126" s="174"/>
      <c r="AI126" s="174"/>
    </row>
    <row r="127" spans="1:69" s="175" customFormat="1" ht="12" customHeight="1" x14ac:dyDescent="0.2">
      <c r="AA127" s="123"/>
      <c r="AB127" s="123"/>
      <c r="AC127" s="123"/>
      <c r="AD127" s="123"/>
      <c r="AE127" s="123"/>
      <c r="AF127" s="123"/>
      <c r="AG127" s="174"/>
      <c r="AH127" s="174"/>
      <c r="AI127" s="174"/>
    </row>
    <row r="128" spans="1:69" s="175" customFormat="1" ht="12" customHeight="1" x14ac:dyDescent="0.2">
      <c r="P128" s="381" t="s">
        <v>461</v>
      </c>
      <c r="Q128" s="382"/>
      <c r="R128" s="382"/>
      <c r="S128" s="382"/>
      <c r="AA128" s="123"/>
      <c r="AB128" s="123"/>
      <c r="AC128" s="123"/>
      <c r="AD128" s="123"/>
      <c r="AE128" s="123"/>
      <c r="AF128" s="123"/>
      <c r="AG128" s="174"/>
      <c r="AH128" s="174"/>
      <c r="AI128" s="174"/>
    </row>
    <row r="129" spans="1:69" s="175" customFormat="1" ht="12" customHeight="1" x14ac:dyDescent="0.2">
      <c r="P129" s="360" t="s">
        <v>470</v>
      </c>
      <c r="Q129" s="388"/>
      <c r="R129" s="388"/>
      <c r="S129" s="388"/>
      <c r="T129" s="2486">
        <f>IF(T124&gt;0,T132-T131,(T132-T131)-(T140-T125))</f>
        <v>0</v>
      </c>
      <c r="U129" s="2486"/>
      <c r="V129" s="363">
        <f>IF($T$132=0,0,T129/$T$132)</f>
        <v>0</v>
      </c>
      <c r="Z129" s="484"/>
      <c r="AA129" s="484"/>
      <c r="AB129" s="123"/>
      <c r="AC129" s="123"/>
      <c r="AD129" s="123"/>
      <c r="AE129" s="123"/>
      <c r="AF129" s="123"/>
      <c r="AG129" s="174"/>
      <c r="AH129" s="174"/>
      <c r="AI129" s="174"/>
    </row>
    <row r="130" spans="1:69" s="175" customFormat="1" ht="12" customHeight="1" x14ac:dyDescent="0.2">
      <c r="A130" s="489"/>
      <c r="B130" s="630"/>
      <c r="C130" s="489"/>
      <c r="D130" s="489"/>
      <c r="E130" s="489"/>
      <c r="F130" s="489"/>
      <c r="G130" s="489"/>
      <c r="H130" s="489"/>
      <c r="P130" s="290" t="s">
        <v>460</v>
      </c>
      <c r="Q130" s="289"/>
      <c r="R130" s="289"/>
      <c r="S130" s="289"/>
      <c r="T130" s="2493">
        <f>T131-T129</f>
        <v>0</v>
      </c>
      <c r="U130" s="2493"/>
      <c r="V130" s="487">
        <f>IF($T$132=0,0,T130/$T$132)</f>
        <v>0</v>
      </c>
      <c r="Z130" s="484"/>
      <c r="AA130" s="484"/>
      <c r="AB130" s="123"/>
      <c r="AC130" s="123"/>
      <c r="AD130" s="123"/>
      <c r="AE130" s="123"/>
      <c r="AF130" s="123"/>
      <c r="AG130" s="174"/>
      <c r="AH130" s="174"/>
      <c r="AI130" s="174"/>
    </row>
    <row r="131" spans="1:69" s="175" customFormat="1" ht="12" customHeight="1" x14ac:dyDescent="0.2">
      <c r="A131" s="489"/>
      <c r="B131" s="630"/>
      <c r="C131" s="489"/>
      <c r="D131" s="489"/>
      <c r="E131" s="489"/>
      <c r="F131" s="489"/>
      <c r="G131" s="489"/>
      <c r="H131" s="489"/>
      <c r="P131" s="303" t="s">
        <v>462</v>
      </c>
      <c r="Q131" s="382"/>
      <c r="R131" s="382"/>
      <c r="S131" s="382"/>
      <c r="T131" s="2492">
        <f>EV_Var1!$M$74</f>
        <v>0</v>
      </c>
      <c r="U131" s="2492"/>
      <c r="V131" s="362">
        <f>IF($T$132=0,0,T131/$T$132)</f>
        <v>0</v>
      </c>
      <c r="Z131" s="484"/>
      <c r="AA131" s="484"/>
      <c r="AB131" s="123"/>
      <c r="AC131" s="123"/>
      <c r="AD131" s="123"/>
      <c r="AE131" s="123"/>
      <c r="AF131" s="123"/>
      <c r="AG131" s="174"/>
      <c r="AH131" s="174"/>
      <c r="AI131" s="174"/>
    </row>
    <row r="132" spans="1:69" s="175" customFormat="1" ht="12" customHeight="1" x14ac:dyDescent="0.2">
      <c r="A132" s="489"/>
      <c r="B132" s="630"/>
      <c r="C132" s="489"/>
      <c r="D132" s="489"/>
      <c r="E132" s="489"/>
      <c r="F132" s="489"/>
      <c r="G132" s="489"/>
      <c r="H132" s="489"/>
      <c r="P132" s="383" t="s">
        <v>465</v>
      </c>
      <c r="Q132" s="384"/>
      <c r="R132" s="384"/>
      <c r="S132" s="384"/>
      <c r="T132" s="2485">
        <f>EV_Var1!$M$71+EV_Var1!$M$61</f>
        <v>0</v>
      </c>
      <c r="U132" s="2485"/>
      <c r="V132" s="386">
        <f>IF($T$132=0,0,T132/$T$132)</f>
        <v>0</v>
      </c>
      <c r="Z132" s="484"/>
      <c r="AA132" s="484"/>
      <c r="AB132" s="123"/>
      <c r="AC132" s="123"/>
      <c r="AD132" s="123"/>
      <c r="AE132" s="123"/>
      <c r="AF132" s="123"/>
      <c r="AG132" s="174"/>
      <c r="AH132" s="174"/>
      <c r="AI132" s="174"/>
    </row>
    <row r="133" spans="1:69" s="175" customFormat="1" ht="12" customHeight="1" x14ac:dyDescent="0.2">
      <c r="A133" s="489"/>
      <c r="B133" s="630"/>
      <c r="C133" s="489"/>
      <c r="D133" s="489"/>
      <c r="E133" s="489"/>
      <c r="F133" s="489"/>
      <c r="G133" s="489"/>
      <c r="H133" s="489"/>
      <c r="P133" s="290"/>
      <c r="Q133" s="289"/>
      <c r="R133" s="289"/>
      <c r="S133" s="289"/>
      <c r="T133" s="488"/>
      <c r="U133" s="488"/>
      <c r="V133" s="389"/>
      <c r="Z133" s="484"/>
      <c r="AA133" s="484"/>
      <c r="AB133" s="123"/>
      <c r="AC133" s="123"/>
      <c r="AD133" s="123"/>
      <c r="AE133" s="123"/>
      <c r="AF133" s="123"/>
      <c r="AG133" s="174"/>
      <c r="AH133" s="174"/>
      <c r="AI133" s="174"/>
    </row>
    <row r="134" spans="1:69" s="175" customFormat="1" ht="12" customHeight="1" x14ac:dyDescent="0.2">
      <c r="A134" s="489"/>
      <c r="B134" s="630"/>
      <c r="C134" s="489"/>
      <c r="D134" s="489"/>
      <c r="E134" s="489"/>
      <c r="F134" s="489"/>
      <c r="G134" s="489"/>
      <c r="H134" s="489"/>
      <c r="P134" s="303" t="s">
        <v>466</v>
      </c>
      <c r="Q134" s="382"/>
      <c r="R134" s="382"/>
      <c r="S134" s="382"/>
      <c r="T134" s="2488">
        <f>T132-T131</f>
        <v>0</v>
      </c>
      <c r="U134" s="2488">
        <f>T132-T131</f>
        <v>0</v>
      </c>
      <c r="V134" s="362"/>
      <c r="AA134" s="123"/>
      <c r="AB134" s="123"/>
      <c r="AC134" s="123"/>
      <c r="AD134" s="123"/>
      <c r="AE134" s="123"/>
      <c r="AF134" s="123"/>
      <c r="AG134" s="174"/>
      <c r="AH134" s="174"/>
      <c r="AI134" s="174"/>
    </row>
    <row r="135" spans="1:69" s="175" customFormat="1" ht="12" customHeight="1" x14ac:dyDescent="0.2">
      <c r="A135" s="489"/>
      <c r="B135" s="630"/>
      <c r="C135" s="489"/>
      <c r="D135" s="489"/>
      <c r="E135" s="489"/>
      <c r="F135" s="489"/>
      <c r="G135" s="489"/>
      <c r="H135" s="489"/>
      <c r="P135" s="383" t="s">
        <v>467</v>
      </c>
      <c r="Q135" s="384"/>
      <c r="R135" s="384"/>
      <c r="S135" s="384"/>
      <c r="T135" s="2485">
        <f>T132+T126</f>
        <v>0</v>
      </c>
      <c r="U135" s="2485"/>
      <c r="V135" s="386"/>
      <c r="Z135" s="484"/>
      <c r="AA135" s="484"/>
      <c r="AB135" s="123"/>
      <c r="AC135" s="123"/>
      <c r="AD135" s="123"/>
      <c r="AE135" s="123"/>
      <c r="AF135" s="123"/>
      <c r="AG135" s="174"/>
      <c r="AH135" s="174"/>
      <c r="AI135" s="174"/>
    </row>
    <row r="136" spans="1:69" s="175" customFormat="1" ht="12" customHeight="1" x14ac:dyDescent="0.2">
      <c r="A136" s="489"/>
      <c r="B136" s="630"/>
      <c r="C136" s="489"/>
      <c r="D136" s="489"/>
      <c r="E136" s="489"/>
      <c r="F136" s="489"/>
      <c r="G136" s="489"/>
      <c r="H136" s="489"/>
      <c r="P136" s="383" t="s">
        <v>469</v>
      </c>
      <c r="Q136" s="384"/>
      <c r="R136" s="384"/>
      <c r="S136" s="384"/>
      <c r="T136" s="2485">
        <f>T135-T131</f>
        <v>0</v>
      </c>
      <c r="U136" s="2485"/>
      <c r="V136" s="386"/>
      <c r="Z136" s="484"/>
      <c r="AA136" s="484"/>
      <c r="AB136" s="123"/>
      <c r="AC136" s="123"/>
      <c r="AD136" s="123"/>
      <c r="AE136" s="123"/>
      <c r="AF136" s="123"/>
      <c r="AG136" s="174"/>
      <c r="AH136" s="174"/>
      <c r="AI136" s="174"/>
    </row>
    <row r="137" spans="1:69" s="175" customFormat="1" ht="12" customHeight="1" x14ac:dyDescent="0.2">
      <c r="A137" s="489"/>
      <c r="B137" s="630"/>
      <c r="C137" s="489"/>
      <c r="D137" s="489"/>
      <c r="E137" s="489"/>
      <c r="F137" s="489"/>
      <c r="G137" s="489"/>
      <c r="H137" s="489"/>
      <c r="Z137" s="484"/>
      <c r="AA137" s="484"/>
      <c r="AB137" s="123"/>
      <c r="AC137" s="123"/>
      <c r="AD137" s="123"/>
      <c r="AE137" s="123"/>
      <c r="AF137" s="123"/>
      <c r="AG137" s="174"/>
      <c r="AH137" s="174"/>
      <c r="AI137" s="174"/>
    </row>
    <row r="138" spans="1:69" s="175" customFormat="1" ht="12" customHeight="1" x14ac:dyDescent="0.2">
      <c r="P138" s="381" t="s">
        <v>22</v>
      </c>
      <c r="Q138" s="382"/>
      <c r="R138" s="382"/>
      <c r="S138" s="382"/>
      <c r="T138" s="382"/>
      <c r="U138" s="382"/>
      <c r="V138" s="382"/>
      <c r="Z138" s="484"/>
      <c r="AA138" s="484"/>
      <c r="AB138" s="123"/>
      <c r="AC138" s="123"/>
      <c r="AD138" s="123"/>
      <c r="AE138" s="123"/>
      <c r="AF138" s="123"/>
      <c r="AG138" s="174"/>
      <c r="AH138" s="174"/>
      <c r="AI138" s="174"/>
    </row>
    <row r="139" spans="1:69" s="175" customFormat="1" ht="12" customHeight="1" x14ac:dyDescent="0.2">
      <c r="P139" s="290" t="s">
        <v>463</v>
      </c>
      <c r="T139" s="2489">
        <f>EV_Var1!$S$73</f>
        <v>0</v>
      </c>
      <c r="U139" s="2489"/>
      <c r="V139" s="291" t="e">
        <f>T139/$T$141</f>
        <v>#DIV/0!</v>
      </c>
      <c r="Z139" s="484"/>
      <c r="AA139" s="484"/>
      <c r="AB139" s="123"/>
      <c r="AC139" s="123"/>
      <c r="AD139" s="123"/>
      <c r="AE139" s="123"/>
      <c r="AF139" s="123"/>
      <c r="AG139" s="174"/>
      <c r="AH139" s="174"/>
      <c r="AI139" s="174"/>
    </row>
    <row r="140" spans="1:69" s="175" customFormat="1" ht="12" customHeight="1" x14ac:dyDescent="0.2">
      <c r="A140" s="289"/>
      <c r="B140" s="289"/>
      <c r="M140" s="289"/>
      <c r="N140" s="289"/>
      <c r="O140" s="289"/>
      <c r="P140" s="290" t="s">
        <v>464</v>
      </c>
      <c r="T140" s="2489">
        <f>SUM(EV_Var1!$M$63,EV_Var1!$M$66)</f>
        <v>0</v>
      </c>
      <c r="U140" s="2489"/>
      <c r="V140" s="291" t="e">
        <f>T140/$T$141</f>
        <v>#DIV/0!</v>
      </c>
      <c r="Z140" s="484"/>
      <c r="AA140" s="484"/>
      <c r="AB140" s="123"/>
      <c r="AC140" s="123"/>
      <c r="AD140" s="123"/>
      <c r="AE140" s="123"/>
      <c r="AF140" s="123"/>
      <c r="AG140" s="174"/>
      <c r="AH140" s="174"/>
      <c r="AI140" s="174"/>
    </row>
    <row r="141" spans="1:69" s="175" customFormat="1" ht="12" customHeight="1" x14ac:dyDescent="0.2">
      <c r="A141" s="289"/>
      <c r="B141" s="289"/>
      <c r="M141" s="289"/>
      <c r="N141" s="289"/>
      <c r="O141" s="289"/>
      <c r="P141" s="383" t="s">
        <v>420</v>
      </c>
      <c r="Q141" s="387"/>
      <c r="R141" s="387"/>
      <c r="S141" s="387"/>
      <c r="T141" s="2485">
        <f>SUM(T139:U140)</f>
        <v>0</v>
      </c>
      <c r="U141" s="2485"/>
      <c r="V141" s="386" t="e">
        <f>T141/$T$141</f>
        <v>#DIV/0!</v>
      </c>
      <c r="Z141" s="484"/>
      <c r="AA141" s="484"/>
      <c r="AB141" s="123"/>
      <c r="AC141" s="123"/>
      <c r="AD141" s="123"/>
      <c r="AE141" s="123"/>
      <c r="AF141" s="123"/>
      <c r="AG141" s="174"/>
      <c r="AH141" s="174"/>
      <c r="AI141" s="174"/>
    </row>
    <row r="142" spans="1:69" ht="12.75" x14ac:dyDescent="0.2">
      <c r="G142" s="32"/>
      <c r="J142" s="34"/>
      <c r="T142" s="123"/>
      <c r="U142" s="127"/>
      <c r="W142" s="32"/>
      <c r="X142" s="32"/>
      <c r="Y142" s="32"/>
      <c r="Z142" s="489"/>
      <c r="AA142" s="489"/>
      <c r="AG142" s="174"/>
      <c r="AJ142" s="175"/>
      <c r="BQ142" s="32"/>
    </row>
    <row r="143" spans="1:69" ht="12.75" x14ac:dyDescent="0.2">
      <c r="G143" s="32"/>
      <c r="J143" s="34"/>
      <c r="T143" s="123"/>
      <c r="U143" s="127"/>
      <c r="W143" s="32"/>
      <c r="X143" s="32"/>
      <c r="Y143" s="32"/>
      <c r="Z143" s="489"/>
      <c r="AA143" s="489"/>
      <c r="AG143" s="174"/>
      <c r="AJ143" s="175"/>
      <c r="BQ143" s="32"/>
    </row>
    <row r="144" spans="1:69" ht="12.75" x14ac:dyDescent="0.2">
      <c r="G144" s="32"/>
      <c r="J144" s="34"/>
      <c r="P144" s="489"/>
      <c r="Q144" s="489"/>
      <c r="R144" s="489"/>
      <c r="S144" s="489"/>
      <c r="T144" s="489"/>
      <c r="U144" s="489"/>
      <c r="V144" s="489"/>
      <c r="W144" s="489"/>
      <c r="X144" s="32"/>
      <c r="Y144" s="32"/>
      <c r="Z144" s="489"/>
      <c r="AA144" s="489"/>
      <c r="AG144" s="174"/>
      <c r="AJ144" s="175"/>
      <c r="BQ144" s="32"/>
    </row>
    <row r="145" spans="7:69" ht="12.75" x14ac:dyDescent="0.2">
      <c r="G145" s="32"/>
      <c r="J145" s="34"/>
      <c r="P145" s="489"/>
      <c r="Q145" s="489"/>
      <c r="R145" s="489"/>
      <c r="S145" s="489"/>
      <c r="T145" s="489"/>
      <c r="U145" s="489"/>
      <c r="V145" s="489"/>
      <c r="W145" s="489"/>
      <c r="X145" s="32"/>
      <c r="Y145" s="32"/>
      <c r="Z145" s="489"/>
      <c r="AA145" s="489"/>
      <c r="AG145" s="174"/>
      <c r="AJ145" s="175"/>
      <c r="BQ145" s="32"/>
    </row>
    <row r="146" spans="7:69" ht="12.75" x14ac:dyDescent="0.2">
      <c r="G146" s="32"/>
      <c r="J146" s="34"/>
      <c r="P146" s="489"/>
      <c r="Q146" s="489"/>
      <c r="R146" s="489"/>
      <c r="S146" s="489"/>
      <c r="T146" s="489"/>
      <c r="U146" s="489"/>
      <c r="V146" s="489"/>
      <c r="W146" s="489"/>
      <c r="X146" s="32"/>
      <c r="Y146" s="32"/>
      <c r="Z146" s="489"/>
      <c r="AA146" s="489"/>
      <c r="AG146" s="174"/>
      <c r="AJ146" s="175"/>
      <c r="BQ146" s="32"/>
    </row>
    <row r="147" spans="7:69" ht="12.75" x14ac:dyDescent="0.2">
      <c r="G147" s="32"/>
      <c r="J147" s="34"/>
      <c r="P147" s="489"/>
      <c r="Q147" s="489"/>
      <c r="R147" s="489"/>
      <c r="S147" s="489"/>
      <c r="T147" s="489"/>
      <c r="U147" s="489"/>
      <c r="V147" s="489"/>
      <c r="W147" s="489"/>
      <c r="X147" s="32"/>
      <c r="Y147" s="32"/>
      <c r="Z147" s="489"/>
      <c r="AA147" s="489"/>
      <c r="AG147" s="174"/>
      <c r="AJ147" s="175"/>
      <c r="BQ147" s="32"/>
    </row>
    <row r="148" spans="7:69" ht="12.75" x14ac:dyDescent="0.2">
      <c r="G148" s="32"/>
      <c r="J148" s="34"/>
      <c r="P148" s="489"/>
      <c r="Q148" s="489"/>
      <c r="R148" s="489"/>
      <c r="S148" s="489"/>
      <c r="T148" s="489"/>
      <c r="U148" s="489"/>
      <c r="V148" s="489"/>
      <c r="W148" s="489"/>
      <c r="X148" s="32"/>
      <c r="Y148" s="32"/>
      <c r="Z148" s="489"/>
      <c r="AA148" s="489"/>
      <c r="AG148" s="174"/>
      <c r="AJ148" s="175"/>
      <c r="BQ148" s="32"/>
    </row>
    <row r="149" spans="7:69" ht="12.75" x14ac:dyDescent="0.2">
      <c r="P149" s="489"/>
      <c r="Q149" s="489"/>
      <c r="R149" s="489"/>
      <c r="S149" s="489"/>
      <c r="T149" s="489"/>
      <c r="U149" s="489"/>
      <c r="V149" s="489"/>
      <c r="W149" s="489"/>
      <c r="X149" s="32"/>
      <c r="Y149" s="32"/>
      <c r="Z149" s="489"/>
      <c r="AA149" s="489"/>
      <c r="AB149" s="489"/>
    </row>
    <row r="150" spans="7:69" ht="12.75" x14ac:dyDescent="0.2">
      <c r="P150" s="489"/>
      <c r="Q150" s="489"/>
      <c r="R150" s="489"/>
      <c r="S150" s="489"/>
      <c r="T150" s="489"/>
      <c r="U150" s="489"/>
      <c r="V150" s="489"/>
      <c r="W150" s="489"/>
      <c r="X150" s="32"/>
      <c r="Y150" s="32"/>
      <c r="Z150" s="489"/>
      <c r="AA150" s="489"/>
      <c r="AB150" s="489"/>
    </row>
    <row r="151" spans="7:69" ht="12.75" x14ac:dyDescent="0.2">
      <c r="P151" s="489"/>
      <c r="Q151" s="489"/>
      <c r="R151" s="489"/>
      <c r="S151" s="489"/>
      <c r="T151" s="489"/>
      <c r="U151" s="489"/>
      <c r="V151" s="489"/>
      <c r="W151" s="489"/>
      <c r="X151" s="32"/>
      <c r="Y151" s="32"/>
      <c r="Z151" s="489"/>
      <c r="AA151" s="489"/>
      <c r="AB151" s="489"/>
    </row>
    <row r="152" spans="7:69" ht="12.75" x14ac:dyDescent="0.2">
      <c r="P152" s="489"/>
      <c r="Q152" s="489"/>
      <c r="R152" s="489"/>
      <c r="S152" s="489"/>
      <c r="T152" s="489"/>
      <c r="U152" s="489"/>
      <c r="V152" s="489"/>
      <c r="W152" s="489"/>
      <c r="X152" s="32"/>
      <c r="Y152" s="32"/>
      <c r="Z152" s="489"/>
      <c r="AA152" s="489"/>
      <c r="AB152" s="489"/>
    </row>
    <row r="153" spans="7:69" ht="12.75" x14ac:dyDescent="0.2">
      <c r="P153" s="489"/>
      <c r="Q153" s="489"/>
      <c r="R153" s="489"/>
      <c r="S153" s="489"/>
      <c r="T153" s="489"/>
      <c r="U153" s="489"/>
      <c r="V153" s="489"/>
      <c r="W153" s="489"/>
      <c r="X153" s="32"/>
      <c r="Y153" s="32"/>
      <c r="Z153" s="489"/>
      <c r="AA153" s="489"/>
      <c r="AB153" s="489"/>
    </row>
    <row r="154" spans="7:69" ht="12.75" x14ac:dyDescent="0.2">
      <c r="P154" s="489"/>
      <c r="Q154" s="489"/>
      <c r="R154" s="489"/>
      <c r="S154" s="489"/>
      <c r="T154" s="489"/>
      <c r="U154" s="489"/>
      <c r="V154" s="489"/>
      <c r="W154" s="489"/>
      <c r="X154" s="32"/>
      <c r="Y154" s="32"/>
      <c r="Z154" s="489"/>
      <c r="AA154" s="489"/>
      <c r="AB154" s="489"/>
    </row>
    <row r="155" spans="7:69" ht="12.75" x14ac:dyDescent="0.2">
      <c r="P155" s="489"/>
      <c r="Q155" s="489"/>
      <c r="R155" s="489"/>
      <c r="S155" s="489"/>
      <c r="T155" s="489"/>
      <c r="U155" s="489"/>
      <c r="V155" s="489"/>
      <c r="W155" s="489"/>
      <c r="X155" s="32"/>
      <c r="Y155" s="32"/>
      <c r="Z155" s="489"/>
      <c r="AA155" s="489"/>
      <c r="AB155" s="489"/>
    </row>
    <row r="156" spans="7:69" ht="12.75" x14ac:dyDescent="0.2">
      <c r="P156" s="489"/>
      <c r="Q156" s="489"/>
      <c r="R156" s="489"/>
      <c r="S156" s="489"/>
      <c r="T156" s="489"/>
      <c r="U156" s="489"/>
      <c r="V156" s="489"/>
      <c r="W156" s="489"/>
      <c r="X156" s="489"/>
      <c r="Y156" s="489"/>
      <c r="Z156" s="489"/>
      <c r="AA156" s="489"/>
      <c r="AB156" s="489"/>
    </row>
    <row r="157" spans="7:69" ht="12.75" x14ac:dyDescent="0.2">
      <c r="P157" s="489"/>
      <c r="Q157" s="489"/>
      <c r="R157" s="489"/>
      <c r="S157" s="489"/>
      <c r="T157" s="489"/>
      <c r="U157" s="489"/>
      <c r="V157" s="489"/>
      <c r="W157" s="489"/>
      <c r="X157" s="489"/>
      <c r="Y157" s="489"/>
      <c r="Z157" s="489"/>
      <c r="AA157" s="489"/>
      <c r="AB157" s="489"/>
    </row>
    <row r="158" spans="7:69" ht="12.75" x14ac:dyDescent="0.2">
      <c r="P158" s="489"/>
      <c r="Q158" s="489"/>
      <c r="R158" s="489"/>
      <c r="S158" s="489"/>
      <c r="T158" s="489"/>
      <c r="U158" s="489"/>
      <c r="V158" s="489"/>
      <c r="W158" s="489"/>
      <c r="X158" s="489"/>
      <c r="Y158" s="489"/>
      <c r="Z158" s="489"/>
      <c r="AA158" s="489"/>
      <c r="AB158" s="489"/>
    </row>
    <row r="159" spans="7:69" ht="12.75" x14ac:dyDescent="0.2">
      <c r="P159" s="489"/>
      <c r="Q159" s="489"/>
      <c r="R159" s="489"/>
      <c r="S159" s="489"/>
      <c r="T159" s="489"/>
      <c r="U159" s="489"/>
      <c r="V159" s="489"/>
      <c r="W159" s="489"/>
      <c r="X159" s="489"/>
      <c r="Y159" s="489"/>
      <c r="Z159" s="489"/>
      <c r="AA159" s="489"/>
      <c r="AB159" s="489"/>
    </row>
    <row r="160" spans="7:69" ht="12.75" x14ac:dyDescent="0.2">
      <c r="P160" s="489"/>
      <c r="Q160" s="489"/>
      <c r="R160" s="489"/>
      <c r="S160" s="489"/>
      <c r="T160" s="489"/>
      <c r="U160" s="489"/>
      <c r="V160" s="489"/>
      <c r="W160" s="489"/>
      <c r="X160" s="489"/>
      <c r="Y160" s="489"/>
      <c r="Z160" s="489"/>
      <c r="AA160" s="489"/>
      <c r="AB160" s="489"/>
    </row>
    <row r="161" spans="16:28" ht="12.75" x14ac:dyDescent="0.2">
      <c r="P161" s="489"/>
      <c r="Q161" s="489"/>
      <c r="R161" s="489"/>
      <c r="S161" s="489"/>
      <c r="T161" s="489"/>
      <c r="U161" s="489"/>
      <c r="V161" s="489"/>
      <c r="W161" s="489"/>
      <c r="X161" s="489"/>
      <c r="Y161" s="489"/>
      <c r="Z161" s="489"/>
      <c r="AA161" s="489"/>
      <c r="AB161" s="489"/>
    </row>
    <row r="162" spans="16:28" ht="12.75" x14ac:dyDescent="0.2">
      <c r="P162" s="489"/>
      <c r="Q162" s="489"/>
      <c r="R162" s="489"/>
      <c r="S162" s="489"/>
      <c r="T162" s="489"/>
      <c r="U162" s="489"/>
      <c r="V162" s="489"/>
      <c r="W162" s="489"/>
      <c r="X162" s="489"/>
      <c r="Y162" s="489"/>
      <c r="Z162" s="489"/>
      <c r="AA162" s="489"/>
      <c r="AB162" s="489"/>
    </row>
    <row r="163" spans="16:28" ht="12.75" x14ac:dyDescent="0.2">
      <c r="P163" s="489"/>
      <c r="Q163" s="489"/>
      <c r="R163" s="489"/>
      <c r="S163" s="489"/>
      <c r="T163" s="489"/>
      <c r="U163" s="489"/>
      <c r="V163" s="489"/>
      <c r="W163" s="489"/>
      <c r="X163" s="489"/>
      <c r="Y163" s="489"/>
      <c r="Z163" s="489"/>
      <c r="AA163" s="489"/>
      <c r="AB163" s="489"/>
    </row>
    <row r="164" spans="16:28" ht="12.75" x14ac:dyDescent="0.2">
      <c r="P164" s="489"/>
      <c r="Q164" s="489"/>
      <c r="R164" s="489"/>
      <c r="S164" s="489"/>
      <c r="T164" s="489"/>
      <c r="U164" s="489"/>
      <c r="V164" s="489"/>
      <c r="W164" s="489"/>
    </row>
    <row r="165" spans="16:28" ht="12.75" x14ac:dyDescent="0.2">
      <c r="P165" s="489"/>
      <c r="Q165" s="489"/>
      <c r="R165" s="489"/>
      <c r="S165" s="489"/>
      <c r="T165" s="489"/>
      <c r="U165" s="489"/>
      <c r="V165" s="489"/>
      <c r="W165" s="489"/>
    </row>
    <row r="166" spans="16:28" ht="12.75" x14ac:dyDescent="0.2">
      <c r="P166" s="489"/>
      <c r="Q166" s="489"/>
      <c r="R166" s="489"/>
      <c r="S166" s="489"/>
      <c r="T166" s="489"/>
      <c r="U166" s="489"/>
      <c r="V166" s="489"/>
      <c r="W166" s="489"/>
    </row>
    <row r="167" spans="16:28" ht="12.95" customHeight="1" x14ac:dyDescent="0.2">
      <c r="P167" s="489"/>
      <c r="Q167" s="489"/>
      <c r="R167" s="489"/>
      <c r="S167" s="489"/>
      <c r="T167" s="489"/>
      <c r="U167" s="489"/>
      <c r="V167" s="489"/>
      <c r="W167" s="489"/>
    </row>
  </sheetData>
  <sheetProtection algorithmName="SHA-512" hashValue="SaE8jCaZQcBuyVObyTR/rT8Rzycc+3HBsw/6SUa4WxI7ON25AOzAs5eW5MXcJ2IA6cUOPOLFGyk94En2kNXqpw==" saltValue="SQbvz8Ewd52oWXI4f0Cp+A==" spinCount="100000" sheet="1" objects="1" scenarios="1" selectLockedCells="1"/>
  <mergeCells count="372">
    <mergeCell ref="C114:F114"/>
    <mergeCell ref="C115:F115"/>
    <mergeCell ref="G44:N44"/>
    <mergeCell ref="G45:N45"/>
    <mergeCell ref="G46:N46"/>
    <mergeCell ref="G73:I73"/>
    <mergeCell ref="E75:F75"/>
    <mergeCell ref="J76:K76"/>
    <mergeCell ref="G62:I62"/>
    <mergeCell ref="E74:F74"/>
    <mergeCell ref="J108:K108"/>
    <mergeCell ref="G66:I66"/>
    <mergeCell ref="G67:I67"/>
    <mergeCell ref="G70:I70"/>
    <mergeCell ref="E64:F64"/>
    <mergeCell ref="E65:F65"/>
    <mergeCell ref="G72:I72"/>
    <mergeCell ref="J100:K100"/>
    <mergeCell ref="J73:K73"/>
    <mergeCell ref="J74:K74"/>
    <mergeCell ref="B44:D44"/>
    <mergeCell ref="B45:D45"/>
    <mergeCell ref="B46:D46"/>
    <mergeCell ref="E44:F44"/>
    <mergeCell ref="E45:F45"/>
    <mergeCell ref="E46:F46"/>
    <mergeCell ref="E47:F47"/>
    <mergeCell ref="E43:F43"/>
    <mergeCell ref="E67:F67"/>
    <mergeCell ref="B43:D43"/>
    <mergeCell ref="H51:I52"/>
    <mergeCell ref="H53:I53"/>
    <mergeCell ref="E60:F60"/>
    <mergeCell ref="G60:I60"/>
    <mergeCell ref="G64:I64"/>
    <mergeCell ref="G65:I65"/>
    <mergeCell ref="C62:D62"/>
    <mergeCell ref="C63:D63"/>
    <mergeCell ref="C67:D67"/>
    <mergeCell ref="J60:K60"/>
    <mergeCell ref="L60:N60"/>
    <mergeCell ref="G51:G52"/>
    <mergeCell ref="H54:I54"/>
    <mergeCell ref="K51:N52"/>
    <mergeCell ref="L53:M53"/>
    <mergeCell ref="L54:M54"/>
    <mergeCell ref="E51:F52"/>
    <mergeCell ref="J51:J52"/>
    <mergeCell ref="F55:G55"/>
    <mergeCell ref="C55:E55"/>
    <mergeCell ref="E58:F59"/>
    <mergeCell ref="E39:F39"/>
    <mergeCell ref="H11:I12"/>
    <mergeCell ref="H13:I13"/>
    <mergeCell ref="L14:M14"/>
    <mergeCell ref="E20:F20"/>
    <mergeCell ref="E26:F26"/>
    <mergeCell ref="E21:F21"/>
    <mergeCell ref="E24:F24"/>
    <mergeCell ref="H26:I26"/>
    <mergeCell ref="H27:I27"/>
    <mergeCell ref="E25:F25"/>
    <mergeCell ref="H35:I35"/>
    <mergeCell ref="E27:F27"/>
    <mergeCell ref="E31:F31"/>
    <mergeCell ref="E32:F32"/>
    <mergeCell ref="E33:F33"/>
    <mergeCell ref="E36:F36"/>
    <mergeCell ref="J11:J12"/>
    <mergeCell ref="E37:F37"/>
    <mergeCell ref="E38:F38"/>
    <mergeCell ref="E28:F28"/>
    <mergeCell ref="E29:F29"/>
    <mergeCell ref="E30:F30"/>
    <mergeCell ref="H36:I36"/>
    <mergeCell ref="C118:F118"/>
    <mergeCell ref="J66:K66"/>
    <mergeCell ref="J101:K101"/>
    <mergeCell ref="J61:K61"/>
    <mergeCell ref="J62:K62"/>
    <mergeCell ref="J63:K63"/>
    <mergeCell ref="L65:N65"/>
    <mergeCell ref="C68:D68"/>
    <mergeCell ref="E68:F68"/>
    <mergeCell ref="G68:I68"/>
    <mergeCell ref="J68:K68"/>
    <mergeCell ref="L68:N68"/>
    <mergeCell ref="C69:D69"/>
    <mergeCell ref="E69:F69"/>
    <mergeCell ref="G69:I69"/>
    <mergeCell ref="J69:K69"/>
    <mergeCell ref="L64:N64"/>
    <mergeCell ref="L61:N61"/>
    <mergeCell ref="L62:N62"/>
    <mergeCell ref="L63:N63"/>
    <mergeCell ref="E83:F83"/>
    <mergeCell ref="L76:N76"/>
    <mergeCell ref="J75:K75"/>
    <mergeCell ref="J70:K70"/>
    <mergeCell ref="P9:S9"/>
    <mergeCell ref="L15:M15"/>
    <mergeCell ref="L27:M27"/>
    <mergeCell ref="L31:M31"/>
    <mergeCell ref="C116:F116"/>
    <mergeCell ref="C117:F117"/>
    <mergeCell ref="E19:F19"/>
    <mergeCell ref="E22:F22"/>
    <mergeCell ref="Q11:S13"/>
    <mergeCell ref="P14:S14"/>
    <mergeCell ref="P26:P27"/>
    <mergeCell ref="Q26:S27"/>
    <mergeCell ref="L58:N59"/>
    <mergeCell ref="L16:M16"/>
    <mergeCell ref="L17:M17"/>
    <mergeCell ref="L18:M18"/>
    <mergeCell ref="L32:M32"/>
    <mergeCell ref="L33:M33"/>
    <mergeCell ref="L34:M34"/>
    <mergeCell ref="L39:M39"/>
    <mergeCell ref="K11:N12"/>
    <mergeCell ref="C56:D56"/>
    <mergeCell ref="E54:F54"/>
    <mergeCell ref="E92:F92"/>
    <mergeCell ref="G86:I86"/>
    <mergeCell ref="E77:F77"/>
    <mergeCell ref="G77:I77"/>
    <mergeCell ref="E72:F72"/>
    <mergeCell ref="E73:F73"/>
    <mergeCell ref="E70:F70"/>
    <mergeCell ref="E71:F71"/>
    <mergeCell ref="C64:D64"/>
    <mergeCell ref="C65:D65"/>
    <mergeCell ref="E66:F66"/>
    <mergeCell ref="E76:F76"/>
    <mergeCell ref="C119:F119"/>
    <mergeCell ref="G108:I108"/>
    <mergeCell ref="G105:I105"/>
    <mergeCell ref="J91:K91"/>
    <mergeCell ref="J92:K92"/>
    <mergeCell ref="J89:K89"/>
    <mergeCell ref="J90:K90"/>
    <mergeCell ref="E104:F104"/>
    <mergeCell ref="J96:K96"/>
    <mergeCell ref="J99:K99"/>
    <mergeCell ref="G103:I103"/>
    <mergeCell ref="G104:I104"/>
    <mergeCell ref="J103:K103"/>
    <mergeCell ref="E107:F107"/>
    <mergeCell ref="G107:I107"/>
    <mergeCell ref="J107:K107"/>
    <mergeCell ref="G115:I115"/>
    <mergeCell ref="G116:I116"/>
    <mergeCell ref="G117:I117"/>
    <mergeCell ref="G118:I118"/>
    <mergeCell ref="G119:I119"/>
    <mergeCell ref="J104:K104"/>
    <mergeCell ref="G110:K110"/>
    <mergeCell ref="J105:K105"/>
    <mergeCell ref="G88:I88"/>
    <mergeCell ref="G89:I89"/>
    <mergeCell ref="G90:I90"/>
    <mergeCell ref="G91:I91"/>
    <mergeCell ref="J95:K95"/>
    <mergeCell ref="E93:F93"/>
    <mergeCell ref="E94:F94"/>
    <mergeCell ref="E87:F87"/>
    <mergeCell ref="E99:F99"/>
    <mergeCell ref="E96:F96"/>
    <mergeCell ref="T141:U141"/>
    <mergeCell ref="T129:U129"/>
    <mergeCell ref="T126:U126"/>
    <mergeCell ref="T135:U135"/>
    <mergeCell ref="T134:U134"/>
    <mergeCell ref="T136:U136"/>
    <mergeCell ref="P95:Q95"/>
    <mergeCell ref="P96:Q96"/>
    <mergeCell ref="P99:Q99"/>
    <mergeCell ref="P100:Q100"/>
    <mergeCell ref="P101:Q101"/>
    <mergeCell ref="P102:Q102"/>
    <mergeCell ref="P103:Q103"/>
    <mergeCell ref="P104:Q104"/>
    <mergeCell ref="T124:U124"/>
    <mergeCell ref="T132:U132"/>
    <mergeCell ref="T140:U140"/>
    <mergeCell ref="T139:U139"/>
    <mergeCell ref="P97:Q97"/>
    <mergeCell ref="P98:Q98"/>
    <mergeCell ref="P107:Q107"/>
    <mergeCell ref="T131:U131"/>
    <mergeCell ref="T130:U130"/>
    <mergeCell ref="T125:U125"/>
    <mergeCell ref="P86:Q86"/>
    <mergeCell ref="P88:Q88"/>
    <mergeCell ref="P89:Q89"/>
    <mergeCell ref="P90:Q90"/>
    <mergeCell ref="P91:Q91"/>
    <mergeCell ref="P92:Q92"/>
    <mergeCell ref="L95:N95"/>
    <mergeCell ref="L96:N96"/>
    <mergeCell ref="L99:N99"/>
    <mergeCell ref="P87:Q87"/>
    <mergeCell ref="L87:N87"/>
    <mergeCell ref="P106:Q106"/>
    <mergeCell ref="L105:N105"/>
    <mergeCell ref="L94:N94"/>
    <mergeCell ref="L97:N97"/>
    <mergeCell ref="P94:Q94"/>
    <mergeCell ref="L104:N104"/>
    <mergeCell ref="L101:N101"/>
    <mergeCell ref="L119:N119"/>
    <mergeCell ref="G114:N114"/>
    <mergeCell ref="J109:K109"/>
    <mergeCell ref="J119:K119"/>
    <mergeCell ref="J115:K115"/>
    <mergeCell ref="J116:K116"/>
    <mergeCell ref="J117:K117"/>
    <mergeCell ref="J118:K118"/>
    <mergeCell ref="L116:N116"/>
    <mergeCell ref="L117:N117"/>
    <mergeCell ref="J106:K106"/>
    <mergeCell ref="L106:N106"/>
    <mergeCell ref="L103:N103"/>
    <mergeCell ref="L98:N98"/>
    <mergeCell ref="L100:N100"/>
    <mergeCell ref="L102:N102"/>
    <mergeCell ref="J77:K77"/>
    <mergeCell ref="L77:N77"/>
    <mergeCell ref="E90:F90"/>
    <mergeCell ref="L118:N118"/>
    <mergeCell ref="L108:N108"/>
    <mergeCell ref="L109:N109"/>
    <mergeCell ref="L110:N110"/>
    <mergeCell ref="L115:N115"/>
    <mergeCell ref="L107:N107"/>
    <mergeCell ref="J98:K98"/>
    <mergeCell ref="J102:K102"/>
    <mergeCell ref="G97:I97"/>
    <mergeCell ref="J97:K97"/>
    <mergeCell ref="J88:K88"/>
    <mergeCell ref="G78:I78"/>
    <mergeCell ref="E85:F85"/>
    <mergeCell ref="E103:F103"/>
    <mergeCell ref="E97:F97"/>
    <mergeCell ref="J93:K93"/>
    <mergeCell ref="J94:K94"/>
    <mergeCell ref="G92:I92"/>
    <mergeCell ref="G93:I93"/>
    <mergeCell ref="G94:I94"/>
    <mergeCell ref="E91:F91"/>
    <mergeCell ref="J72:K72"/>
    <mergeCell ref="C66:D66"/>
    <mergeCell ref="J71:K71"/>
    <mergeCell ref="G74:I74"/>
    <mergeCell ref="G75:I75"/>
    <mergeCell ref="G76:I76"/>
    <mergeCell ref="G71:I71"/>
    <mergeCell ref="L67:N67"/>
    <mergeCell ref="L70:N70"/>
    <mergeCell ref="L71:N71"/>
    <mergeCell ref="J67:K67"/>
    <mergeCell ref="L72:N72"/>
    <mergeCell ref="L73:N73"/>
    <mergeCell ref="L74:N74"/>
    <mergeCell ref="L75:N75"/>
    <mergeCell ref="L69:N69"/>
    <mergeCell ref="L66:N66"/>
    <mergeCell ref="X118:Z118"/>
    <mergeCell ref="D79:F79"/>
    <mergeCell ref="M83:N83"/>
    <mergeCell ref="M81:N81"/>
    <mergeCell ref="H79:I79"/>
    <mergeCell ref="J79:K79"/>
    <mergeCell ref="E100:F100"/>
    <mergeCell ref="P105:Q105"/>
    <mergeCell ref="E101:F101"/>
    <mergeCell ref="E102:F102"/>
    <mergeCell ref="G96:I96"/>
    <mergeCell ref="G99:I99"/>
    <mergeCell ref="G100:I100"/>
    <mergeCell ref="G101:I101"/>
    <mergeCell ref="E86:F86"/>
    <mergeCell ref="E88:F88"/>
    <mergeCell ref="E89:F89"/>
    <mergeCell ref="P93:Q93"/>
    <mergeCell ref="C109:D109"/>
    <mergeCell ref="G85:K85"/>
    <mergeCell ref="E106:F106"/>
    <mergeCell ref="G106:I106"/>
    <mergeCell ref="G95:I95"/>
    <mergeCell ref="E98:F98"/>
    <mergeCell ref="J64:K64"/>
    <mergeCell ref="J65:K65"/>
    <mergeCell ref="G63:I63"/>
    <mergeCell ref="J58:K59"/>
    <mergeCell ref="E16:F16"/>
    <mergeCell ref="E17:F17"/>
    <mergeCell ref="E18:F18"/>
    <mergeCell ref="E61:F61"/>
    <mergeCell ref="G87:I87"/>
    <mergeCell ref="E62:F62"/>
    <mergeCell ref="E63:F63"/>
    <mergeCell ref="G61:I61"/>
    <mergeCell ref="G58:I59"/>
    <mergeCell ref="E53:F53"/>
    <mergeCell ref="E23:F23"/>
    <mergeCell ref="E34:F34"/>
    <mergeCell ref="E35:F35"/>
    <mergeCell ref="H29:I29"/>
    <mergeCell ref="H28:I28"/>
    <mergeCell ref="H30:I30"/>
    <mergeCell ref="H31:I31"/>
    <mergeCell ref="H32:I32"/>
    <mergeCell ref="H33:I33"/>
    <mergeCell ref="H34:I34"/>
    <mergeCell ref="B11:D11"/>
    <mergeCell ref="A14:D14"/>
    <mergeCell ref="H14:I14"/>
    <mergeCell ref="H15:I15"/>
    <mergeCell ref="H16:I16"/>
    <mergeCell ref="G11:G12"/>
    <mergeCell ref="H17:I17"/>
    <mergeCell ref="H18:I18"/>
    <mergeCell ref="E11:F12"/>
    <mergeCell ref="E13:F13"/>
    <mergeCell ref="E14:F14"/>
    <mergeCell ref="E15:F15"/>
    <mergeCell ref="L36:M36"/>
    <mergeCell ref="L37:M37"/>
    <mergeCell ref="L38:M38"/>
    <mergeCell ref="L24:M24"/>
    <mergeCell ref="L19:M19"/>
    <mergeCell ref="L20:M20"/>
    <mergeCell ref="L21:M21"/>
    <mergeCell ref="L25:M25"/>
    <mergeCell ref="L26:M26"/>
    <mergeCell ref="L22:M22"/>
    <mergeCell ref="L23:M23"/>
    <mergeCell ref="M5:N5"/>
    <mergeCell ref="E105:F105"/>
    <mergeCell ref="E78:F78"/>
    <mergeCell ref="G98:I98"/>
    <mergeCell ref="E95:F95"/>
    <mergeCell ref="J87:K87"/>
    <mergeCell ref="G102:I102"/>
    <mergeCell ref="H37:I37"/>
    <mergeCell ref="H38:I38"/>
    <mergeCell ref="L13:M13"/>
    <mergeCell ref="H39:I39"/>
    <mergeCell ref="H19:I19"/>
    <mergeCell ref="H20:I20"/>
    <mergeCell ref="H21:I21"/>
    <mergeCell ref="H22:I22"/>
    <mergeCell ref="H23:I23"/>
    <mergeCell ref="H24:I24"/>
    <mergeCell ref="H25:I25"/>
    <mergeCell ref="L28:M28"/>
    <mergeCell ref="L29:M29"/>
    <mergeCell ref="L30:M30"/>
    <mergeCell ref="L35:M35"/>
    <mergeCell ref="J86:K86"/>
    <mergeCell ref="J78:K78"/>
    <mergeCell ref="L78:N78"/>
    <mergeCell ref="L85:N85"/>
    <mergeCell ref="L86:N86"/>
    <mergeCell ref="L88:N88"/>
    <mergeCell ref="L89:N89"/>
    <mergeCell ref="L90:N90"/>
    <mergeCell ref="L91:N91"/>
    <mergeCell ref="L92:N92"/>
    <mergeCell ref="L93:N93"/>
    <mergeCell ref="L79:N79"/>
  </mergeCells>
  <conditionalFormatting sqref="C118">
    <cfRule type="cellIs" dxfId="1169" priority="158" operator="lessThan">
      <formula>0</formula>
    </cfRule>
  </conditionalFormatting>
  <conditionalFormatting sqref="L116:N118">
    <cfRule type="expression" dxfId="1168" priority="27">
      <formula>IF(ISBLANK($J116),FALSE,TRUE)</formula>
    </cfRule>
  </conditionalFormatting>
  <conditionalFormatting sqref="J116:K118">
    <cfRule type="expression" dxfId="1167" priority="26">
      <formula>IF($C116&lt;&gt;0,TRUE,FALSE)</formula>
    </cfRule>
  </conditionalFormatting>
  <conditionalFormatting sqref="E83:F83">
    <cfRule type="expression" dxfId="1166" priority="16">
      <formula>IF(ISBLANK($M$83),FALSE,TRUE)</formula>
    </cfRule>
  </conditionalFormatting>
  <conditionalFormatting sqref="A14:N14">
    <cfRule type="expression" dxfId="1165" priority="167">
      <formula>$X$12</formula>
    </cfRule>
  </conditionalFormatting>
  <conditionalFormatting sqref="A18:N37 H15:J17 H38:N38 L15:N17">
    <cfRule type="expression" dxfId="1164" priority="171">
      <formula>$X$11</formula>
    </cfRule>
  </conditionalFormatting>
  <conditionalFormatting sqref="K18:K38">
    <cfRule type="expression" dxfId="1163" priority="8">
      <formula>L18&lt;&gt;0</formula>
    </cfRule>
  </conditionalFormatting>
  <conditionalFormatting sqref="A15:G17">
    <cfRule type="expression" dxfId="1162" priority="5">
      <formula>$X$11</formula>
    </cfRule>
  </conditionalFormatting>
  <conditionalFormatting sqref="A38:G38">
    <cfRule type="expression" dxfId="1161" priority="4">
      <formula>$X$11</formula>
    </cfRule>
  </conditionalFormatting>
  <conditionalFormatting sqref="K15:K17">
    <cfRule type="expression" dxfId="1160" priority="3">
      <formula>$X$11</formula>
    </cfRule>
  </conditionalFormatting>
  <conditionalFormatting sqref="K15">
    <cfRule type="expression" dxfId="1159" priority="2">
      <formula>L15&lt;&gt;0</formula>
    </cfRule>
  </conditionalFormatting>
  <conditionalFormatting sqref="K16:K17">
    <cfRule type="expression" dxfId="1158" priority="1">
      <formula>L16&lt;&gt;0</formula>
    </cfRule>
  </conditionalFormatting>
  <dataValidations count="5">
    <dataValidation type="list" allowBlank="1" showInputMessage="1" showErrorMessage="1" sqref="B11" xr:uid="{00000000-0002-0000-0800-000000000000}">
      <formula1>$U$11:$U$12</formula1>
    </dataValidation>
    <dataValidation allowBlank="1" showInputMessage="1" showErrorMessage="1" errorTitle="Fehlerhafte Eingabe" error="Auswahl der Berücksichtigung Förderbeiträge aus Drop-Down selektieren." sqref="D88" xr:uid="{00000000-0002-0000-0800-000001000000}"/>
    <dataValidation type="custom" allowBlank="1" showErrorMessage="1" errorTitle="Gestehungskosten Überdefiniert" error="Mindestens eine der Gestehungskosten muss vom Programm automatisch berechnet werden._x000a__x000a_Es dürfen nicht alle Gestehungskosten manuell überschrieben werden._x000a_" sqref="J116:K118" xr:uid="{00000000-0002-0000-0800-000002000000}">
      <formula1>IF(COUNTIF($J$116:$J$118,"")-1&gt;=COUNTIF($C$116:$C$118,0),TRUE,FALSE)</formula1>
    </dataValidation>
    <dataValidation type="custom" allowBlank="1" showInputMessage="1" showErrorMessage="1" errorTitle="Eingabe ausserhalb Bereich" error="Bitte wählen Sie eine Betrachtungsdauer zwischen 1 und 50 Jahren." sqref="M83:N83" xr:uid="{00000000-0002-0000-0800-000003000000}">
      <formula1>IF(AND(M83&gt;0,M83&lt;=50),TRUE,FALSE)</formula1>
    </dataValidation>
    <dataValidation type="decimal" allowBlank="1" showInputMessage="1" showErrorMessage="1" error="Wert muss zwischen 0 und 100 liegen" sqref="C66 C68 C62 C64" xr:uid="{00000000-0002-0000-0800-000004000000}">
      <formula1>0</formula1>
      <formula2>1</formula2>
    </dataValidation>
  </dataValidations>
  <hyperlinks>
    <hyperlink ref="G2" location="Neu_in_Version" display="i" xr:uid="{00000000-0004-0000-0800-000000000000}"/>
  </hyperlinks>
  <printOptions horizontalCentered="1"/>
  <pageMargins left="0.55118110236220474" right="0.51181102362204722" top="0.39370078740157483" bottom="0.59" header="0.39370078740157483" footer="0.31496062992125984"/>
  <pageSetup paperSize="9" scale="84" firstPageNumber="3" fitToHeight="0" orientation="portrait" horizontalDpi="4294967295" verticalDpi="4294967295" r:id="rId1"/>
  <headerFooter scaleWithDoc="0">
    <oddFooter>&amp;L&amp;8Druckdatum  &amp;D&amp;C&amp;8&amp;F/&amp;A&amp;R&amp;8Seite &amp;P / &amp;N</oddFooter>
  </headerFooter>
  <cellWatches>
    <cellWatch r="E39"/>
  </cellWatches>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18</vt:i4>
      </vt:variant>
      <vt:variant>
        <vt:lpstr>Benannte Bereiche</vt:lpstr>
      </vt:variant>
      <vt:variant>
        <vt:i4>83</vt:i4>
      </vt:variant>
    </vt:vector>
  </HeadingPairs>
  <TitlesOfParts>
    <vt:vector size="101" baseType="lpstr">
      <vt:lpstr>Versionsinfo</vt:lpstr>
      <vt:lpstr>INFO</vt:lpstr>
      <vt:lpstr>Projektdaten</vt:lpstr>
      <vt:lpstr>Grunddaten</vt:lpstr>
      <vt:lpstr>EV_Var1</vt:lpstr>
      <vt:lpstr>EV_Var2</vt:lpstr>
      <vt:lpstr>EV_Var3</vt:lpstr>
      <vt:lpstr>EV_Var4</vt:lpstr>
      <vt:lpstr>WR_Var1</vt:lpstr>
      <vt:lpstr>DK_Var1</vt:lpstr>
      <vt:lpstr>WR_Var2</vt:lpstr>
      <vt:lpstr>DK_Var2</vt:lpstr>
      <vt:lpstr>WR_Var3</vt:lpstr>
      <vt:lpstr>DK_Var3</vt:lpstr>
      <vt:lpstr>WR_Var4</vt:lpstr>
      <vt:lpstr>DK_Var4</vt:lpstr>
      <vt:lpstr>Ergebnisse</vt:lpstr>
      <vt:lpstr>Berechnungen</vt:lpstr>
      <vt:lpstr>Biogas_Produkt</vt:lpstr>
      <vt:lpstr>Brennstoffe</vt:lpstr>
      <vt:lpstr>Berechnungen!Druckbereich</vt:lpstr>
      <vt:lpstr>DK_Var1!Druckbereich</vt:lpstr>
      <vt:lpstr>DK_Var2!Druckbereich</vt:lpstr>
      <vt:lpstr>DK_Var3!Druckbereich</vt:lpstr>
      <vt:lpstr>DK_Var4!Druckbereich</vt:lpstr>
      <vt:lpstr>Ergebnisse!Druckbereich</vt:lpstr>
      <vt:lpstr>EV_Var1!Druckbereich</vt:lpstr>
      <vt:lpstr>EV_Var2!Druckbereich</vt:lpstr>
      <vt:lpstr>EV_Var3!Druckbereich</vt:lpstr>
      <vt:lpstr>EV_Var4!Druckbereich</vt:lpstr>
      <vt:lpstr>Grunddaten!Druckbereich</vt:lpstr>
      <vt:lpstr>INFO!Druckbereich</vt:lpstr>
      <vt:lpstr>Projektdaten!Druckbereich</vt:lpstr>
      <vt:lpstr>WR_Var1!Druckbereich</vt:lpstr>
      <vt:lpstr>WR_Var2!Druckbereich</vt:lpstr>
      <vt:lpstr>WR_Var3!Druckbereich</vt:lpstr>
      <vt:lpstr>WR_Var4!Druckbereich</vt:lpstr>
      <vt:lpstr>Berechnungen!Drucktitel</vt:lpstr>
      <vt:lpstr>DK_Var1!Drucktitel</vt:lpstr>
      <vt:lpstr>DK_Var2!Drucktitel</vt:lpstr>
      <vt:lpstr>DK_Var3!Drucktitel</vt:lpstr>
      <vt:lpstr>DK_Var4!Drucktitel</vt:lpstr>
      <vt:lpstr>Ergebnisse!Drucktitel</vt:lpstr>
      <vt:lpstr>EV_Var1!Drucktitel</vt:lpstr>
      <vt:lpstr>EV_Var2!Drucktitel</vt:lpstr>
      <vt:lpstr>EV_Var3!Drucktitel</vt:lpstr>
      <vt:lpstr>EV_Var4!Drucktitel</vt:lpstr>
      <vt:lpstr>Grunddaten!Drucktitel</vt:lpstr>
      <vt:lpstr>INFO!Drucktitel</vt:lpstr>
      <vt:lpstr>WR_Var1!Drucktitel</vt:lpstr>
      <vt:lpstr>WR_Var2!Drucktitel</vt:lpstr>
      <vt:lpstr>WR_Var3!Drucktitel</vt:lpstr>
      <vt:lpstr>WR_Var4!Drucktitel</vt:lpstr>
      <vt:lpstr>Eigener_Brennstoff</vt:lpstr>
      <vt:lpstr>El_Produkt</vt:lpstr>
      <vt:lpstr>FW_Produkt</vt:lpstr>
      <vt:lpstr>Gasbrennstoffe</vt:lpstr>
      <vt:lpstr>Neu_in_Version</vt:lpstr>
      <vt:lpstr>Nutzungskategorien</vt:lpstr>
      <vt:lpstr>DK_Var1!testrange</vt:lpstr>
      <vt:lpstr>Vorgaben_Jahresarbeitszahl_Kältemaschine</vt:lpstr>
      <vt:lpstr>DK_Var1!WR_Var1_PBreak1</vt:lpstr>
      <vt:lpstr>DK_Var1!WR_Var1_PBreak2</vt:lpstr>
      <vt:lpstr>DK_Var1!WR_Var1_PBreak3</vt:lpstr>
      <vt:lpstr>DK_Var1!WR_Var1_PBreak4</vt:lpstr>
      <vt:lpstr>DK_Var1!WR_Var1_PBreak5</vt:lpstr>
      <vt:lpstr>WR_Var1_PBreakS1</vt:lpstr>
      <vt:lpstr>DK_Var1!WR_Var1_PrintArea_Invest</vt:lpstr>
      <vt:lpstr>WR_Var1_PrintArea_Invest</vt:lpstr>
      <vt:lpstr>DK_Var1!WR_Var1_PrintArea_Summary</vt:lpstr>
      <vt:lpstr>WR_Var1_PrintArea_Summary</vt:lpstr>
      <vt:lpstr>DK_Var2!WR_Var2_PBreak1</vt:lpstr>
      <vt:lpstr>DK_Var2!WR_Var2_PBreak2</vt:lpstr>
      <vt:lpstr>DK_Var2!WR_Var2_PBreak3</vt:lpstr>
      <vt:lpstr>DK_Var2!WR_Var2_PBreak4</vt:lpstr>
      <vt:lpstr>DK_Var2!WR_Var2_PBreak5</vt:lpstr>
      <vt:lpstr>WR_Var2_PBreakS1</vt:lpstr>
      <vt:lpstr>DK_Var2!WR_Var2_Printarea_Invest</vt:lpstr>
      <vt:lpstr>WR_Var2_Printarea_Invest</vt:lpstr>
      <vt:lpstr>DK_Var2!WR_Var2_Printarea_Summary</vt:lpstr>
      <vt:lpstr>WR_Var2_Printarea_Summary</vt:lpstr>
      <vt:lpstr>DK_Var3!WR_Var3_PBreak1</vt:lpstr>
      <vt:lpstr>DK_Var3!WR_Var3_PBreak2</vt:lpstr>
      <vt:lpstr>DK_Var3!WR_Var3_PBreak3</vt:lpstr>
      <vt:lpstr>DK_Var3!WR_Var3_PBreak4</vt:lpstr>
      <vt:lpstr>DK_Var3!WR_Var3_PBreak5</vt:lpstr>
      <vt:lpstr>WR_Var3_PBreakS1</vt:lpstr>
      <vt:lpstr>DK_Var3!WR_Var3_Printarea_Invest</vt:lpstr>
      <vt:lpstr>WR_Var3_Printarea_Invest</vt:lpstr>
      <vt:lpstr>DK_Var3!WR_Var3_Printarea_Summary</vt:lpstr>
      <vt:lpstr>WR_Var3_Printarea_Summary</vt:lpstr>
      <vt:lpstr>DK_Var4!WR_Var4_PBreak1</vt:lpstr>
      <vt:lpstr>DK_Var4!WR_Var4_PBreak2</vt:lpstr>
      <vt:lpstr>DK_Var4!WR_Var4_PBreak3</vt:lpstr>
      <vt:lpstr>DK_Var4!WR_Var4_PBreak4</vt:lpstr>
      <vt:lpstr>DK_Var4!WR_Var4_PBreak5</vt:lpstr>
      <vt:lpstr>WR_Var4_PBreakS1</vt:lpstr>
      <vt:lpstr>DK_Var4!WR_Var4_Printarea_Invest</vt:lpstr>
      <vt:lpstr>WR_Var4_Printarea_Invest</vt:lpstr>
      <vt:lpstr>DK_Var4!WR_Var4_Printarea_Summary</vt:lpstr>
      <vt:lpstr>WR_Var4_Printarea_Summary</vt:lpstr>
    </vt:vector>
  </TitlesOfParts>
  <Company>Stadt Zürich Amt für Hochbauten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Variantenvergleich Energiesysteme</dc:title>
  <dc:creator>Thomas Kessler</dc:creator>
  <cp:lastModifiedBy>Fehlmann Stefan (AHB)</cp:lastModifiedBy>
  <cp:lastPrinted>2023-03-16T12:12:48Z</cp:lastPrinted>
  <dcterms:created xsi:type="dcterms:W3CDTF">2005-01-25T09:58:35Z</dcterms:created>
  <dcterms:modified xsi:type="dcterms:W3CDTF">2024-03-21T12:00:35Z</dcterms:modified>
  <cp:version>1.0</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emplate">
    <vt:lpwstr>Eliane Bucher</vt:lpwstr>
  </property>
  <property fmtid="{D5CDD505-2E9C-101B-9397-08002B2CF9AE}" pid="3" name="Version">
    <vt:lpwstr>Dezember 2009</vt:lpwstr>
  </property>
</Properties>
</file>